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36251882-EC63-4E58-91C8-A2397B1D21FD}" xr6:coauthVersionLast="47" xr6:coauthVersionMax="47" xr10:uidLastSave="{00000000-0000-0000-0000-000000000000}"/>
  <bookViews>
    <workbookView xWindow="14190" yWindow="600" windowWidth="33930" windowHeight="22320" firstSheet="1" activeTab="1" xr2:uid="{00000000-000D-0000-FFFF-FFFF00000000}"/>
  </bookViews>
  <sheets>
    <sheet name="__FDSCACHE__" sheetId="31" state="veryHidden" r:id="rId1"/>
    <sheet name="Cover" sheetId="6" r:id="rId2"/>
    <sheet name="Revenue Build" sheetId="7" r:id="rId3"/>
    <sheet name="IS (GAAP)" sheetId="52" r:id="rId4"/>
    <sheet name="IS (Non-GAAP)" sheetId="53" r:id="rId5"/>
    <sheet name="Share Count" sheetId="54" r:id="rId6"/>
    <sheet name="BS" sheetId="50" r:id="rId7"/>
    <sheet name="CF" sheetId="51" r:id="rId8"/>
    <sheet name="Def. Revenue &amp; Billings" sheetId="60" r:id="rId9"/>
    <sheet name="Guidance" sheetId="59" r:id="rId10"/>
    <sheet name="Dates" sheetId="14" state="hidden" r:id="rId11"/>
    <sheet name="Consensus" sheetId="49" state="hidden" r:id="rId12"/>
  </sheets>
  <externalReferences>
    <externalReference r:id="rId13"/>
    <externalReference r:id="rId14"/>
  </externalReferences>
  <definedNames>
    <definedName name="\\" hidden="1">{#N/A,#N/A,FALSE,"Summary";#N/A,#N/A,FALSE,"Details";#N/A,#N/A,FALSE,"Month-Hd";#N/A,#N/A,FALSE,"YTD-Hd";#N/A,#N/A,FALSE,"Capital"}</definedName>
    <definedName name="____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_a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_a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_a4" hidden="1">{"whole",#N/A,FALSE,"Gen_Dist_Act_Bud";"whole",#N/A,FALSE,"Gen_Dist_T3months";"whole",#N/A,FALSE,"GD_PerP";"whole",#N/A,FALSE,"HR Dist'n"}</definedName>
    <definedName name="____a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__a6" hidden="1">{"whole",#N/A,FALSE,"CS HC";"whole",#N/A,FALSE,"CS_ACTvsBud";"whole",#N/A,FALSE,"CSTrail3mo";"whole",#N/A,FALSE,"CS Cost Per Head ";"whole",#N/A,FALSE,"CS CPH YTD"}</definedName>
    <definedName name="____a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___a9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__a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_aaa111299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_ab111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_b1" hidden="1">{"Chart 1",#N/A,FALSE,"Run Rate";"Chart 2",#N/A,FALSE,"Run Rate (2)"}</definedName>
    <definedName name="____di1" hidden="1">{"whole",#N/A,FALSE,"Gen_Dist_Act_Bud";"whole",#N/A,FALSE,"Gen_Dist_T3months";"whole",#N/A,FALSE,"GD_PerP";"whole",#N/A,FALSE,"HR Dist'n"}</definedName>
    <definedName name="____w3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_w33" hidden="1">{"whole",#N/A,FALSE,"Gen_Dist_Act_Bud";"whole",#N/A,FALSE,"Gen_Dist_T3months";"whole",#N/A,FALSE,"GD_PerP";"whole",#N/A,FALSE,"HR Dist'n"}</definedName>
    <definedName name="____x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__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a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a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a4" hidden="1">{"whole",#N/A,FALSE,"Gen_Dist_Act_Bud";"whole",#N/A,FALSE,"Gen_Dist_T3months";"whole",#N/A,FALSE,"GD_PerP";"whole",#N/A,FALSE,"HR Dist'n"}</definedName>
    <definedName name="___a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_a6" hidden="1">{"whole",#N/A,FALSE,"CS HC";"whole",#N/A,FALSE,"CS_ACTvsBud";"whole",#N/A,FALSE,"CSTrail3mo";"whole",#N/A,FALSE,"CS Cost Per Head ";"whole",#N/A,FALSE,"CS CPH YTD"}</definedName>
    <definedName name="___a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__a9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_a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aaa111299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ab111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_b1" hidden="1">{"Chart 1",#N/A,FALSE,"Run Rate";"Chart 2",#N/A,FALSE,"Run Rate (2)"}</definedName>
    <definedName name="___di1" hidden="1">{"whole",#N/A,FALSE,"Gen_Dist_Act_Bud";"whole",#N/A,FALSE,"Gen_Dist_T3months";"whole",#N/A,FALSE,"GD_PerP";"whole",#N/A,FALSE,"HR Dist'n"}</definedName>
    <definedName name="___w3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_w33" hidden="1">{"whole",#N/A,FALSE,"Gen_Dist_Act_Bud";"whole",#N/A,FALSE,"Gen_Dist_T3months";"whole",#N/A,FALSE,"GD_PerP";"whole",#N/A,FALSE,"HR Dist'n"}</definedName>
    <definedName name="___x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_123Graph_A" hidden="1">#REF!</definedName>
    <definedName name="__123Graph_Ab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urrent" hidden="1">#REF!</definedName>
    <definedName name="__123Graph_X" hidden="1">#REF!</definedName>
    <definedName name="__123Graph_XCurrent" hidden="1">#REF!</definedName>
    <definedName name="__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a15" hidden="1">{"whole",#N/A,FALSE,"CS FIN Sum For Rox";"whole",#N/A,FALSE,"Gen_Dist_Act_Bud";"whole",#N/A,FALSE,"Gen_Dist_T3months";"whole",#N/A,FALSE,"GD_PerP";"whole",#N/A,FALSE,"CS_DIST_ActvsBud";"whole",#N/A,FALSE,"CS_DIST_SUM_trail3mo"}</definedName>
    <definedName name="__a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a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a4" hidden="1">{"whole",#N/A,FALSE,"Gen_Dist_Act_Bud";"whole",#N/A,FALSE,"Gen_Dist_T3months";"whole",#N/A,FALSE,"GD_PerP";"whole",#N/A,FALSE,"HR Dist'n"}</definedName>
    <definedName name="__a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a6" hidden="1">{"whole",#N/A,FALSE,"CS HC";"whole",#N/A,FALSE,"CS_ACTvsBud";"whole",#N/A,FALSE,"CSTrail3mo";"whole",#N/A,FALSE,"CS Cost Per Head ";"whole",#N/A,FALSE,"CS CPH YTD"}</definedName>
    <definedName name="__a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_a9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_a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aaa111299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ab111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_b1" hidden="1">{"Chart 1",#N/A,FALSE,"Run Rate";"Chart 2",#N/A,FALSE,"Run Rate (2)"}</definedName>
    <definedName name="__di1" hidden="1">{"whole",#N/A,FALSE,"Gen_Dist_Act_Bud";"whole",#N/A,FALSE,"Gen_Dist_T3months";"whole",#N/A,FALSE,"GD_PerP";"whole",#N/A,FALSE,"HR Dist'n"}</definedName>
    <definedName name="__FDS_HYPERLINK_TOGGLE_STATE__" hidden="1">"ON"</definedName>
    <definedName name="__FDS_UNIQUE_RANGE_ID_GENERATOR_COUNTER" hidden="1">143</definedName>
    <definedName name="__FDS_USED_FOR_REUSING_RANGE_IDS_RECYCLE" hidden="1">{139,142,141,140,138}</definedName>
    <definedName name="__fff2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_k1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_w3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_w33" hidden="1">{"whole",#N/A,FALSE,"Gen_Dist_Act_Bud";"whole",#N/A,FALSE,"Gen_Dist_T3months";"whole",#N/A,FALSE,"GD_PerP";"whole",#N/A,FALSE,"HR Dist'n"}</definedName>
    <definedName name="__x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1__FDSAUDITLINK__" hidden="1">{"fdsup://directions/FAT Viewer?action=UPDATE&amp;creator=factset&amp;DYN_ARGS=TRUE&amp;DOC_NAME=FAT:FQL_AUDITING_CLIENT_TEMPLATE.FAT&amp;display_string=Audit&amp;VAR:KEY=RQDQTWBQFY&amp;VAR:QUERY=RkZfRUJJVF9PUEVSX01HTihDQUwsMCk=&amp;WINDOW=FIRST_POPUP&amp;HEIGHT=450&amp;WIDTH=450&amp;START_MAXIMI","ZED=FALSE&amp;VAR:CALENDAR=US&amp;VAR:SYMBOL=CNQR&amp;VAR:INDEX=0"}</definedName>
    <definedName name="_10__FDSAUDITLINK__" hidden="1">{"fdsup://directions/FAT Viewer?action=UPDATE&amp;creator=factset&amp;DYN_ARGS=TRUE&amp;DOC_NAME=FAT:FQL_AUDITING_CLIENT_TEMPLATE.FAT&amp;display_string=Audit&amp;VAR:KEY=ONQXAZSRMT&amp;VAR:QUERY=RkZfRlJFRV9QU19DRihDQUwsLTFBWSk=&amp;WINDOW=FIRST_POPUP&amp;HEIGHT=450&amp;WIDTH=450&amp;START_MAXIMI","ZED=FALSE&amp;VAR:CALENDAR=US&amp;VAR:SYMBOL=FIRE&amp;VAR:INDEX=0"}</definedName>
    <definedName name="_100__FDSAUDITLINK__" hidden="1">{"fdsup://directions/FAT Viewer?action=UPDATE&amp;creator=factset&amp;DYN_ARGS=TRUE&amp;DOC_NAME=FAT:FQL_AUDITING_CLIENT_TEMPLATE.FAT&amp;display_string=Audit&amp;VAR:KEY=HCLYZGFGHS&amp;VAR:QUERY=RkZfRlJFRV9QU19DRihDQUwsLTFBWSk=&amp;WINDOW=FIRST_POPUP&amp;HEIGHT=450&amp;WIDTH=450&amp;START_MAXIMI","ZED=FALSE&amp;VAR:CALENDAR=US&amp;VAR:SYMBOL=CTCT&amp;VAR:INDEX=0"}</definedName>
    <definedName name="_101__FDSAUDITLINK__" hidden="1">{"fdsup://directions/FAT Viewer?action=UPDATE&amp;creator=factset&amp;DYN_ARGS=TRUE&amp;DOC_NAME=FAT:FQL_AUDITING_CLIENT_TEMPLATE.FAT&amp;display_string=Audit&amp;VAR:KEY=ZILUNMBQBA&amp;VAR:QUERY=RkZfRlJFRV9QU19DRihDQUwsLTFBWSk=&amp;WINDOW=FIRST_POPUP&amp;HEIGHT=450&amp;WIDTH=450&amp;START_MAXIMI","ZED=FALSE&amp;VAR:CALENDAR=US&amp;VAR:SYMBOL=CTCT&amp;VAR:INDEX=0"}</definedName>
    <definedName name="_102__FDSAUDITLINK__" hidden="1">{"fdsup://directions/FAT Viewer?action=UPDATE&amp;creator=factset&amp;DYN_ARGS=TRUE&amp;DOC_NAME=FAT:FQL_AUDITING_CLIENT_TEMPLATE.FAT&amp;display_string=Audit&amp;VAR:KEY=WZYDAFQZID&amp;VAR:QUERY=RkZfRU5UUlBSX1ZBTF9EQUlMWSg0MTExNSwsLCwsJ0RJTCcp&amp;WINDOW=FIRST_POPUP&amp;HEIGHT=450&amp;WIDTH=","450&amp;START_MAXIMIZED=FALSE&amp;VAR:CALENDAR=US&amp;VAR:SYMBOL=TIBX&amp;VAR:INDEX=0"}</definedName>
    <definedName name="_103__FDSAUDITLINK__" hidden="1">{"fdsup://directions/FAT Viewer?action=UPDATE&amp;creator=factset&amp;DYN_ARGS=TRUE&amp;DOC_NAME=FAT:FQL_AUDITING_CLIENT_TEMPLATE.FAT&amp;display_string=Audit&amp;VAR:KEY=CBQZIJOJYT&amp;VAR:QUERY=RkZfRU5UUlBSX1ZBTF9EQUlMWSg0MTExNSwsLCwsJ0RJTCcp&amp;WINDOW=FIRST_POPUP&amp;HEIGHT=450&amp;WIDTH=","450&amp;START_MAXIMIZED=FALSE&amp;VAR:CALENDAR=US&amp;VAR:SYMBOL=FIRE&amp;VAR:INDEX=0"}</definedName>
    <definedName name="_104__FDSAUDITLINK__" hidden="1">{"fdsup://directions/FAT Viewer?action=UPDATE&amp;creator=factset&amp;DYN_ARGS=TRUE&amp;DOC_NAME=FAT:FQL_AUDITING_CLIENT_TEMPLATE.FAT&amp;display_string=Audit&amp;VAR:KEY=CJGHUDAVMR&amp;VAR:QUERY=RkZfRU5UUlBSX1ZBTF9EQUlMWSg0MTExNSwsLCwsJ0RJTCcp&amp;WINDOW=FIRST_POPUP&amp;HEIGHT=450&amp;WIDTH=","450&amp;START_MAXIMIZED=FALSE&amp;VAR:CALENDAR=US&amp;VAR:SYMBOL=QLIK&amp;VAR:INDEX=0"}</definedName>
    <definedName name="_105__FDSAUDITLINK__" hidden="1">{"fdsup://directions/FAT Viewer?action=UPDATE&amp;creator=factset&amp;DYN_ARGS=TRUE&amp;DOC_NAME=FAT:FQL_AUDITING_CLIENT_TEMPLATE.FAT&amp;display_string=Audit&amp;VAR:KEY=EXIXYROPQH&amp;VAR:QUERY=RkZfRU5UUlBSX1ZBTF9EQUlMWSg0MTExNSwsLCwsJ0RJTCcp&amp;WINDOW=FIRST_POPUP&amp;HEIGHT=450&amp;WIDTH=","450&amp;START_MAXIMIZED=FALSE&amp;VAR:CALENDAR=US&amp;VAR:SYMBOL=INFA&amp;VAR:INDEX=0"}</definedName>
    <definedName name="_106__FDSAUDITLINK__" hidden="1">{"fdsup://directions/FAT Viewer?action=UPDATE&amp;creator=factset&amp;DYN_ARGS=TRUE&amp;DOC_NAME=FAT:FQL_AUDITING_CLIENT_TEMPLATE.FAT&amp;display_string=Audit&amp;VAR:KEY=OTINYJWDOJ&amp;VAR:QUERY=RkZfRU5UUlBSX1ZBTF9EQUlMWSg0MTExNSwsLCwsJ0RJTCcp&amp;WINDOW=FIRST_POPUP&amp;HEIGHT=450&amp;WIDTH=","450&amp;START_MAXIMIZED=FALSE&amp;VAR:CALENDAR=US&amp;VAR:SYMBOL=FTNT&amp;VAR:INDEX=0"}</definedName>
    <definedName name="_107__FDSAUDITLINK__" hidden="1">{"fdsup://directions/FAT Viewer?action=UPDATE&amp;creator=factset&amp;DYN_ARGS=TRUE&amp;DOC_NAME=FAT:FQL_AUDITING_CLIENT_TEMPLATE.FAT&amp;display_string=Audit&amp;VAR:KEY=YBCXGNGTWJ&amp;VAR:QUERY=RkZfRU5UUlBSX1ZBTF9EQUlMWSg0MTExNSwsLCwsJ0RJTCcp&amp;WINDOW=FIRST_POPUP&amp;HEIGHT=450&amp;WIDTH=","450&amp;START_MAXIMIZED=FALSE&amp;VAR:CALENDAR=US&amp;VAR:SYMBOL=MKTG&amp;VAR:INDEX=0"}</definedName>
    <definedName name="_108__FDSAUDITLINK__" hidden="1">{"fdsup://directions/FAT Viewer?action=UPDATE&amp;creator=factset&amp;DYN_ARGS=TRUE&amp;DOC_NAME=FAT:FQL_AUDITING_CLIENT_TEMPLATE.FAT&amp;display_string=Audit&amp;VAR:KEY=KVQDUFKNYL&amp;VAR:QUERY=RkZfRU5UUlBSX1ZBTF9EQUlMWSg0MTExNSwsLCwsJ0RJTCcp&amp;WINDOW=FIRST_POPUP&amp;HEIGHT=450&amp;WIDTH=","450&amp;START_MAXIMIZED=FALSE&amp;VAR:CALENDAR=US&amp;VAR:SYMBOL=RP&amp;VAR:INDEX=0"}</definedName>
    <definedName name="_109__FDSAUDITLINK__" hidden="1">{"fdsup://directions/FAT Viewer?action=UPDATE&amp;creator=factset&amp;DYN_ARGS=TRUE&amp;DOC_NAME=FAT:FQL_AUDITING_CLIENT_TEMPLATE.FAT&amp;display_string=Audit&amp;VAR:KEY=SLADCRELER&amp;VAR:QUERY=RkZfRU5UUlBSX1ZBTF9EQUlMWSg0MTExNSwsLCwsJ0RJTCcp&amp;WINDOW=FIRST_POPUP&amp;HEIGHT=450&amp;WIDTH=","450&amp;START_MAXIMIZED=FALSE&amp;VAR:CALENDAR=US&amp;VAR:SYMBOL=CTCT&amp;VAR:INDEX=0"}</definedName>
    <definedName name="_11__FDSAUDITLINK__" hidden="1">{"fdsup://directions/FAT Viewer?action=UPDATE&amp;creator=factset&amp;DYN_ARGS=TRUE&amp;DOC_NAME=FAT:FQL_AUDITING_CLIENT_TEMPLATE.FAT&amp;display_string=Audit&amp;VAR:KEY=KZYBILWRAT&amp;VAR:QUERY=RkZfRU5UUlBSX1ZBTF9EQUlMWSg0MDk0MCwsLCwsJ0RJTCcp&amp;WINDOW=FIRST_POPUP&amp;HEIGHT=450&amp;WIDTH=","450&amp;START_MAXIMIZED=FALSE&amp;VAR:CALENDAR=US&amp;VAR:SYMBOL=TIBX&amp;VAR:INDEX=0"}</definedName>
    <definedName name="_110__FDSAUDITLINK__" hidden="1">{"fdsup://directions/FAT Viewer?action=UPDATE&amp;creator=factset&amp;DYN_ARGS=TRUE&amp;DOC_NAME=FAT:FQL_AUDITING_CLIENT_TEMPLATE.FAT&amp;display_string=Audit&amp;VAR:KEY=BANOROXSHW&amp;VAR:QUERY=RkZfRU5UUlBSX1ZBTF9EQUlMWSg0MTE1MiwsLCwsJ0RJTCcp&amp;WINDOW=FIRST_POPUP&amp;HEIGHT=450&amp;WIDTH=","450&amp;START_MAXIMIZED=FALSE&amp;VAR:CALENDAR=US&amp;VAR:SYMBOL=TIBX&amp;VAR:INDEX=0"}</definedName>
    <definedName name="_111__FDSAUDITLINK__" hidden="1">{"fdsup://directions/FAT Viewer?action=UPDATE&amp;creator=factset&amp;DYN_ARGS=TRUE&amp;DOC_NAME=FAT:FQL_AUDITING_CLIENT_TEMPLATE.FAT&amp;display_string=Audit&amp;VAR:KEY=HKHQTQBUPE&amp;VAR:QUERY=RkZfRU5UUlBSX1ZBTF9EQUlMWSg0MTE1MiwsLCwsJ0RJTCcp&amp;WINDOW=FIRST_POPUP&amp;HEIGHT=450&amp;WIDTH=","450&amp;START_MAXIMIZED=FALSE&amp;VAR:CALENDAR=US&amp;VAR:SYMBOL=FIRE&amp;VAR:INDEX=0"}</definedName>
    <definedName name="_112__FDSAUDITLINK__" hidden="1">{"fdsup://directions/FAT Viewer?action=UPDATE&amp;creator=factset&amp;DYN_ARGS=TRUE&amp;DOC_NAME=FAT:FQL_AUDITING_CLIENT_TEMPLATE.FAT&amp;display_string=Audit&amp;VAR:KEY=XMRYNOROHG&amp;VAR:QUERY=RkZfRU5UUlBSX1ZBTF9EQUlMWSg0MTE1MiwsLCwsJ0RJTCcp&amp;WINDOW=FIRST_POPUP&amp;HEIGHT=450&amp;WIDTH=","450&amp;START_MAXIMIZED=FALSE&amp;VAR:CALENDAR=US&amp;VAR:SYMBOL=QLIK&amp;VAR:INDEX=0"}</definedName>
    <definedName name="_113__FDSAUDITLINK__" hidden="1">{"fdsup://directions/FAT Viewer?action=UPDATE&amp;creator=factset&amp;DYN_ARGS=TRUE&amp;DOC_NAME=FAT:FQL_AUDITING_CLIENT_TEMPLATE.FAT&amp;display_string=Audit&amp;VAR:KEY=PWXENKPKFM&amp;VAR:QUERY=RkZfRU5UUlBSX1ZBTF9EQUlMWSg0MTE1MiwsLCwsJ0RJTCcp&amp;WINDOW=FIRST_POPUP&amp;HEIGHT=450&amp;WIDTH=","450&amp;START_MAXIMIZED=FALSE&amp;VAR:CALENDAR=US&amp;VAR:SYMBOL=INFA&amp;VAR:INDEX=0"}</definedName>
    <definedName name="_114__FDSAUDITLINK__" hidden="1">{"fdsup://directions/FAT Viewer?action=UPDATE&amp;creator=factset&amp;DYN_ARGS=TRUE&amp;DOC_NAME=FAT:FQL_AUDITING_CLIENT_TEMPLATE.FAT&amp;display_string=Audit&amp;VAR:KEY=HOHYRWFSVE&amp;VAR:QUERY=RkZfRU5UUlBSX1ZBTF9EQUlMWSg0MTE1MiwsLCwsJ0RJTCcp&amp;WINDOW=FIRST_POPUP&amp;HEIGHT=450&amp;WIDTH=","450&amp;START_MAXIMIZED=FALSE&amp;VAR:CALENDAR=US&amp;VAR:SYMBOL=FTNT&amp;VAR:INDEX=0"}</definedName>
    <definedName name="_115__FDSAUDITLINK__" hidden="1">{"fdsup://directions/FAT Viewer?action=UPDATE&amp;creator=factset&amp;DYN_ARGS=TRUE&amp;DOC_NAME=FAT:FQL_AUDITING_CLIENT_TEMPLATE.FAT&amp;display_string=Audit&amp;VAR:KEY=HQZYFWFANA&amp;VAR:QUERY=RkZfRU5UUlBSX1ZBTF9EQUlMWSg0MTE1MCwsLCwsJ0RJTCcp&amp;WINDOW=FIRST_POPUP&amp;HEIGHT=450&amp;WIDTH=","450&amp;START_MAXIMIZED=FALSE&amp;VAR:CALENDAR=US&amp;VAR:SYMBOL=MKTG&amp;VAR:INDEX=0"}</definedName>
    <definedName name="_116__FDSAUDITLINK__" hidden="1">{"fdsup://directions/FAT Viewer?action=UPDATE&amp;creator=factset&amp;DYN_ARGS=TRUE&amp;DOC_NAME=FAT:FQL_AUDITING_CLIENT_TEMPLATE.FAT&amp;display_string=Audit&amp;VAR:KEY=RGDYNANIJW&amp;VAR:QUERY=RkZfRU5UUlBSX1ZBTF9EQUlMWSg0MTE1MCwsLCwsJ0RJTCcp&amp;WINDOW=FIRST_POPUP&amp;HEIGHT=450&amp;WIDTH=","450&amp;START_MAXIMIZED=FALSE&amp;VAR:CALENDAR=US&amp;VAR:SYMBOL=RP&amp;VAR:INDEX=0"}</definedName>
    <definedName name="_117__FDSAUDITLINK__" hidden="1">{"fdsup://directions/FAT Viewer?action=UPDATE&amp;creator=factset&amp;DYN_ARGS=TRUE&amp;DOC_NAME=FAT:FQL_AUDITING_CLIENT_TEMPLATE.FAT&amp;display_string=Audit&amp;VAR:KEY=JIHOZSZAZM&amp;VAR:QUERY=RkZfRU5UUlBSX1ZBTF9EQUlMWSg0MTE1MCwsLCwsJ0RJTCcp&amp;WINDOW=FIRST_POPUP&amp;HEIGHT=450&amp;WIDTH=","450&amp;START_MAXIMIZED=FALSE&amp;VAR:CALENDAR=US&amp;VAR:SYMBOL=CTCT&amp;VAR:INDEX=0"}</definedName>
    <definedName name="_118__FDSAUDITLINK__" hidden="1">{"fdsup://directions/FAT Viewer?action=UPDATE&amp;creator=factset&amp;DYN_ARGS=TRUE&amp;DOC_NAME=FAT:FQL_AUDITING_CLIENT_TEMPLATE.FAT&amp;display_string=Audit&amp;VAR:KEY=HOVEXGNEXC&amp;VAR:QUERY=RkZfRU5UUlBSX1ZBTF9EQUlMWSg0MTE3OSwsLCwsJ0RJTCcp&amp;WINDOW=FIRST_POPUP&amp;HEIGHT=450&amp;WIDTH=","450&amp;START_MAXIMIZED=FALSE&amp;VAR:CALENDAR=US&amp;VAR:SYMBOL=FIRE&amp;VAR:INDEX=0"}</definedName>
    <definedName name="_119__FDSAUDITLINK__" hidden="1">{"fdsup://directions/FAT Viewer?action=UPDATE&amp;creator=factset&amp;DYN_ARGS=TRUE&amp;DOC_NAME=FAT:FQL_AUDITING_CLIENT_TEMPLATE.FAT&amp;display_string=Audit&amp;VAR:KEY=TEVAXCBUTQ&amp;VAR:QUERY=RkZfRU5UUlBSX1ZBTF9EQUlMWSg0MTE3OSwsLCwsJ0RJTCcp&amp;WINDOW=FIRST_POPUP&amp;HEIGHT=450&amp;WIDTH=","450&amp;START_MAXIMIZED=FALSE&amp;VAR:CALENDAR=US&amp;VAR:SYMBOL=QLIK&amp;VAR:INDEX=0"}</definedName>
    <definedName name="_12__FDSAUDITLINK__" hidden="1">{"fdsup://directions/FAT Viewer?action=UPDATE&amp;creator=factset&amp;DYN_ARGS=TRUE&amp;DOC_NAME=FAT:FQL_AUDITING_CLIENT_TEMPLATE.FAT&amp;display_string=Audit&amp;VAR:KEY=UTYBGPKXAV&amp;VAR:QUERY=RkZfRlJFRV9QU19DRihDQUwsLTFBWSk=&amp;WINDOW=FIRST_POPUP&amp;HEIGHT=450&amp;WIDTH=450&amp;START_MAXIMI","ZED=FALSE&amp;VAR:CALENDAR=US&amp;VAR:SYMBOL=SWI&amp;VAR:INDEX=0"}</definedName>
    <definedName name="_120__FDSAUDITLINK__" hidden="1">{"fdsup://directions/FAT Viewer?action=UPDATE&amp;creator=factset&amp;DYN_ARGS=TRUE&amp;DOC_NAME=FAT:FQL_AUDITING_CLIENT_TEMPLATE.FAT&amp;display_string=Audit&amp;VAR:KEY=NAHWLAJYJI&amp;VAR:QUERY=RkZfRU5UUlBSX1ZBTF9EQUlMWSg0MTE3OSwsLCwsJ0RJTCcp&amp;WINDOW=FIRST_POPUP&amp;HEIGHT=450&amp;WIDTH=","450&amp;START_MAXIMIZED=FALSE&amp;VAR:CALENDAR=US&amp;VAR:SYMBOL=INFA&amp;VAR:INDEX=0"}</definedName>
    <definedName name="_121__FDSAUDITLINK__" hidden="1">{"fdsup://directions/FAT Viewer?action=UPDATE&amp;creator=factset&amp;DYN_ARGS=TRUE&amp;DOC_NAME=FAT:FQL_AUDITING_CLIENT_TEMPLATE.FAT&amp;display_string=Audit&amp;VAR:KEY=ZOVUZKBUFS&amp;VAR:QUERY=RkZfRU5UUlBSX1ZBTF9EQUlMWSg0MTE3OSwsLCwsJ0RJTCcp&amp;WINDOW=FIRST_POPUP&amp;HEIGHT=450&amp;WIDTH=","450&amp;START_MAXIMIZED=FALSE&amp;VAR:CALENDAR=US&amp;VAR:SYMBOL=FTNT&amp;VAR:INDEX=0"}</definedName>
    <definedName name="_122__FDSAUDITLINK__" hidden="1">{"fdsup://directions/FAT Viewer?action=UPDATE&amp;creator=factset&amp;DYN_ARGS=TRUE&amp;DOC_NAME=FAT:FQL_AUDITING_CLIENT_TEMPLATE.FAT&amp;display_string=Audit&amp;VAR:KEY=YHKPKXALEL&amp;VAR:QUERY=RkZfRU5UUlBSX1ZBTF9EQUlMWSg0MTE3OSwsLCwsJ0RJTCcp&amp;WINDOW=FIRST_POPUP&amp;HEIGHT=450&amp;WIDTH=","450&amp;START_MAXIMIZED=FALSE&amp;VAR:CALENDAR=US&amp;VAR:SYMBOL=MKTG&amp;VAR:INDEX=0"}</definedName>
    <definedName name="_123__FDSAUDITLINK__" hidden="1">{"fdsup://directions/FAT Viewer?action=UPDATE&amp;creator=factset&amp;DYN_ARGS=TRUE&amp;DOC_NAME=FAT:FQL_AUDITING_CLIENT_TEMPLATE.FAT&amp;display_string=Audit&amp;VAR:KEY=AJCTOJUXCH&amp;VAR:QUERY=RkZfRU5UUlBSX1ZBTF9EQUlMWSg0MTE3OSwsLCwsJ0RJTCcp&amp;WINDOW=FIRST_POPUP&amp;HEIGHT=450&amp;WIDTH=","450&amp;START_MAXIMIZED=FALSE&amp;VAR:CALENDAR=US&amp;VAR:SYMBOL=RP&amp;VAR:INDEX=0"}</definedName>
    <definedName name="_123Grpah" hidden="1">#REF!</definedName>
    <definedName name="_124__FDSAUDITLINK__" hidden="1">{"fdsup://directions/FAT Viewer?action=UPDATE&amp;creator=factset&amp;DYN_ARGS=TRUE&amp;DOC_NAME=FAT:FQL_AUDITING_CLIENT_TEMPLATE.FAT&amp;display_string=Audit&amp;VAR:KEY=YHCVYVCDSJ&amp;VAR:QUERY=RkZfRU5UUlBSX1ZBTF9EQUlMWSg0MTE3OSwsLCwsJ0RJTCcp&amp;WINDOW=FIRST_POPUP&amp;HEIGHT=450&amp;WIDTH=","450&amp;START_MAXIMIZED=FALSE&amp;VAR:CALENDAR=US&amp;VAR:SYMBOL=CTCT&amp;VAR:INDEX=0"}</definedName>
    <definedName name="_125__FDSAUDITLINK__" hidden="1">{"fdsup://directions/FAT Viewer?action=UPDATE&amp;creator=factset&amp;DYN_ARGS=TRUE&amp;DOC_NAME=FAT:FQL_AUDITING_CLIENT_TEMPLATE.FAT&amp;display_string=Audit&amp;VAR:KEY=QJQHWRSTST&amp;VAR:QUERY=RkZfRU5UUlBSX1ZBTF9EQUlMWSg0MTE2NiwsLCwsJ0RJTCcp&amp;WINDOW=FIRST_POPUP&amp;HEIGHT=450&amp;WIDTH=","450&amp;START_MAXIMIZED=FALSE&amp;VAR:CALENDAR=US&amp;VAR:SYMBOL=TDC&amp;VAR:INDEX=0"}</definedName>
    <definedName name="_126__FDSAUDITLINK__" hidden="1">{"fdsup://directions/FAT Viewer?action=UPDATE&amp;creator=factset&amp;DYN_ARGS=TRUE&amp;DOC_NAME=FAT:FQL_AUDITING_CLIENT_TEMPLATE.FAT&amp;display_string=Audit&amp;VAR:KEY=NCNQTUBCFE&amp;VAR:QUERY=RkZfRU5UUlBSX1ZBTF9EQUlMWSg0MTE4MywsLCwsJ0RJTCcp&amp;WINDOW=FIRST_POPUP&amp;HEIGHT=450&amp;WIDTH=","450&amp;START_MAXIMIZED=FALSE&amp;VAR:CALENDAR=US&amp;VAR:SYMBOL=TDC&amp;VAR:INDEX=0"}</definedName>
    <definedName name="_13__FDSAUDITLINK__" hidden="1">{"fdsup://directions/FAT Viewer?action=UPDATE&amp;creator=factset&amp;DYN_ARGS=TRUE&amp;DOC_NAME=FAT:FQL_AUDITING_CLIENT_TEMPLATE.FAT&amp;display_string=Audit&amp;VAR:KEY=YZAZOHSNGH&amp;VAR:QUERY=RkZfRU5UUlBSX1ZBTF9EQUlMWSg0MDk2MiwsLCwsJ0RJTCcp&amp;WINDOW=FIRST_POPUP&amp;HEIGHT=450&amp;WIDTH=","450&amp;START_MAXIMIZED=FALSE&amp;VAR:CALENDAR=US&amp;VAR:SYMBOL=CVLT&amp;VAR:INDEX=0"}</definedName>
    <definedName name="_14__FDSAUDITLINK__" hidden="1">{"fdsup://directions/FAT Viewer?action=UPDATE&amp;creator=factset&amp;DYN_ARGS=TRUE&amp;DOC_NAME=FAT:FQL_AUDITING_CLIENT_TEMPLATE.FAT&amp;display_string=Audit&amp;VAR:KEY=CPCRGJOXSD&amp;VAR:QUERY=RkZfRU5UUlBSX1ZBTF9EQUlMWSg0MDk2MiwsLCwsJ0RJTCcp&amp;WINDOW=FIRST_POPUP&amp;HEIGHT=450&amp;WIDTH=","450&amp;START_MAXIMIZED=FALSE&amp;VAR:CALENDAR=US&amp;VAR:SYMBOL=FTNT&amp;VAR:INDEX=0"}</definedName>
    <definedName name="_143__FDSAUDITLINK__" hidden="1">{"fdsup://directions/FAT Viewer?action=UPDATE&amp;creator=factset&amp;DYN_ARGS=TRUE&amp;DOC_NAME=FAT:FQL_AUDITING_CLIENT_TEMPLATE.FAT&amp;display_string=Audit&amp;VAR:KEY=XSLSLWBOJC&amp;VAR:QUERY=RkZfRU5UUlBSX1ZBTF9EQUlMWSg0MTExMywsLCwsJ0RJTCcp&amp;WINDOW=FIRST_POPUP&amp;HEIGHT=450&amp;WIDTH=","450&amp;START_MAXIMIZED=FALSE&amp;VAR:CALENDAR=US&amp;VAR:SYMBOL=RP&amp;VAR:INDEX=0"}</definedName>
    <definedName name="_144__FDSAUDITLINK__" hidden="1">{"fdsup://directions/FAT Viewer?action=UPDATE&amp;creator=factset&amp;DYN_ARGS=TRUE&amp;DOC_NAME=FAT:FQL_AUDITING_CLIENT_TEMPLATE.FAT&amp;display_string=Audit&amp;VAR:KEY=VYFMNSZYFO&amp;VAR:QUERY=RkZfRU5UUlBSX1ZBTF9EQUlMWSg0MTExMywsLCwsJ0RJTCcp&amp;WINDOW=FIRST_POPUP&amp;HEIGHT=450&amp;WIDTH=","450&amp;START_MAXIMIZED=FALSE&amp;VAR:CALENDAR=US&amp;VAR:SYMBOL=CTCT&amp;VAR:INDEX=0"}</definedName>
    <definedName name="_145__FDSAUDITLINK__" hidden="1">{"fdsup://directions/FAT Viewer?action=UPDATE&amp;creator=factset&amp;DYN_ARGS=TRUE&amp;DOC_NAME=FAT:FQL_AUDITING_CLIENT_TEMPLATE.FAT&amp;display_string=Audit&amp;VAR:KEY=PCXEZALKHE&amp;VAR:QUERY=RkZfRU5UUlBSX1ZBTF9EQUlMWSg0MTA3NSwsLCwsJ0RJTCcp&amp;WINDOW=FIRST_POPUP&amp;HEIGHT=450&amp;WIDTH=","450&amp;START_MAXIMIZED=FALSE&amp;VAR:CALENDAR=US&amp;VAR:SYMBOL=TIBX&amp;VAR:INDEX=0"}</definedName>
    <definedName name="_146__FDSAUDITLINK__" hidden="1">{"fdsup://directions/FAT Viewer?action=UPDATE&amp;creator=factset&amp;DYN_ARGS=TRUE&amp;DOC_NAME=FAT:FQL_AUDITING_CLIENT_TEMPLATE.FAT&amp;display_string=Audit&amp;VAR:KEY=PAHAVQNANC&amp;VAR:QUERY=RkZfRU5UUlBSX1ZBTF9EQUlMWSg0MTA3NSwsLCwsJ0RJTCcp&amp;WINDOW=FIRST_POPUP&amp;HEIGHT=450&amp;WIDTH=","450&amp;START_MAXIMIZED=FALSE&amp;VAR:CALENDAR=US&amp;VAR:SYMBOL=SWI&amp;VAR:INDEX=0"}</definedName>
    <definedName name="_147__FDSAUDITLINK__" hidden="1">{"fdsup://directions/FAT Viewer?action=UPDATE&amp;creator=factset&amp;DYN_ARGS=TRUE&amp;DOC_NAME=FAT:FQL_AUDITING_CLIENT_TEMPLATE.FAT&amp;display_string=Audit&amp;VAR:KEY=LQFKLKNGVO&amp;VAR:QUERY=RkZfRU5UUlBSX1ZBTF9EQUlMWSg0MTA3NSwsLCwsJ0RJTCcp&amp;WINDOW=FIRST_POPUP&amp;HEIGHT=450&amp;WIDTH=","450&amp;START_MAXIMIZED=FALSE&amp;VAR:CALENDAR=US&amp;VAR:SYMBOL=FIRE&amp;VAR:INDEX=0"}</definedName>
    <definedName name="_148__FDSAUDITLINK__" hidden="1">{"fdsup://directions/FAT Viewer?action=UPDATE&amp;creator=factset&amp;DYN_ARGS=TRUE&amp;DOC_NAME=FAT:FQL_AUDITING_CLIENT_TEMPLATE.FAT&amp;display_string=Audit&amp;VAR:KEY=PWNQXEVCPC&amp;VAR:QUERY=RkZfRU5UUlBSX1ZBTF9EQUlMWSg0MTA3NSwsLCwsJ0RJTCcp&amp;WINDOW=FIRST_POPUP&amp;HEIGHT=450&amp;WIDTH=","450&amp;START_MAXIMIZED=FALSE&amp;VAR:CALENDAR=US&amp;VAR:SYMBOL=QLIK&amp;VAR:INDEX=0"}</definedName>
    <definedName name="_149__FDSAUDITLINK__" hidden="1">{"fdsup://directions/FAT Viewer?action=UPDATE&amp;creator=factset&amp;DYN_ARGS=TRUE&amp;DOC_NAME=FAT:FQL_AUDITING_CLIENT_TEMPLATE.FAT&amp;display_string=Audit&amp;VAR:KEY=XAXMTAVIHA&amp;VAR:QUERY=RkZfRU5UUlBSX1ZBTF9EQUlMWSg0MTA3NSwsLCwsJ0RJTCcp&amp;WINDOW=FIRST_POPUP&amp;HEIGHT=450&amp;WIDTH=","450&amp;START_MAXIMIZED=FALSE&amp;VAR:CALENDAR=US&amp;VAR:SYMBOL=INFA&amp;VAR:INDEX=0"}</definedName>
    <definedName name="_15__FDSAUDITLINK__" hidden="1">{"fdsup://directions/FAT Viewer?action=UPDATE&amp;creator=factset&amp;DYN_ARGS=TRUE&amp;DOC_NAME=FAT:FQL_AUDITING_CLIENT_TEMPLATE.FAT&amp;display_string=Audit&amp;VAR:KEY=EPKPEBABGZ&amp;VAR:QUERY=RkZfRU5UUlBSX1ZBTF9EQUlMWSg0MDk2MiwsLCwsJ0RJTCcp&amp;WINDOW=FIRST_POPUP&amp;HEIGHT=450&amp;WIDTH=","450&amp;START_MAXIMIZED=FALSE&amp;VAR:CALENDAR=US&amp;VAR:SYMBOL=INFA&amp;VAR:INDEX=0"}</definedName>
    <definedName name="_150__FDSAUDITLINK__" hidden="1">{"fdsup://directions/FAT Viewer?action=UPDATE&amp;creator=factset&amp;DYN_ARGS=TRUE&amp;DOC_NAME=FAT:FQL_AUDITING_CLIENT_TEMPLATE.FAT&amp;display_string=Audit&amp;VAR:KEY=LCLYNQJUTY&amp;VAR:QUERY=RkZfRU5UUlBSX1ZBTF9EQUlMWSg0MTA3NSwsLCwsJ0RJTCcp&amp;WINDOW=FIRST_POPUP&amp;HEIGHT=450&amp;WIDTH=","450&amp;START_MAXIMIZED=FALSE&amp;VAR:CALENDAR=US&amp;VAR:SYMBOL=FTNT&amp;VAR:INDEX=0"}</definedName>
    <definedName name="_151__FDSAUDITLINK__" hidden="1">{"fdsup://directions/FAT Viewer?action=UPDATE&amp;creator=factset&amp;DYN_ARGS=TRUE&amp;DOC_NAME=FAT:FQL_AUDITING_CLIENT_TEMPLATE.FAT&amp;display_string=Audit&amp;VAR:KEY=TMTUNIXODY&amp;VAR:QUERY=RkZfRU5UUlBSX1ZBTF9EQUlMWSg0MTExMywsLCwsJ0RJTCcp&amp;WINDOW=FIRST_POPUP&amp;HEIGHT=450&amp;WIDTH=","450&amp;START_MAXIMIZED=FALSE&amp;VAR:CALENDAR=US&amp;VAR:SYMBOL=TIBX&amp;VAR:INDEX=0"}</definedName>
    <definedName name="_152__FDSAUDITLINK__" hidden="1">{"fdsup://directions/FAT Viewer?action=UPDATE&amp;creator=factset&amp;DYN_ARGS=TRUE&amp;DOC_NAME=FAT:FQL_AUDITING_CLIENT_TEMPLATE.FAT&amp;display_string=Audit&amp;VAR:KEY=LWTYHKVAZM&amp;VAR:QUERY=RkZfRU5UUlBSX1ZBTF9EQUlMWSg0MTExMywsLCwsJ0RJTCcp&amp;WINDOW=FIRST_POPUP&amp;HEIGHT=450&amp;WIDTH=","450&amp;START_MAXIMIZED=FALSE&amp;VAR:CALENDAR=US&amp;VAR:SYMBOL=FIRE&amp;VAR:INDEX=0"}</definedName>
    <definedName name="_153__FDSAUDITLINK__" hidden="1">{"fdsup://directions/FAT Viewer?action=UPDATE&amp;creator=factset&amp;DYN_ARGS=TRUE&amp;DOC_NAME=FAT:FQL_AUDITING_CLIENT_TEMPLATE.FAT&amp;display_string=Audit&amp;VAR:KEY=XCRWLUHIPO&amp;VAR:QUERY=RkZfRU5UUlBSX1ZBTF9EQUlMWSg0MTExMywsLCwsJ0RJTCcp&amp;WINDOW=FIRST_POPUP&amp;HEIGHT=450&amp;WIDTH=","450&amp;START_MAXIMIZED=FALSE&amp;VAR:CALENDAR=US&amp;VAR:SYMBOL=QLIK&amp;VAR:INDEX=0"}</definedName>
    <definedName name="_154__FDSAUDITLINK__" hidden="1">{"fdsup://directions/FAT Viewer?action=UPDATE&amp;creator=factset&amp;DYN_ARGS=TRUE&amp;DOC_NAME=FAT:FQL_AUDITING_CLIENT_TEMPLATE.FAT&amp;display_string=Audit&amp;VAR:KEY=ZIHSJUTGJO&amp;VAR:QUERY=RkZfRU5UUlBSX1ZBTF9EQUlMWSg0MTExMywsLCwsJ0RJTCcp&amp;WINDOW=FIRST_POPUP&amp;HEIGHT=450&amp;WIDTH=","450&amp;START_MAXIMIZED=FALSE&amp;VAR:CALENDAR=US&amp;VAR:SYMBOL=INFA&amp;VAR:INDEX=0"}</definedName>
    <definedName name="_155__FDSAUDITLINK__" hidden="1">{"fdsup://directions/FAT Viewer?action=UPDATE&amp;creator=factset&amp;DYN_ARGS=TRUE&amp;DOC_NAME=FAT:FQL_AUDITING_CLIENT_TEMPLATE.FAT&amp;display_string=Audit&amp;VAR:KEY=JGFCHWPIVO&amp;VAR:QUERY=RkZfRU5UUlBSX1ZBTF9EQUlMWSg0MTExMywsLCwsJ0RJTCcp&amp;WINDOW=FIRST_POPUP&amp;HEIGHT=450&amp;WIDTH=","450&amp;START_MAXIMIZED=FALSE&amp;VAR:CALENDAR=US&amp;VAR:SYMBOL=FTNT&amp;VAR:INDEX=0"}</definedName>
    <definedName name="_156__FDSAUDITLINK__" hidden="1">{"fdsup://directions/FAT Viewer?action=UPDATE&amp;creator=factset&amp;DYN_ARGS=TRUE&amp;DOC_NAME=FAT:FQL_AUDITING_CLIENT_TEMPLATE.FAT&amp;display_string=Audit&amp;VAR:KEY=BKZOLMPKNS&amp;VAR:QUERY=RkZfRU5UUlBSX1ZBTF9EQUlMWSg0MTA3NSwsLCwsJ0RJTCcp&amp;WINDOW=FIRST_POPUP&amp;HEIGHT=450&amp;WIDTH=","450&amp;START_MAXIMIZED=FALSE&amp;VAR:CALENDAR=US&amp;VAR:SYMBOL=CVLT&amp;VAR:INDEX=0"}</definedName>
    <definedName name="_16__FDSAUDITLINK__" hidden="1">{"fdsup://directions/FAT Viewer?action=UPDATE&amp;creator=factset&amp;DYN_ARGS=TRUE&amp;DOC_NAME=FAT:FQL_AUDITING_CLIENT_TEMPLATE.FAT&amp;display_string=Audit&amp;VAR:KEY=AZYZAZOHSN&amp;VAR:QUERY=RkZfRU5UUlBSX1ZBTF9EQUlMWSg0MDk1MiwsLCwsJ0RJTCcp&amp;WINDOW=FIRST_POPUP&amp;HEIGHT=450&amp;WIDTH=","450&amp;START_MAXIMIZED=FALSE&amp;VAR:CALENDAR=US&amp;VAR:SYMBOL=IMPV&amp;VAR:INDEX=0"}</definedName>
    <definedName name="_17__FDSAUDITLINK__" hidden="1">{"fdsup://directions/FAT Viewer?action=UPDATE&amp;creator=factset&amp;DYN_ARGS=TRUE&amp;DOC_NAME=FAT:FQL_AUDITING_CLIENT_TEMPLATE.FAT&amp;display_string=Audit&amp;VAR:KEY=EVUNSDYHUL&amp;VAR:QUERY=RkZfRU5UUlBSX1ZBTF9EQUlMWSg0MDk0MCwsLCwsJ0RJTCcp&amp;WINDOW=FIRST_POPUP&amp;HEIGHT=450&amp;WIDTH=","450&amp;START_MAXIMIZED=FALSE&amp;VAR:CALENDAR=US&amp;VAR:SYMBOL=SWI&amp;VAR:INDEX=0"}</definedName>
    <definedName name="_18__FDSAUDITLINK__" hidden="1">{"fdsup://directions/FAT Viewer?action=UPDATE&amp;creator=factset&amp;DYN_ARGS=TRUE&amp;DOC_NAME=FAT:FQL_AUDITING_CLIENT_TEMPLATE.FAT&amp;display_string=Audit&amp;VAR:KEY=OBIVMNGPEH&amp;VAR:QUERY=RkZfU0FMRVMoQ0FMLC0xQVkp&amp;WINDOW=FIRST_POPUP&amp;HEIGHT=450&amp;WIDTH=450&amp;START_MAXIMIZED=FALS","E&amp;VAR:CALENDAR=US&amp;VAR:SYMBOL=FTNT&amp;VAR:INDEX=0"}</definedName>
    <definedName name="_19__FDSAUDITLINK__" hidden="1">{"fdsup://directions/FAT Viewer?action=UPDATE&amp;creator=factset&amp;DYN_ARGS=TRUE&amp;DOC_NAME=FAT:FQL_AUDITING_CLIENT_TEMPLATE.FAT&amp;display_string=Audit&amp;VAR:KEY=SVMLSVYHGN&amp;VAR:QUERY=RkZfU0FMRVMoQ0FMLC0xQVkp&amp;WINDOW=FIRST_POPUP&amp;HEIGHT=450&amp;WIDTH=450&amp;START_MAXIMIZED=FALS","E&amp;VAR:CALENDAR=US&amp;VAR:SYMBOL=CVLT&amp;VAR:INDEX=0"}</definedName>
    <definedName name="_2__123Graph_AChart_2" hidden="1">#REF!</definedName>
    <definedName name="_2__FDSAUDITLINK__" hidden="1">{"fdsup://directions/FAT Viewer?action=UPDATE&amp;creator=factset&amp;DYN_ARGS=TRUE&amp;DOC_NAME=FAT:FQL_AUDITING_CLIENT_TEMPLATE.FAT&amp;display_string=Audit&amp;VAR:KEY=EDMTEDATEF&amp;VAR:QUERY=Q1NGX05FVF9ERUJUKFFUUl9SLDAp&amp;WINDOW=FIRST_POPUP&amp;HEIGHT=450&amp;WIDTH=450&amp;START_MAXIMIZED=","FALSE&amp;VAR:CALENDAR=US&amp;VAR:SYMBOL=B01VZN&amp;VAR:INDEX=0"}</definedName>
    <definedName name="_20__FDSAUDITLINK__" hidden="1">{"fdsup://directions/FAT Viewer?action=UPDATE&amp;creator=factset&amp;DYN_ARGS=TRUE&amp;DOC_NAME=FAT:FQL_AUDITING_CLIENT_TEMPLATE.FAT&amp;display_string=Audit&amp;VAR:KEY=QHQDUZKFCH&amp;VAR:QUERY=RkZfRlJFRV9QU19DRihDQUwsLTFBWSk=&amp;WINDOW=FIRST_POPUP&amp;HEIGHT=450&amp;WIDTH=450&amp;START_MAXIMI","ZED=FALSE&amp;VAR:CALENDAR=US&amp;VAR:SYMBOL=QLIK&amp;VAR:INDEX=0"}</definedName>
    <definedName name="_21__FDSAUDITLINK__" hidden="1">{"fdsup://directions/FAT Viewer?action=UPDATE&amp;creator=factset&amp;DYN_ARGS=TRUE&amp;DOC_NAME=FAT:FQL_AUDITING_CLIENT_TEMPLATE.FAT&amp;display_string=Audit&amp;VAR:KEY=YRITKBWHOH&amp;VAR:QUERY=RkZfRlJFRV9QU19DRihDQUwsLTFBWSk=&amp;WINDOW=FIRST_POPUP&amp;HEIGHT=450&amp;WIDTH=450&amp;START_MAXIMI","ZED=FALSE&amp;VAR:CALENDAR=US&amp;VAR:SYMBOL=TMICY&amp;VAR:INDEX=0"}</definedName>
    <definedName name="_22__FDSAUDITLINK__" hidden="1">{"fdsup://directions/FAT Viewer?action=UPDATE&amp;creator=factset&amp;DYN_ARGS=TRUE&amp;DOC_NAME=FAT:FQL_AUDITING_CLIENT_TEMPLATE.FAT&amp;display_string=Audit&amp;VAR:KEY=OPGHWHAPUT&amp;VAR:QUERY=RkZfRlJFRV9QU19DRihDQUwsLTFBWSk=&amp;WINDOW=FIRST_POPUP&amp;HEIGHT=450&amp;WIDTH=450&amp;START_MAXIMI","ZED=FALSE&amp;VAR:CALENDAR=US&amp;VAR:SYMBOL=IMPV&amp;VAR:INDEX=0"}</definedName>
    <definedName name="_23__FDSAUDITLINK__" hidden="1">{"fdsup://directions/FAT Viewer?action=UPDATE&amp;creator=factset&amp;DYN_ARGS=TRUE&amp;DOC_NAME=FAT:FQL_AUDITING_CLIENT_TEMPLATE.FAT&amp;display_string=Audit&amp;VAR:KEY=CLCRSDAPSX&amp;VAR:QUERY=RkZfRlJFRV9QU19DRihDQUwsLTFBWSk=&amp;WINDOW=FIRST_POPUP&amp;HEIGHT=450&amp;WIDTH=450&amp;START_MAXIMI","ZED=FALSE&amp;VAR:CALENDAR=US&amp;VAR:SYMBOL=INFA&amp;VAR:INDEX=0"}</definedName>
    <definedName name="_24__FDSAUDITLINK__" hidden="1">{"fdsup://directions/FAT Viewer?action=UPDATE&amp;creator=factset&amp;DYN_ARGS=TRUE&amp;DOC_NAME=FAT:FQL_AUDITING_CLIENT_TEMPLATE.FAT&amp;display_string=Audit&amp;VAR:KEY=YLCVWFIZGL&amp;VAR:QUERY=RkZfRlJFRV9QU19DRihDQUwsLTFBWSk=&amp;WINDOW=FIRST_POPUP&amp;HEIGHT=450&amp;WIDTH=450&amp;START_MAXIMI","ZED=FALSE&amp;VAR:CALENDAR=US&amp;VAR:SYMBOL=FTNT&amp;VAR:INDEX=0"}</definedName>
    <definedName name="_25__FDSAUDITLINK__" hidden="1">{"fdsup://directions/FAT Viewer?action=UPDATE&amp;creator=factset&amp;DYN_ARGS=TRUE&amp;DOC_NAME=FAT:FQL_AUDITING_CLIENT_TEMPLATE.FAT&amp;display_string=Audit&amp;VAR:KEY=ODUPWHYRQR&amp;VAR:QUERY=RkZfRU5UUlBSX1ZBTF9EQUlMWSg0MDk2MiwsLCwsJ0RJTCcp&amp;WINDOW=FIRST_POPUP&amp;HEIGHT=450&amp;WIDTH=","450&amp;START_MAXIMIZED=FALSE&amp;VAR:CALENDAR=US&amp;VAR:SYMBOL=SWI&amp;VAR:INDEX=0"}</definedName>
    <definedName name="_26__FDSAUDITLINK__" hidden="1">{"fdsup://directions/FAT Viewer?action=UPDATE&amp;creator=factset&amp;DYN_ARGS=TRUE&amp;DOC_NAME=FAT:FQL_AUDITING_CLIENT_TEMPLATE.FAT&amp;display_string=Audit&amp;VAR:KEY=UFCHOVANIL&amp;VAR:QUERY=RkZfRU5UUlBSX1ZBTF9EQUlMWSg0MDk2MiwsLCwsJ0RJTCcp&amp;WINDOW=FIRST_POPUP&amp;HEIGHT=450&amp;WIDTH=","450&amp;START_MAXIMIZED=FALSE&amp;VAR:CALENDAR=US&amp;VAR:SYMBOL=FIRE&amp;VAR:INDEX=0"}</definedName>
    <definedName name="_27__FDSAUDITLINK__" hidden="1">{"fdsup://directions/FAT Viewer?action=UPDATE&amp;creator=factset&amp;DYN_ARGS=TRUE&amp;DOC_NAME=FAT:FQL_AUDITING_CLIENT_TEMPLATE.FAT&amp;display_string=Audit&amp;VAR:KEY=IRGRQDQTWB&amp;VAR:QUERY=RkZfRlJFRV9QU19DRihDQUwsLTFBWSk=&amp;WINDOW=FIRST_POPUP&amp;HEIGHT=450&amp;WIDTH=450&amp;START_MAXIMI","ZED=FALSE&amp;VAR:CALENDAR=US&amp;VAR:SYMBOL=CVLT&amp;VAR:INDEX=0"}</definedName>
    <definedName name="_28__FDSAUDITLINK__" hidden="1">{"fdsup://directions/FAT Viewer?action=UPDATE&amp;creator=factset&amp;DYN_ARGS=TRUE&amp;DOC_NAME=FAT:FQL_AUDITING_CLIENT_TEMPLATE.FAT&amp;display_string=Audit&amp;VAR:KEY=ZKFETWBYZU&amp;VAR:QUERY=RkZfRlJFRV9QU19DRihDQUwsLTFBWSk=&amp;WINDOW=FIRST_POPUP&amp;HEIGHT=450&amp;WIDTH=450&amp;START_MAXIMI","ZED=FALSE&amp;VAR:CALENDAR=US&amp;VAR:SYMBOL=TIBX&amp;VAR:INDEX=0"}</definedName>
    <definedName name="_29__FDSAUDITLINK__" hidden="1">{"fdsup://directions/FAT Viewer?action=UPDATE&amp;creator=factset&amp;DYN_ARGS=TRUE&amp;DOC_NAME=FAT:FQL_AUDITING_CLIENT_TEMPLATE.FAT&amp;display_string=Audit&amp;VAR:KEY=ALIHQZUJEF&amp;VAR:QUERY=RkZfU0FMRVMoQ0FMLC0xQVkp&amp;WINDOW=FIRST_POPUP&amp;HEIGHT=450&amp;WIDTH=450&amp;START_MAXIMIZED=FALS","E&amp;VAR:CALENDAR=US&amp;VAR:SYMBOL=FIRE&amp;VAR:INDEX=0"}</definedName>
    <definedName name="_3__123Graph_AChart_3" hidden="1">#REF!</definedName>
    <definedName name="_3__FDSAUDITLINK__" hidden="1">{"fdsup://directions/FAT Viewer?action=UPDATE&amp;creator=factset&amp;DYN_ARGS=TRUE&amp;DOC_NAME=FAT:FQL_AUDITING_CLIENT_TEMPLATE.FAT&amp;display_string=Audit&amp;VAR:KEY=YXCNYFMLYH&amp;VAR:QUERY=Q1NGX05FVF9ERUJUKFFUUl9SLDAp&amp;WINDOW=FIRST_POPUP&amp;HEIGHT=450&amp;WIDTH=450&amp;START_MAXIMIZED=","FALSE&amp;VAR:CALENDAR=US&amp;VAR:SYMBOL=647098&amp;VAR:INDEX=0"}</definedName>
    <definedName name="_30__FDSAUDITLINK__" hidden="1">{"fdsup://directions/FAT Viewer?action=UPDATE&amp;creator=factset&amp;DYN_ARGS=TRUE&amp;DOC_NAME=FAT:FQL_AUDITING_CLIENT_TEMPLATE.FAT&amp;display_string=Audit&amp;VAR:KEY=UVUJWNOHGF&amp;VAR:QUERY=RkZfRU5UUlBSX1ZBTF9EQUlMWSg0MDk2MiwsLCwsJ0RJTCcp&amp;WINDOW=FIRST_POPUP&amp;HEIGHT=450&amp;WIDTH=","450&amp;START_MAXIMIZED=FALSE&amp;VAR:CALENDAR=US&amp;VAR:SYMBOL=QLIK&amp;VAR:INDEX=0"}</definedName>
    <definedName name="_31__FDSAUDITLINK__" hidden="1">{"fdsup://directions/FAT Viewer?action=UPDATE&amp;creator=factset&amp;DYN_ARGS=TRUE&amp;DOC_NAME=FAT:FQL_AUDITING_CLIENT_TEMPLATE.FAT&amp;display_string=Audit&amp;VAR:KEY=KFOZQBKXWP&amp;VAR:QUERY=RkZfU0FMRVMoQ0FMLC0xQVkp&amp;WINDOW=FIRST_POPUP&amp;HEIGHT=450&amp;WIDTH=450&amp;START_MAXIMIZED=FALS","E&amp;VAR:CALENDAR=US&amp;VAR:SYMBOL=QLIK&amp;VAR:INDEX=0"}</definedName>
    <definedName name="_32__FDSAUDITLINK__" hidden="1">{"fdsup://directions/FAT Viewer?action=UPDATE&amp;creator=factset&amp;DYN_ARGS=TRUE&amp;DOC_NAME=FAT:FQL_AUDITING_CLIENT_TEMPLATE.FAT&amp;display_string=Audit&amp;VAR:KEY=BKNWDAHKJO&amp;VAR:QUERY=RkZfRU5UUlBSX1ZBTF9EQUlMWSg0MTAxMSwsLCwsJ0RJTCcp&amp;WINDOW=FIRST_POPUP&amp;HEIGHT=450&amp;WIDTH=","450&amp;START_MAXIMIZED=FALSE&amp;VAR:CALENDAR=US&amp;VAR:SYMBOL=TIBX&amp;VAR:INDEX=0"}</definedName>
    <definedName name="_33__FDSAUDITLINK__" hidden="1">{"fdsup://directions/FAT Viewer?action=UPDATE&amp;creator=factset&amp;DYN_ARGS=TRUE&amp;DOC_NAME=FAT:FQL_AUDITING_CLIENT_TEMPLATE.FAT&amp;display_string=Audit&amp;VAR:KEY=LUTYBGPKXA&amp;VAR:QUERY=RkZfRlJFRV9QU19DRihDQUwsLTFBWSk=&amp;WINDOW=FIRST_POPUP&amp;HEIGHT=450&amp;WIDTH=450&amp;START_MAXIMI","ZED=FALSE&amp;VAR:CALENDAR=US&amp;VAR:SYMBOL=SWI&amp;VAR:INDEX=0"}</definedName>
    <definedName name="_34__FDSAUDITLINK__" hidden="1">{"fdsup://directions/FAT Viewer?action=UPDATE&amp;creator=factset&amp;DYN_ARGS=TRUE&amp;DOC_NAME=FAT:FQL_AUDITING_CLIENT_TEMPLATE.FAT&amp;display_string=Audit&amp;VAR:KEY=HONQXAZSRM&amp;VAR:QUERY=RkZfRlJFRV9QU19DRihDQUwsLTFBWSk=&amp;WINDOW=FIRST_POPUP&amp;HEIGHT=450&amp;WIDTH=450&amp;START_MAXIMI","ZED=FALSE&amp;VAR:CALENDAR=US&amp;VAR:SYMBOL=FIRE&amp;VAR:INDEX=0"}</definedName>
    <definedName name="_35__FDSAUDITLINK__" hidden="1">{"fdsup://directions/FAT Viewer?action=UPDATE&amp;creator=factset&amp;DYN_ARGS=TRUE&amp;DOC_NAME=FAT:FQL_AUDITING_CLIENT_TEMPLATE.FAT&amp;display_string=Audit&amp;VAR:KEY=BUFQRWTMNE&amp;VAR:QUERY=RkZfRVBTKENBTCwtMUFZKQ==&amp;WINDOW=FIRST_POPUP&amp;HEIGHT=450&amp;WIDTH=450&amp;START_MAXIMIZED=FALS","E&amp;VAR:CALENDAR=US&amp;VAR:SYMBOL=CVLT&amp;VAR:INDEX=0"}</definedName>
    <definedName name="_36__FDSAUDITLINK__" hidden="1">{"fdsup://directions/FAT Viewer?action=UPDATE&amp;creator=factset&amp;DYN_ARGS=TRUE&amp;DOC_NAME=FAT:FQL_AUDITING_CLIENT_TEMPLATE.FAT&amp;display_string=Audit&amp;VAR:KEY=PWDAVAVWLC&amp;VAR:QUERY=RkZfU0FMRVMoQ0FMLC0xQVkp&amp;WINDOW=FIRST_POPUP&amp;HEIGHT=450&amp;WIDTH=450&amp;START_MAXIMIZED=FALS","E&amp;VAR:CALENDAR=US&amp;VAR:SYMBOL=SWI&amp;VAR:INDEX=0"}</definedName>
    <definedName name="_37__FDSAUDITLINK__" hidden="1">{"fdsup://directions/FAT Viewer?action=UPDATE&amp;creator=factset&amp;DYN_ARGS=TRUE&amp;DOC_NAME=FAT:FQL_AUDITING_CLIENT_TEMPLATE.FAT&amp;display_string=Audit&amp;VAR:KEY=NALIHQZUJE&amp;VAR:QUERY=RkZfU0FMRVMoQ0FMLC0xQVkp&amp;WINDOW=FIRST_POPUP&amp;HEIGHT=450&amp;WIDTH=450&amp;START_MAXIMIZED=FALS","E&amp;VAR:CALENDAR=US&amp;VAR:SYMBOL=FIRE&amp;VAR:INDEX=0"}</definedName>
    <definedName name="_38__FDSAUDITLINK__" hidden="1">{"fdsup://directions/FAT Viewer?action=UPDATE&amp;creator=factset&amp;DYN_ARGS=TRUE&amp;DOC_NAME=FAT:FQL_AUDITING_CLIENT_TEMPLATE.FAT&amp;display_string=Audit&amp;VAR:KEY=FKFOZQBKXW&amp;VAR:QUERY=RkZfU0FMRVMoQ0FMLC0xQVkp&amp;WINDOW=FIRST_POPUP&amp;HEIGHT=450&amp;WIDTH=450&amp;START_MAXIMIZED=FALS","E&amp;VAR:CALENDAR=US&amp;VAR:SYMBOL=QLIK&amp;VAR:INDEX=0"}</definedName>
    <definedName name="_39__FDSAUDITLINK__" hidden="1">{"fdsup://directions/FAT Viewer?action=UPDATE&amp;creator=factset&amp;DYN_ARGS=TRUE&amp;DOC_NAME=FAT:FQL_AUDITING_CLIENT_TEMPLATE.FAT&amp;display_string=Audit&amp;VAR:KEY=ZKRUNWHILQ&amp;VAR:QUERY=RkZfU0FMRVMoQ0FMLC0xQVkp&amp;WINDOW=FIRST_POPUP&amp;HEIGHT=450&amp;WIDTH=450&amp;START_MAXIMIZED=FALS","E&amp;VAR:CALENDAR=US&amp;VAR:SYMBOL=IMPV&amp;VAR:INDEX=0"}</definedName>
    <definedName name="_4__123Graph_AChart_4" hidden="1">#REF!</definedName>
    <definedName name="_4__FDSAUDITLINK__" hidden="1">{"fdsup://directions/FAT Viewer?action=UPDATE&amp;creator=factset&amp;DYN_ARGS=TRUE&amp;DOC_NAME=FAT:FQL_AUDITING_CLIENT_TEMPLATE.FAT&amp;display_string=Audit&amp;VAR:KEY=ETGFOJKTID&amp;VAR:QUERY=RkZfRU5UUlBSX1ZBTF9EQUlMWSg0MTE4NSwsLCwsJ0RJTCcp&amp;WINDOW=FIRST_POPUP&amp;HEIGHT=450&amp;WIDTH=","450&amp;START_MAXIMIZED=FALSE&amp;VAR:CALENDAR=US&amp;VAR:SYMBOL=INFA&amp;VAR:INDEX=0"}</definedName>
    <definedName name="_40__FDSAUDITLINK__" hidden="1">{"fdsup://directions/FAT Viewer?action=UPDATE&amp;creator=factset&amp;DYN_ARGS=TRUE&amp;DOC_NAME=FAT:FQL_AUDITING_CLIENT_TEMPLATE.FAT&amp;display_string=Audit&amp;VAR:KEY=PUPARQXUXG&amp;VAR:QUERY=RkZfU0FMRVMoQ0FMLC0xQVkp&amp;WINDOW=FIRST_POPUP&amp;HEIGHT=450&amp;WIDTH=450&amp;START_MAXIMIZED=FALS","E&amp;VAR:CALENDAR=US&amp;VAR:SYMBOL=INFA&amp;VAR:INDEX=0"}</definedName>
    <definedName name="_41__FDSAUDITLINK__" hidden="1">{"fdsup://directions/FAT Viewer?action=UPDATE&amp;creator=factset&amp;DYN_ARGS=TRUE&amp;DOC_NAME=FAT:FQL_AUDITING_CLIENT_TEMPLATE.FAT&amp;display_string=Audit&amp;VAR:KEY=NOBIVMNGPE&amp;VAR:QUERY=RkZfU0FMRVMoQ0FMLC0xQVkp&amp;WINDOW=FIRST_POPUP&amp;HEIGHT=450&amp;WIDTH=450&amp;START_MAXIMIZED=FALS","E&amp;VAR:CALENDAR=US&amp;VAR:SYMBOL=FTNT&amp;VAR:INDEX=0"}</definedName>
    <definedName name="_42__FDSAUDITLINK__" hidden="1">{"fdsup://directions/FAT Viewer?action=UPDATE&amp;creator=factset&amp;DYN_ARGS=TRUE&amp;DOC_NAME=FAT:FQL_AUDITING_CLIENT_TEMPLATE.FAT&amp;display_string=Audit&amp;VAR:KEY=HSVMLSVYHG&amp;VAR:QUERY=RkZfU0FMRVMoQ0FMLC0xQVkp&amp;WINDOW=FIRST_POPUP&amp;HEIGHT=450&amp;WIDTH=450&amp;START_MAXIMIZED=FALS","E&amp;VAR:CALENDAR=US&amp;VAR:SYMBOL=CVLT&amp;VAR:INDEX=0"}</definedName>
    <definedName name="_43__FDSAUDITLINK__" hidden="1">{"fdsup://directions/FAT Viewer?action=UPDATE&amp;creator=factset&amp;DYN_ARGS=TRUE&amp;DOC_NAME=FAT:FQL_AUDITING_CLIENT_TEMPLATE.FAT&amp;display_string=Audit&amp;VAR:KEY=PODUPWHYRQ&amp;VAR:QUERY=RkZfRU5UUlBSX1ZBTF9EQUlMWSg0MTAxMSwsLCwsJ0RJTCcp&amp;WINDOW=FIRST_POPUP&amp;HEIGHT=450&amp;WIDTH=","450&amp;START_MAXIMIZED=FALSE&amp;VAR:CALENDAR=US&amp;VAR:SYMBOL=SWI&amp;VAR:INDEX=0"}</definedName>
    <definedName name="_44__FDSAUDITLINK__" hidden="1">{"fdsup://directions/FAT Viewer?action=UPDATE&amp;creator=factset&amp;DYN_ARGS=TRUE&amp;DOC_NAME=FAT:FQL_AUDITING_CLIENT_TEMPLATE.FAT&amp;display_string=Audit&amp;VAR:KEY=HUFCHOVANI&amp;VAR:QUERY=RkZfRU5UUlBSX1ZBTF9EQUlMWSg0MTAxMSwsLCwsJ0RJTCcp&amp;WINDOW=FIRST_POPUP&amp;HEIGHT=450&amp;WIDTH=","450&amp;START_MAXIMIZED=FALSE&amp;VAR:CALENDAR=US&amp;VAR:SYMBOL=FIRE&amp;VAR:INDEX=0"}</definedName>
    <definedName name="_45__FDSAUDITLINK__" hidden="1">{"fdsup://directions/FAT Viewer?action=UPDATE&amp;creator=factset&amp;DYN_ARGS=TRUE&amp;DOC_NAME=FAT:FQL_AUDITING_CLIENT_TEMPLATE.FAT&amp;display_string=Audit&amp;VAR:KEY=DWBINOJIHC&amp;VAR:QUERY=RkZfRU5UUlBSX1ZBTF9EQUlMWSg0MTAxMSwsLCwsJ0RJTCcp&amp;WINDOW=FIRST_POPUP&amp;HEIGHT=450&amp;WIDTH=","450&amp;START_MAXIMIZED=FALSE&amp;VAR:CALENDAR=US&amp;VAR:SYMBOL=TMICY&amp;VAR:INDEX=0"}</definedName>
    <definedName name="_46__FDSAUDITLINK__" hidden="1">{"fdsup://directions/FAT Viewer?action=UPDATE&amp;creator=factset&amp;DYN_ARGS=TRUE&amp;DOC_NAME=FAT:FQL_AUDITING_CLIENT_TEMPLATE.FAT&amp;display_string=Audit&amp;VAR:KEY=XUVUJWNOHG&amp;VAR:QUERY=RkZfRU5UUlBSX1ZBTF9EQUlMWSg0MTAxMSwsLCwsJ0RJTCcp&amp;WINDOW=FIRST_POPUP&amp;HEIGHT=450&amp;WIDTH=","450&amp;START_MAXIMIZED=FALSE&amp;VAR:CALENDAR=US&amp;VAR:SYMBOL=QLIK&amp;VAR:INDEX=0"}</definedName>
    <definedName name="_47__FDSAUDITLINK__" hidden="1">{"fdsup://directions/FAT Viewer?action=UPDATE&amp;creator=factset&amp;DYN_ARGS=TRUE&amp;DOC_NAME=FAT:FQL_AUDITING_CLIENT_TEMPLATE.FAT&amp;display_string=Audit&amp;VAR:KEY=PYRITKBWHO&amp;VAR:QUERY=RkZfRlJFRV9QU19DRihDQUwsLTFBWSk=&amp;WINDOW=FIRST_POPUP&amp;HEIGHT=450&amp;WIDTH=450&amp;START_MAXIMI","ZED=FALSE&amp;VAR:CALENDAR=US&amp;VAR:SYMBOL=TMICY&amp;VAR:INDEX=0"}</definedName>
    <definedName name="_48__FDSAUDITLINK__" hidden="1">{"fdsup://directions/FAT Viewer?action=UPDATE&amp;creator=factset&amp;DYN_ARGS=TRUE&amp;DOC_NAME=FAT:FQL_AUDITING_CLIENT_TEMPLATE.FAT&amp;display_string=Audit&amp;VAR:KEY=NQHQDUZKFC&amp;VAR:QUERY=RkZfRlJFRV9QU19DRihDQUwsLTFBWSk=&amp;WINDOW=FIRST_POPUP&amp;HEIGHT=450&amp;WIDTH=450&amp;START_MAXIMI","ZED=FALSE&amp;VAR:CALENDAR=US&amp;VAR:SYMBOL=QLIK&amp;VAR:INDEX=0"}</definedName>
    <definedName name="_49__FDSAUDITLINK__" hidden="1">{"fdsup://directions/FAT Viewer?action=UPDATE&amp;creator=factset&amp;DYN_ARGS=TRUE&amp;DOC_NAME=FAT:FQL_AUDITING_CLIENT_TEMPLATE.FAT&amp;display_string=Audit&amp;VAR:KEY=LOPGHWHAPU&amp;VAR:QUERY=RkZfRlJFRV9QU19DRihDQUwsLTFBWSk=&amp;WINDOW=FIRST_POPUP&amp;HEIGHT=450&amp;WIDTH=450&amp;START_MAXIMI","ZED=FALSE&amp;VAR:CALENDAR=US&amp;VAR:SYMBOL=IMPV&amp;VAR:INDEX=0"}</definedName>
    <definedName name="_5__123Graph_BChart_3" hidden="1">#REF!</definedName>
    <definedName name="_5__FDSAUDITLINK__" hidden="1">{"fdsup://directions/FAT Viewer?action=UPDATE&amp;creator=factset&amp;DYN_ARGS=TRUE&amp;DOC_NAME=FAT:FQL_AUDITING_CLIENT_TEMPLATE.FAT&amp;display_string=Audit&amp;VAR:KEY=NWBCNSJSDC&amp;VAR:QUERY=RkZfRU5UUlBSX1ZBTF9EQUlMWSg0MTE4MywsLCwsJ0RJTCcp&amp;WINDOW=FIRST_POPUP&amp;HEIGHT=450&amp;WIDTH=","450&amp;START_MAXIMIZED=FALSE&amp;VAR:CALENDAR=US&amp;VAR:SYMBOL=QLIK&amp;VAR:INDEX=0"}</definedName>
    <definedName name="_50__FDSAUDITLINK__" hidden="1">{"fdsup://directions/FAT Viewer?action=UPDATE&amp;creator=factset&amp;DYN_ARGS=TRUE&amp;DOC_NAME=FAT:FQL_AUDITING_CLIENT_TEMPLATE.FAT&amp;display_string=Audit&amp;VAR:KEY=ZCLCRSDAPS&amp;VAR:QUERY=RkZfRlJFRV9QU19DRihDQUwsLTFBWSk=&amp;WINDOW=FIRST_POPUP&amp;HEIGHT=450&amp;WIDTH=450&amp;START_MAXIMI","ZED=FALSE&amp;VAR:CALENDAR=US&amp;VAR:SYMBOL=INFA&amp;VAR:INDEX=0"}</definedName>
    <definedName name="_51__FDSAUDITLINK__" hidden="1">{"fdsup://directions/FAT Viewer?action=UPDATE&amp;creator=factset&amp;DYN_ARGS=TRUE&amp;DOC_NAME=FAT:FQL_AUDITING_CLIENT_TEMPLATE.FAT&amp;display_string=Audit&amp;VAR:KEY=BYLCVWFIZG&amp;VAR:QUERY=RkZfRlJFRV9QU19DRihDQUwsLTFBWSk=&amp;WINDOW=FIRST_POPUP&amp;HEIGHT=450&amp;WIDTH=450&amp;START_MAXIMI","ZED=FALSE&amp;VAR:CALENDAR=US&amp;VAR:SYMBOL=FTNT&amp;VAR:INDEX=0"}</definedName>
    <definedName name="_52__FDSAUDITLINK__" hidden="1">{"fdsup://directions/FAT Viewer?action=UPDATE&amp;creator=factset&amp;DYN_ARGS=TRUE&amp;DOC_NAME=FAT:FQL_AUDITING_CLIENT_TEMPLATE.FAT&amp;display_string=Audit&amp;VAR:KEY=MZIRGRQDQT&amp;VAR:QUERY=RkZfRlJFRV9QU19DRihDQUwsLTFBWSk=&amp;WINDOW=FIRST_POPUP&amp;HEIGHT=450&amp;WIDTH=450&amp;START_MAXIMI","ZED=FALSE&amp;VAR:CALENDAR=US&amp;VAR:SYMBOL=CVLT&amp;VAR:INDEX=0"}</definedName>
    <definedName name="_53__FDSAUDITLINK__" hidden="1">{"fdsup://directions/FAT Viewer?action=UPDATE&amp;creator=factset&amp;DYN_ARGS=TRUE&amp;DOC_NAME=FAT:FQL_AUDITING_CLIENT_TEMPLATE.FAT&amp;display_string=Audit&amp;VAR:KEY=WNEPKPEBAB&amp;VAR:QUERY=RkZfRU5UUlBSX1ZBTF9EQUlMWSg0MTAxMSwsLCwsJ0RJTCcp&amp;WINDOW=FIRST_POPUP&amp;HEIGHT=450&amp;WIDTH=","450&amp;START_MAXIMIZED=FALSE&amp;VAR:CALENDAR=US&amp;VAR:SYMBOL=INFA&amp;VAR:INDEX=0"}</definedName>
    <definedName name="_54__FDSAUDITLINK__" hidden="1">{"fdsup://directions/FAT Viewer?action=UPDATE&amp;creator=factset&amp;DYN_ARGS=TRUE&amp;DOC_NAME=FAT:FQL_AUDITING_CLIENT_TEMPLATE.FAT&amp;display_string=Audit&amp;VAR:KEY=KDCPCRGJOX&amp;VAR:QUERY=RkZfRU5UUlBSX1ZBTF9EQUlMWSg0MTAxMSwsLCwsJ0RJTCcp&amp;WINDOW=FIRST_POPUP&amp;HEIGHT=450&amp;WIDTH=","450&amp;START_MAXIMIZED=FALSE&amp;VAR:CALENDAR=US&amp;VAR:SYMBOL=FTNT&amp;VAR:INDEX=0"}</definedName>
    <definedName name="_55__FDSAUDITLINK__" hidden="1">{"fdsup://directions/FAT Viewer?action=UPDATE&amp;creator=factset&amp;DYN_ARGS=TRUE&amp;DOC_NAME=FAT:FQL_AUDITING_CLIENT_TEMPLATE.FAT&amp;display_string=Audit&amp;VAR:KEY=AZYZAZOHSN&amp;VAR:QUERY=RkZfRU5UUlBSX1ZBTF9EQUlMWSg0MTAxMSwsLCwsJ0RJTCcp&amp;WINDOW=FIRST_POPUP&amp;HEIGHT=450&amp;WIDTH=","450&amp;START_MAXIMIZED=FALSE&amp;VAR:CALENDAR=US&amp;VAR:SYMBOL=CVLT&amp;VAR:INDEX=0"}</definedName>
    <definedName name="_56__FDSAUDITLINK__" hidden="1">{"fdsup://directions/FAT Viewer?action=UPDATE&amp;creator=factset&amp;DYN_ARGS=TRUE&amp;DOC_NAME=FAT:FQL_AUDITING_CLIENT_TEMPLATE.FAT&amp;display_string=Audit&amp;VAR:KEY=ZKHAJAZEZS&amp;VAR:QUERY=RkZfRlJFRV9QU19DRihDQUwsLTFBWSk=&amp;WINDOW=FIRST_POPUP&amp;HEIGHT=450&amp;WIDTH=450&amp;START_MAXIMI","ZED=FALSE&amp;VAR:CALENDAR=US&amp;VAR:SYMBOL=TIBX&amp;VAR:INDEX=0"}</definedName>
    <definedName name="_57__FDSAUDITLINK__" hidden="1">{"fdsup://directions/FAT Viewer?action=UPDATE&amp;creator=factset&amp;DYN_ARGS=TRUE&amp;DOC_NAME=FAT:FQL_AUDITING_CLIENT_TEMPLATE.FAT&amp;display_string=Audit&amp;VAR:KEY=HMHKPKJGBK&amp;VAR:QUERY=RkZfRlJFRV9QU19DRihDQUwsLTFBWSk=&amp;WINDOW=FIRST_POPUP&amp;HEIGHT=450&amp;WIDTH=450&amp;START_MAXIMI","ZED=FALSE&amp;VAR:CALENDAR=US&amp;VAR:SYMBOL=SWI&amp;VAR:INDEX=0"}</definedName>
    <definedName name="_58__FDSAUDITLINK__" hidden="1">{"fdsup://directions/FAT Viewer?action=UPDATE&amp;creator=factset&amp;DYN_ARGS=TRUE&amp;DOC_NAME=FAT:FQL_AUDITING_CLIENT_TEMPLATE.FAT&amp;display_string=Audit&amp;VAR:KEY=PUHOXEXUXA&amp;VAR:QUERY=RkZfRlJFRV9QU19DRihDQUwsLTFBWSk=&amp;WINDOW=FIRST_POPUP&amp;HEIGHT=450&amp;WIDTH=450&amp;START_MAXIMI","ZED=FALSE&amp;VAR:CALENDAR=US&amp;VAR:SYMBOL=FIRE&amp;VAR:INDEX=0"}</definedName>
    <definedName name="_59__FDSAUDITLINK__" hidden="1">{"fdsup://directions/FAT Viewer?action=UPDATE&amp;creator=factset&amp;DYN_ARGS=TRUE&amp;DOC_NAME=FAT:FQL_AUDITING_CLIENT_TEMPLATE.FAT&amp;display_string=Audit&amp;VAR:KEY=LGPITOTUFU&amp;VAR:QUERY=RkZfRVBTKENBTCwtMUFZKQ==&amp;WINDOW=FIRST_POPUP&amp;HEIGHT=450&amp;WIDTH=450&amp;START_MAXIMIZED=FALS","E&amp;VAR:CALENDAR=US&amp;VAR:SYMBOL=TIBX&amp;VAR:INDEX=0"}</definedName>
    <definedName name="_6__123Graph_BChart_4" hidden="1">#REF!</definedName>
    <definedName name="_6__FDSAUDITLINK__" hidden="1">{"fdsup://directions/FAT Viewer?action=UPDATE&amp;creator=factset&amp;DYN_ARGS=TRUE&amp;DOC_NAME=FAT:FQL_AUDITING_CLIENT_TEMPLATE.FAT&amp;display_string=Audit&amp;VAR:KEY=AXYBQJEZYN&amp;VAR:QUERY=RkZfRU5UUlBSX1ZBTF9EQUlMWSg0MTE4NSwsLCwsJ0RJTCcp&amp;WINDOW=FIRST_POPUP&amp;HEIGHT=450&amp;WIDTH=","450&amp;START_MAXIMIZED=FALSE&amp;VAR:CALENDAR=US&amp;VAR:SYMBOL=FIRE&amp;VAR:INDEX=0"}</definedName>
    <definedName name="_60__FDSAUDITLINK__" hidden="1">{"fdsup://directions/FAT Viewer?action=UPDATE&amp;creator=factset&amp;DYN_ARGS=TRUE&amp;DOC_NAME=FAT:FQL_AUDITING_CLIENT_TEMPLATE.FAT&amp;display_string=Audit&amp;VAR:KEY=TSHADCJKTW&amp;VAR:QUERY=RkZfRVBTKENBTCwtMUFZKQ==&amp;WINDOW=FIRST_POPUP&amp;HEIGHT=450&amp;WIDTH=450&amp;START_MAXIMIZED=FALS","E&amp;VAR:CALENDAR=US&amp;VAR:SYMBOL=CVLT&amp;VAR:INDEX=0"}</definedName>
    <definedName name="_61__FDSAUDITLINK__" hidden="1">{"fdsup://directions/FAT Viewer?action=UPDATE&amp;creator=factset&amp;DYN_ARGS=TRUE&amp;DOC_NAME=FAT:FQL_AUDITING_CLIENT_TEMPLATE.FAT&amp;display_string=Audit&amp;VAR:KEY=BMVGTUBOPM&amp;VAR:QUERY=RkZfU0FMRVMoQ0FMLC0xQVkp&amp;WINDOW=FIRST_POPUP&amp;HEIGHT=450&amp;WIDTH=450&amp;START_MAXIMIZED=FALS","E&amp;VAR:CALENDAR=US&amp;VAR:SYMBOL=TIBX&amp;VAR:INDEX=0"}</definedName>
    <definedName name="_62__FDSAUDITLINK__" hidden="1">{"fdsup://directions/FAT Viewer?action=UPDATE&amp;creator=factset&amp;DYN_ARGS=TRUE&amp;DOC_NAME=FAT:FQL_AUDITING_CLIENT_TEMPLATE.FAT&amp;display_string=Audit&amp;VAR:KEY=HEVEDULSDG&amp;VAR:QUERY=RkZfU0FMRVMoQ0FMLC0xQVkp&amp;WINDOW=FIRST_POPUP&amp;HEIGHT=450&amp;WIDTH=450&amp;START_MAXIMIZED=FALS","E&amp;VAR:CALENDAR=US&amp;VAR:SYMBOL=SWI&amp;VAR:INDEX=0"}</definedName>
    <definedName name="_63__FDSAUDITLINK__" hidden="1">{"fdsup://directions/FAT Viewer?action=UPDATE&amp;creator=factset&amp;DYN_ARGS=TRUE&amp;DOC_NAME=FAT:FQL_AUDITING_CLIENT_TEMPLATE.FAT&amp;display_string=Audit&amp;VAR:KEY=DCLKVIRWJQ&amp;VAR:QUERY=RkZfU0FMRVMoQ0FMLC0xQVkp&amp;WINDOW=FIRST_POPUP&amp;HEIGHT=450&amp;WIDTH=450&amp;START_MAXIMIZED=FALS","E&amp;VAR:CALENDAR=US&amp;VAR:SYMBOL=FIRE&amp;VAR:INDEX=0"}</definedName>
    <definedName name="_64__FDSAUDITLINK__" hidden="1">{"fdsup://directions/FAT Viewer?action=UPDATE&amp;creator=factset&amp;DYN_ARGS=TRUE&amp;DOC_NAME=FAT:FQL_AUDITING_CLIENT_TEMPLATE.FAT&amp;display_string=Audit&amp;VAR:KEY=XGRYZEDYLE&amp;VAR:QUERY=RkZfU0FMRVMoQ0FMLC0xQVkp&amp;WINDOW=FIRST_POPUP&amp;HEIGHT=450&amp;WIDTH=450&amp;START_MAXIMIZED=FALS","E&amp;VAR:CALENDAR=US&amp;VAR:SYMBOL=QLIK&amp;VAR:INDEX=0"}</definedName>
    <definedName name="_65__FDSAUDITLINK__" hidden="1">{"fdsup://directions/FAT Viewer?action=UPDATE&amp;creator=factset&amp;DYN_ARGS=TRUE&amp;DOC_NAME=FAT:FQL_AUDITING_CLIENT_TEMPLATE.FAT&amp;display_string=Audit&amp;VAR:KEY=LEVOTQPYDA&amp;VAR:QUERY=RkZfU0FMRVMoQ0FMLC0xQVkp&amp;WINDOW=FIRST_POPUP&amp;HEIGHT=450&amp;WIDTH=450&amp;START_MAXIMIZED=FALS","E&amp;VAR:CALENDAR=US&amp;VAR:SYMBOL=IMPV&amp;VAR:INDEX=0"}</definedName>
    <definedName name="_66__FDSAUDITLINK__" hidden="1">{"fdsup://directions/FAT Viewer?action=UPDATE&amp;creator=factset&amp;DYN_ARGS=TRUE&amp;DOC_NAME=FAT:FQL_AUDITING_CLIENT_TEMPLATE.FAT&amp;display_string=Audit&amp;VAR:KEY=PAFIBALQZA&amp;VAR:QUERY=RkZfU0FMRVMoQ0FMLC0xQVkp&amp;WINDOW=FIRST_POPUP&amp;HEIGHT=450&amp;WIDTH=450&amp;START_MAXIMIZED=FALS","E&amp;VAR:CALENDAR=US&amp;VAR:SYMBOL=INFA&amp;VAR:INDEX=0"}</definedName>
    <definedName name="_67__FDSAUDITLINK__" hidden="1">{"fdsup://directions/FAT Viewer?action=UPDATE&amp;creator=factset&amp;DYN_ARGS=TRUE&amp;DOC_NAME=FAT:FQL_AUDITING_CLIENT_TEMPLATE.FAT&amp;display_string=Audit&amp;VAR:KEY=XAHMVCTGTQ&amp;VAR:QUERY=RkZfU0FMRVMoQ0FMLC0xQVkp&amp;WINDOW=FIRST_POPUP&amp;HEIGHT=450&amp;WIDTH=450&amp;START_MAXIMIZED=FALS","E&amp;VAR:CALENDAR=US&amp;VAR:SYMBOL=FTNT&amp;VAR:INDEX=0"}</definedName>
    <definedName name="_68__FDSAUDITLINK__" hidden="1">{"fdsup://directions/FAT Viewer?action=UPDATE&amp;creator=factset&amp;DYN_ARGS=TRUE&amp;DOC_NAME=FAT:FQL_AUDITING_CLIENT_TEMPLATE.FAT&amp;display_string=Audit&amp;VAR:KEY=RILIHCPQRM&amp;VAR:QUERY=RkZfU0FMRVMoQ0FMLC0xQVkp&amp;WINDOW=FIRST_POPUP&amp;HEIGHT=450&amp;WIDTH=450&amp;START_MAXIMIZED=FALS","E&amp;VAR:CALENDAR=US&amp;VAR:SYMBOL=CVLT&amp;VAR:INDEX=0"}</definedName>
    <definedName name="_69__FDSAUDITLINK__" hidden="1">{"fdsup://directions/FAT Viewer?action=UPDATE&amp;creator=factset&amp;DYN_ARGS=TRUE&amp;DOC_NAME=FAT:FQL_AUDITING_CLIENT_TEMPLATE.FAT&amp;display_string=Audit&amp;VAR:KEY=BUDULKHKPS&amp;VAR:QUERY=RkZfRU5UUlBSX1ZBTF9EQUlMWSg0MTA0NiwsLCwsJ0RJTCcp&amp;WINDOW=FIRST_POPUP&amp;HEIGHT=450&amp;WIDTH=","450&amp;START_MAXIMIZED=FALSE&amp;VAR:CALENDAR=US&amp;VAR:SYMBOL=SWI&amp;VAR:INDEX=0"}</definedName>
    <definedName name="_7__123Graph_XChart_2" hidden="1">#REF!</definedName>
    <definedName name="_7__FDSAUDITLINK__" hidden="1">{"fdsup://directions/FAT Viewer?action=UPDATE&amp;creator=factset&amp;DYN_ARGS=TRUE&amp;DOC_NAME=FAT:FQL_AUDITING_CLIENT_TEMPLATE.FAT&amp;display_string=Audit&amp;VAR:KEY=APSXQZGVER&amp;VAR:QUERY=RkZfRU5UUlBSX1ZBTF9EQUlMWSg0MTE4NSwsLCwsJ0RJTCcp&amp;WINDOW=FIRST_POPUP&amp;HEIGHT=450&amp;WIDTH=","450&amp;START_MAXIMIZED=FALSE&amp;VAR:CALENDAR=US&amp;VAR:SYMBOL=FTNT&amp;VAR:INDEX=0"}</definedName>
    <definedName name="_70__FDSAUDITLINK__" hidden="1">{"fdsup://directions/FAT Viewer?action=UPDATE&amp;creator=factset&amp;DYN_ARGS=TRUE&amp;DOC_NAME=FAT:FQL_AUDITING_CLIENT_TEMPLATE.FAT&amp;display_string=Audit&amp;VAR:KEY=FMZGJSZMDQ&amp;VAR:QUERY=RkZfRU5UUlBSX1ZBTF9EQUlMWSg0MTA0NiwsLCwsJ0RJTCcp&amp;WINDOW=FIRST_POPUP&amp;HEIGHT=450&amp;WIDTH=","450&amp;START_MAXIMIZED=FALSE&amp;VAR:CALENDAR=US&amp;VAR:SYMBOL=FIRE&amp;VAR:INDEX=0"}</definedName>
    <definedName name="_71__FDSAUDITLINK__" hidden="1">{"fdsup://directions/FAT Viewer?action=UPDATE&amp;creator=factset&amp;DYN_ARGS=TRUE&amp;DOC_NAME=FAT:FQL_AUDITING_CLIENT_TEMPLATE.FAT&amp;display_string=Audit&amp;VAR:KEY=FOPANATYNY&amp;VAR:QUERY=RkZfRU5UUlBSX1ZBTF9EQUlMWSg0MTA0NiwsLCwsJ0RJTCcp&amp;WINDOW=FIRST_POPUP&amp;HEIGHT=450&amp;WIDTH=","450&amp;START_MAXIMIZED=FALSE&amp;VAR:CALENDAR=US&amp;VAR:SYMBOL=TMICY&amp;VAR:INDEX=0"}</definedName>
    <definedName name="_72__FDSAUDITLINK__" hidden="1">{"fdsup://directions/FAT Viewer?action=UPDATE&amp;creator=factset&amp;DYN_ARGS=TRUE&amp;DOC_NAME=FAT:FQL_AUDITING_CLIENT_TEMPLATE.FAT&amp;display_string=Audit&amp;VAR:KEY=VMHMHIRULO&amp;VAR:QUERY=RkZfRU5UUlBSX1ZBTF9EQUlMWSg0MTA0NiwsLCwsJ0RJTCcp&amp;WINDOW=FIRST_POPUP&amp;HEIGHT=450&amp;WIDTH=","450&amp;START_MAXIMIZED=FALSE&amp;VAR:CALENDAR=US&amp;VAR:SYMBOL=QLIK&amp;VAR:INDEX=0"}</definedName>
    <definedName name="_73__FDSAUDITLINK__" hidden="1">{"fdsup://directions/FAT Viewer?action=UPDATE&amp;creator=factset&amp;DYN_ARGS=TRUE&amp;DOC_NAME=FAT:FQL_AUDITING_CLIENT_TEMPLATE.FAT&amp;display_string=Audit&amp;VAR:KEY=FQXUVETQRQ&amp;VAR:QUERY=RkZfRU5UUlBSX1ZBTF9EQUlMWSg0MTA0NiwsLCwsJ0RJTCcp&amp;WINDOW=FIRST_POPUP&amp;HEIGHT=450&amp;WIDTH=","450&amp;START_MAXIMIZED=FALSE&amp;VAR:CALENDAR=US&amp;VAR:SYMBOL=INFA&amp;VAR:INDEX=0"}</definedName>
    <definedName name="_74__FDSAUDITLINK__" hidden="1">{"fdsup://directions/FAT Viewer?action=UPDATE&amp;creator=factset&amp;DYN_ARGS=TRUE&amp;DOC_NAME=FAT:FQL_AUDITING_CLIENT_TEMPLATE.FAT&amp;display_string=Audit&amp;VAR:KEY=FAXUBEXMXG&amp;VAR:QUERY=RkZfRlJFRV9QU19DRihDQUwsLTFBWSk=&amp;WINDOW=FIRST_POPUP&amp;HEIGHT=450&amp;WIDTH=450&amp;START_MAXIMI","ZED=FALSE&amp;VAR:CALENDAR=US&amp;VAR:SYMBOL=TMICY&amp;VAR:INDEX=0"}</definedName>
    <definedName name="_75__FDSAUDITLINK__" hidden="1">{"fdsup://directions/FAT Viewer?action=UPDATE&amp;creator=factset&amp;DYN_ARGS=TRUE&amp;DOC_NAME=FAT:FQL_AUDITING_CLIENT_TEMPLATE.FAT&amp;display_string=Audit&amp;VAR:KEY=JEZENAVYJG&amp;VAR:QUERY=RkZfRlJFRV9QU19DRihDQUwsLTFBWSk=&amp;WINDOW=FIRST_POPUP&amp;HEIGHT=450&amp;WIDTH=450&amp;START_MAXIMI","ZED=FALSE&amp;VAR:CALENDAR=US&amp;VAR:SYMBOL=QLIK&amp;VAR:INDEX=0"}</definedName>
    <definedName name="_76__FDSAUDITLINK__" hidden="1">{"fdsup://directions/FAT Viewer?action=UPDATE&amp;creator=factset&amp;DYN_ARGS=TRUE&amp;DOC_NAME=FAT:FQL_AUDITING_CLIENT_TEMPLATE.FAT&amp;display_string=Audit&amp;VAR:KEY=NEDQBOHKZQ&amp;VAR:QUERY=RkZfRlJFRV9QU19DRihDQUwsLTFBWSk=&amp;WINDOW=FIRST_POPUP&amp;HEIGHT=450&amp;WIDTH=450&amp;START_MAXIMI","ZED=FALSE&amp;VAR:CALENDAR=US&amp;VAR:SYMBOL=IMPV&amp;VAR:INDEX=0"}</definedName>
    <definedName name="_77__FDSAUDITLINK__" hidden="1">{"fdsup://directions/FAT Viewer?action=UPDATE&amp;creator=factset&amp;DYN_ARGS=TRUE&amp;DOC_NAME=FAT:FQL_AUDITING_CLIENT_TEMPLATE.FAT&amp;display_string=Audit&amp;VAR:KEY=XEBEVMBENA&amp;VAR:QUERY=RkZfRlJFRV9QU19DRihDQUwsLTFBWSk=&amp;WINDOW=FIRST_POPUP&amp;HEIGHT=450&amp;WIDTH=450&amp;START_MAXIMI","ZED=FALSE&amp;VAR:CALENDAR=US&amp;VAR:SYMBOL=INFA&amp;VAR:INDEX=0"}</definedName>
    <definedName name="_78__FDSAUDITLINK__" hidden="1">{"fdsup://directions/FAT Viewer?action=UPDATE&amp;creator=factset&amp;DYN_ARGS=TRUE&amp;DOC_NAME=FAT:FQL_AUDITING_CLIENT_TEMPLATE.FAT&amp;display_string=Audit&amp;VAR:KEY=HMJOLQPEPS&amp;VAR:QUERY=RkZfRlJFRV9QU19DRihDQUwsLTFBWSk=&amp;WINDOW=FIRST_POPUP&amp;HEIGHT=450&amp;WIDTH=450&amp;START_MAXIMI","ZED=FALSE&amp;VAR:CALENDAR=US&amp;VAR:SYMBOL=FTNT&amp;VAR:INDEX=0"}</definedName>
    <definedName name="_79__FDSAUDITLINK__" hidden="1">{"fdsup://directions/FAT Viewer?action=UPDATE&amp;creator=factset&amp;DYN_ARGS=TRUE&amp;DOC_NAME=FAT:FQL_AUDITING_CLIENT_TEMPLATE.FAT&amp;display_string=Audit&amp;VAR:KEY=XIBCNKBKJY&amp;VAR:QUERY=RkZfRlJFRV9QU19DRihDQUwsLTFBWSk=&amp;WINDOW=FIRST_POPUP&amp;HEIGHT=450&amp;WIDTH=450&amp;START_MAXIMI","ZED=FALSE&amp;VAR:CALENDAR=US&amp;VAR:SYMBOL=CVLT&amp;VAR:INDEX=0"}</definedName>
    <definedName name="_8__123Graph_XChart_3" hidden="1">#REF!</definedName>
    <definedName name="_8__FDSAUDITLINK__" hidden="1">{"fdsup://directions/FAT Viewer?action=UPDATE&amp;creator=factset&amp;DYN_ARGS=TRUE&amp;DOC_NAME=FAT:FQL_AUDITING_CLIENT_TEMPLATE.FAT&amp;display_string=Audit&amp;VAR:KEY=UFQRWTMNEH&amp;VAR:QUERY=RkZfRVBTKENBTCwtMUFZKQ==&amp;WINDOW=FIRST_POPUP&amp;HEIGHT=450&amp;WIDTH=450&amp;START_MAXIMIZED=FALS","E&amp;VAR:CALENDAR=US&amp;VAR:SYMBOL=CVLT&amp;VAR:INDEX=0"}</definedName>
    <definedName name="_80__FDSAUDITLINK__" hidden="1">{"fdsup://directions/FAT Viewer?action=UPDATE&amp;creator=factset&amp;DYN_ARGS=TRUE&amp;DOC_NAME=FAT:FQL_AUDITING_CLIENT_TEMPLATE.FAT&amp;display_string=Audit&amp;VAR:KEY=FQZIZMTMRQ&amp;VAR:QUERY=RkZfRU5UUlBSX1ZBTF9EQUlMWSg0MTA0NiwsLCwsJ0RJTCcp&amp;WINDOW=FIRST_POPUP&amp;HEIGHT=450&amp;WIDTH=","450&amp;START_MAXIMIZED=FALSE&amp;VAR:CALENDAR=US&amp;VAR:SYMBOL=FTNT&amp;VAR:INDEX=0"}</definedName>
    <definedName name="_81__FDSAUDITLINK__" hidden="1">{"fdsup://directions/FAT Viewer?action=UPDATE&amp;creator=factset&amp;DYN_ARGS=TRUE&amp;DOC_NAME=FAT:FQL_AUDITING_CLIENT_TEMPLATE.FAT&amp;display_string=Audit&amp;VAR:KEY=BURCPWZQVK&amp;VAR:QUERY=RkZfRU5UUlBSX1ZBTF9EQUlMWSg0MTA0NiwsLCwsJ0RJTCcp&amp;WINDOW=FIRST_POPUP&amp;HEIGHT=450&amp;WIDTH=","450&amp;START_MAXIMIZED=FALSE&amp;VAR:CALENDAR=US&amp;VAR:SYMBOL=CVLT&amp;VAR:INDEX=0"}</definedName>
    <definedName name="_82__FDSAUDITLINK__" hidden="1">{"fdsup://directions/FAT Viewer?action=UPDATE&amp;creator=factset&amp;DYN_ARGS=TRUE&amp;DOC_NAME=FAT:FQL_AUDITING_CLIENT_TEMPLATE.FAT&amp;display_string=Audit&amp;VAR:KEY=ZMBIHUHKXM&amp;VAR:QUERY=RkZfU0FMRVMoQ0FMLC0xQVkp&amp;WINDOW=FIRST_POPUP&amp;HEIGHT=450&amp;WIDTH=450&amp;START_MAXIMIZED=FALS","E&amp;VAR:CALENDAR=US&amp;VAR:SYMBOL=MKTG&amp;VAR:INDEX=0"}</definedName>
    <definedName name="_83__FDSAUDITLINK__" hidden="1">{"fdsup://directions/FAT Viewer?action=UPDATE&amp;creator=factset&amp;DYN_ARGS=TRUE&amp;DOC_NAME=FAT:FQL_AUDITING_CLIENT_TEMPLATE.FAT&amp;display_string=Audit&amp;VAR:KEY=PWLOPGRCLG&amp;VAR:QUERY=RkZfRlJFRV9QU19DRihDQUwsLTFBWSk=&amp;WINDOW=FIRST_POPUP&amp;HEIGHT=450&amp;WIDTH=450&amp;START_MAXIMI","ZED=FALSE&amp;VAR:CALENDAR=US&amp;VAR:SYMBOL=MKTG&amp;VAR:INDEX=0"}</definedName>
    <definedName name="_84__FDSAUDITLINK__" hidden="1">{"fdsup://directions/FAT Viewer?action=UPDATE&amp;creator=factset&amp;DYN_ARGS=TRUE&amp;DOC_NAME=FAT:FQL_AUDITING_CLIENT_TEMPLATE.FAT&amp;display_string=Audit&amp;VAR:KEY=FOLMXKRMZA&amp;VAR:QUERY=RkZfRlJFRV9QU19DRihDQUwsLTFBWSk=&amp;WINDOW=FIRST_POPUP&amp;HEIGHT=450&amp;WIDTH=450&amp;START_MAXIMI","ZED=FALSE&amp;VAR:CALENDAR=US&amp;VAR:SYMBOL=RP&amp;VAR:INDEX=0"}</definedName>
    <definedName name="_85__FDSAUDITLINK__" hidden="1">{"fdsup://directions/FAT Viewer?action=UPDATE&amp;creator=factset&amp;DYN_ARGS=TRUE&amp;DOC_NAME=FAT:FQL_AUDITING_CLIENT_TEMPLATE.FAT&amp;display_string=Audit&amp;VAR:KEY=HCLYZGFGHS&amp;VAR:QUERY=RkZfRlJFRV9QU19DRihDQUwsLTFBWSk=&amp;WINDOW=FIRST_POPUP&amp;HEIGHT=450&amp;WIDTH=450&amp;START_MAXIMI","ZED=FALSE&amp;VAR:CALENDAR=US&amp;VAR:SYMBOL=CTCT&amp;VAR:INDEX=0"}</definedName>
    <definedName name="_86__FDSAUDITLINK__" hidden="1">{"fdsup://directions/FAT Viewer?action=UPDATE&amp;creator=factset&amp;DYN_ARGS=TRUE&amp;DOC_NAME=FAT:FQL_AUDITING_CLIENT_TEMPLATE.FAT&amp;display_string=Audit&amp;VAR:KEY=BYLAHGHEDE&amp;VAR:QUERY=RkZfU0FMRVMoQ0FMLC0xQVkp&amp;WINDOW=FIRST_POPUP&amp;HEIGHT=450&amp;WIDTH=450&amp;START_MAXIMIZED=FALS","E&amp;VAR:CALENDAR=US&amp;VAR:SYMBOL=MKTG&amp;VAR:INDEX=0"}</definedName>
    <definedName name="_87__FDSAUDITLINK__" hidden="1">{"fdsup://directions/FAT Viewer?action=UPDATE&amp;creator=factset&amp;DYN_ARGS=TRUE&amp;DOC_NAME=FAT:FQL_AUDITING_CLIENT_TEMPLATE.FAT&amp;display_string=Audit&amp;VAR:KEY=NIVQNGXUFY&amp;VAR:QUERY=RkZfU0FMRVMoQ0FMLC0xQVkp&amp;WINDOW=FIRST_POPUP&amp;HEIGHT=450&amp;WIDTH=450&amp;START_MAXIMIZED=FALS","E&amp;VAR:CALENDAR=US&amp;VAR:SYMBOL=RP&amp;VAR:INDEX=0"}</definedName>
    <definedName name="_88__FDSAUDITLINK__" hidden="1">{"fdsup://directions/FAT Viewer?action=UPDATE&amp;creator=factset&amp;DYN_ARGS=TRUE&amp;DOC_NAME=FAT:FQL_AUDITING_CLIENT_TEMPLATE.FAT&amp;display_string=Audit&amp;VAR:KEY=TILGXQJGRS&amp;VAR:QUERY=RkZfU0FMRVMoQ0FMLC0xQVkp&amp;WINDOW=FIRST_POPUP&amp;HEIGHT=450&amp;WIDTH=450&amp;START_MAXIMIZED=FALS","E&amp;VAR:CALENDAR=US&amp;VAR:SYMBOL=CTCT&amp;VAR:INDEX=0"}</definedName>
    <definedName name="_89__FDSAUDITLINK__" hidden="1">{"fdsup://directions/FAT Viewer?action=UPDATE&amp;creator=factset&amp;DYN_ARGS=TRUE&amp;DOC_NAME=FAT:FQL_AUDITING_CLIENT_TEMPLATE.FAT&amp;display_string=Audit&amp;VAR:KEY=ZKVKXGTMDI&amp;VAR:QUERY=RkZfRU5UUlBSX1ZBTF9EQUlMWSg0MTAwOCwsLCwsJ0RJTCcp&amp;WINDOW=FIRST_POPUP&amp;HEIGHT=450&amp;WIDTH=","450&amp;START_MAXIMIZED=FALSE&amp;VAR:CALENDAR=US&amp;VAR:SYMBOL=MKTG&amp;VAR:INDEX=0"}</definedName>
    <definedName name="_9__123Graph_XChart_4" hidden="1">#REF!</definedName>
    <definedName name="_9__FDSAUDITLINK__" hidden="1">{"fdsup://directions/FAT Viewer?action=UPDATE&amp;creator=factset&amp;DYN_ARGS=TRUE&amp;DOC_NAME=FAT:FQL_AUDITING_CLIENT_TEMPLATE.FAT&amp;display_string=Audit&amp;VAR:KEY=FSNGJUZGBG&amp;VAR:QUERY=RkZfRVBTKENBTCwtMUFZKQ==&amp;WINDOW=FIRST_POPUP&amp;HEIGHT=450&amp;WIDTH=450&amp;START_MAXIMIZED=FALS","E&amp;VAR:CALENDAR=US&amp;VAR:SYMBOL=TIBX&amp;VAR:INDEX=0"}</definedName>
    <definedName name="_90__FDSAUDITLINK__" hidden="1">{"fdsup://directions/FAT Viewer?action=UPDATE&amp;creator=factset&amp;DYN_ARGS=TRUE&amp;DOC_NAME=FAT:FQL_AUDITING_CLIENT_TEMPLATE.FAT&amp;display_string=Audit&amp;VAR:KEY=HURSBWHOZC&amp;VAR:QUERY=RkZfRU5UUlBSX1ZBTF9EQUlMWSg0MTAwOCwsLCwsJ0RJTCcp&amp;WINDOW=FIRST_POPUP&amp;HEIGHT=450&amp;WIDTH=","450&amp;START_MAXIMIZED=FALSE&amp;VAR:CALENDAR=US&amp;VAR:SYMBOL=RP&amp;VAR:INDEX=0"}</definedName>
    <definedName name="_91__FDSAUDITLINK__" hidden="1">{"fdsup://directions/FAT Viewer?action=UPDATE&amp;creator=factset&amp;DYN_ARGS=TRUE&amp;DOC_NAME=FAT:FQL_AUDITING_CLIENT_TEMPLATE.FAT&amp;display_string=Audit&amp;VAR:KEY=HKTQPARAPQ&amp;VAR:QUERY=RkZfRU5UUlBSX1ZBTF9EQUlMWSg0MTAwOCwsLCwsJ0RJTCcp&amp;WINDOW=FIRST_POPUP&amp;HEIGHT=450&amp;WIDTH=","450&amp;START_MAXIMIZED=FALSE&amp;VAR:CALENDAR=US&amp;VAR:SYMBOL=CTCT&amp;VAR:INDEX=0"}</definedName>
    <definedName name="_92__FDSAUDITLINK__" hidden="1">{"fdsup://directions/FAT Viewer?action=UPDATE&amp;creator=factset&amp;DYN_ARGS=TRUE&amp;DOC_NAME=FAT:FQL_AUDITING_CLIENT_TEMPLATE.FAT&amp;display_string=Audit&amp;VAR:KEY=XADMFSRQXG&amp;VAR:QUERY=RkZfU0FMRVMoQ0FMLC0xQVkp&amp;WINDOW=FIRST_POPUP&amp;HEIGHT=450&amp;WIDTH=450&amp;START_MAXIMIZED=FALS","E&amp;VAR:CALENDAR=US&amp;VAR:SYMBOL=CTCT&amp;VAR:INDEX=0"}</definedName>
    <definedName name="_93__FDSAUDITLINK__" hidden="1">{"fdsup://directions/FAT Viewer?action=UPDATE&amp;creator=factset&amp;DYN_ARGS=TRUE&amp;DOC_NAME=FAT:FQL_AUDITING_CLIENT_TEMPLATE.FAT&amp;display_string=Audit&amp;VAR:KEY=VMBERQNYRK&amp;VAR:QUERY=RkZfU0FMRVMoQ0FMLC0xQVkp&amp;WINDOW=FIRST_POPUP&amp;HEIGHT=450&amp;WIDTH=450&amp;START_MAXIMIZED=FALS","E&amp;VAR:CALENDAR=US&amp;VAR:SYMBOL=RP&amp;VAR:INDEX=0"}</definedName>
    <definedName name="_94__FDSAUDITLINK__" hidden="1">{"fdsup://directions/FAT Viewer?action=UPDATE&amp;creator=factset&amp;DYN_ARGS=TRUE&amp;DOC_NAME=FAT:FQL_AUDITING_CLIENT_TEMPLATE.FAT&amp;display_string=Audit&amp;VAR:KEY=ZMJYVWPUFS&amp;VAR:QUERY=RkZfU0FMRVMoQ0FMLC0xQVkp&amp;WINDOW=FIRST_POPUP&amp;HEIGHT=450&amp;WIDTH=450&amp;START_MAXIMIZED=FALS","E&amp;VAR:CALENDAR=US&amp;VAR:SYMBOL=MKTG&amp;VAR:INDEX=0"}</definedName>
    <definedName name="_95__FDSAUDITLINK__" hidden="1">{"fdsup://directions/FAT Viewer?action=UPDATE&amp;creator=factset&amp;DYN_ARGS=TRUE&amp;DOC_NAME=FAT:FQL_AUDITING_CLIENT_TEMPLATE.FAT&amp;display_string=Audit&amp;VAR:KEY=PWLOPGRCLG&amp;VAR:QUERY=RkZfRlJFRV9QU19DRihDQUwsLTFBWSk=&amp;WINDOW=FIRST_POPUP&amp;HEIGHT=450&amp;WIDTH=450&amp;START_MAXIMI","ZED=FALSE&amp;VAR:CALENDAR=US&amp;VAR:SYMBOL=MKTG&amp;VAR:INDEX=0"}</definedName>
    <definedName name="_96__FDSAUDITLINK__" hidden="1">{"fdsup://directions/FAT Viewer?action=UPDATE&amp;creator=factset&amp;DYN_ARGS=TRUE&amp;DOC_NAME=FAT:FQL_AUDITING_CLIENT_TEMPLATE.FAT&amp;display_string=Audit&amp;VAR:KEY=FOLMXKRMZA&amp;VAR:QUERY=RkZfRlJFRV9QU19DRihDQUwsLTFBWSk=&amp;WINDOW=FIRST_POPUP&amp;HEIGHT=450&amp;WIDTH=450&amp;START_MAXIMI","ZED=FALSE&amp;VAR:CALENDAR=US&amp;VAR:SYMBOL=RP&amp;VAR:INDEX=0"}</definedName>
    <definedName name="_97__FDSAUDITLINK__" hidden="1">{"fdsup://directions/FAT Viewer?action=UPDATE&amp;creator=factset&amp;DYN_ARGS=TRUE&amp;DOC_NAME=FAT:FQL_AUDITING_CLIENT_TEMPLATE.FAT&amp;display_string=Audit&amp;VAR:KEY=HCLYZGFGHS&amp;VAR:QUERY=RkZfRlJFRV9QU19DRihDQUwsLTFBWSk=&amp;WINDOW=FIRST_POPUP&amp;HEIGHT=450&amp;WIDTH=450&amp;START_MAXIMI","ZED=FALSE&amp;VAR:CALENDAR=US&amp;VAR:SYMBOL=CTCT&amp;VAR:INDEX=0"}</definedName>
    <definedName name="_98__FDSAUDITLINK__" hidden="1">{"fdsup://directions/FAT Viewer?action=UPDATE&amp;creator=factset&amp;DYN_ARGS=TRUE&amp;DOC_NAME=FAT:FQL_AUDITING_CLIENT_TEMPLATE.FAT&amp;display_string=Audit&amp;VAR:KEY=PUDKNWXQVY&amp;VAR:QUERY=RkZfRlJFRV9QU19DRihDQUwsLTFBWSk=&amp;WINDOW=FIRST_POPUP&amp;HEIGHT=450&amp;WIDTH=450&amp;START_MAXIMI","ZED=FALSE&amp;VAR:CALENDAR=US&amp;VAR:SYMBOL=MKTG&amp;VAR:INDEX=0"}</definedName>
    <definedName name="_99__FDSAUDITLINK__" hidden="1">{"fdsup://directions/FAT Viewer?action=UPDATE&amp;creator=factset&amp;DYN_ARGS=TRUE&amp;DOC_NAME=FAT:FQL_AUDITING_CLIENT_TEMPLATE.FAT&amp;display_string=Audit&amp;VAR:KEY=PSNORGRKHW&amp;VAR:QUERY=RkZfRlJFRV9QU19DRihDQUwsLTFBWSk=&amp;WINDOW=FIRST_POPUP&amp;HEIGHT=450&amp;WIDTH=450&amp;START_MAXIMI","ZED=FALSE&amp;VAR:CALENDAR=US&amp;VAR:SYMBOL=RP&amp;VAR:INDEX=0"}</definedName>
    <definedName name="_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15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3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4" hidden="1">{"whole",#N/A,FALSE,"Gen_Dist_Act_Bud";"whole",#N/A,FALSE,"Gen_Dist_T3months";"whole",#N/A,FALSE,"GD_PerP";"whole",#N/A,FALSE,"HR Dist'n"}</definedName>
    <definedName name="_a5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6" hidden="1">{"whole",#N/A,FALSE,"CS HC";"whole",#N/A,FALSE,"CS_ACTvsBud";"whole",#N/A,FALSE,"CSTrail3mo";"whole",#N/A,FALSE,"CS Cost Per Head ";"whole",#N/A,FALSE,"CS CPH YTD"}</definedName>
    <definedName name="_a7" hidden="1">{"whole",#N/A,FALSE,"CS FIN Sum For Rox";"whole",#N/A,FALSE,"Gen_Dist_Act_Bud";"whole",#N/A,FALSE,"Gen_Dist_T3months";"whole",#N/A,FALSE,"GD_PerP";"whole",#N/A,FALSE,"CS_DIST_ActvsBud";"whole",#N/A,FALSE,"CS_DIST_SUM_trail3mo"}</definedName>
    <definedName name="_a9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_aa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a2" hidden="1">{#N/A,#N/A,TRUE,"Pro Forma";#N/A,#N/A,TRUE,"PF_Bal";#N/A,#N/A,TRUE,"PF_INC";#N/A,#N/A,TRUE,"CBE";#N/A,#N/A,TRUE,"SWK"}</definedName>
    <definedName name="_aaa111299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aaa2" hidden="1">{#N/A,#N/A,TRUE,"financial";#N/A,#N/A,TRUE,"plants"}</definedName>
    <definedName name="_ab111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_ab2" hidden="1">{#N/A,#N/A,TRUE,"Pro Forma";#N/A,#N/A,TRUE,"PF_Bal";#N/A,#N/A,TRUE,"PF_INC";#N/A,#N/A,TRUE,"CBE";#N/A,#N/A,TRUE,"SWK"}</definedName>
    <definedName name="_ac2" hidden="1">{#N/A,#N/A,TRUE,"Pro Forma";#N/A,#N/A,TRUE,"PF_Bal";#N/A,#N/A,TRUE,"PF_INC";#N/A,#N/A,TRUE,"CBE";#N/A,#N/A,TRUE,"SWK"}</definedName>
    <definedName name="_aca2" hidden="1">{#N/A,#N/A,TRUE,"Pro Forma";#N/A,#N/A,TRUE,"PF_Bal";#N/A,#N/A,TRUE,"PF_INC";#N/A,#N/A,TRUE,"CBE";#N/A,#N/A,TRUE,"SWK"}</definedName>
    <definedName name="_ag2" hidden="1">{#N/A,#N/A,TRUE,"Pro Forma";#N/A,#N/A,TRUE,"PF_Bal";#N/A,#N/A,TRUE,"PF_INC";#N/A,#N/A,TRUE,"CBE";#N/A,#N/A,TRUE,"SWK"}</definedName>
    <definedName name="_as2" hidden="1">{"comp1",#N/A,FALSE,"COMPS";"footnotes",#N/A,FALSE,"COMPS"}</definedName>
    <definedName name="_asa2" hidden="1">{"comp1",#N/A,FALSE,"COMPS";"footnotes",#N/A,FALSE,"COMPS"}</definedName>
    <definedName name="_b1" hidden="1">{"Chart 1",#N/A,FALSE,"Run Rate";"Chart 2",#N/A,FALSE,"Run Rate (2)"}</definedName>
    <definedName name="_bdm.0f75ce151a2f4334b862e6c3832c3245.edm" hidden="1">#REF!</definedName>
    <definedName name="_bdm.3805246567204471A1B783B7CD5D5075.edm" hidden="1">#REF!</definedName>
    <definedName name="_bdm.5F2000082F1D46CBBF1937744AC82C30.edm" hidden="1">#REF!</definedName>
    <definedName name="_bdm.72b50cfe788343109c25c40d4cf29469.edm" hidden="1">#REF!</definedName>
    <definedName name="_bdm.FastTrackBookmark.10_20_2022_11_37_55_AM.edm" hidden="1">#REF!</definedName>
    <definedName name="_bdm.FastTrackBookmark.10_20_2022_6_31_47_AM.edm" hidden="1">#REF!</definedName>
    <definedName name="_bdm.FastTrackBookmark.10_23_2024_10_41_41_PM.edm" hidden="1">#REF!</definedName>
    <definedName name="_bdm.FastTrackBookmark.10_31_2023_4_29_45_PM.edm" hidden="1">#REF!</definedName>
    <definedName name="_bdm.FastTrackBookmark.11_22_2022_12_59_50_PM.edm" hidden="1">#REF!</definedName>
    <definedName name="_bdm.FastTrackBookmark.11_6_2023_7_25_25_AM.edm" hidden="1">#REF!</definedName>
    <definedName name="_bdm.FastTrackBookmark.11_6_2023_7_29_48_AM.edm" hidden="1">#REF!</definedName>
    <definedName name="_bdm.FastTrackBookmark.11_9_2023_10_18_02_AM.edm" hidden="1">#REF!</definedName>
    <definedName name="_bdm.FastTrackBookmark.12_1_2021_4_39_42_PM.edm" hidden="1">#REF!</definedName>
    <definedName name="_bdm.FastTrackBookmark.2_15_2023_8_52_48_AM.edm" hidden="1">#REF!</definedName>
    <definedName name="_bdm.FastTrackBookmark.2_21_2023_12_58_19_PM.edm" hidden="1">#REF!</definedName>
    <definedName name="_bdm.FastTrackBookmark.4_16_2024_7_06_01_PM.edm" hidden="1">#REF!</definedName>
    <definedName name="_bdm.FastTrackBookmark.4_3_2024_7_11_11_PM.edm" hidden="1">#REF!</definedName>
    <definedName name="_bdm.FastTrackBookmark.5_18_2023_9_35_27_PM.edm" hidden="1">#REF!</definedName>
    <definedName name="_bdm.FastTrackBookmark.5_21_2024_10_17_46_AM.edm" hidden="1">'Def. Revenue &amp; Billings'!$C$7:$G$8</definedName>
    <definedName name="_bdm.FastTrackBookmark.5_21_2024_9_54_04_AM.edm" hidden="1">#REF!</definedName>
    <definedName name="_bdm.FastTrackBookmark.5_22_2024_8_24_33_PM.edm" hidden="1">BS!$BA$61:$BJ$61</definedName>
    <definedName name="_bdm.FastTrackBookmark.5_25_2023_7_10_45_AM.edm" hidden="1">#REF!</definedName>
    <definedName name="_bdm.FastTrackBookmark.8_11_2020_8_07_59_PM.edm" hidden="1">#REF!</definedName>
    <definedName name="_bdm.FastTrackBookmark.8_16_2023_11_48_12_AM.edm" hidden="1">#REF!</definedName>
    <definedName name="_bdm.FastTrackBookmark.8_22_2024_3_44_17_PM.edm" hidden="1">#REF!</definedName>
    <definedName name="_bdm.FastTrackBookmark.8_24_2020_11_10_01_PM.edm" hidden="1">#REF!</definedName>
    <definedName name="_bdm.FastTrackBookmark.8_30_2022_6_43_56_PM.edm" hidden="1">#REF!</definedName>
    <definedName name="_bdm.FastTrackBookmark.9_18_2023_9_49_04_AM.edm" hidden="1">#REF!</definedName>
    <definedName name="_bdm.FastTrackBookmark.9_22_2022_7_08_27_AM.edm" hidden="1">#REF!</definedName>
    <definedName name="_bdm.FastTrackBookmark.9_29_2023_7_22_04_AM.edm" hidden="1">#REF!</definedName>
    <definedName name="_bdm.FastTrackBookmark.9_3_2020_3_34_09_PM.edm" hidden="1">#REF!</definedName>
    <definedName name="_di1" hidden="1">{"whole",#N/A,FALSE,"Gen_Dist_Act_Bud";"whole",#N/A,FALSE,"Gen_Dist_T3months";"whole",#N/A,FALSE,"GD_PerP";"whole",#N/A,FALSE,"HR Dist'n"}</definedName>
    <definedName name="_fff2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Fill" hidden="1">#REF!</definedName>
    <definedName name="_xlnm._FilterDatabase" hidden="1">#REF!</definedName>
    <definedName name="_k1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_mw2" hidden="1">{"consolidated",#N/A,FALSE,"Sheet1";"cms",#N/A,FALSE,"Sheet1";"fse",#N/A,FALSE,"Sheet1"}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Q1" hidden="1">{"'Standalone List Price Trends'!$A$1:$X$56"}</definedName>
    <definedName name="_Q2" hidden="1">{"'Standalone List Price Trends'!$A$1:$X$56"}</definedName>
    <definedName name="_Q3" hidden="1">{"'Standalone List Price Trends'!$A$1:$X$56"}</definedName>
    <definedName name="_Q4" hidden="1">{"'Standalone List Price Trends'!$A$1:$X$56"}</definedName>
    <definedName name="_Q5" hidden="1">{"'Standalone List Price Trends'!$A$1:$X$56"}</definedName>
    <definedName name="_Q9" hidden="1">{"'Standalone List Price Trends'!$A$1:$X$56"}</definedName>
    <definedName name="_Regression_Out" hidden="1">#REF!</definedName>
    <definedName name="_Regression_X" hidden="1">#REF!</definedName>
    <definedName name="_Regression_Y" hidden="1">#REF!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df2" hidden="1">{#N/A,#N/A,FALSE,"Calc";#N/A,#N/A,FALSE,"Sensitivity";#N/A,#N/A,FALSE,"LT Earn.Dil.";#N/A,#N/A,FALSE,"Dil. AVP"}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3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_w33" hidden="1">{"whole",#N/A,FALSE,"Gen_Dist_Act_Bud";"whole",#N/A,FALSE,"Gen_Dist_T3months";"whole",#N/A,FALSE,"GD_PerP";"whole",#N/A,FALSE,"HR Dist'n"}</definedName>
    <definedName name="_wrn2" hidden="1">{#N/A,#N/A,FALSE,"Summary";#N/A,#N/A,FALSE,"Details";#N/A,#N/A,FALSE,"Month-Hd";#N/A,#N/A,FALSE,"YTD-Hd";#N/A,#N/A,FALSE,"Capital"}</definedName>
    <definedName name="_x3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" hidden="1">{#N/A,#N/A,FALSE,"BAL";#N/A,#N/A,FALSE,"P&amp;L";#N/A,#N/A,FALSE,"REV";#N/A,#N/A,FALSE,"COS";#N/A,#N/A,FALSE,"DPT";#N/A,#N/A,FALSE,"CSS";#N/A,#N/A,FALSE,"IMP";#N/A,#N/A,FALSE,"OPS";#N/A,#N/A,FALSE,"DVL";#N/A,#N/A,FALSE,"ADM"}</definedName>
    <definedName name="A_ALL_BOX">#REF!</definedName>
    <definedName name="A_ALL_DBX">#REF!</definedName>
    <definedName name="A_ALL_KEYWORDS_TYPE_ScalarContributed_EQTY_200019588">#REF!,#REF!,#REF!,#REF!</definedName>
    <definedName name="A_ALL_KEYWORDS_TYPE_ScalarContributed_ISSR_208018133">#REF!,#REF!,#REF!,#REF!,#REF!,#REF!,#REF!,#REF!,#REF!,#REF!,#REF!,#REF!</definedName>
    <definedName name="A_ALL_KEYWORDS_TYPE_Vector_EQTY_200019588">#REF!,#REF!,#REF!,#REF!,#REF!,#REF!,#REF!</definedName>
    <definedName name="A_ALL_KEYWORDS_TYPE_Vector_ISSR_208018133">#REF!,#REF!,#REF!,#REF!,#REF!,#REF!,#REF!,#REF!,#REF!,#REF!,#REF!,#REF!,#REF!,#REF!,#REF!,#REF!,#REF!,#REF!,#REF!,#REF!,#REF!,#REF!,#REF!</definedName>
    <definedName name="A_ALL_MDB">#REF!</definedName>
    <definedName name="A_ALL_NTNX">[1]NTNX_Annotation_Sheet!$A$1:$CB$331</definedName>
    <definedName name="A_ALL_PVTL">#REF!</definedName>
    <definedName name="A_ALL_SECTION_KEYWORDS_EQTY_200019588_13A">#REF!</definedName>
    <definedName name="A_ALL_SECTION_KEYWORDS_EQTY_200019588_13K">#REF!</definedName>
    <definedName name="A_ALL_SECTION_KEYWORDS_ISSR_208018133_1314">#REF!</definedName>
    <definedName name="A_ALL_SECTION_KEYWORDS_ISSR_208018133_1319">#REF!</definedName>
    <definedName name="A_ALL_SECTION_KEYWORDS_ISSR_208018133_131E">#REF!</definedName>
    <definedName name="A_ALL_SECTION_KEYWORDS_ISSR_208018133_13V">#REF!,#REF!</definedName>
    <definedName name="A_ALL_SECTION_KEYWORDS_ISSR_208020111_136J">#REF!,#REF!</definedName>
    <definedName name="A_ALL_SNOW">#REF!</definedName>
    <definedName name="A_ALL_TTAN">#REF!</definedName>
    <definedName name="a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_DOCTOPS" hidden="1">"AAA_SET"</definedName>
    <definedName name="AAA_duser" hidden="1">"OFF"</definedName>
    <definedName name="aaa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111299" hidden="1">{"whole",#N/A,FALSE,"Gen_Dist_Act_Bud";"whole",#N/A,FALSE,"Gen_Dist_T3months";"whole",#N/A,FALSE,"GD_PerP";"whole",#N/A,FALSE,"HR Dist'n"}</definedName>
    <definedName name="aaaa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a" hidden="1">{"whole",#N/A,FALSE,"CS HC";"whole",#N/A,FALSE,"CS_ACTvsBud";"whole",#N/A,FALSE,"CSTrail3mo";"whole",#N/A,FALSE,"CS Cost Per Head ";"whole",#N/A,FALSE,"CS CPH YTD"}</definedName>
    <definedName name="aaaaaa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aaaaa" hidden="1">{"whole",#N/A,FALSE,"Gen_Dist_Act_Bud";"whole",#N/A,FALSE,"Gen_Dist_T3months";"whole",#N/A,FALSE,"GD_PerP";"whole",#N/A,FALSE,"HR Dist'n"}</definedName>
    <definedName name="aaaaaaaaa" hidden="1">{"whole",#N/A,FALSE,"CS HC";"whole",#N/A,FALSE,"CS_ACTvsBud";"whole",#N/A,FALSE,"CSTrail3mo";"whole",#N/A,FALSE,"CS Cost Per Head ";"whole",#N/A,FALSE,"CS CPH YTD"}</definedName>
    <definedName name="aaaaaaaaaa" hidden="1">{"whole",#N/A,FALSE,"CS FIN Sum For Rox";"whole",#N/A,FALSE,"Gen_Dist_Act_Bud";"whole",#N/A,FALSE,"Gen_Dist_T3months";"whole",#N/A,FALSE,"GD_PerP";"whole",#N/A,FALSE,"CS_DIST_ActvsBud";"whole",#N/A,FALSE,"CS_DIST_SUM_trail3mo"}</definedName>
    <definedName name="aaaaaaaaaa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aaaaaaaaaaa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aaaaaaaaaaaaaaaaa" hidden="1">{#N/A,#N/A,FALSE,"Calc";#N/A,#N/A,FALSE,"Sensitivity";#N/A,#N/A,FALSE,"LT Earn.Dil.";#N/A,#N/A,FALSE,"Dil. AVP"}</definedName>
    <definedName name="aaaaaaaaaaaaaaaaaa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ab" hidden="1">{"whole",#N/A,FALSE,"Gen_Dist_Act_Bud";"whole",#N/A,FALSE,"Gen_Dist_T3months";"whole",#N/A,FALSE,"GD_PerP";"whole",#N/A,FALSE,"HR Dist'n"}</definedName>
    <definedName name="aaag" hidden="1">{#N/A,#N/A,TRUE,"financial";#N/A,#N/A,TRUE,"plants"}</definedName>
    <definedName name="aaag2" hidden="1">{#N/A,#N/A,TRUE,"financial";#N/A,#N/A,TRUE,"plants"}</definedName>
    <definedName name="aa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hidden="1">{#N/A,#N/A,FALSE,"Summary";#N/A,#N/A,FALSE,"Details";#N/A,#N/A,FALSE,"Month-Hd";#N/A,#N/A,FALSE,"YTD-Hd";#N/A,#N/A,FALSE,"Capital"}</definedName>
    <definedName name="aabba" hidden="1">{#N/A,#N/A,FALSE,"Summary";#N/A,#N/A,FALSE,"Details";#N/A,#N/A,FALSE,"Month-Hd";#N/A,#N/A,FALSE,"YTD-Hd";#N/A,#N/A,FALSE,"Capital"}</definedName>
    <definedName name="aabbaa" hidden="1">{"whole",#N/A,FALSE,"Gen_Dist_Act_Bud";"whole",#N/A,FALSE,"Gen_Dist_T3months";"whole",#N/A,FALSE,"GD_PerP";"whole",#N/A,FALSE,"HR Dist'n"}</definedName>
    <definedName name="aabbaabb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adge" hidden="1">{"barthelet detail",#N/A,FALSE,"96 plan Q1";"barthelet summ",#N/A,FALSE,"96 plan Q1"}</definedName>
    <definedName name="ab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abaa" hidden="1">{"whole",#N/A,FALSE,"Gen_Dist_Act_Bud";"whole",#N/A,FALSE,"Gen_Dist_T3months";"whole",#N/A,FALSE,"GD_PerP";"whole",#N/A,FALSE,"HR Dist'n"}</definedName>
    <definedName name="abaabaa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abaa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ab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ababab" hidden="1">{"whole",#N/A,FALSE,"CS HC";"whole",#N/A,FALSE,"CS_ACTvsBud";"whole",#N/A,FALSE,"CSTrail3mo";"whole",#N/A,FALSE,"CS Cost Per Head ";"whole",#N/A,FALSE,"CS CPH YTD"}</definedName>
    <definedName name="abababa" hidden="1">{"whole",#N/A,FALSE,"CS HC";"whole",#N/A,FALSE,"CS_ACTvsBud";"whole",#N/A,FALSE,"CSTrail3mo";"whole",#N/A,FALSE,"CS Cost Per Head ";"whole",#N/A,FALSE,"CS CPH YTD"}</definedName>
    <definedName name="abababa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babababab" hidden="1">{"whole",#N/A,FALSE,"CS FIN Sum For Rox";"whole",#N/A,FALSE,"Gen_Dist_Act_Bud";"whole",#N/A,FALSE,"Gen_Dist_T3months";"whole",#N/A,FALSE,"GD_PerP";"whole",#N/A,FALSE,"CS_DIST_ActvsBud";"whole",#N/A,FALSE,"CS_DIST_SUM_trail3mo"}</definedName>
    <definedName name="ababababab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ababababab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bab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bc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bcd" hidden="1">{#N/A,#N/A,FALSE,"CBE";#N/A,#N/A,FALSE,"SWK"}</definedName>
    <definedName name="abcde" hidden="1">{"comp1",#N/A,FALSE,"COMPS";"footnotes",#N/A,FALSE,"COMPS"}</definedName>
    <definedName name="abcdef" hidden="1">{"up stand alones",#N/A,FALSE,"Acquiror"}</definedName>
    <definedName name="abs" hidden="1">{#N/A,#N/A,FALSE,"Summary";#N/A,#N/A,FALSE,"Expense";#N/A,#N/A,FALSE,"Capital"}</definedName>
    <definedName name="aca" hidden="1">{#N/A,#N/A,TRUE,"Pro Forma";#N/A,#N/A,TRUE,"PF_Bal";#N/A,#N/A,TRUE,"PF_INC";#N/A,#N/A,TRUE,"CBE";#N/A,#N/A,TRUE,"SWK"}</definedName>
    <definedName name="Acc" hidden="1">{"closed",#N/A,FALSE,"Consolidated Products - Budget";"expanded",#N/A,FALSE,"Consolidated Products - Budget"}</definedName>
    <definedName name="ACwvu.incearn." hidden="1">#REF!</definedName>
    <definedName name="addg" hidden="1">{#N/A,#N/A,FALSE,"CBE";#N/A,#N/A,FALSE,"SWK"}</definedName>
    <definedName name="addg2" hidden="1">{#N/A,#N/A,FALSE,"CBE";#N/A,#N/A,FALSE,"SWK"}</definedName>
    <definedName name="addga" hidden="1">{#N/A,#N/A,FALSE,"CBE";#N/A,#N/A,FALSE,"SWK"}</definedName>
    <definedName name="addga2" hidden="1">{#N/A,#N/A,FALSE,"CBE";#N/A,#N/A,FALSE,"SWK"}</definedName>
    <definedName name="adf" hidden="1">{"closed",#N/A,FALSE,"Consolidated Products - Budget";"expanded",#N/A,FALSE,"Consolidated Products - Budget"}</definedName>
    <definedName name="adfafdsas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dmin3" hidden="1">{"whole",#N/A,FALSE,"Gen_Dist_Act_Bud";"whole",#N/A,FALSE,"Gen_Dist_T3months";"whole",#N/A,FALSE,"GD_PerP";"whole",#N/A,FALSE,"HR Dist'n"}</definedName>
    <definedName name="afdafadsfasdf" hidden="1">{"whole",#N/A,FALSE,"Gen_Dist_Act_Bud";"whole",#N/A,FALSE,"Gen_Dist_T3months";"whole",#N/A,FALSE,"GD_PerP";"whole",#N/A,FALSE,"HR Dist'n"}</definedName>
    <definedName name="afdasf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afdeafdaf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fdfsdfsdfsd" hidden="1">{"closed",#N/A,FALSE,"Consolidated Products - Budget";"expanded",#N/A,FALSE,"Consolidated Products - Budget"}</definedName>
    <definedName name="afsasdfsda" hidden="1">{"whole",#N/A,FALSE,"CS HC";"whole",#N/A,FALSE,"CS_ACTvsBud";"whole",#N/A,FALSE,"CSTrail3mo";"whole",#N/A,FALSE,"CS Cost Per Head ";"whole",#N/A,FALSE,"CS CPH YTD"}</definedName>
    <definedName name="afsdasdfsdfa" hidden="1">{"Chart 1",#N/A,FALSE,"Run Rate";"Chart 2",#N/A,FALSE,"Run Rate (2)"}</definedName>
    <definedName name="ag" hidden="1">{#N/A,#N/A,TRUE,"Pro Forma";#N/A,#N/A,TRUE,"PF_Bal";#N/A,#N/A,TRUE,"PF_INC";#N/A,#N/A,TRUE,"CBE";#N/A,#N/A,TRUE,"SWK"}</definedName>
    <definedName name="AJHFkjDGHF" hidden="1">{"Annual_Income",#N/A,FALSE,"Report Page";"Balance_Cash_Flow",#N/A,FALSE,"Report Page";"Quarterly_Income",#N/A,FALSE,"Report Page"}</definedName>
    <definedName name="AL_email">"alamba@isigrp.com"</definedName>
    <definedName name="AL_phone">"(XXX) XXX-XXXX"</definedName>
    <definedName name="amarketing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scount" hidden="1">1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qaqaq" hidden="1">{"whole",#N/A,FALSE,"Gen_Dist_Act_Bud";"whole",#N/A,FALSE,"Gen_Dist_T3months";"whole",#N/A,FALSE,"GD_PerP";"whole",#N/A,FALSE,"HR Dist'n"}</definedName>
    <definedName name="as" hidden="1">{#N/A,#N/A,FALSE,"Summary";#N/A,#N/A,FALSE,"Expense";#N/A,#N/A,FALSE,"Capital"}</definedName>
    <definedName name="asa" hidden="1">{"comp1",#N/A,FALSE,"COMPS";"footnotes",#N/A,FALSE,"COMPS"}</definedName>
    <definedName name="asad" hidden="1">{"away stand alones",#N/A,FALSE,"Target"}</definedName>
    <definedName name="asdf" hidden="1">{"'Standalone List Price Trends'!$A$1:$X$56"}</definedName>
    <definedName name="asdf2" hidden="1">{#N/A,#N/A,FALSE,"Calc";#N/A,#N/A,FALSE,"Sensitivity";#N/A,#N/A,FALSE,"LT Earn.Dil.";#N/A,#N/A,FALSE,"Dil. AVP"}</definedName>
    <definedName name="asdfa" hidden="1">{#N/A,#N/A,FALSE,"Calc";#N/A,#N/A,FALSE,"Sensitivity";#N/A,#N/A,FALSE,"LT Earn.Dil.";#N/A,#N/A,FALSE,"Dil. AVP"}</definedName>
    <definedName name="asdfa2" hidden="1">{#N/A,#N/A,FALSE,"Calc";#N/A,#N/A,FALSE,"Sensitivity";#N/A,#N/A,FALSE,"LT Earn.Dil.";#N/A,#N/A,FALSE,"Dil. AVP"}</definedName>
    <definedName name="asdfacawe" hidden="1">{"comps",#N/A,FALSE,"HANDPACK";"footnotes",#N/A,FALSE,"HANDPACK"}</definedName>
    <definedName name="asdfagsdfg" hidden="1">{"consolidated",#N/A,FALSE,"Sheet1";"cms",#N/A,FALSE,"Sheet1";"fse",#N/A,FALSE,"Sheet1"}</definedName>
    <definedName name="asdfas" hidden="1">{"comp1",#N/A,FALSE,"COMPS";"footnotes",#N/A,FALSE,"COMPS"}</definedName>
    <definedName name="asdfasdf" hidden="1">{"hiden",#N/A,FALSE,"14";"hidden",#N/A,FALSE,"16";"hidden",#N/A,FALSE,"18";"hidden",#N/A,FALSE,"20"}</definedName>
    <definedName name="asdfasdfasdf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asdgasdfasdf" hidden="1">{"whole",#N/A,FALSE,"CS FIN Sum For Rox";"whole",#N/A,FALSE,"Gen_Dist_Act_Bud";"whole",#N/A,FALSE,"Gen_Dist_T3months";"whole",#N/A,FALSE,"GD_PerP";"whole",#N/A,FALSE,"CS_DIST_ActvsBud";"whole",#N/A,FALSE,"CS_DIST_SUM_trail3mo"}</definedName>
    <definedName name="asdfasdgasdfasdgasd" hidden="1">{"Chart 1",#N/A,FALSE,"Run Rate";"Chart 2",#N/A,FALSE,"Run Rate (2)"}</definedName>
    <definedName name="asdfawef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asdfawer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asdfffffg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fghaers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asdgaserqwe" hidden="1">{"comps2",#N/A,FALSE,"AERO";"footnotes",#N/A,FALSE,"AERO"}</definedName>
    <definedName name="asdtf" hidden="1">{"'Standalone List Price Trends'!$A$1:$X$56"}</definedName>
    <definedName name="asfasdfas" hidden="1">{#N/A,#N/A,TRUE,"Pro Forma";#N/A,#N/A,TRUE,"PF_Bal";#N/A,#N/A,TRUE,"PF_INC";#N/A,#N/A,TRUE,"CBE";#N/A,#N/A,TRUE,"SWK"}</definedName>
    <definedName name="asfawfzxcv" hidden="1">{"up stand alones",#N/A,FALSE,"Acquiror"}</definedName>
    <definedName name="asfdfasdfasdgasdf" hidden="1">{"whole",#N/A,FALSE,"CS HC";"whole",#N/A,FALSE,"CS_ACTvsBud";"whole",#N/A,FALSE,"CSTrail3mo";"whole",#N/A,FALSE,"CS Cost Per Head ";"whole",#N/A,FALSE,"CS CPH YTD"}</definedName>
    <definedName name="asggdasgasdg" hidden="1">{"'Standalone List Price Trends'!$A$1:$X$56"}</definedName>
    <definedName name="asw" hidden="1">{"barthelet detail",#N/A,FALSE,"96 plan Q1";"barthelet summ",#N/A,FALSE,"96 plan Q1"}</definedName>
    <definedName name="AV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dd" hidden="1">{#N/A,#N/A,FALSE,"Calc";#N/A,#N/A,FALSE,"Sensitivity";#N/A,#N/A,FALSE,"LT Earn.Dil.";#N/A,#N/A,FALSE,"Dil. AVP"}</definedName>
    <definedName name="AVELIFE">3</definedName>
    <definedName name="aw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awp" hidden="1">{"barthelet detail",#N/A,FALSE,"96 plan Q1";"barthelet summ",#N/A,FALSE,"96 plan Q1"}</definedName>
    <definedName name="az" hidden="1">{"comp1",#N/A,FALSE,"COMPS";"footnotes",#N/A,FALSE,"COMPS"}</definedName>
    <definedName name="b" hidden="1">{"Chart 1",#N/A,FALSE,"Run Rate";"Chart 2",#N/A,FALSE,"Run Rate (2)"}</definedName>
    <definedName name="ba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bab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bababab" hidden="1">{"whole",#N/A,FALSE,"Gen_Dist_Act_Bud";"whole",#N/A,FALSE,"Gen_Dist_T3months";"whole",#N/A,FALSE,"GD_PerP";"whole",#N/A,FALSE,"HR Dist'n"}</definedName>
    <definedName name="bababab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BalSheet" hidden="1">{"closed",#N/A,FALSE,"Consolidated Products - Budget";"expanded",#N/A,FALSE,"Consolidated Products - Budget"}</definedName>
    <definedName name="BB_email">"bbaytosh@isigrp.com"</definedName>
    <definedName name="BB_phone">"(212) 446-9469"</definedName>
    <definedName name="bbb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belnew" hidden="1">{"IS",#N/A,FALSE,"IS";"RPTIS",#N/A,FALSE,"RPTIS";"STATS",#N/A,FALSE,"STATS";"CELL",#N/A,FALSE,"CELL";"BS",#N/A,FALSE,"BS"}</definedName>
    <definedName name="blah" hidden="1">{"closed",#N/A,FALSE,"Consolidated Products - Budget";"expanded",#N/A,FALSE,"Consolidated Products - Budget"}</definedName>
    <definedName name="blah2" hidden="1">{"closed",#N/A,FALSE,"Consolidated Products - Budget";"expanded",#N/A,FALSE,"Consolidated Products - Budget"}</definedName>
    <definedName name="BLPH5" hidden="1">#REF!</definedName>
    <definedName name="bnkj" hidden="1">{#N/A,#N/A,FALSE,"output";#N/A,#N/A,FALSE,"contrib";#N/A,#N/A,FALSE,"profile";#N/A,#N/A,FALSE,"comps"}</definedName>
    <definedName name="BPDecember" hidden="1">{#N/A,#N/A,FALSE,"BAL";#N/A,#N/A,FALSE,"P&amp;L";#N/A,#N/A,FALSE,"REV";#N/A,#N/A,FALSE,"COS";#N/A,#N/A,FALSE,"DPT";#N/A,#N/A,FALSE,"CSS";#N/A,#N/A,FALSE,"IMP";#N/A,#N/A,FALSE,"OPS";#N/A,#N/A,FALSE,"DVL";#N/A,#N/A,FALSE,"ADM"}</definedName>
    <definedName name="BS" hidden="1">{"closed",#N/A,FALSE,"Consolidated Products - Budget";"expanded",#N/A,FALSE,"Consolidated Products - Budget"}</definedName>
    <definedName name="bxz" hidden="1">{"whole",#N/A,FALSE,"CS FIN Sum For Rox";"whole",#N/A,FALSE,"Gen_Dist_Act_Bud";"whole",#N/A,FALSE,"Gen_Dist_T3months";"whole",#N/A,FALSE,"GD_PerP";"whole",#N/A,FALSE,"CS_DIST_ActvsBud";"whole",#N/A,FALSE,"CS_DIST_SUM_trail3mo"}</definedName>
    <definedName name="Cable" hidden="1">{#N/A,#N/A,FALSE,"Operations";#N/A,#N/A,FALSE,"Financials"}</definedName>
    <definedName name="Cable2" hidden="1">{#N/A,#N/A,FALSE,"Operations";#N/A,#N/A,FALSE,"Financials"}</definedName>
    <definedName name="Cash" hidden="1">{"closed",#N/A,FALSE,"Consolidated Products - Budget";"expanded",#N/A,FALSE,"Consolidated Products - Budget"}</definedName>
    <definedName name="cawefasdv" hidden="1">{"consolidated",#N/A,FALSE,"Sheet1";"cms",#N/A,FALSE,"Sheet1";"fse",#N/A,FALSE,"Sheet1"}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IQANR_074c96fa1b264a7681c84c4479403467" hidden="1">#REF!</definedName>
    <definedName name="CIQANR_0753eb2f6a3b4b27942844a55d406436" hidden="1">#REF!</definedName>
    <definedName name="CIQANR_08945660ed804649933f04648bdc8ac4" hidden="1">#REF!</definedName>
    <definedName name="CIQANR_0963686db8f14850bfa7d9a46ce4f450" hidden="1">#REF!</definedName>
    <definedName name="CIQANR_12927c5f23b74e3da471c712421156ab" hidden="1">#REF!</definedName>
    <definedName name="CIQANR_1d8db8e7978a4dc585f3fe9ae5907e22" hidden="1">#REF!</definedName>
    <definedName name="CIQANR_1ee6e7d8db42408abf7aec3fb502b082" hidden="1">#REF!</definedName>
    <definedName name="CIQANR_20045a5dae86429187850789640d891d" hidden="1">#REF!</definedName>
    <definedName name="CIQANR_2a0240cb432245dbba24c2d127a0ca46" hidden="1">#REF!</definedName>
    <definedName name="CIQANR_2bc839a3e8af4d21ac881696f6e94c59" hidden="1">#REF!</definedName>
    <definedName name="CIQANR_2d757d5d8c644946a5fa4a4921fdeb4a" hidden="1">#REF!</definedName>
    <definedName name="CIQANR_2dbbfeeaa5ea4052ac8a10fb734fa576" hidden="1">#REF!</definedName>
    <definedName name="CIQANR_2ed5513632dc45d09fb5848c58e2efb3" hidden="1">#REF!</definedName>
    <definedName name="CIQANR_35a9a0bc6711402494fc42e649d51cb2" hidden="1">#REF!</definedName>
    <definedName name="CIQANR_3613289b64e2447499ad5d8258f02eab" hidden="1">#REF!</definedName>
    <definedName name="CIQANR_3674853963d44c17a940e3821e28ddc5" hidden="1">#REF!</definedName>
    <definedName name="CIQANR_37f98c7f39dc4cd2888f51282def4486" hidden="1">#REF!</definedName>
    <definedName name="CIQANR_38b133196578421880c0cad2e0c78706" hidden="1">#REF!</definedName>
    <definedName name="CIQANR_3b4a7be8771144a692ae9a7b11b778bd" hidden="1">#REF!</definedName>
    <definedName name="CIQANR_3fb8690252ef49f2a380b53287a92230" hidden="1">#REF!</definedName>
    <definedName name="CIQANR_4569fe7ebc174740bcc61e1a8b19093a" hidden="1">#REF!</definedName>
    <definedName name="CIQANR_4b5ea3c6b25e4fe69d44851136e0095b" hidden="1">#REF!</definedName>
    <definedName name="CIQANR_4c23ba5385fc4b5ba618495afd459df2" hidden="1">#REF!</definedName>
    <definedName name="CIQANR_4c70a56b1f5a46ddac89c5267fa8dd28" hidden="1">#REF!</definedName>
    <definedName name="CIQANR_50fcbf3c9b2c413b9ac6bb6875891c7b" hidden="1">#REF!</definedName>
    <definedName name="CIQANR_535c6700cd69469fbef383fb4472327b" hidden="1">#REF!</definedName>
    <definedName name="CIQANR_55330b31aac4489c9e07a5b9493b1ae5" hidden="1">#REF!</definedName>
    <definedName name="CIQANR_57f747e113974db1bf587d371b260504" hidden="1">#REF!</definedName>
    <definedName name="CIQANR_5aa913d4360b408b97a1ee5304d8bd10" hidden="1">#REF!</definedName>
    <definedName name="CIQANR_62e7dea4399a49888295c93182fefa1c" hidden="1">#REF!</definedName>
    <definedName name="CIQANR_68d79c2f9303432ea0023ec89a5259e6" hidden="1">#REF!</definedName>
    <definedName name="CIQANR_6fc80cfa136149f68ed95b66f83be214" hidden="1">#REF!</definedName>
    <definedName name="CIQANR_78aef1bc0296448e8ce10d957a819fd5" hidden="1">#REF!</definedName>
    <definedName name="CIQANR_7a5f762162cf48438de869c729d934af" hidden="1">#REF!</definedName>
    <definedName name="CIQANR_7d4e15ac6dc24a08ac5fb213f8924297" hidden="1">#REF!</definedName>
    <definedName name="CIQANR_7e31911421f24913a98be5d1e334008f" hidden="1">#REF!</definedName>
    <definedName name="CIQANR_7e962ea71d344e698b43104fba07b458" hidden="1">#REF!</definedName>
    <definedName name="CIQANR_7f5200bf2c184dab9c1e869857116a96" hidden="1">#REF!</definedName>
    <definedName name="CIQANR_7ff087a88394446aa1ab771c4481a205" hidden="1">#REF!</definedName>
    <definedName name="CIQANR_85716b8d7c49421aaf289778bd550aeb" hidden="1">#REF!</definedName>
    <definedName name="CIQANR_8f8f35655e1a49b59480501950006da8" hidden="1">#REF!</definedName>
    <definedName name="CIQANR_9531e82f420f4cedaf627ed1100a7fdc" hidden="1">#REF!</definedName>
    <definedName name="CIQANR_95b9d522f3ee446791d03b33bba9edc2" hidden="1">#REF!</definedName>
    <definedName name="CIQANR_a062b8628db94f45aec0facca672d601" hidden="1">#REF!</definedName>
    <definedName name="CIQANR_aab42efac5ef4c509b2554bd12a0f590" hidden="1">#REF!</definedName>
    <definedName name="CIQANR_ac666b2460b643c09264e1d2d1cf14c3" hidden="1">#REF!</definedName>
    <definedName name="CIQANR_b2949d48175b428b835ac73633fb891c" hidden="1">#REF!</definedName>
    <definedName name="CIQANR_bbdcc70718d8424aa498c26dfae1c6f9" hidden="1">#REF!</definedName>
    <definedName name="CIQANR_c497e32d32234644882d52c762cd4358" hidden="1">#REF!</definedName>
    <definedName name="CIQANR_c709ce1d88934b8f91a7bb4237a08b21" hidden="1">#REF!</definedName>
    <definedName name="CIQANR_d1ff031ea5c34e149910cb74fcf56cb8" hidden="1">#REF!</definedName>
    <definedName name="CIQANR_d7a0cd4baf78477689878f332cabe73f" hidden="1">#REF!</definedName>
    <definedName name="CIQANR_dc0c8f66421d4ca1a3a95a89ac77417e" hidden="1">#REF!</definedName>
    <definedName name="CIQANR_dc89696fa30b4f0aa72909be5312b78e" hidden="1">#REF!</definedName>
    <definedName name="CIQANR_e07576eaad99421fbe74aed49cdd635c" hidden="1">#REF!</definedName>
    <definedName name="CIQANR_f3c88559812643de9dccffbc69869dbd" hidden="1">#REF!</definedName>
    <definedName name="CIQANR_f631602a4c424fffa279eb1e66ac6074" hidden="1">#REF!</definedName>
    <definedName name="CIQANR_f7f67894a97e425a9ccb6b8aa79c810f" hidden="1">#REF!</definedName>
    <definedName name="CIQANR_fb14c2263600408ca1b9a71aea99c803" hidden="1">#REF!</definedName>
    <definedName name="CIQWBGuid" hidden="1">"821f58f8-7e7c-46fd-b401-88b8afa609fc"</definedName>
    <definedName name="ckckckckck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ooper2" hidden="1">{#N/A,#N/A,TRUE,"Pro Forma";#N/A,#N/A,TRUE,"PF_Bal";#N/A,#N/A,TRUE,"PF_INC";#N/A,#N/A,TRUE,"CBE";#N/A,#N/A,TRUE,"SWK"}</definedName>
    <definedName name="copper2a" hidden="1">{#N/A,#N/A,TRUE,"Pro Forma";#N/A,#N/A,TRUE,"PF_Bal";#N/A,#N/A,TRUE,"PF_INC";#N/A,#N/A,TRUE,"CBE";#N/A,#N/A,TRUE,"SWK"}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71.ScalingFactor" hidden="1">1000</definedName>
    <definedName name="CUR3MTH">6</definedName>
    <definedName name="CURCYTD">9</definedName>
    <definedName name="CURMTH">1</definedName>
    <definedName name="CURMYTD">12</definedName>
    <definedName name="CURRENT_MONTH_FIXING">23</definedName>
    <definedName name="CURRENT_MONTH_SPOT">6</definedName>
    <definedName name="CURWEEK">1</definedName>
    <definedName name="cvaweravcsd" hidden="1">{"general",#N/A,FALSE,"Assumptions"}</definedName>
    <definedName name="cvvb" hidden="1">{"whole",#N/A,FALSE,"CS HC";"whole",#N/A,FALSE,"CS_ACTvsBud";"whole",#N/A,FALSE,"CSTrail3mo";"whole",#N/A,FALSE,"CS Cost Per Head ";"whole",#N/A,FALSE,"CS CPH YTD"}</definedName>
    <definedName name="Cwvu.CISHRF1999." hidden="1">#REF!,#REF!,#REF!,#REF!,#REF!,#REF!,#REF!,#REF!,#REF!,#REF!,#REF!,#REF!,#REF!,#REF!,#REF!,#REF!,#REF!,#REF!,#REF!,#REF!,#REF!,#REF!,#REF!,#REF!,#REF!,#REF!,#REF!</definedName>
    <definedName name="Cwvu.CONS96." hidden="1">#REF!,#REF!</definedName>
    <definedName name="Cwvu.FY94_99annual." hidden="1">#REF!,#REF!</definedName>
    <definedName name="Cwvu.NAMTaxF1999." hidden="1">#REF!,#REF!,#REF!,#REF!,#REF!,#REF!,#REF!,#REF!,#REF!,#REF!,#REF!,#REF!,#REF!,#REF!,#REF!</definedName>
    <definedName name="Cwvu.Qtr." hidden="1">#REF!,#REF!,#REF!,#REF!,#REF!</definedName>
    <definedName name="CYTDVOL">11</definedName>
    <definedName name="czfb" hidden="1">{"whole",#N/A,FALSE,"Gen_Dist_Act_Bud";"whole",#N/A,FALSE,"Gen_Dist_T3months";"whole",#N/A,FALSE,"GD_PerP";"whole",#N/A,FALSE,"HR Dist'n"}</definedName>
    <definedName name="czx" hidden="1">{#N/A,#N/A,FALSE,"Aging Summary";#N/A,#N/A,FALSE,"Ratio Analysis";#N/A,#N/A,FALSE,"Test 120 Day Accts";#N/A,#N/A,FALSE,"Tickmarks"}</definedName>
    <definedName name="czxzx" hidden="1">{#N/A,#N/A,FALSE,"Aging Summary";#N/A,#N/A,FALSE,"Ratio Analysis";#N/A,#N/A,FALSE,"Test 120 Day Accts";#N/A,#N/A,FALSE,"Tickmarks"}</definedName>
    <definedName name="d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dad" hidden="1">{"Quarterly (Earnings model )",#N/A,FALSE,"Earnings model ";"Quarterlycompare (Earnings model )",#N/A,FALSE,"Earnings model ";"Annual (Earnings model )",#N/A,FALSE,"Earnings model "}</definedName>
    <definedName name="dasfdafas" hidden="1">{#N/A,#N/A,FALSE,"Summary";#N/A,#N/A,FALSE,"Expense";#N/A,#N/A,FALSE,"Capital"}</definedName>
    <definedName name="DB">"WIRENYPROD"</definedName>
    <definedName name="dd" hidden="1">{"Quarterly (Earnings model )",#N/A,FALSE,"Earnings model ";"Quarterlycompare (Earnings model )",#N/A,FALSE,"Earnings model ";"Annual (Earnings model )",#N/A,FALSE,"Earnings model "}</definedName>
    <definedName name="ddccd" hidden="1">{"Quarterly (Earnings model )",#N/A,FALSE,"Earnings model ";"Quarterlycompare (Earnings model )",#N/A,FALSE,"Earnings model ";"Annual (Earnings model )",#N/A,FALSE,"Earnings model "}</definedName>
    <definedName name="ddd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ddd" hidden="1">{"Quarterly (Earnings model )",#N/A,FALSE,"Earnings model ";"Quarterlycompare (Earnings model )",#N/A,FALSE,"Earnings model ";"Annual (Earnings model )",#N/A,FALSE,"Earnings model "}</definedName>
    <definedName name="ddddd" hidden="1">{"Quarterly (Earnings model )",#N/A,FALSE,"Earnings model ";"Quarterlycompare (Earnings model )",#N/A,FALSE,"Earnings model ";"Annual (Earnings model )",#N/A,FALSE,"Earnings model "}</definedName>
    <definedName name="delete1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df" hidden="1">{"comps",#N/A,FALSE,"comps";"notes",#N/A,FALSE,"comps"}</definedName>
    <definedName name="dfa" hidden="1">{"Annual_Income",#N/A,FALSE,"Report Page";"Balance_Cash_Flow",#N/A,FALSE,"Report Page";"Quarterly_Income",#N/A,FALSE,"Report Page"}</definedName>
    <definedName name="dfas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dfasfdf" hidden="1">{"whole",#N/A,FALSE,"Gen_Dist_Act_Bud";"whole",#N/A,FALSE,"Gen_Dist_T3months";"whole",#N/A,FALSE,"GD_PerP";"whole",#N/A,FALSE,"HR Dist'n"}</definedName>
    <definedName name="dfd" hidden="1">{"comp1",#N/A,FALSE,"COMPS";"footnotes",#N/A,FALSE,"COMPS"}</definedName>
    <definedName name="dfda" hidden="1">{"comp1",#N/A,FALSE,"COMPS";"footnotes",#N/A,FALSE,"COMPS"}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saadsfa" hidden="1">{#N/A,#N/A,FALSE,"Calc";#N/A,#N/A,FALSE,"Sensitivity";#N/A,#N/A,FALSE,"LT Earn.Dil.";#N/A,#N/A,FALSE,"Dil. AVP"}</definedName>
    <definedName name="dfsh" hidden="1">{"whole",#N/A,FALSE,"CS FIN Sum For Rox";"whole",#N/A,FALSE,"Gen_Dist_Act_Bud";"whole",#N/A,FALSE,"Gen_Dist_T3months";"whole",#N/A,FALSE,"GD_PerP";"whole",#N/A,FALSE,"CS_DIST_ActvsBud";"whole",#N/A,FALSE,"CS_DIST_SUM_trail3mo"}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ocisscrewed" hidden="1">{"whole",#N/A,FALSE,"CS FIN Sum For Rox";"whole",#N/A,FALSE,"Gen_Dist_Act_Bud";"whole",#N/A,FALSE,"Gen_Dist_T3months";"whole",#N/A,FALSE,"GD_PerP";"whole",#N/A,FALSE,"CS_DIST_ActvsBud";"whole",#N/A,FALSE,"CS_DIST_SUM_trail3mo"}</definedName>
    <definedName name="DoCoMo" hidden="1">{"test2",#N/A,TRUE,"Prices"}</definedName>
    <definedName name="ds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dtu" hidden="1">{#N/A,#N/A,TRUE,"financial";#N/A,#N/A,TRUE,"plants"}</definedName>
    <definedName name="e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E_acquire" hidden="1">{"closed",#N/A,FALSE,"Consolidated Products - Budget";"expanded",#N/A,FALSE,"Consolidated Products - Budget"}</definedName>
    <definedName name="E_ALL_BOX">#REF!</definedName>
    <definedName name="E_ALL_DBX">#REF!</definedName>
    <definedName name="E_ALL_MDB">#REF!</definedName>
    <definedName name="E_ALL_MSFT">[2]MSFT_Exchange_Sheet!$A$1:$FE$331</definedName>
    <definedName name="E_ALL_NTNX">[1]NTNX_Exchange_Sheet!$A$1:$CB$331</definedName>
    <definedName name="E_ALL_PING">#REF!</definedName>
    <definedName name="E_ALL_PVTL">#REF!</definedName>
    <definedName name="E_ALL_SECTION_KEYWORDS_ISSR_208020111_136J">#REF!,#REF!</definedName>
    <definedName name="E_ALL_SNOW">#REF!</definedName>
    <definedName name="E_ALL_TTAN">#REF!</definedName>
    <definedName name="ea" hidden="1">{"barthelet detail",#N/A,FALSE,"96 plan Q1";"barthelet summ",#N/A,FALSE,"96 plan Q1"}</definedName>
    <definedName name="eas" hidden="1">{"barthelet detail",#N/A,FALSE,"96 plan Q1";"barthelet summ",#N/A,FALSE,"96 plan Q1"}</definedName>
    <definedName name="ed5dyx" hidden="1">{#N/A,#N/A,FALSE,"CBE";#N/A,#N/A,FALSE,"SWK"}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e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eeee" hidden="1">{#N/A,#N/A,FALSE,"Calc";#N/A,#N/A,FALSE,"Sensitivity";#N/A,#N/A,FALSE,"LT Earn.Dil.";#N/A,#N/A,FALSE,"Dil. AVP"}</definedName>
    <definedName name="eeeeee" hidden="1">{"barthelet detail",#N/A,FALSE,"96 plan Q1";"barthelet summ",#N/A,FALSE,"96 plan Q1"}</definedName>
    <definedName name="effodd" hidden="1">{"'Standalone List Price Trends'!$A$1:$X$56"}</definedName>
    <definedName name="eltonwelke" hidden="1">{"whole",#N/A,FALSE,"Gen_Dist_Act_Bud";"whole",#N/A,FALSE,"Gen_Dist_T3months";"whole",#N/A,FALSE,"GD_PerP";"whole",#N/A,FALSE,"HR Dist'n"}</definedName>
    <definedName name="emily" hidden="1">{#N/A,#N/A,FALSE,"Calc";#N/A,#N/A,FALSE,"Sensitivity";#N/A,#N/A,FALSE,"LT Earn.Dil.";#N/A,#N/A,FALSE,"Dil. AVP"}</definedName>
    <definedName name="ev.Calculation" hidden="1">-4105</definedName>
    <definedName name="ev.Initialized" hidden="1">FALSE</definedName>
    <definedName name="ExecutiveSummary" hidden="1">{#N/A,#N/A,FALSE,"Summary";#N/A,#N/A,FALSE,"Details";#N/A,#N/A,FALSE,"Month-Hd";#N/A,#N/A,FALSE,"YTD-Hd";#N/A,#N/A,FALSE,"Capital"}</definedName>
    <definedName name="eyr" hidden="1">{"hiden",#N/A,FALSE,"14";"hidden",#N/A,FALSE,"16";"hidden",#N/A,FALSE,"18";"hidden",#N/A,FALSE,"20"}</definedName>
    <definedName name="f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adsfasdfasf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aerqawevc" hidden="1">{"trans assumptions",#N/A,FALSE,"Merger";"trans accretion",#N/A,FALSE,"Merger"}</definedName>
    <definedName name="fasdsdadsfdsa" hidden="1">{"whole",#N/A,FALSE,"CS FIN Sum For Rox";"whole",#N/A,FALSE,"Gen_Dist_Act_Bud";"whole",#N/A,FALSE,"Gen_Dist_T3months";"whole",#N/A,FALSE,"GD_PerP";"whole",#N/A,FALSE,"CS_DIST_ActvsBud";"whole",#N/A,FALSE,"CS_DIST_SUM_trail3mo"}</definedName>
    <definedName name="fasefzcxv" hidden="1">{#N/A,#N/A,FALSE,"CBE";#N/A,#N/A,FALSE,"SWK"}</definedName>
    <definedName name="fawefawfea" hidden="1">{"comp1",#N/A,FALSE,"COMPS";"footnotes",#N/A,FALSE,"COMPS"}</definedName>
    <definedName name="fd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fda" hidden="1">{#N/A,#N/A,FALSE,"BAL";#N/A,#N/A,FALSE,"P&amp;L";#N/A,#N/A,FALSE,"REV";#N/A,#N/A,FALSE,"COS";#N/A,#N/A,FALSE,"DPT";#N/A,#N/A,FALSE,"CSS";#N/A,#N/A,FALSE,"IMP";#N/A,#N/A,FALSE,"OPS";#N/A,#N/A,FALSE,"DVL";#N/A,#N/A,FALSE,"ADM"}</definedName>
    <definedName name="fddf" hidden="1">{#N/A,#N/A,FALSE,"Summary";#N/A,#N/A,FALSE,"Details";#N/A,#N/A,FALSE,"Month-Hd";#N/A,#N/A,FALSE,"YTD-Hd";#N/A,#N/A,FALSE,"Capital"}</definedName>
    <definedName name="fddfd" hidden="1">{#N/A,#N/A,FALSE,"Summary";#N/A,#N/A,FALSE,"Details";#N/A,#N/A,FALSE,"Month-Hd";#N/A,#N/A,FALSE,"YTD-Hd";#N/A,#N/A,FALSE,"Capital"}</definedName>
    <definedName name="fdf" hidden="1">{#N/A,#N/A,FALSE,"Summary";#N/A,#N/A,FALSE,"Expense";#N/A,#N/A,FALSE,"Capital"}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7_1_aUrv" hidden="1">#REF!</definedName>
    <definedName name="FDP_170_1_aDrv" hidden="1">#REF!</definedName>
    <definedName name="FDP_170_1_aUrv" hidden="1">#REF!</definedName>
    <definedName name="FDP_171_1_aDrv" hidden="1">#REF!</definedName>
    <definedName name="FDP_171_1_aS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U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7_1_aUrv" hidden="1">#REF!</definedName>
    <definedName name="FDP_218_1_aUrv" hidden="1">#REF!</definedName>
    <definedName name="FDP_219_1_aUrv" hidden="1">#REF!</definedName>
    <definedName name="FDP_22_1_aDrv" hidden="1">#REF!</definedName>
    <definedName name="FDP_22_1_aU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Srv" hidden="1">#REF!</definedName>
    <definedName name="FDP_225_1_aSrv" hidden="1">#REF!</definedName>
    <definedName name="FDP_226_1_aSrv" hidden="1">#REF!</definedName>
    <definedName name="FDP_227_1_aS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D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2_1_aUrv" hidden="1">#REF!</definedName>
    <definedName name="FDP_33_1_aD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Srv" hidden="1">#REF!</definedName>
    <definedName name="FDP_37_1_aUrv" hidden="1">#REF!</definedName>
    <definedName name="FDP_38_1_aUrv" hidden="1">#REF!</definedName>
    <definedName name="FDP_39_1_aSrv" hidden="1">#REF!</definedName>
    <definedName name="FDP_39_1_aUrv" hidden="1">#REF!</definedName>
    <definedName name="FDP_4_1_aS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Srv" hidden="1">#REF!</definedName>
    <definedName name="FDP_45_1_aU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6_1_aUrv" hidden="1">#REF!</definedName>
    <definedName name="FDP_57_1_aSrv" hidden="1">#REF!</definedName>
    <definedName name="FDP_57_1_aUrv" hidden="1">#REF!</definedName>
    <definedName name="FDP_58_1_aUrv" hidden="1">#REF!</definedName>
    <definedName name="FDP_59_1_aSrv" hidden="1">#REF!</definedName>
    <definedName name="FDP_59_1_aUrv" hidden="1">#REF!</definedName>
    <definedName name="FDP_6_1_aSrv" hidden="1">#REF!</definedName>
    <definedName name="FDP_6_1_aUrv" hidden="1">#REF!</definedName>
    <definedName name="FDP_60_1_aUr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3_1_aUrv" hidden="1">#REF!</definedName>
    <definedName name="FDP_64_1_aUrv" hidden="1">#REF!</definedName>
    <definedName name="FDP_65_1_aS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8_1_aSrv" hidden="1">#REF!</definedName>
    <definedName name="FDP_68_1_aUrv" hidden="1">#REF!</definedName>
    <definedName name="FDP_69_1_aS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s" hidden="1">{"comps",#N/A,FALSE,"comps";"notes",#N/A,FALSE,"comps"}</definedName>
    <definedName name="fdsa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fdsaa" hidden="1">{"whole",#N/A,FALSE,"Gen_Dist_Act_Bud";"whole",#N/A,FALSE,"Gen_Dist_T3months";"whole",#N/A,FALSE,"GD_PerP";"whole",#N/A,FALSE,"HR Dist'n"}</definedName>
    <definedName name="fdsaasdfasdgasdf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fdsadsf" hidden="1">{#N/A,#N/A,FALSE,"Summary";#N/A,#N/A,FALSE,"Details";#N/A,#N/A,FALSE,"Month-Hd";#N/A,#N/A,FALSE,"YTD-Hd";#N/A,#N/A,FALSE,"Capital"}</definedName>
    <definedName name="fdsafdasdfasdf" hidden="1">{"whole",#N/A,FALSE,"Gen_Dist_Act_Bud";"whole",#N/A,FALSE,"Gen_Dist_T3months";"whole",#N/A,FALSE,"GD_PerP";"whole",#N/A,FALSE,"HR Dist'n"}</definedName>
    <definedName name="fdsafsadf" hidden="1">{#N/A,#N/A,FALSE,"Summary";#N/A,#N/A,FALSE,"Expense";#N/A,#N/A,FALSE,"Capital"}</definedName>
    <definedName name="fdsafsd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dsf" hidden="1">{"general",#N/A,FALSE,"Assumptions"}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fff" hidden="1">{"whole",#N/A,FALSE,"CS FIN Sum For Rox";"whole",#N/A,FALSE,"Gen_Dist_Act_Bud";"whole",#N/A,FALSE,"Gen_Dist_T3months";"whole",#N/A,FALSE,"GD_PerP";"whole",#N/A,FALSE,"CS_DIST_ActvsBud";"whole",#N/A,FALSE,"CS_DIST_SUM_trail3mo"}</definedName>
    <definedName name="ffff" hidden="1">{"comps",#N/A,FALSE,"comps";"notes",#N/A,FALSE,"comps"}</definedName>
    <definedName name="fffffffffff" hidden="1">{"'Standalone List Price Trends'!$A$1:$X$56"}</definedName>
    <definedName name="fgfa" hidden="1">{"whole",#N/A,FALSE,"Gen_Dist_Act_Bud";"whole",#N/A,FALSE,"Gen_Dist_T3months";"whole",#N/A,FALSE,"GD_PerP";"whole",#N/A,FALSE,"HR Dist'n"}</definedName>
    <definedName name="fgfg" hidden="1">{"whole",#N/A,FALSE,"CS FIN Sum For Rox";"whole",#N/A,FALSE,"Gen_Dist_Act_Bud";"whole",#N/A,FALSE,"Gen_Dist_T3months";"whole",#N/A,FALSE,"GD_PerP";"whole",#N/A,FALSE,"CS_DIST_ActvsBud";"whole",#N/A,FALSE,"CS_DIST_SUM_trail3mo"}</definedName>
    <definedName name="fin" hidden="1">{#N/A,#N/A,FALSE,"CBE";#N/A,#N/A,FALSE,"SWK"}</definedName>
    <definedName name="FINCriteriaType">1</definedName>
    <definedName name="fins1" hidden="1">{#N/A,#N/A,FALSE,"Calc";#N/A,#N/A,FALSE,"Sensitivity";#N/A,#N/A,FALSE,"LT Earn.Dil.";#N/A,#N/A,FALSE,"Dil. AVP"}</definedName>
    <definedName name="fx">120</definedName>
    <definedName name="FY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FYE">"FYE"</definedName>
    <definedName name="g" hidden="1">{"whole",#N/A,FALSE,"Gen_Dist_Act_Bud";"whole",#N/A,FALSE,"Gen_Dist_T3months";"whole",#N/A,FALSE,"GD_PerP";"whole",#N/A,FALSE,"HR Dist'n"}</definedName>
    <definedName name="gffa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ggf" hidden="1">{"comps",#N/A,FALSE,"comps";"notes",#N/A,FALSE,"comps"}</definedName>
    <definedName name="gls_ACT_EST_ROW" hidden="1">#REF!</definedName>
    <definedName name="gls_ACT_FORM_OFFSET" hidden="1">#REF!</definedName>
    <definedName name="gls_ALLOW_PARENT_OR_CONSOLIDATED" hidden="1">#REF!</definedName>
    <definedName name="gls_ALLOW_PUBLISH" hidden="1">#REF!</definedName>
    <definedName name="gls_AnalystEmpNoHeading" hidden="1">#REF!</definedName>
    <definedName name="gls_AnalystNameHeading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ctrlShareholders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OTAL" hidden="1">#REF!</definedName>
    <definedName name="gls_PERIOD_TYPE" hidden="1">#REF!</definedName>
    <definedName name="gls_PrincipalStockClass" hidden="1">#REF!</definedName>
    <definedName name="gls_PROFILE_NAME" hidden="1">#REF!</definedName>
    <definedName name="gls_Recommendations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#REF!</definedName>
    <definedName name="gls_SaveWkbForNewPeriodCode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REQ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h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HB_email">"hbellini@isigrp.com"</definedName>
    <definedName name="HB_phone">"(XXX) XXX-XXXX"</definedName>
    <definedName name="hhhsdf" hidden="1">{"up stand alones",#N/A,FALSE,"Acquiror"}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kl" hidden="1">{#N/A,#N/A,FALSE,"Summary";#N/A,#N/A,FALSE,"Details";#N/A,#N/A,FALSE,"Month-Hd";#N/A,#N/A,FALSE,"YTD-Hd";#N/A,#N/A,FALSE,"Capital"}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pe2" hidden="1">{"closed",#N/A,FALSE,"Consolidated Products - Budget";"expanded",#N/A,FALSE,"Consolidated Products - Budget"}</definedName>
    <definedName name="HRSysView2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hshgs" hidden="1">{"whole",#N/A,FALSE,"Gen_Dist_Act_Bud";"whole",#N/A,FALSE,"Gen_Dist_T3months";"whole",#N/A,FALSE,"GD_PerP";"whole",#N/A,FALSE,"HR Dist'n"}</definedName>
    <definedName name="HTML_CodePage" hidden="1">1252</definedName>
    <definedName name="HTML_Control" hidden="1">{"'Standalone List Price Trends'!$A$1:$X$56"}</definedName>
    <definedName name="HTML_Description" hidden="1">""</definedName>
    <definedName name="HTML_Email" hidden="1">""</definedName>
    <definedName name="HTML_Header" hidden="1">"Standalone List Price Trends"</definedName>
    <definedName name="HTML_LastUpdate" hidden="1">"3/5/98"</definedName>
    <definedName name="HTML_LineAfter" hidden="1">FALSE</definedName>
    <definedName name="HTML_LineBefore" hidden="1">FALSE</definedName>
    <definedName name="HTML_Name" hidden="1">"Kevin Mitchell"</definedName>
    <definedName name="HTML_OBDlg2" hidden="1">TRUE</definedName>
    <definedName name="HTML_OBDlg4" hidden="1">TRUE</definedName>
    <definedName name="HTML_OS" hidden="1">0</definedName>
    <definedName name="HTML_PathFile" hidden="1">"C:\Kevin's Data\SW$\SW$SVC HTML\Strends.htm"</definedName>
    <definedName name="HTML_Title" hidden="1">"Switch Prices 03-98 xl97"</definedName>
    <definedName name="HTML1_1" hidden="1">"'[mitforum.xls]Sales Plan'!$A$1"</definedName>
    <definedName name="HTML1_10" hidden="1">""</definedName>
    <definedName name="HTML1_11" hidden="1">1</definedName>
    <definedName name="HTML1_12" hidden="1">"MyHTML.htm"</definedName>
    <definedName name="HTML1_2" hidden="1">1</definedName>
    <definedName name="HTML1_3" hidden="1">"$50K Entrepreneurship Competition Sales Plan"</definedName>
    <definedName name="HTML1_4" hidden="1">"Sales Plan"</definedName>
    <definedName name="HTML1_5" hidden="1">"Sales Plan model authored by Charlie Tillett of Frontier Software"</definedName>
    <definedName name="HTML1_6" hidden="1">-4146</definedName>
    <definedName name="HTML1_7" hidden="1">-4146</definedName>
    <definedName name="HTML1_8" hidden="1">"4/4/97"</definedName>
    <definedName name="HTML1_9" hidden="1">"$50K Entrepreneurship Competition"</definedName>
    <definedName name="HTML2_1" hidden="1">"'[mitforum.xls]Sales Plan'!$A$1:$P$32"</definedName>
    <definedName name="HTML2_10" hidden="1">""</definedName>
    <definedName name="HTML2_11" hidden="1">1</definedName>
    <definedName name="HTML2_12" hidden="1">"C:\My Documents\salesplan.html"</definedName>
    <definedName name="HTML2_2" hidden="1">1</definedName>
    <definedName name="HTML2_3" hidden="1">"Sales Plan"</definedName>
    <definedName name="HTML2_4" hidden="1">"Sales Plan"</definedName>
    <definedName name="HTML2_5" hidden="1">"Sales Plan model by Charlie Tillett of Frontier Software
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"[mitforum.xls]Headcount!$A$1:$P$54"</definedName>
    <definedName name="HTML3_10" hidden="1">""</definedName>
    <definedName name="HTML3_11" hidden="1">1</definedName>
    <definedName name="HTML3_12" hidden="1">"C:\My Documents\HiringPlan.html"</definedName>
    <definedName name="HTML3_2" hidden="1">1</definedName>
    <definedName name="HTML3_3" hidden="1">"Hiring Plan"</definedName>
    <definedName name="HTML3_4" hidden="1">"Hiring Plan"</definedName>
    <definedName name="HTML3_5" hidden="1">"Sales Plan model by Charlie Tillett of Frontier Software
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"'[mitforum.xls]Other Expenses'!$A$1:$P$23"</definedName>
    <definedName name="HTML4_10" hidden="1">""</definedName>
    <definedName name="HTML4_11" hidden="1">1</definedName>
    <definedName name="HTML4_12" hidden="1">"C:\My Documents\NonSalary.html"</definedName>
    <definedName name="HTML4_2" hidden="1">1</definedName>
    <definedName name="HTML4_3" hidden="1">"Non-Salary Expenses"</definedName>
    <definedName name="HTML4_4" hidden="1">"Non-Salary Expenses"</definedName>
    <definedName name="HTML4_5" hidden="1">"Financial model by Charlie Tillett of Frontier Software (charlie@frontier.com)
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"'[mitforum.xls]Income Statement'!$A$1:$Q$19"</definedName>
    <definedName name="HTML5_10" hidden="1">""</definedName>
    <definedName name="HTML5_11" hidden="1">1</definedName>
    <definedName name="HTML5_12" hidden="1">"C:\My Documents\IncomeStat.html"</definedName>
    <definedName name="HTML5_2" hidden="1">1</definedName>
    <definedName name="HTML5_3" hidden="1">"Income Statement"</definedName>
    <definedName name="HTML5_4" hidden="1">"Income Statement"</definedName>
    <definedName name="HTML5_5" hidden="1">"Financial model by Charlie Tillett of Frontier Software (charlie@frontier.com)"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"'[mitforum.xls]Balance Sheet &amp; Cash Flow'!$A$1:$O$22"</definedName>
    <definedName name="HTML6_10" hidden="1">""</definedName>
    <definedName name="HTML6_11" hidden="1">1</definedName>
    <definedName name="HTML6_12" hidden="1">"C:\My Documents\CashFlow.htm"</definedName>
    <definedName name="HTML6_2" hidden="1">1</definedName>
    <definedName name="HTML6_3" hidden="1">"Balance Sheet &amp; Cash Flow"</definedName>
    <definedName name="HTML6_4" hidden="1">"Balance Sheet &amp; Cash Flow"</definedName>
    <definedName name="HTML6_5" hidden="1">"Financial model by Charlie Tillett of Frontier Software (charlie@frontier.com)"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"'[mitforum.xls]Double Entry Primer'!$A$1:$X$17"</definedName>
    <definedName name="HTML7_10" hidden="1">""</definedName>
    <definedName name="HTML7_11" hidden="1">1</definedName>
    <definedName name="HTML7_12" hidden="1">"C:\My Documents\DoubleEntry.htm"</definedName>
    <definedName name="HTML7_2" hidden="1">1</definedName>
    <definedName name="HTML7_3" hidden="1">"Double Entry Primer"</definedName>
    <definedName name="HTML7_4" hidden="1">"Double Entry Primer"</definedName>
    <definedName name="HTML7_5" hidden="1">"Financial model by Charlie Tillett of Frontier Software (charlie@frontier.com)"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Uh" hidden="1">{"'Standalone List Price Trends'!$A$1:$X$56"}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i" hidden="1">{"whole",#N/A,FALSE,"CS HC";"whole",#N/A,FALSE,"CS_ACTvsBud";"whole",#N/A,FALSE,"CSTrail3mo";"whole",#N/A,FALSE,"CS Cost Per Head ";"whole",#N/A,FALSE,"CS CPH YTD"}</definedName>
    <definedName name="ik" hidden="1">{"casespecific",#N/A,FALSE,"Assumptions"}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STDDEV_EST_REUT" hidden="1">"c5408"</definedName>
    <definedName name="IQ_CASH_DIVIDENDS_NET_INCOME_FDIC" hidden="1">"c6738"</definedName>
    <definedName name="IQ_CASH_IN_PROCESS_FDIC" hidden="1">"c6386"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SIP" hidden="1">"c2245"</definedName>
    <definedName name="IQ_CY" hidden="1">10000</definedName>
    <definedName name="IQ_DAILY" hidden="1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" hidden="1">"IQ_EPS"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ACT_BV_REUT" hidden="1">"c5409"</definedName>
    <definedName name="IQ_EST_ACT_FFO_REUT" hidden="1">"c3843"</definedName>
    <definedName name="IQ_EST_ACT_FFO_SHARE_SHARE_REUT" hidden="1">"c3843"</definedName>
    <definedName name="IQ_EST_BV_DIFF_REUT" hidden="1">"c5433"</definedName>
    <definedName name="IQ_EST_BV_SURPRISE_PERCENT_REUT" hidden="1">"c5434"</definedName>
    <definedName name="IQ_EST_EPS_SURPRISE" hidden="1">"c1635"</definedName>
    <definedName name="IQ_EST_FFO_DIFF_REUT" hidden="1">"c3890"</definedName>
    <definedName name="IQ_EST_FFO_SHARE_SHARE_DIFF_REUT" hidden="1">"c3890"</definedName>
    <definedName name="IQ_EST_FFO_SHARE_SHARE_SURPRISE_PERCENT_REUT" hidden="1">"c3891"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REUT" hidden="1">"c3837"</definedName>
    <definedName name="IQ_FFO_HIGH_EST_CIQ" hidden="1">"c4977"</definedName>
    <definedName name="IQ_FFO_HIGH_EST_REUT" hidden="1">"c3839"</definedName>
    <definedName name="IQ_FFO_LOW_EST_CIQ" hidden="1">"c4978"</definedName>
    <definedName name="IQ_FFO_LOW_EST_REUT" hidden="1">"c3840"</definedName>
    <definedName name="IQ_FFO_MEDIAN_EST_CIQ" hidden="1">"c4979"</definedName>
    <definedName name="IQ_FFO_MEDIAN_EST_REUT" hidden="1">"c3838"</definedName>
    <definedName name="IQ_FFO_NUM_EST_CIQ" hidden="1">"c4980"</definedName>
    <definedName name="IQ_FFO_NUM_EST_REUT" hidden="1">"c3841"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TDDEV_EST_CIQ" hidden="1">"c4981"</definedName>
    <definedName name="IQ_FFO_STDDEV_EST_REUT" hidden="1">"c3842"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_DATE" hidden="1">"IQ_LTM_DATE"</definedName>
    <definedName name="IQ_LTMMONTH" hidden="1">120000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44045.8392939815</definedName>
    <definedName name="IQ_NAMES_REVISION_DATE__1" hidden="1">40521.4958564815</definedName>
    <definedName name="IQ_NAV_ACT_OR_EST" hidden="1">"c2225"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INSURED_FDIC" hidden="1">"c6374"</definedName>
    <definedName name="IQ_PERIODDATE_FDIC" hidden="1">"c13646"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iQShowHideColumns" hidden="1">"iQShowAll"</definedName>
    <definedName name="IsColHidden" hidden="1">FALSE</definedName>
    <definedName name="IsLTMColHidden" hidden="1">FALSE</definedName>
    <definedName name="j" hidden="1">{"whole",#N/A,FALSE,"CS FIN Sum For Rox";"whole",#N/A,FALSE,"Gen_Dist_Act_Bud";"whole",#N/A,FALSE,"Gen_Dist_T3months";"whole",#N/A,FALSE,"GD_PerP";"whole",#N/A,FALSE,"CS_DIST_ActvsBud";"whole",#N/A,FALSE,"CS_DIST_SUM_trail3mo"}</definedName>
    <definedName name="January" hidden="1">{#N/A,#N/A,FALSE,"BAL";#N/A,#N/A,FALSE,"P&amp;L";#N/A,#N/A,FALSE,"REV";#N/A,#N/A,FALSE,"COS";#N/A,#N/A,FALSE,"DPT";#N/A,#N/A,FALSE,"CSS";#N/A,#N/A,FALSE,"IMP";#N/A,#N/A,FALSE,"OPS";#N/A,#N/A,FALSE,"DVL";#N/A,#N/A,FALSE,"ADM"}</definedName>
    <definedName name="jjj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jjjj" hidden="1">{"closed",#N/A,FALSE,"Consolidated Products - Budget";"expanded",#N/A,FALSE,"Consolidated Products - Budget"}</definedName>
    <definedName name="jonas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k" hidden="1">{"Chart 1",#N/A,FALSE,"Run Rate";"Chart 2",#N/A,FALSE,"Run Rate (2)"}</definedName>
    <definedName name="KIT" hidden="1">{"equity comps",#N/A,FALSE,"CS Comps";"equity comps",#N/A,FALSE,"PS Comps";"equity comps",#N/A,FALSE,"GIC_Comps";"equity comps",#N/A,FALSE,"GIC2_Comps"}</definedName>
    <definedName name="kkk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kkkk" hidden="1">{"barthelet detail",#N/A,FALSE,"96 plan Q1";"barthelet summ",#N/A,FALSE,"96 plan Q1"}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ol" hidden="1">{"away stand alones",#N/A,FALSE,"Target"}</definedName>
    <definedName name="l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L_ALL_BOX">#REF!</definedName>
    <definedName name="L_ALL_DBX">#REF!</definedName>
    <definedName name="L_ALL_DOCU">#REF!</definedName>
    <definedName name="L_ALL_KEYWORDS_TYPE_ScalarContributed_EQTY_200019588">#REF!,#REF!,#REF!,#REF!</definedName>
    <definedName name="L_ALL_KEYWORDS_TYPE_ScalarContributed_ISSR_208018133">#REF!,#REF!,#REF!,#REF!,#REF!,#REF!,#REF!,#REF!,#REF!,#REF!,#REF!,#REF!</definedName>
    <definedName name="L_ALL_KEYWORDS_TYPE_Vector_EQTY_200019588">#REF!,#REF!,#REF!,#REF!,#REF!,#REF!,#REF!</definedName>
    <definedName name="L_ALL_KEYWORDS_TYPE_Vector_ISSR_208018133">#REF!,#REF!,#REF!,#REF!,#REF!,#REF!,#REF!,#REF!,#REF!,#REF!,#REF!,#REF!,#REF!,#REF!,#REF!,#REF!,#REF!,#REF!,#REF!,#REF!,#REF!,#REF!,#REF!</definedName>
    <definedName name="L_ALL_MDB">#REF!</definedName>
    <definedName name="L_ALL_MSFT">[2]MSFT_Live_Sheet!$A$1:$FE$331</definedName>
    <definedName name="L_ALL_NTNX">[1]NTNX_Live_Sheet!$A$1:$CB$331</definedName>
    <definedName name="L_ALL_PING">#REF!</definedName>
    <definedName name="L_ALL_PVTL">#REF!</definedName>
    <definedName name="L_ALL_SECTION_KEYWORDS_EQTY_200019588_13A">#REF!</definedName>
    <definedName name="L_ALL_SECTION_KEYWORDS_EQTY_200019588_13K">#REF!</definedName>
    <definedName name="L_ALL_SECTION_KEYWORDS_ISSR_208018133_1314">#REF!</definedName>
    <definedName name="L_ALL_SECTION_KEYWORDS_ISSR_208018133_1319">#REF!</definedName>
    <definedName name="L_ALL_SECTION_KEYWORDS_ISSR_208018133_131E">#REF!</definedName>
    <definedName name="L_ALL_SECTION_KEYWORDS_ISSR_208018133_13V">#REF!,#REF!</definedName>
    <definedName name="L_ALL_SECTION_KEYWORDS_ISSR_208020111_136J">#REF!,#REF!</definedName>
    <definedName name="L_ALL_SNOW">#REF!</definedName>
    <definedName name="L_ALL_TTAN">#REF!</definedName>
    <definedName name="LastListUpdate">0</definedName>
    <definedName name="leewo1" hidden="1">{"closed",#N/A,FALSE,"Consolidated Products - Budget";"expanded",#N/A,FALSE,"Consolidated Products - Budget"}</definedName>
    <definedName name="ll" hidden="1">{"closed",#N/A,FALSE,"Consolidated Products - Budget";"expanded",#N/A,FALSE,"Consolidated Products - Budget"}</definedName>
    <definedName name="lll" hidden="1">{"whole",#N/A,FALSE,"CS HC";"whole",#N/A,FALSE,"CS_ACTvsBud";"whole",#N/A,FALSE,"CSTrail3mo";"whole",#N/A,FALSE,"CS Cost Per Head ";"whole",#N/A,FALSE,"CS CPH YTD"}</definedName>
    <definedName name="Low">1</definedName>
    <definedName name="m" hidden="1">{"whole",#N/A,FALSE,"Gen_Dist_Act_Bud";"whole",#N/A,FALSE,"Gen_Dist_T3months";"whole",#N/A,FALSE,"GD_PerP";"whole",#N/A,FALSE,"HR Dist'n"}</definedName>
    <definedName name="M_PlaceofPath" hidden="1">"\\SNYCEQT0300\HOME\DBEGLEIT\excel\FULL\FULL_VDF.XLS"</definedName>
    <definedName name="M1_Seasonality">0.3</definedName>
    <definedName name="M2_Seasonality">0.3</definedName>
    <definedName name="M3_Seasonality">0.4</definedName>
    <definedName name="Marie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MBV" hidden="1">{"closed",#N/A,FALSE,"Consolidated Products - Budget";"expanded",#N/A,FALSE,"Consolidated Products - Budget"}</definedName>
    <definedName name="mis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mm" hidden="1">{"whole",#N/A,FALSE,"Gen_Dist_Act_Bud";"whole",#N/A,FALSE,"Gen_Dist_T3months";"whole",#N/A,FALSE,"GD_PerP";"whole",#N/A,FALSE,"HR Dist'n"}</definedName>
    <definedName name="mw" hidden="1">{#N/A,#N/A,FALSE,"Calc";#N/A,#N/A,FALSE,"Sensitivity";#N/A,#N/A,FALSE,"LT Earn.Dil.";#N/A,#N/A,FALSE,"Dil. AVP"}</definedName>
    <definedName name="mwmw" hidden="1">{#N/A,#N/A,TRUE,"Pro Forma";#N/A,#N/A,TRUE,"PF_Bal";#N/A,#N/A,TRUE,"PF_INC";#N/A,#N/A,TRUE,"CBE";#N/A,#N/A,TRUE,"SWK"}</definedName>
    <definedName name="mwmw2" hidden="1">{"comp1",#N/A,FALSE,"COMPS";"footnotes",#N/A,FALSE,"COMPS"}</definedName>
    <definedName name="mwmw3" hidden="1">{"comp1",#N/A,FALSE,"COMPS";"footnotes",#N/A,FALSE,"COMPS"}</definedName>
    <definedName name="mwmw4" hidden="1">{"hiden",#N/A,FALSE,"14";"hidden",#N/A,FALSE,"16";"hidden",#N/A,FALSE,"18";"hidden",#N/A,FALSE,"20"}</definedName>
    <definedName name="MyBegOfYEar">IF(BegOfYear5253week&lt;&gt;"",BegOfYear5253week,IF(TaxYearEnd="","",TaxYearEnd-364))</definedName>
    <definedName name="MyBookIncome">IF(BookIncome = "","",BookIncome)</definedName>
    <definedName name="Mydocs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MyFEIN">IF(FEIN="","",FEIN)</definedName>
    <definedName name="MyLastYear">IF(TaxYearEnd="","",TaxYearEnd-366)</definedName>
    <definedName name="MyName">IF(TheName = "","",TheName)</definedName>
    <definedName name="MyNextYear">IF(TaxYearEnd="","",TaxYearEnd+365)</definedName>
    <definedName name="MyTaxYear">IF(TaxYearEnd="","",TaxYearEnd)</definedName>
    <definedName name="MYTDVOL">14</definedName>
    <definedName name="n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" hidden="1">{"closed",#N/A,FALSE,"Consolidated Products - Budget";"expanded",#N/A,FALSE,"Consolidated Products - Budget"}</definedName>
    <definedName name="newbel" hidden="1">{"IS",#N/A,FALSE,"IS";"RPTIS",#N/A,FALSE,"RPTIS";"STATS",#N/A,FALSE,"STATS";"CELL",#N/A,FALSE,"CELL";"BS",#N/A,FALSE,"BS"}</definedName>
    <definedName name="newsheet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NextButton">"Button 18"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a" hidden="1">{#N/A,#N/A,FALSE,"Calc";#N/A,#N/A,FALSE,"Sensitivity";#N/A,#N/A,FALSE,"LT Earn.Dil.";#N/A,#N/A,FALSE,"Dil. AVP"}</definedName>
    <definedName name="noideaa" hidden="1">{#N/A,#N/A,FALSE,"Calc";#N/A,#N/A,FALSE,"Sensitivity";#N/A,#N/A,FALSE,"LT Earn.Dil.";#N/A,#N/A,FALSE,"Dil. AVP"}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vsASD">"V1999-12-31"</definedName>
    <definedName name="NvsAutoDrillOk">"VN"</definedName>
    <definedName name="NvsElapsedTime">0.00102581018290948</definedName>
    <definedName name="NvsEndTime">36558.0571400463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"V1996-12-31"</definedName>
    <definedName name="NvsPanelSetid">"VEXCIT"</definedName>
    <definedName name="NvsReqBU">"VEXCIT"</definedName>
    <definedName name="NvsReqBUOnly">"VN"</definedName>
    <definedName name="NvsSheetType">"M"</definedName>
    <definedName name="NvsTransLed">"VN"</definedName>
    <definedName name="NvsTreeASD">"V1999-12-31"</definedName>
    <definedName name="NvsValTbl.ACCOUNT">"GL_ACCOUNT_TBL"</definedName>
    <definedName name="NvsValTbl.BUSINESS_UNIT">"BUS_UNIT_TBL_GL"</definedName>
    <definedName name="NvsValTbl.DEPTID">"DEPARTMENT_TBL"</definedName>
    <definedName name="o" hidden="1">{"Chart 1",#N/A,FALSE,"Run Rate";"Chart 2",#N/A,FALSE,"Run Rate (2)"}</definedName>
    <definedName name="ok" hidden="1">{#N/A,#N/A,FALSE,"Calc";#N/A,#N/A,FALSE,"Sensitivity";#N/A,#N/A,FALSE,"LT Earn.Dil.";#N/A,#N/A,FALSE,"Dil. AVP"}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hidden="1">{#N/A,#N/A,FALSE,"Aging Summary";#N/A,#N/A,FALSE,"Ratio Analysis";#N/A,#N/A,FALSE,"Test 120 Day Accts";#N/A,#N/A,FALSE,"Tickmarks"}</definedName>
    <definedName name="om_nnr" hidden="1">{#N/A,#N/A,FALSE,"Summary";#N/A,#N/A,FALSE,"Details";#N/A,#N/A,FALSE,"Month-Hd";#N/A,#N/A,FALSE,"YTD-Hd";#N/A,#N/A,FALSE,"Capital"}</definedName>
    <definedName name="OP" hidden="1">{#N/A,#N/A,FALSE,"Operations";#N/A,#N/A,FALSE,"Financials"}</definedName>
    <definedName name="opex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opex1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p" hidden="1">{"whole",#N/A,FALSE,"CS FIN Sum For Rox";"whole",#N/A,FALSE,"Gen_Dist_Act_Bud";"whole",#N/A,FALSE,"Gen_Dist_T3months";"whole",#N/A,FALSE,"GD_PerP";"whole",#N/A,FALSE,"CS_DIST_ActvsBud";"whole",#N/A,FALSE,"CS_DIST_SUM_trail3mo"}</definedName>
    <definedName name="PGIT" hidden="1">{"whole",#N/A,FALSE,"Gen_Dist_Act_Bud";"whole",#N/A,FALSE,"Gen_Dist_T3months";"whole",#N/A,FALSE,"GD_PerP";"whole",#N/A,FALSE,"HR Dist'n"}</definedName>
    <definedName name="PH_email">"phuang@isigrp.com"</definedName>
    <definedName name="PH_phone">"(212) 446-9467"</definedName>
    <definedName name="Pictur9">"Picture 9"</definedName>
    <definedName name="Picture1">"Picture 1"</definedName>
    <definedName name="Picture10">"Picture 10"</definedName>
    <definedName name="Picture11">"Picture 11"</definedName>
    <definedName name="Picture2">"Picture 2"</definedName>
    <definedName name="Picture4">"Picture 4"</definedName>
    <definedName name="Picture5">"Picture 5"</definedName>
    <definedName name="Picture6">"Picture 6"</definedName>
    <definedName name="Pivot2" hidden="1">{"closed",#N/A,FALSE,"Consolidated Products - Budget";"expanded",#N/A,FALSE,"Consolidated Products - Budget"}</definedName>
    <definedName name="pivot3" hidden="1">{"closed",#N/A,FALSE,"Consolidated Products - Budget";"expanded",#N/A,FALSE,"Consolidated Products - Budget"}</definedName>
    <definedName name="Plan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Plan1" hidden="1">{"whole",#N/A,FALSE,"Gen_Dist_Act_Bud";"whole",#N/A,FALSE,"Gen_Dist_T3months";"whole",#N/A,FALSE,"GD_PerP";"whole",#N/A,FALSE,"HR Dist'n"}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pCache_GL_INTERFACE_REFERENCE7" hidden="1">#REF!</definedName>
    <definedName name="pp" hidden="1">{"Chart 1",#N/A,FALSE,"Run Rate";"Chart 2",#N/A,FALSE,"Run Rate (2)"}</definedName>
    <definedName name="PreviousButton">"Button 19"</definedName>
    <definedName name="PRIMTH">2</definedName>
    <definedName name="print4" hidden="1">{#N/A,#N/A,FALSE,"Operations";#N/A,#N/A,FALSE,"Financials"}</definedName>
    <definedName name="Printout">#N/A</definedName>
    <definedName name="PRIVOL">4</definedName>
    <definedName name="PRIWEEK">2</definedName>
    <definedName name="prod" hidden="1">{"closed",#N/A,FALSE,"Consolidated Products - Budget";"expanded",#N/A,FALSE,"Consolidated Products - Budget"}</definedName>
    <definedName name="prod.A2" hidden="1">{"closed",#N/A,FALSE,"Consolidated Products - Budget";"expanded",#N/A,FALSE,"Consolidated Products - Budget"}</definedName>
    <definedName name="prod_acquire" hidden="1">{"closed",#N/A,FALSE,"Consolidated Products - Budget";"expanded",#N/A,FALSE,"Consolidated Products - Budget"}</definedName>
    <definedName name="prod1" hidden="1">{"closed",#N/A,FALSE,"Consolidated Products - Budget";"expanded",#N/A,FALSE,"Consolidated Products - Budget"}</definedName>
    <definedName name="prout" hidden="1">{"comp1",#N/A,FALSE,"COMPS";"footnotes",#N/A,FALSE,"COMPS"}</definedName>
    <definedName name="PSO_data">OFFSET(PSO,1,0,COLUMNS(PSO))</definedName>
    <definedName name="q" hidden="1">{#N/A,#N/A,FALSE,"Summary";#N/A,#N/A,FALSE,"Details";#N/A,#N/A,FALSE,"Month-Hd";#N/A,#N/A,FALSE,"YTD-Hd";#N/A,#N/A,FALSE,"Capital"}</definedName>
    <definedName name="qewreqrqwer" hidden="1">{"comp1",#N/A,FALSE,"COMPS";"footnotes",#N/A,FALSE,"COMPS"}</definedName>
    <definedName name="qq" hidden="1">{#N/A,#N/A,FALSE,"CBE";#N/A,#N/A,FALSE,"SWK"}</definedName>
    <definedName name="qqq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qwe" hidden="1">{"assumption cash",#N/A,TRUE,"Merger";"has gets cash",#N/A,TRUE,"Merger";"accretion dilution",#N/A,TRUE,"Merger";"comparison credit stats",#N/A,TRUE,"Merger";"pf credit stats",#N/A,TRUE,"Merger";"pf sheets",#N/A,TRUE,"Merger"}</definedName>
    <definedName name="qwer" hidden="1">{"hiden",#N/A,FALSE,"14";"hidden",#N/A,FALSE,"16";"hidden",#N/A,FALSE,"18";"hidden",#N/A,FALSE,"20"}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Recon_Update" hidden="1">{#N/A,#N/A,FALSE,"BAL";#N/A,#N/A,FALSE,"P&amp;L";#N/A,#N/A,FALSE,"REV";#N/A,#N/A,FALSE,"COS";#N/A,#N/A,FALSE,"DPT";#N/A,#N/A,FALSE,"CSS";#N/A,#N/A,FALSE,"IMP";#N/A,#N/A,FALSE,"OPS";#N/A,#N/A,FALSE,"DVL";#N/A,#N/A,FALSE,"ADM"}</definedName>
    <definedName name="Report" hidden="1">{#N/A,#N/A,FALSE,"Report Print"}</definedName>
    <definedName name="ReportPage1" hidden="1">{"Annual_Income",#N/A,FALSE,"Report Page";"Balance_Cash_Flow",#N/A,FALSE,"Report Page";"Quarterly_Income",#N/A,FALSE,"Report Page"}</definedName>
    <definedName name="Reserves_Restated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rf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rr" hidden="1">{"barthelet detail",#N/A,FALSE,"96 plan Q1";"barthelet summ",#N/A,FALSE,"96 plan Q1"}</definedName>
    <definedName name="rrrr" hidden="1">{"comp1",#N/A,FALSE,"COMPS";"footnotes",#N/A,FALSE,"COMPS"}</definedName>
    <definedName name="rrrrr" hidden="1">{"whole",#N/A,FALSE,"Gen_Dist_Act_Bud";"whole",#N/A,FALSE,"Gen_Dist_T3months";"whole",#N/A,FALSE,"GD_PerP";"whole",#N/A,FALSE,"HR Dist'n"}</definedName>
    <definedName name="rty" hidden="1">{#N/A,#N/A,TRUE,"Pro Forma";#N/A,#N/A,TRUE,"PF_Bal";#N/A,#N/A,TRUE,"PF_INC";#N/A,#N/A,TRUE,"CBE";#N/A,#N/A,TRUE,"SWK"}</definedName>
    <definedName name="rw" hidden="1">{"'Standalone List Price Trends'!$A$1:$X$56"}</definedName>
    <definedName name="rwrwr" hidden="1">{"'Standalone List Price Trends'!$A$1:$X$56"}</definedName>
    <definedName name="rwrwrwrwr" hidden="1">{"'Standalone List Price Trends'!$A$1:$X$56"}</definedName>
    <definedName name="Rwvu.Analysis." hidden="1">#REF!,#REF!,#REF!,#REF!,#REF!,#REF!</definedName>
    <definedName name="Rwvu.CurF1997." hidden="1">#REF!,#REF!,#REF!,#REF!,#REF!</definedName>
    <definedName name="Rwvu.Current." hidden="1">#REF!,#REF!,#REF!,#REF!,#REF!</definedName>
    <definedName name="Rwvu.CurrentYear." hidden="1">#REF!,#REF!,#REF!,#REF!,#REF!</definedName>
    <definedName name="Rwvu.FY_97MB." hidden="1">#REF!,#REF!</definedName>
    <definedName name="Rwvu.FY_97MF." hidden="1">#REF!,#REF!</definedName>
    <definedName name="Rwvu.FY_97REF1." hidden="1">#REF!,#REF!</definedName>
    <definedName name="Rwvu.FY_98_V2." hidden="1">#REF!,#REF!,#REF!,#REF!,#REF!</definedName>
    <definedName name="Rwvu.FY94_95Qtr." hidden="1">#REF!,#REF!,#REF!,#REF!,#REF!,#REF!</definedName>
    <definedName name="Rwvu.FY96ACTUAL." hidden="1">#REF!,#REF!</definedName>
    <definedName name="Rwvu.incearn." hidden="1">#REF!,#REF!,#REF!,#REF!,#REF!</definedName>
    <definedName name="Rwvu.Report1." hidden="1">#REF!,#REF!</definedName>
    <definedName name="Rwvu.Standard._.Report." hidden="1">#REF!,#REF!,#REF!</definedName>
    <definedName name="rwwr" hidden="1">{"'Standalone List Price Trends'!$A$1:$X$56"}</definedName>
    <definedName name="s" hidden="1">{#N/A,#N/A,FALSE,"output";#N/A,#N/A,FALSE,"contrib";#N/A,#N/A,FALSE,"profile";#N/A,#N/A,FALSE,"comps"}</definedName>
    <definedName name="saaaaaaaaaaaaaaa" hidden="1">{"up stand alones",#N/A,FALSE,"Acquiror"}</definedName>
    <definedName name="sadfasdgasdfsadg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sadgewrzaf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df" hidden="1">{#N/A,#N/A,FALSE,"Calc";#N/A,#N/A,FALSE,"Sensitivity";#N/A,#N/A,FALSE,"LT Earn.Dil.";#N/A,#N/A,FALSE,"Dil. AVP"}</definedName>
    <definedName name="SDFG" hidden="1">{#N/A,#N/A,FALSE,"Summary";#N/A,#N/A,FALSE,"Details";#N/A,#N/A,FALSE,"Month-Hd";#N/A,#N/A,FALSE,"YTD-Hd";#N/A,#N/A,FALSE,"Capital"}</definedName>
    <definedName name="sdgdfghfhgfjhgfjhjjjg" hidden="1">{"general",#N/A,FALSE,"Assumptions"}</definedName>
    <definedName name="sdt" hidden="1">{"whole",#N/A,FALSE,"Gen_Dist_Act_Bud";"whole",#N/A,FALSE,"Gen_Dist_T3months";"whole",#N/A,FALSE,"GD_PerP";"whole",#N/A,FALSE,"HR Dist'n"}</definedName>
    <definedName name="sfs" hidden="1">{"comps",#N/A,FALSE,"HANDPACK";"footnotes",#N/A,FALSE,"HANDPACK"}</definedName>
    <definedName name="sl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solver_lin" hidden="1">0</definedName>
    <definedName name="solver_num" hidden="1">0</definedName>
    <definedName name="solver_typ" hidden="1">3</definedName>
    <definedName name="solver_val" hidden="1">0.1076</definedName>
    <definedName name="ss" hidden="1">{"closed",#N/A,FALSE,"Consolidated Products - Budget";"expanded",#N/A,FALSE,"Consolidated Products - Budget"}</definedName>
    <definedName name="sssss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summary" hidden="1">{"closed",#N/A,FALSE,"Consolidated Products - Budget";"expanded",#N/A,FALSE,"Consolidated Products - Budget"}</definedName>
    <definedName name="svfs" hidden="1">{"comps2",#N/A,FALSE,"AERO";"footnotes",#N/A,FALSE,"AERO"}</definedName>
    <definedName name="Swvu.incearn." hidden="1">#REF!</definedName>
    <definedName name="TaxYearBeg">37257</definedName>
    <definedName name="TEAST" hidden="1">#REF!,#REF!</definedName>
    <definedName name="Temp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Template.WIRE">"DBACCESS"</definedName>
    <definedName name="test" hidden="1">{"closed",#N/A,FALSE,"Consolidated Products - Budget";"expanded",#N/A,FALSE,"Consolidated Products - Budget"}</definedName>
    <definedName name="test1" hidden="1">{"whole",#N/A,FALSE,"CS HC";"whole",#N/A,FALSE,"CS_ACTvsBud";"whole",#N/A,FALSE,"CSTrail3mo";"whole",#N/A,FALSE,"CS Cost Per Head ";"whole",#N/A,FALSE,"CS CPH YTD"}</definedName>
    <definedName name="test2" hidden="1">{"whole",#N/A,FALSE,"CS FIN Sum For Rox";"whole",#N/A,FALSE,"Gen_Dist_Act_Bud";"whole",#N/A,FALSE,"Gen_Dist_T3months";"whole",#N/A,FALSE,"GD_PerP";"whole",#N/A,FALSE,"CS_DIST_ActvsBud";"whole",#N/A,FALSE,"CS_DIST_SUM_trail3mo"}</definedName>
    <definedName name="Test4" hidden="1">{"Chart 1",#N/A,FALSE,"Run Rate";"Chart 2",#N/A,FALSE,"Run Rate (2)"}</definedName>
    <definedName name="TestAdd">"Test RefersTo1"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igr_Exhibit005f7dfc_56d4_44f5_b7f1_187c4da8a03a" hidden="1">#REF!</definedName>
    <definedName name="Tigr_Exhibit018d4de9_a22b_4a10_b683_8d0aa443bad4" hidden="1">#REF!</definedName>
    <definedName name="Tigr_Exhibit01b4ca6d_a279_43cd_a862_6ff7a56d1e0b" hidden="1">#REF!</definedName>
    <definedName name="Tigr_Exhibit02193c65_e3ef_4fa3_912d_69c49ddd9b88" hidden="1">#REF!</definedName>
    <definedName name="Tigr_Exhibit0322ee91_5c47_4420_9ee3_079017e4625f" hidden="1">#REF!</definedName>
    <definedName name="Tigr_Exhibit038c762b_9f61_4d60_ba6e_6b4a51f71441" hidden="1">#REF!</definedName>
    <definedName name="Tigr_Exhibit03ddbb5b_73cd_48e4_91ef_2062f8dda02e" hidden="1">#REF!</definedName>
    <definedName name="Tigr_Exhibit047ed2ec_11ad_4371_9f15_9452aae0b95b" hidden="1">#REF!</definedName>
    <definedName name="Tigr_Exhibit05b1afe1_9051_46a8_92a6_d7c885137802" hidden="1">#REF!</definedName>
    <definedName name="Tigr_Exhibit05bbf520_9e39_43cb_bcf2_dfb7948ed8dd" hidden="1">#REF!</definedName>
    <definedName name="Tigr_Exhibit05c2ad8f_62d8_4503_a05a_4c607c803372" hidden="1">#REF!</definedName>
    <definedName name="Tigr_Exhibit07da95ce_bce5_4ab5_83ba_28ece95c7ba6" hidden="1">#REF!</definedName>
    <definedName name="Tigr_Exhibit07f9ff23_2a3b_4a77_9847_1ccef0775326" hidden="1">#REF!</definedName>
    <definedName name="Tigr_Exhibit0832655d_9365_4ebd_979d_008e1e292b5a" hidden="1">#REF!</definedName>
    <definedName name="Tigr_Exhibit08525e7d_443e_4111_b2fa_7597fb64cf8f" hidden="1">#REF!</definedName>
    <definedName name="Tigr_Exhibit08cd02ed_a1ff_4bcd_8223_bf8c5ff61caf" hidden="1">#REF!</definedName>
    <definedName name="Tigr_Exhibit096458eb_fdd4_46f9_bd4c_1111ee048694" hidden="1">#REF!</definedName>
    <definedName name="Tigr_Exhibit0c331a06_d5ba_4784_a673_1199346a3f13" hidden="1">#REF!</definedName>
    <definedName name="Tigr_Exhibit0d03f082_e23d_48ee_8da2_579539c695ee" hidden="1">#REF!</definedName>
    <definedName name="Tigr_Exhibit0d5cd2a5_575f_45fe_ba4b_fd8b35ad1a09" hidden="1">#REF!</definedName>
    <definedName name="Tigr_Exhibit0d80d4e9_b2ee_4c84_a2e1_c522189b5252" hidden="1">#REF!</definedName>
    <definedName name="Tigr_Exhibit0d86c4b0_79ed_45da_823c_2423fa796b64" hidden="1">#REF!</definedName>
    <definedName name="Tigr_Exhibit100b5a6f_517e_400c_93e7_10f6d098b7f9" hidden="1">#REF!</definedName>
    <definedName name="Tigr_Exhibit10c85395_64b4_4f25_b3ec_6bad4f8502c0" hidden="1">#REF!</definedName>
    <definedName name="Tigr_Exhibit15cc0782_070c_49a8_ad93_2d0e3c96a474" hidden="1">#REF!</definedName>
    <definedName name="Tigr_Exhibit15eacc04_2940_4599_89c1_3ab3225542e5" hidden="1">#REF!</definedName>
    <definedName name="Tigr_Exhibit16f9c274_cd65_4d28_85f4_6806b6589108" hidden="1">#REF!</definedName>
    <definedName name="Tigr_Exhibit17d1ec7d_00f7_460e_8f41_6d31efe0cd12" hidden="1">#REF!</definedName>
    <definedName name="Tigr_Exhibit183f10e0_2986_4113_92e4_7ba86bf96a37" hidden="1">#REF!</definedName>
    <definedName name="Tigr_Exhibit1876298a_048e_4756_9b85_c41e0bff3f2b" hidden="1">#REF!</definedName>
    <definedName name="Tigr_Exhibit1b16b04a_b407_43c1_a4c7_869e3f8c78ed" hidden="1">#REF!</definedName>
    <definedName name="Tigr_Exhibit1b2647d0_9863_4fe8_8041_ecaf9320038a" hidden="1">#REF!</definedName>
    <definedName name="Tigr_Exhibit1b333102_9973_4e09_b62f_d03ce4dffbf8" hidden="1">#REF!</definedName>
    <definedName name="Tigr_Exhibit1bbf4ba5_1824_4d91_88b7_2556ac077cae" hidden="1">#REF!</definedName>
    <definedName name="Tigr_Exhibit1cde7e5a_b91f_40c2_89fa_728d62ddae88" hidden="1">#REF!</definedName>
    <definedName name="Tigr_Exhibit1d3cc7f0_a166_4273_8d64_22a81b00aa37" hidden="1">#REF!</definedName>
    <definedName name="Tigr_Exhibit1ec7de98_53ea_4c34_9c48_127093b5edcc" hidden="1">#REF!</definedName>
    <definedName name="Tigr_Exhibit1f90cfd3_d607_450a_9c82_64f6edd47438" hidden="1">#REF!</definedName>
    <definedName name="Tigr_Exhibit20311ddb_02c3_4922_a65e_c47426e883c7" hidden="1">#REF!</definedName>
    <definedName name="Tigr_Exhibit207d13a4_3e7e_4a4f_968a_f0a2aa24b982" hidden="1">#REF!</definedName>
    <definedName name="Tigr_Exhibit215fd3f9_b6d5_4c9a_ab72_19a54b60fcba" hidden="1">#REF!</definedName>
    <definedName name="Tigr_Exhibit21cdad8a_358d_4d73_80d8_2e0c1b3fd9aa" hidden="1">#REF!</definedName>
    <definedName name="Tigr_Exhibit22dd4fab_be5a_44c6_9ebc_954ea39fc415" hidden="1">#REF!</definedName>
    <definedName name="Tigr_Exhibit2548d1d8_1aa1_4ea3_a9bf_65886805c652" hidden="1">#REF!</definedName>
    <definedName name="Tigr_Exhibit25a94057_2b22_4074_ba60_7eb50fd1ef0c" hidden="1">#REF!</definedName>
    <definedName name="Tigr_Exhibit26e91f56_ca70_4a08_88c9_352d836699fc" hidden="1">#REF!</definedName>
    <definedName name="Tigr_Exhibit27406a32_d3c6_413d_97d3_e8c0a775da0c" hidden="1">#REF!</definedName>
    <definedName name="Tigr_Exhibit29512459_9b80_4974_9951_a2e4f291698c" hidden="1">#REF!</definedName>
    <definedName name="Tigr_Exhibit296edea2_7bea_4e53_a6ee_b33902e5e587" hidden="1">#REF!</definedName>
    <definedName name="Tigr_Exhibit2a8258c8_2d57_40c7_a42a_09cad4b34da1" hidden="1">#REF!</definedName>
    <definedName name="Tigr_Exhibit2ae6cd42_4a7e_45a7_9818_8970f567e5da" hidden="1">#REF!</definedName>
    <definedName name="Tigr_Exhibit2f546f96_5669_4465_b897_9e921991f858" hidden="1">#REF!</definedName>
    <definedName name="Tigr_Exhibit2fb456f0_40c5_4776_b9b2_d1271106ceb5" hidden="1">#REF!</definedName>
    <definedName name="Tigr_Exhibit301b2469_01d9_4a88_8272_a7653e308a04" hidden="1">#REF!</definedName>
    <definedName name="Tigr_Exhibit305b2507_271e_4c21_bf86_4325ca9d48de" hidden="1">#REF!</definedName>
    <definedName name="Tigr_Exhibit30f94009_1895_4a63_a4ef_9767a06cdddb" hidden="1">#REF!</definedName>
    <definedName name="Tigr_Exhibit315e4e9a_2e49_4bf3_a93e_cdd67e3b2511" hidden="1">#REF!</definedName>
    <definedName name="Tigr_Exhibit31c766af_f71e_40b7_90e8_8083f5d5c8f6" hidden="1">#REF!</definedName>
    <definedName name="Tigr_Exhibit31f94765_9a70_4e7d_83b5_95083855ac61" hidden="1">#REF!</definedName>
    <definedName name="Tigr_Exhibit327aa219_16be_44dd_8587_f6e207ec98d7" hidden="1">#REF!</definedName>
    <definedName name="Tigr_Exhibit32892b9d_61ea_4bf1_8f64_b854b03b3a69" hidden="1">#REF!</definedName>
    <definedName name="Tigr_Exhibit32b13278_7857_4762_aef0_27895c1bc4a9" hidden="1">#REF!</definedName>
    <definedName name="Tigr_Exhibit3641ede0_3ede_4944_a624_da7b8880341c" hidden="1">#REF!</definedName>
    <definedName name="Tigr_Exhibit368ce0bc_7fc3_43e8_a1f6_49932066d6fe" hidden="1">#REF!</definedName>
    <definedName name="Tigr_Exhibit36ec16f4_fe13_4f3c_8c80_506d9f4fe6d0" hidden="1">#REF!</definedName>
    <definedName name="Tigr_Exhibit370aa164_2da7_417b_8398_468f4a383cc1" hidden="1">#REF!</definedName>
    <definedName name="Tigr_Exhibit37911e43_fc6e_4bd6_89cf_b935c5d9fdb1" hidden="1">#REF!</definedName>
    <definedName name="Tigr_Exhibit37c35c95_5487_4245_a08e_27daeaa3a49e" hidden="1">#REF!</definedName>
    <definedName name="Tigr_Exhibit3dbf26a3_491e_4f11_9fc1_ed023a672ded" hidden="1">#REF!</definedName>
    <definedName name="Tigr_Exhibit3ea260a0_d2b3_4050_b269_8564af82f463" hidden="1">#REF!</definedName>
    <definedName name="Tigr_Exhibit3ee05829_595b_48e2_834b_3c9c161397d2" hidden="1">#REF!</definedName>
    <definedName name="Tigr_Exhibit3f3fa475_345b_4736_b98f_3398da5cedb8" hidden="1">#REF!</definedName>
    <definedName name="Tigr_Exhibit401e8dfe_2e22_45b2_ae48_c72c69066d7a" hidden="1">#REF!</definedName>
    <definedName name="Tigr_Exhibit40f83a02_de26_492e_856c_93e9476f7d59" hidden="1">#REF!</definedName>
    <definedName name="Tigr_Exhibit417d4f6a_272e_4be6_8cf3_fa300aeb757b" hidden="1">#REF!</definedName>
    <definedName name="Tigr_Exhibit43b6595a_a771_4487_807e_1798129bc6d1" hidden="1">#REF!</definedName>
    <definedName name="Tigr_Exhibit464412ac_963c_4054_959d_0d60eb4018c2" hidden="1">#REF!</definedName>
    <definedName name="Tigr_Exhibit4661e851_651e_47a2_b050_c515739b2f84" hidden="1">#REF!</definedName>
    <definedName name="Tigr_Exhibit48862c65_87a2_4157_918f_b11c1062e868" hidden="1">#REF!</definedName>
    <definedName name="Tigr_Exhibit49d967e3_c7a7_49f8_a8a2_0f257f0b3eb2" hidden="1">#REF!</definedName>
    <definedName name="Tigr_Exhibit49db6f92_ee14_4f31_9fff_ed278a6faebe" hidden="1">#REF!</definedName>
    <definedName name="Tigr_Exhibit4a5d6eeb_1045_4cb0_ad0e_4ddc50ea57d7" hidden="1">#REF!</definedName>
    <definedName name="Tigr_Exhibit4c7e1f07_4d47_4cc1_87b2_8eae64868531" hidden="1">#REF!</definedName>
    <definedName name="Tigr_Exhibit4e837384_b028_44bd_81f8_a7f95faefa9a" hidden="1">#REF!</definedName>
    <definedName name="Tigr_Exhibit4fd5c574_982e_40f7_bd73_f8aaddb1ea01" hidden="1">#REF!</definedName>
    <definedName name="Tigr_Exhibit50349353_5968_4830_a286_24a74d2a9965" hidden="1">#REF!</definedName>
    <definedName name="Tigr_Exhibit5260373f_ee62_4bdd_9f6e_ec7f236dfa9f" hidden="1">#REF!</definedName>
    <definedName name="Tigr_Exhibit52c976bb_4202_4358_b060_7982761abf35" hidden="1">#REF!</definedName>
    <definedName name="Tigr_Exhibit53e7a06b_e7fa_44b9_8776_0ad713e8bd62" hidden="1">#REF!</definedName>
    <definedName name="Tigr_Exhibit55c0d442_fd87_425c_bd99_f9f3cbf4104c" hidden="1">#REF!</definedName>
    <definedName name="Tigr_Exhibit55d0c068_3054_432a_a0d4_01d793b44fa8" hidden="1">#REF!</definedName>
    <definedName name="Tigr_Exhibit584c8d15_4100_4281_800f_ff8d92d06615" hidden="1">#REF!</definedName>
    <definedName name="Tigr_Exhibit58acb6aa_076d_41cb_a2c5_0a6afef37095" hidden="1">#REF!</definedName>
    <definedName name="Tigr_Exhibit593ed678_c6ab_4bfd_92f5_3d8c3c3c2eaa" hidden="1">#REF!</definedName>
    <definedName name="Tigr_Exhibit5cd074dc_7300_41c3_bfc3_4c99daf53ade" hidden="1">#REF!</definedName>
    <definedName name="Tigr_Exhibit5fe322ac_07d1_4d9d_8897_1dc05dfc4726" hidden="1">#REF!</definedName>
    <definedName name="Tigr_Exhibit61afc8c3_6c22_448c_a668_4a86f8389157" hidden="1">#REF!</definedName>
    <definedName name="Tigr_Exhibit622b2fbf_8854_4690_8285_129fc69f9bff" hidden="1">#REF!</definedName>
    <definedName name="Tigr_Exhibit665c76ef_bb70_485c_897a_f50789f862f7" hidden="1">#REF!</definedName>
    <definedName name="Tigr_Exhibit66b26849_ce53_48f9_9c57_970ae7e33f07" hidden="1">#REF!</definedName>
    <definedName name="Tigr_Exhibit6863fb8f_8714_45ca_bc5d_8b2f312fa4cf" hidden="1">#REF!</definedName>
    <definedName name="Tigr_Exhibit69c8ff24_a165_4b3c_8385_555e17ff311c" hidden="1">#REF!</definedName>
    <definedName name="Tigr_Exhibit6c42fa7e_eecb_42ea_b42e_6575db613dae" hidden="1">#REF!</definedName>
    <definedName name="Tigr_Exhibit6d955f0c_330c_4ff7_b4fb_a60e8ea2e7d7" hidden="1">#REF!</definedName>
    <definedName name="Tigr_Exhibit6e2b9dd8_39d1_44cb_b948_1650af4262b8" hidden="1">#REF!</definedName>
    <definedName name="Tigr_Exhibit6ed87923_3b6d_442c_b59d_0e29d133221f" hidden="1">#REF!</definedName>
    <definedName name="Tigr_Exhibit6fbf4e01_83c4_4557_b198_cbcdd1e1714b" hidden="1">#REF!</definedName>
    <definedName name="Tigr_Exhibit7003808d_6479_46e9_8071_2b7671f8e8e6" hidden="1">#REF!</definedName>
    <definedName name="Tigr_Exhibit7074a2f0_8998_489d_b180_e721646891d1" hidden="1">#REF!</definedName>
    <definedName name="Tigr_Exhibit70e205bb_ef51_4735_bbce_ad5169948542" hidden="1">#REF!</definedName>
    <definedName name="Tigr_Exhibit743b3738_cfa2_40ea_812c_094186af5bdb" hidden="1">#REF!</definedName>
    <definedName name="Tigr_Exhibit75b0b018_2655_4859_9660_12e3d405f989" hidden="1">#REF!</definedName>
    <definedName name="Tigr_Exhibit765153cf_b4eb_4810_b1bd_394b271a6aad" hidden="1">#REF!</definedName>
    <definedName name="Tigr_Exhibit7724159d_1b96_465f_a596_6e5b46391b07" hidden="1">#REF!</definedName>
    <definedName name="Tigr_Exhibit7784fd4f_0b05_4a53_875f_80936784cf71" hidden="1">#REF!</definedName>
    <definedName name="Tigr_Exhibit7cba5149_db3d_4d61_b47c_53c99a9c5104" hidden="1">#REF!</definedName>
    <definedName name="Tigr_Exhibit7d1f4685_ffaa_4c27_823c_b8a836dd468f" hidden="1">#REF!</definedName>
    <definedName name="Tigr_Exhibit81762bbc_3746_41ca_8919_b3f066b58fdb" hidden="1">#REF!</definedName>
    <definedName name="Tigr_Exhibit82ea36d9_b64a_4dea_848b_67385dd24cfc" hidden="1">#REF!</definedName>
    <definedName name="Tigr_Exhibit83070a08_4b97_4151_8886_5e7c14462a65" hidden="1">#REF!</definedName>
    <definedName name="Tigr_Exhibit836c477c_ec88_4966_a89f_4aade02ad74e" hidden="1">#REF!</definedName>
    <definedName name="Tigr_Exhibit842ab900_aa58_4240_bb52_5dc046b5cf63" hidden="1">#REF!</definedName>
    <definedName name="Tigr_Exhibit89030993_3af4_45d5_9bc3_655288e89f96" hidden="1">#REF!</definedName>
    <definedName name="Tigr_Exhibit890e6c1e_d467_42e2_8565_87ebd75b294e" hidden="1">#REF!</definedName>
    <definedName name="Tigr_Exhibit89d84cbc_21bf_48a0_8f18_9b189fb1a4a9" hidden="1">#REF!</definedName>
    <definedName name="Tigr_Exhibit8b3346eb_cc20_4f2c_9fa5_7bdf785126d0" hidden="1">#REF!</definedName>
    <definedName name="Tigr_Exhibit8c67c1aa_81f7_40a2_854d_1a5f9708a2c5" hidden="1">#REF!</definedName>
    <definedName name="Tigr_Exhibit9273d4ec_9ea7_405a_a457_c8c2bbd46ec7" hidden="1">#REF!</definedName>
    <definedName name="Tigr_Exhibit928d0e9f_f553_4b90_9e39_33858b12b60f" hidden="1">#REF!</definedName>
    <definedName name="Tigr_Exhibit93a16a61_46d8_472f_bd29_ef44f2515f87" hidden="1">#REF!</definedName>
    <definedName name="Tigr_Exhibit956e386d_b969_404a_b572_7b5e91391606" hidden="1">#REF!</definedName>
    <definedName name="Tigr_Exhibit96759969_1d46_414e_b67c_c6a6e4fda864" hidden="1">#REF!</definedName>
    <definedName name="Tigr_Exhibit96c59915_e227_4fc0_ba0b_f591931e43a7" hidden="1">#REF!</definedName>
    <definedName name="Tigr_Exhibit98ab13d4_deb9_40e1_b5c5_3effb69a17b9" hidden="1">#REF!</definedName>
    <definedName name="Tigr_Exhibit9bf37d38_b312_4f0a_a3ce_21ede09f4338" hidden="1">#REF!</definedName>
    <definedName name="Tigr_Exhibit9cacb405_3a97_4024_ae98_f24f53c5d2f0" hidden="1">#REF!</definedName>
    <definedName name="Tigr_Exhibit9d331a0b_09ab_4f76_be35_304dccb1b733" hidden="1">#REF!</definedName>
    <definedName name="Tigr_Exhibit9e03eb42_56dd_40ae_bba0_cdef1a20d343" hidden="1">#REF!</definedName>
    <definedName name="Tigr_Exhibit9e655982_4592_4d2d_955d_5a25225fe467" hidden="1">#REF!</definedName>
    <definedName name="Tigr_Exhibit9f0a8905_1524_42f0_ade9_25dbdbe46a75" hidden="1">#REF!</definedName>
    <definedName name="Tigr_Exhibit9f2e398a_0d32_4ed4_a604_eda1326fdba6" hidden="1">#REF!</definedName>
    <definedName name="Tigr_Exhibit9f99b3f9_4293_47d5_94c5_587fc0d7221a" hidden="1">#REF!</definedName>
    <definedName name="Tigr_Exhibita169b9ea_3808_4c82_adb7_cf05e41e631a" hidden="1">#REF!</definedName>
    <definedName name="Tigr_Exhibita25157f2_dabb_4dbe_9604_fed6a1668fcf" hidden="1">#REF!</definedName>
    <definedName name="Tigr_Exhibita2d1efd7_67f0_4efd_a254_a6e54a0f9397" hidden="1">#REF!</definedName>
    <definedName name="Tigr_Exhibita37a3ea6_8ba4_480b_a4bb_cbe1f2fc467b" hidden="1">#REF!</definedName>
    <definedName name="Tigr_Exhibita4d3bc27_9948_47c3_b106_ea72c6172263" hidden="1">#REF!</definedName>
    <definedName name="Tigr_Exhibita4e1ef5c_7650_49e6_9d10_ba211be7c5a5" hidden="1">#REF!</definedName>
    <definedName name="Tigr_Exhibita5461784_f943_41ed_8895_ff5000e94076" hidden="1">#REF!</definedName>
    <definedName name="Tigr_Exhibita6cb43f5_7ea3_4edf_a19f_9be9912e4cb4" hidden="1">#REF!</definedName>
    <definedName name="Tigr_Exhibita7a6abf5_3818_409a_940b_22a7d5ba5200" hidden="1">#REF!</definedName>
    <definedName name="Tigr_Exhibita7ee7d62_37b3_4b68_b4b8_a623f5c0d37c" hidden="1">#REF!</definedName>
    <definedName name="Tigr_Exhibita9ec7abb_5acb_4080_839d_e2980159cce2" hidden="1">#REF!</definedName>
    <definedName name="Tigr_Exhibitab1cd67a_3339_4876_a31a_b416effbec3c" hidden="1">#REF!</definedName>
    <definedName name="Tigr_Exhibitaf0c0cef_014f_4671_b9f0_f6a9717ca845" hidden="1">#REF!</definedName>
    <definedName name="Tigr_Exhibitb1ce9ae9_68b6_4c4d_ad5f_58cd8a4760ae" hidden="1">#REF!</definedName>
    <definedName name="Tigr_Exhibitb2bf74ab_0194_4182_9a10_d94d56714def" hidden="1">#REF!</definedName>
    <definedName name="Tigr_Exhibitb2c7983e_0b0d_42a8_94c8_c39d997585ff" hidden="1">#REF!</definedName>
    <definedName name="Tigr_Exhibitb45f9991_2960_4a92_ad72_f2dd9a726995" hidden="1">#REF!</definedName>
    <definedName name="Tigr_Exhibitb52d7300_3700_4678_87de_1fe9e669bfa8" hidden="1">#REF!</definedName>
    <definedName name="Tigr_Exhibitb646eb33_d56f_425b_bc66_4bb4e34266d1" hidden="1">#REF!</definedName>
    <definedName name="Tigr_Exhibitb83ff3d0_3466_4525_901c_4273cdae906c" hidden="1">#REF!</definedName>
    <definedName name="Tigr_Exhibitb99d6781_82a6_4024_bd17_a5e40ed9d0b5" hidden="1">#REF!</definedName>
    <definedName name="Tigr_Exhibitb9a3113e_0915_4ec4_b6ff_55cd17e5f2e3" hidden="1">#REF!</definedName>
    <definedName name="Tigr_Exhibitb9c3501b_3685_4769_9812_f6e014393652" hidden="1">#REF!</definedName>
    <definedName name="Tigr_Exhibitba73417a_4948_4a5a_beb8_c69dbb1da016" hidden="1">#REF!</definedName>
    <definedName name="Tigr_Exhibitbc2122e0_b7fc_42d6_8fe7_a7f45bb74531" hidden="1">#REF!</definedName>
    <definedName name="Tigr_Exhibitbc98c187_a92e_4ecc_9ccf_a33634052951" hidden="1">#REF!</definedName>
    <definedName name="Tigr_Exhibitbe5e5964_b6ad_411f_8917_1478c5db9441" hidden="1">#REF!</definedName>
    <definedName name="Tigr_Exhibitbe8a1185_bca7_4470_988e_f3d0fc14abc6" hidden="1">#REF!</definedName>
    <definedName name="Tigr_Exhibitbf8b4892_7059_4529_b058_b718375c5d9c" hidden="1">#REF!</definedName>
    <definedName name="Tigr_Exhibitc0578117_3c4c_4b73_9147_db3499678d56" hidden="1">#REF!</definedName>
    <definedName name="Tigr_Exhibitc1285ea8_65de_46de_a38a_d401bcbdd4e1" hidden="1">#REF!</definedName>
    <definedName name="Tigr_Exhibitc1e343af_0f27_4c40_a522_2453d6404feb" hidden="1">#REF!</definedName>
    <definedName name="Tigr_Exhibitc89b8bad_4e3b_453e_b6ba_c8d76d243e04" hidden="1">#REF!</definedName>
    <definedName name="Tigr_Exhibitc92dc48a_2646_49b9_bd10_f65539e841de" hidden="1">#REF!</definedName>
    <definedName name="Tigr_Exhibitcb940f27_ebda_4fb3_a3fb_fcb00942a375" hidden="1">#REF!</definedName>
    <definedName name="Tigr_Exhibitcc2d0b3c_553d_4548_8c6f_9a293d3081d3" hidden="1">#REF!</definedName>
    <definedName name="Tigr_Exhibitcd286ca4_61bf_4bdc_9721_768a93158b99" hidden="1">#REF!</definedName>
    <definedName name="Tigr_Exhibitcd3996ea_bd24_46e8_bb30_cf5bcc209049" hidden="1">#REF!</definedName>
    <definedName name="Tigr_Exhibitcd46e8c3_e223_4d43_8afe_09d4edfc8b7e" hidden="1">#REF!</definedName>
    <definedName name="Tigr_Exhibitcd7c40e8_39b6_4153_afa3_42194e36dd94" hidden="1">#REF!</definedName>
    <definedName name="Tigr_Exhibitceb65608_a72f_4130_b009_ef5fdb301854" hidden="1">#REF!</definedName>
    <definedName name="Tigr_Exhibitd0597e1a_9faf_403a_ad9b_6e77dcad55f4" hidden="1">#REF!</definedName>
    <definedName name="Tigr_Exhibitd25f1005_79dc_4235_9a45_496500a9914f" hidden="1">#REF!</definedName>
    <definedName name="Tigr_Exhibitd2b43680_6860_467d_8af7_50c05813d4c2" hidden="1">#REF!</definedName>
    <definedName name="Tigr_Exhibitd3c53e5a_626b_406f_9b43_eeb2c7b77f09" hidden="1">#REF!</definedName>
    <definedName name="Tigr_Exhibitd3ec74ee_9e9e_4536_bc73_ff33b94b790d" hidden="1">#REF!</definedName>
    <definedName name="Tigr_Exhibitd3ef26eb_0645_4d2b_9326_c0f5a7a5c851" hidden="1">#REF!</definedName>
    <definedName name="Tigr_Exhibitd7085c9f_1191_4848_9ff7_e612ddac6147" hidden="1">#REF!</definedName>
    <definedName name="Tigr_Exhibitd7720fee_5a6a_4aa4_bb28_10cf13e15419" hidden="1">#REF!</definedName>
    <definedName name="Tigr_Exhibitd7fbb863_6f78_49bf_8496_0a975929a0ea" hidden="1">#REF!</definedName>
    <definedName name="Tigr_Exhibitd8763061_1e32_4623_a3e5_5a571e2070fc" hidden="1">#REF!</definedName>
    <definedName name="Tigr_Exhibitd93eaf19_f0cd_470c_a68f_000e4588ab80" hidden="1">#REF!</definedName>
    <definedName name="Tigr_Exhibitdb6baa80_6a4b_4988_b404_a1ce5cba6f0c" hidden="1">#REF!</definedName>
    <definedName name="Tigr_Exhibitde86124d_66d9_43c5_991e_501e16c19dd2" hidden="1">#REF!</definedName>
    <definedName name="Tigr_Exhibite1d979da_bbd0_4339_9439_25b7c2d41637" hidden="1">#REF!</definedName>
    <definedName name="Tigr_Exhibite1e11c75_c154_416a_be4f_727aa3fe90bd" hidden="1">#REF!</definedName>
    <definedName name="Tigr_Exhibite258cb22_c72d_447e_9cc2_959a97ce6b21" hidden="1">#REF!</definedName>
    <definedName name="Tigr_Exhibite62c7b22_af92_42f9_9d66_8d6a980c2791" hidden="1">#REF!</definedName>
    <definedName name="Tigr_Exhibite6413e5b_7121_4917_88f0_5b1f22e4f9f0" hidden="1">#REF!</definedName>
    <definedName name="Tigr_Exhibite87e361e_6135_4f7f_9e2d_5b1df4d96471" hidden="1">#REF!</definedName>
    <definedName name="Tigr_Exhibitea78e364_01ca_420a_9581_44d3bfa894d1" hidden="1">#REF!</definedName>
    <definedName name="Tigr_Exhibitea88190a_6c34_4e83_b8dd_54ad68ed2fe5" hidden="1">#REF!</definedName>
    <definedName name="Tigr_Exhibitecf4f64e_7462_4734_aec3_08610836f5fa" hidden="1">#REF!</definedName>
    <definedName name="Tigr_Exhibited00278a_9f21_4b72_b5b6_796222cad072" hidden="1">#REF!</definedName>
    <definedName name="Tigr_Exhibited720494_375a_4207_a653_c803f2d1afb6" hidden="1">#REF!</definedName>
    <definedName name="Tigr_Exhibitedd0dd26_fa79_4cef_9bdb_6348d430ff07" hidden="1">#REF!</definedName>
    <definedName name="Tigr_Exhibiteeb3f9cc_8cc4_4d0e_b685_b63f9a113ff2" hidden="1">#REF!</definedName>
    <definedName name="Tigr_Exhibitef8dbb29_4f92_46dd_a9e6_4db13be27d0c" hidden="1">#REF!</definedName>
    <definedName name="Tigr_Exhibitf22c21fc_b327_43ad_8c21_77c69cb1ab50" hidden="1">#REF!</definedName>
    <definedName name="Tigr_Exhibitf3cdb22c_7a9c_481c_83bd_714c5bd7b81c" hidden="1">#REF!</definedName>
    <definedName name="Tigr_Exhibitf4000fbf_90d9_4da9_80ce_eb42e588d96f" hidden="1">#REF!</definedName>
    <definedName name="Tigr_Exhibitf5857152_4c11_4263_ab25_554adb97558f" hidden="1">#REF!</definedName>
    <definedName name="Tigr_Exhibitf5993eec_8f1d_4fb7_8404_38c9bbdd0830" hidden="1">#REF!</definedName>
    <definedName name="Tigr_Exhibitf6e82a16_5f97_45ed_a635_2711aa1781ba" hidden="1">#REF!</definedName>
    <definedName name="Tigr_Exhibitf77b1e39_80ea_4444_837a_eb00abaaff66" hidden="1">#REF!</definedName>
    <definedName name="Tigr_Exhibitf7cc33d3_179b_4c40_a792_5d1299d02aca" hidden="1">#REF!</definedName>
    <definedName name="Tigr_Exhibitf95cb5d7_7f22_405d_a4ac_117bf2f203a3" hidden="1">#REF!</definedName>
    <definedName name="Tigr_Exhibitfb186575_78ef_49e6_b998_0541978d88b5" hidden="1">#REF!</definedName>
    <definedName name="Tigr_Exhibitfe827dca_4840_4008_98f4_e136e4ef5e69" hidden="1">#REF!</definedName>
    <definedName name="Tigr_Exhibitfebc9922_b21d_4571_8b33_ca54ddd0bc25" hidden="1">#REF!</definedName>
    <definedName name="trc_XLS_DATASHEET_ProtectDate">36895.4265625</definedName>
    <definedName name="Trend" hidden="1">{"closed",#N/A,FALSE,"Consolidated Products - Budget";"expanded",#N/A,FALSE,"Consolidated Products - Budget"}</definedName>
    <definedName name="trend2" hidden="1">{"closed",#N/A,FALSE,"Consolidated Products - Budget";"expanded",#N/A,FALSE,"Consolidated Products - Budget"}</definedName>
    <definedName name="TRIVOL">8</definedName>
    <definedName name="tt" hidden="1">{"away stand alones",#N/A,FALSE,"Target"}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woAndAHalfMonthdate">IF(TaxYearEnd="","",MONTH(TaxYearEnd+75)&amp;"/15"&amp;"/"&amp;YEAR(MyNextYear))</definedName>
    <definedName name="tyu" hidden="1">{"consolidated",#N/A,FALSE,"Sheet1";"cms",#N/A,FALSE,"Sheet1";"fse",#N/A,FALSE,"Sheet1"}</definedName>
    <definedName name="ugyi" hidden="1">{#N/A,#N/A,FALSE,"output";#N/A,#N/A,FALSE,"contrib";#N/A,#N/A,FALSE,"profile";#N/A,#N/A,FALSE,"comps"}</definedName>
    <definedName name="umy" hidden="1">{"comps",#N/A,FALSE,"comps";"notes",#N/A,FALSE,"comps"}</definedName>
    <definedName name="USPrint">#N/A</definedName>
    <definedName name="uu" hidden="1">{"closed",#N/A,FALSE,"Consolidated Products - Budget";"expanded",#N/A,FALSE,"Consolidated Products - Budget"}</definedName>
    <definedName name="v" hidden="1">{"closed",#N/A,FALSE,"Consolidated Products - Budget";"expanded",#N/A,FALSE,"Consolidated Products - Budget"}</definedName>
    <definedName name="V_ALL_BOX">#REF!</definedName>
    <definedName name="V_ALL_DBX">#REF!</definedName>
    <definedName name="V_ALL_DOCU">#REF!</definedName>
    <definedName name="V_ALL_KEYWORDS_TYPE_ScalarContributed_EQTY_200019588">#REF!,#REF!,#REF!,#REF!</definedName>
    <definedName name="V_ALL_KEYWORDS_TYPE_ScalarContributed_ISSR_208018133">#REF!,#REF!,#REF!,#REF!,#REF!,#REF!,#REF!,#REF!,#REF!,#REF!,#REF!,#REF!</definedName>
    <definedName name="V_ALL_KEYWORDS_TYPE_Vector_EQTY_200019588">#REF!,#REF!,#REF!,#REF!,#REF!,#REF!,#REF!</definedName>
    <definedName name="V_ALL_KEYWORDS_TYPE_Vector_ISSR_208018133">#REF!,#REF!,#REF!,#REF!,#REF!,#REF!,#REF!,#REF!,#REF!,#REF!,#REF!,#REF!,#REF!,#REF!,#REF!,#REF!,#REF!,#REF!,#REF!,#REF!,#REF!,#REF!,#REF!</definedName>
    <definedName name="V_ALL_MDB">#REF!</definedName>
    <definedName name="V_ALL_MSFT">[2]MSFT_Validation_Sheet!$A$1:$FE$331</definedName>
    <definedName name="V_ALL_NTNX">[1]NTNX_Validation_Sheet!$A$1:$CB$331</definedName>
    <definedName name="V_ALL_PING">#REF!</definedName>
    <definedName name="V_ALL_PVTL">#REF!</definedName>
    <definedName name="V_ALL_SECTION_KEYWORDS_EQTY_200019588_13A">#REF!</definedName>
    <definedName name="V_ALL_SECTION_KEYWORDS_EQTY_200019588_13K">#REF!</definedName>
    <definedName name="V_ALL_SECTION_KEYWORDS_ISSR_208018133_1314">#REF!</definedName>
    <definedName name="V_ALL_SECTION_KEYWORDS_ISSR_208018133_1319">#REF!</definedName>
    <definedName name="V_ALL_SECTION_KEYWORDS_ISSR_208018133_131E">#REF!</definedName>
    <definedName name="V_ALL_SECTION_KEYWORDS_ISSR_208018133_13V">#REF!,#REF!</definedName>
    <definedName name="V_ALL_SECTION_KEYWORDS_ISSR_208020111_136J">#REF!,#REF!</definedName>
    <definedName name="V_ALL_SNOW">#REF!</definedName>
    <definedName name="V_ALL_TTAN">#REF!</definedName>
    <definedName name="Version.WIRE">1</definedName>
    <definedName name="vsv" hidden="1">{"comp",#N/A,FALSE,"SPEC";"footnotes",#N/A,FALSE,"SPEC"}</definedName>
    <definedName name="vv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" hidden="1">{"Chart 1",#N/A,FALSE,"Run Rate";"Chart 2",#N/A,FALSE,"Run Rate (2)"}</definedName>
    <definedName name="w.dcf" hidden="1">{"mgmt forecast",#N/A,FALSE,"Mgmt Forecast";"dcf table",#N/A,FALSE,"Mgmt Forecast";"sensitivity",#N/A,FALSE,"Mgmt Forecast";"table inputs",#N/A,FALSE,"Mgmt Forecast";"calculations",#N/A,FALSE,"Mgmt Forecast"}</definedName>
    <definedName name="w3m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m2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3run" hidden="1">{"Chart 1",#N/A,FALSE,"Run Rate";"Chart 2",#N/A,FALSE,"Run Rate (2)"}</definedName>
    <definedName name="w3w2" hidden="1">{"whole",#N/A,FALSE,"CS FIN Sum For Rox";"whole",#N/A,FALSE,"Gen_Dist_Act_Bud";"whole",#N/A,FALSE,"Gen_Dist_T3months";"whole",#N/A,FALSE,"GD_PerP";"whole",#N/A,FALSE,"CS_DIST_ActvsBud";"whole",#N/A,FALSE,"CS_DIST_SUM_trail3mo"}</definedName>
    <definedName name="wcom" hidden="1">{"IS",#N/A,FALSE,"IS";"RPTIS",#N/A,FALSE,"RPTIS";"STATS",#N/A,FALSE,"STATS";"BS",#N/A,FALSE,"BS"}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hat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d.prodcon2" hidden="1">{"closed",#N/A,FALSE,"Consolidated Products - Budget";"expanded",#N/A,FALSE,"Consolidated Products - Budget"}</definedName>
    <definedName name="wrn" hidden="1">{#N/A,#N/A,FALSE,"Summary";#N/A,#N/A,FALSE,"Details";#N/A,#N/A,FALSE,"Month-Hd";#N/A,#N/A,FALSE,"YTD-Hd";#N/A,#N/A,FALSE,"Capital"}</definedName>
    <definedName name="wrn.1." hidden="1">{#N/A,#N/A,FALSE,"Calc";#N/A,#N/A,FALSE,"Sensitivity";#N/A,#N/A,FALSE,"LT Earn.Dil.";#N/A,#N/A,FALSE,"Dil. AVP"}</definedName>
    <definedName name="wrn.1.a" hidden="1">{#N/A,#N/A,FALSE,"Calc";#N/A,#N/A,FALSE,"Sensitivity";#N/A,#N/A,FALSE,"LT Earn.Dil.";#N/A,#N/A,FALSE,"Dil. AVP"}</definedName>
    <definedName name="wrn.101." hidden="1">{"101",#N/A,FALSE,"101"}</definedName>
    <definedName name="WRN.2." hidden="1">{#N/A,#N/A,FALSE,"Calc";#N/A,#N/A,FALSE,"Sensitivity";#N/A,#N/A,FALSE,"LT Earn.Dil.";#N/A,#N/A,FALSE,"Dil. AVP"}</definedName>
    <definedName name="wrn.2.a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50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6713_Financials." hidden="1">{#N/A,#N/A,FALSE,"Summary";#N/A,#N/A,FALSE,"Details";#N/A,#N/A,FALSE,"Month-Hd";#N/A,#N/A,FALSE,"YTD-Hd";#N/A,#N/A,FALSE,"Capital"}</definedName>
    <definedName name="wrn.Additonal." hidden="1">{"Revolver",#N/A,FALSE,"Revolver";"Incentives",#N/A,FALSE,"Model"}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Analysis2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comp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ssumptionsa" hidden="1">{"casespecific",#N/A,FALSE,"Assumptions"}</definedName>
    <definedName name="wrn.away" hidden="1">{"away stand alones",#N/A,FALSE,"Target"}</definedName>
    <definedName name="wrn.away." hidden="1">{"away stand alones",#N/A,FALSE,"Target"}</definedName>
    <definedName name="wrn.barthelet._.resp._.profit." hidden="1">{"barthelet detail",#N/A,FALSE,"96 plan Q1";"barthelet summ",#N/A,FALSE,"96 plan Q1"}</definedName>
    <definedName name="wrn.barthelet._.resp._.profit.cc" hidden="1">{"barthelet detail",#N/A,FALSE,"96 plan Q1";"barthelet summ",#N/A,FALSE,"96 plan Q1"}</definedName>
    <definedName name="wrn.barthelet._.resp._.profit.eu" hidden="1">{"barthelet detail",#N/A,FALSE,"96 plan Q1";"barthelet summ",#N/A,FALSE,"96 plan Q1"}</definedName>
    <definedName name="wrn.Basic." hidden="1">{"Returns",#N/A,FALSE,"Model";"Enterprise Value/Credit Stats",#N/A,FALSE,"Model";"Assumptions",#N/A,FALSE,"Model";"Income Statement",#N/A,FALSE,"Model";"Cash Flow Statement",#N/A,FALSE,"Model";"Balance Sheet",#N/A,FALSE,"Model";"Tax Schedule",#N/A,FALSE,"Model";"W/C Revolver",#N/A,FALSE,"Model"}</definedName>
    <definedName name="wrn.BEL." hidden="1">{"IS",#N/A,FALSE,"IS";"RPTIS",#N/A,FALSE,"RPTIS";"STATS",#N/A,FALSE,"STATS";"CELL",#N/A,FALSE,"CELL";"BS",#N/A,FALSE,"BS"}</definedName>
    <definedName name="wrn.both._.pages." hidden="1">{"page 1",#N/A,FALSE,"Comps";"page 2",#N/A,FALSE,"Comps"}</definedName>
    <definedName name="wrn.brian." hidden="1">{#N/A,#N/A,FALSE,"output";#N/A,#N/A,FALSE,"contrib";#N/A,#N/A,FALSE,"profile";#N/A,#N/A,FALSE,"comps"}</definedName>
    <definedName name="wrn.brians" hidden="1">{#N/A,#N/A,FALSE,"output";#N/A,#N/A,FALSE,"contrib";#N/A,#N/A,FALSE,"profile";#N/A,#N/A,FALSE,"comps"}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a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ombined." hidden="1">{"Quarterly (Earnings model )",#N/A,FALSE,"Earnings model ";"Quarterlycompare (Earnings model )",#N/A,FALSE,"Earnings model ";"Annual (Earnings model )",#N/A,FALSE,"Earnings model "}</definedName>
    <definedName name="wrn.comps." hidden="1">{"comps",#N/A,FALSE,"comps";"notes",#N/A,FALSE,"comps"}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hidden="1">{#N/A,#N/A,FALSE,"Contribution Analysis"}</definedName>
    <definedName name="wrn.contribution2" hidden="1">{#N/A,#N/A,FALSE,"Contribution Analysis"}</definedName>
    <definedName name="wrn.cooper." hidden="1">{#N/A,#N/A,TRUE,"Pro Forma";#N/A,#N/A,TRUE,"PF_Bal";#N/A,#N/A,TRUE,"PF_INC";#N/A,#N/A,TRUE,"CBE";#N/A,#N/A,TRUE,"SWK"}</definedName>
    <definedName name="wrn.CORE._.KINETICS." hidden="1">{"COREKINETICS",#N/A,FALSE,"CORE KINETICS"}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" hidden="1">{"orixcsc",#N/A,FALSE,"ORIX CSC";"orixcsc2",#N/A,FALSE,"ORIX CSC"}</definedName>
    <definedName name="wrn.csc2." hidden="1">{#N/A,#N/A,FALSE,"ORIX CSC"}</definedName>
    <definedName name="wrn.csc3" hidden="1">{#N/A,#N/A,FALSE,"ORIX CSC"}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lton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ltonw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equity._.comps." hidden="1">{"equity comps",#N/A,FALSE,"CS Comps";"equity comps",#N/A,FALSE,"PS Comps";"equity comps",#N/A,FALSE,"GIC_Comps";"equity comps",#N/A,FALSE,"GIC2_Comps"}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S.." hidden="1">{#N/A,#N/A,TRUE,"COVER";#N/A,#N/A,TRUE,"DIR";#N/A,#N/A,TRUE,"AUDIT"}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ield_PSS." hidden="1">{#N/A,#N/A,FALSE,"Summary";#N/A,#N/A,FALSE,"Expense";#N/A,#N/A,FALSE,"Capital"}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ORECAST._.PACK." hidden="1">{#N/A,#N/A,FALSE,"VAR TO LAST NET REV BY TER";#N/A,#N/A,FALSE,"VARIANCE SHEET";#N/A,#N/A,FALSE,"QTD VAR TO LAST";#N/A,#N/A,FALSE,"SGA VAR BY TERR";#N/A,#N/A,FALSE,"FY97 BY TERR";#N/A,#N/A,FALSE,"TERR VAR TO PLAN SUMM";#N/A,#N/A,FALSE,"TERRITORIES VERSUS PLAN";#N/A,#N/A,FALSE,"FY97 BY QTR"}</definedName>
    <definedName name="wrn.Friendly." hidden="1">{#N/A,#N/A,TRUE,"Julio";#N/A,#N/A,TRUE,"Agosto";#N/A,#N/A,TRUE,"BHCo";#N/A,#N/A,TRUE,"Abril";#N/A,#N/A,TRUE,"Pro Forma"}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print.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Y9908EMEA." hidden="1">{#N/A,#N/A,FALSE,"Contents";#N/A,#N/A,FALSE,"Returns (Current+YTD)";#N/A,#N/A,FALSE,"Returns (Reason-MTD)";#N/A,#N/A,FALSE,"Returns (Reason-YTD)";#N/A,#N/A,FALSE,"Reserves (Current)";#N/A,#N/A,FALSE,"Reserves (YTD)";#N/A,#N/A,FALSE,"Reserves (PU)";#N/A,#N/A,FALSE,"Reserves (Rec)";#N/A,#N/A,FALSE,"PPRO (SKU)";#N/A,#N/A,FALSE,"PPRO (YTD)";#N/A,#N/A,FALSE,"Rebates (Current)";#N/A,#N/A,FALSE,"Rebates (YTD)"}</definedName>
    <definedName name="wrn.GenDistPac.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.HR_Details.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HR_HR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.Income._.Statement." hidden="1">{#N/A,#N/A,FALSE,"Report Print"}</definedName>
    <definedName name="wrn.INTL._.GROUP." hidden="1">{"INTLGROUP",#N/A,FALSE,"INTL GROUP"}</definedName>
    <definedName name="wrn.IPIX." hidden="1">{#N/A,#N/A,FALSE,"Report Print"}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ster_Income." hidden="1">{"Annual_Income",#N/A,FALSE,"Master Model";"Quarterly_Income",#N/A,FALSE,"Master Model"}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ikemur.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.Mikemurdist." hidden="1">{"whole",#N/A,FALSE,"Gen_Dist_Act_Bud";"whole",#N/A,FALSE,"Gen_Dist_T3months";"whole",#N/A,FALSE,"GD_PerP";"whole",#N/A,FALSE,"HR Dist'n"}</definedName>
    <definedName name="wrn.model." hidden="1">{"main",#N/A,FALSE,"Variables";"target",#N/A,FALSE,"finstmts - target";"target base",#N/A,FALSE,"finstmts - target - base";"offer price",#N/A,FALSE,"Offer Price"}</definedName>
    <definedName name="wrn.MS._.Report." hidden="1">{"MS Project",#N/A,TRUE,"Project";"MS Customer Service",#N/A,TRUE,"Customer Service";"MS Mechanical",#N/A,TRUE,"Mechanical";"MS Structural",#N/A,TRUE,"Structural";"MS Critical Areas",#N/A,TRUE,"Critical Areas";"MS Broadband",#N/A,TRUE,"Broadband";"MS Electrical",#N/A,TRUE,"Electrical";"MS FurnFac",#N/A,TRUE,"FurnFac";"MS Digital",#N/A,TRUE,"Digital";"MS Janitorial",#N/A,TRUE,"Janitorial";"MS Landscaping",#N/A,TRUE,"Landscaping";"MS SLA Goals",#N/A,TRUE,"SLA Customer Work Orders"}</definedName>
    <definedName name="wrn.MYR._.Template.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hidden="1">{#N/A,#N/A,FALSE,"Eastern";#N/A,#N/A,FALSE,"Western"}</definedName>
    <definedName name="wrn.prodcom.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prodcon.1" hidden="1">{"closed",#N/A,FALSE,"Consolidated Products - Budget";"expanded",#N/A,FALSE,"Consolidated Products - Budget"}</definedName>
    <definedName name="wrn.prodcon.a2" hidden="1">{"closed",#N/A,FALSE,"Consolidated Products - Budget";"expanded",#N/A,FALSE,"Consolidated Products - Budget"}</definedName>
    <definedName name="wrn.prodcon.acquire" hidden="1">{"closed",#N/A,FALSE,"Consolidated Products - Budget";"expanded",#N/A,FALSE,"Consolidated Products - Budget"}</definedName>
    <definedName name="wrn.prodcon1" hidden="1">{"closed",#N/A,FALSE,"Consolidated Products - Budget";"expanded",#N/A,FALSE,"Consolidated Products - Budget"}</definedName>
    <definedName name="wrn.PRODUCT._.GROUP." hidden="1">{"PRODUCTGROUP",#N/A,FALSE,"PRODUCT GROUP"}</definedName>
    <definedName name="wrn.rep_page.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1." hidden="1">{#N/A,#N/A,FALSE,"Operations";#N/A,#N/A,FALSE,"Financials"}</definedName>
    <definedName name="wrn.Revenue._.Details." hidden="1">{"Revenue by Industry Chart",#N/A,FALSE,"Mix";"Annual Revenue Detail",#N/A,FALSE,"Mix";"Quarterly Revenue Detail",#N/A,FALSE,"Mix"}</definedName>
    <definedName name="wrn.Roxanna." hidden="1">{"whole",#N/A,FALSE,"CS HC";"whole",#N/A,FALSE,"CS_ACTvsBud";"whole",#N/A,FALSE,"CSTrail3mo";"whole",#N/A,FALSE,"CS Cost Per Head ";"whole",#N/A,FALSE,"CS CPH YTD"}</definedName>
    <definedName name="wrn.Roxydist.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.Run._.Rates." hidden="1">{"Chart 1",#N/A,FALSE,"Run Rate";"Chart 2",#N/A,FALSE,"Run Rate (2)"}</definedName>
    <definedName name="wrn.sales." hidden="1">{"sales",#N/A,FALSE,"Sales";"sales existing",#N/A,FALSE,"Sales";"sales rd1",#N/A,FALSE,"Sales";"sales rd2",#N/A,FALSE,"Sales"}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HORT." hidden="1">{"CREDIT STATISTICS",#N/A,FALSE,"STATS";"CF_AND_IS",#N/A,FALSE,"PLAN";"BALSHEET",#N/A,FALSE,"BALANCE SHEET"}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tand_alone." hidden="1">{#N/A,#N/A,FALSE,"CBE";#N/A,#N/A,FALSE,"SWK"}</definedName>
    <definedName name="wrn.Summary." hidden="1">{#N/A,#N/A,FALSE,"Summary3";#N/A,#N/A,FALSE,"Summary1";#N/A,#N/A,FALSE,"Summary2";#N/A,#N/A,FALSE,"Sensitivities1";#N/A,#N/A,FALSE,"Sensitivities2"}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{"test2",#N/A,TRUE,"Prices"}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iger." hidden="1">{#N/A,#N/A,FALSE,"TB";#N/A,#N/A,FALSE,"CONTENTS";#N/A,#N/A,FALSE,"DR";#N/A,#N/A,FALSE,"AR";#N/A,#N/A,FALSE,"BS";#N/A,#N/A,FALSE,"PL";#N/A,#N/A,FALSE,"NOTES";#N/A,#N/A,FALSE,"NOTES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Tweety." hidden="1">{#N/A,#N/A,FALSE,"A&amp;E";#N/A,#N/A,FALSE,"HighTop";#N/A,#N/A,FALSE,"JG";#N/A,#N/A,FALSE,"RI";#N/A,#N/A,FALSE,"woHT";#N/A,#N/A,FALSE,"woHT&amp;JG"}</definedName>
    <definedName name="wrn.up." hidden="1">{"up stand alones",#N/A,FALSE,"Acquiror"}</definedName>
    <definedName name="wrn.USF._.GROUP." hidden="1">{"USFGROUP",#N/A,FALSE,"USF GROUP CONSOL"}</definedName>
    <definedName name="wrn.USW." hidden="1">{"IS",#N/A,FALSE,"IS";"RPTIS",#N/A,FALSE,"RPTIS";"STATS",#N/A,FALSE,"STATS";"BS",#N/A,FALSE,"BS"}</definedName>
    <definedName name="wrn.Wacc." hidden="1">{"Area1",#N/A,FALSE,"OREWACC";"Area2",#N/A,FALSE,"OREWACC"}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odcon" hidden="1">{"closed",#N/A,FALSE,"Consolidated Products - Budget";"expanded",#N/A,FALSE,"Consolidated Products - Budget"}</definedName>
    <definedName name="WRN2.Document" hidden="1">{"consolidated",#N/A,FALSE,"Sheet1";"cms",#N/A,FALSE,"Sheet1";"fse",#N/A,FALSE,"Sheet1"}</definedName>
    <definedName name="wrncompas" hidden="1">{"comps",#N/A,FALSE,"comps";"notes",#N/A,FALSE,"comps"}</definedName>
    <definedName name="wrneltonw2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gdp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wrnhr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hrhr" hidden="1">{"whole",#N/A,FALSE,"6701";"whole",#N/A,FALSE,"6702";"whole",#N/A,FALSE,"7710";"whole",#N/A,FALSE,"7714";"whole",#N/A,FALSE,"7729";"whole",#N/A,FALSE,"7730";"whole",#N/A,FALSE,"7731";"whole",#N/A,FALSE,"7736";"whole",#N/A,FALSE,"7737";"whole",#N/A,FALSE,"7738";"whole",#N/A,FALSE,"7743";"Whole",#N/A,FALSE,"7740";"whole",#N/A,FALSE,"7744";"whole",#N/A,FALSE,"7745"}</definedName>
    <definedName name="wrnmike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rnmike2" hidden="1">{"whole",#N/A,FALSE,"Gen_Dist_Act_Bud";"whole",#N/A,FALSE,"Gen_Dist_T3months";"whole",#N/A,FALSE,"GD_PerP";"whole",#N/A,FALSE,"HR Dist'n"}</definedName>
    <definedName name="wrnmyr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rnpss" hidden="1">{#N/A,#N/A,FALSE,"Summary";#N/A,#N/A,FALSE,"Expense";#N/A,#N/A,FALSE,"Capital"}</definedName>
    <definedName name="wrnrox" hidden="1">{"whole",#N/A,FALSE,"CS HC";"whole",#N/A,FALSE,"CS_ACTvsBud";"whole",#N/A,FALSE,"CSTrail3mo";"whole",#N/A,FALSE,"CS Cost Per Head ";"whole",#N/A,FALSE,"CS CPH YTD"}</definedName>
    <definedName name="wrnrox2" hidden="1">{"whole",#N/A,FALSE,"CS FIN Sum For Rox";"whole",#N/A,FALSE,"Gen_Dist_Act_Bud";"whole",#N/A,FALSE,"Gen_Dist_T3months";"whole",#N/A,FALSE,"GD_PerP";"whole",#N/A,FALSE,"CS_DIST_ActvsBud";"whole",#N/A,FALSE,"CS_DIST_SUM_trail3mo"}</definedName>
    <definedName name="wrnrun" hidden="1">{"Chart 1",#N/A,FALSE,"Run Rate";"Chart 2",#N/A,FALSE,"Run Rate (2)"}</definedName>
    <definedName name="wro.model" hidden="1">{"main",#N/A,FALSE,"Variables";"target",#N/A,FALSE,"finstmts - target";"target base",#N/A,FALSE,"finstmts - target - base";"offer price",#N/A,FALSE,"Offer Price"}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m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wn" hidden="1">{"whole",#N/A,FALSE,"Gen_Dist_Act_Bud";"whole",#N/A,FALSE,"Gen_Dist_T3months";"whole",#N/A,FALSE,"GD_PerP";"whole",#N/A,FALSE,"HR Dist'n"}</definedName>
    <definedName name="wwo" hidden="1">{"whole",#N/A,FALSE,"CS HC";"whole",#N/A,FALSE,"CS_ACTvsBud";"whole",#N/A,FALSE,"CSTrail3mo";"whole",#N/A,FALSE,"CS Cost Per Head ";"whole",#N/A,FALSE,"CS CPH YTD"}</definedName>
    <definedName name="wwp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rn.6713" hidden="1">{#N/A,#N/A,FALSE,"Summary";#N/A,#N/A,FALSE,"Details";#N/A,#N/A,FALSE,"Month-Hd";#N/A,#N/A,FALSE,"YTD-Hd";#N/A,#N/A,FALSE,"Capital"}</definedName>
    <definedName name="Wwrn.Field_PSS" hidden="1">{#N/A,#N/A,FALSE,"Summary";#N/A,#N/A,FALSE,"Expense";#N/A,#N/A,FALSE,"Capital"}</definedName>
    <definedName name="www" hidden="1">{"whole",#N/A,FALSE,"HR HC";"whole",#N/A,FALSE,"HRDEPT_act_v_BUD";"whole",#N/A,FALSE,"HRTrail3mo";"whole",#N/A,FALSE,"HR_Cost Per Head";"whole",#N/A,FALSE,"HR CPH YTD";"whole",#N/A,FALSE,"CostperNewbies";"whole",#N/A,FALSE,"Benefits Per Head";"whole",#N/A,FALSE,"6701";"whole",#N/A,FALSE,"6702";"whole",#N/A,FALSE,"7710";"whole",#N/A,FALSE,"7714";"whole",#N/A,FALSE,"7729";"whole",#N/A,FALSE,"7730";"whole",#N/A,FALSE,"7731";"whole",#N/A,FALSE,"7732";"whole",#N/A,FALSE,"7733";"whole",#N/A,FALSE,"7734";"whole",#N/A,FALSE,"7735";"whole",#N/A,FALSE,"7736";"whole",#N/A,FALSE,"7737";"whole",#N/A,FALSE,"7738";"Whole",#N/A,FALSE,"7740";"whole",#N/A,FALSE,"7743";"whole",#N/A,FALSE,"7744";"whole",#N/A,FALSE,"7745"}</definedName>
    <definedName name="www.mike" hidden="1">{"whole",#N/A,FALSE,"Gen_Dist_Act_Bud";"whole",#N/A,FALSE,"Gen_Dist_T3months";"whole",#N/A,FALSE,"GD_PerP";"whole",#N/A,FALSE,"HR Dist'n"}</definedName>
    <definedName name="www.myr" hidden="1">{"Title",#N/A,FALSE,"Title";"OrgChart",#N/A,FALSE,"#5-OrgChart";"Commentary",#N/A,FALSE,"#7-High-Low";"Headcount",#N/A,FALSE,"HC";"Spending",#N/A,FALSE,"Spending";"ContrExpense",#N/A,FALSE,"G&amp;A";"Distribution",#N/A,FALSE,"Distribution";"Appendix Header",#N/A,FALSE,"Appendix";"Capital",#N/A,FALSE,"Capital";"HC Appendix\",#N/A,FALSE,"HC Appendix";"Store",#N/A,FALSE,"Store Appendix";"Travel",#N/A,FALSE,"Travel Appendix";"Misc",#N/A,FALSE,"Misc";"Contracts",#N/A,FALSE,"Contracts Appendix";"Facilities",#N/A,FALSE,"Facilities";"PPR",#N/A,FALSE,"PPR"}</definedName>
    <definedName name="www.run" hidden="1">{"Chart 1",#N/A,FALSE,"Run Rate";"Chart 2",#N/A,FALSE,"Run Rate (2)"}</definedName>
    <definedName name="www.ww" hidden="1">{"whole",#N/A,FALSE,"CS FIN Sum For Rox";"whole",#N/A,FALSE,"Gen_Dist_Act_Bud";"whole",#N/A,FALSE,"Gen_Dist_T3months";"whole",#N/A,FALSE,"GD_PerP";"whole",#N/A,FALSE,"CS_DIST_ActvsBud";"whole",#N/A,FALSE,"CS_DIST_SUM_trail3mo"}</definedName>
    <definedName name="www.xxx" hidden="1">{"whole",#N/A,FALSE,"CS FIN Sum For Rox";"whole",#N/A,FALSE,"Gen_Dist_Act_Bud";"whole",#N/A,FALSE,"Gen_Dist_T3months";"whole",#N/A,FALSE,"GD_PerP";"whole",#N/A,FALSE,"CS_DIST_ActvsBud";"whole",#N/A,FALSE,"CS_DIST_SUM_trail3mo"}</definedName>
    <definedName name="x" hidden="1">{#N/A,#N/A,FALSE,"Summary";#N/A,#N/A,FALSE,"Details";#N/A,#N/A,FALSE,"Month-Hd";#N/A,#N/A,FALSE,"YTD-Hd";#N/A,#N/A,FALSE,"Capital"}</definedName>
    <definedName name="xcvawerf" hidden="1">{#N/A,#N/A,TRUE,"financial";#N/A,#N/A,TRUE,"plants"}</definedName>
    <definedName name="xx" hidden="1">{#N/A,#N/A,FALSE,"Summary";#N/A,#N/A,FALSE,"Details";#N/A,#N/A,FALSE,"Month-Hd";#N/A,#N/A,FALSE,"YTD-Hd";#N/A,#N/A,FALSE,"Capital"}</definedName>
    <definedName name="xxllskdkf" hidden="1">{"whole",#N/A,FALSE,"CS HC";"whole",#N/A,FALSE,"CS_ACTvsBud";"whole",#N/A,FALSE,"CSTrail3mo";"whole",#N/A,FALSE,"CS Cost Per Head ";"whole",#N/A,FALSE,"CS CPH YTD"}</definedName>
    <definedName name="xxxx" hidden="1">{"closed",#N/A,FALSE,"Consolidated Products - Budget";"expanded",#N/A,FALSE,"Consolidated Products - Budget"}</definedName>
    <definedName name="xxxxx" hidden="1">{"whole",#N/A,FALSE,"CS FIN Sum For Rox";"whole",#N/A,FALSE,"Gen_Dist_Act_Bud";"whole",#N/A,FALSE,"Gen_Dist_T3months";"whole",#N/A,FALSE,"GD_PerP";"whole",#N/A,FALSE,"CS_DIST_ActvsBud";"whole",#N/A,FALSE,"CS_DIST_SUM_trail3mo"}</definedName>
    <definedName name="xzvczx" hidden="1">{"Chart 1",#N/A,FALSE,"Run Rate";"Chart 2",#N/A,FALSE,"Run Rate (2)"}</definedName>
    <definedName name="y" hidden="1">{"closed",#N/A,FALSE,"Consolidated Products - Budget";"expanded",#N/A,FALSE,"Consolidated Products - Budget"}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RA3MTH">7</definedName>
    <definedName name="YRACYTD">10</definedName>
    <definedName name="YRAMTH">3</definedName>
    <definedName name="YRAMYTD">13</definedName>
    <definedName name="YRAVOL">5</definedName>
    <definedName name="YRAWEEK">3</definedName>
    <definedName name="yy" hidden="1">{"summary1",#N/A,TRUE,"Comps";"summary2",#N/A,TRUE,"Comps";"summary3",#N/A,TRUE,"Comps"}</definedName>
    <definedName name="yy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yyy" hidden="1">{"whole",#N/A,FALSE,"Gen_Dist_Act_Bud";"whole",#N/A,FALSE,"Gen_Dist_T3months";"whole",#N/A,FALSE,"GD_PerP";"whole",#N/A,FALSE,"HR_Dist";"whole",#N/A,FALSE,"CS_DIST_ActvsBud";"whole",#N/A,FALSE,"CS_DIST_SUM_trail3mo";"whole",#N/A,FALSE,"ITG_act_Bud";"whole",#N/A,FALSE,"ITG_T3Mo"}</definedName>
    <definedName name="z" hidden="1">{"summary1",#N/A,TRUE,"Comps";"summary2",#N/A,TRUE,"Comps";"summary3",#N/A,TRUE,"Comps"}</definedName>
    <definedName name="Z_00AC0B71_AA97_11D0_B456_0000F62B346E_.wvu.Cols" hidden="1">#REF!,#REF!,#REF!,#REF!,#REF!</definedName>
    <definedName name="Z_03612579_9F94_11D0_B44C_0000F62B346E_.wvu.Cols" hidden="1">#REF!,#REF!,#REF!,#REF!,#REF!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60FA13F0_C7AB_11D5_82BE_0060B0F04987_.wvu.Rows" hidden="1">#REF!</definedName>
    <definedName name="Z_6DA8328D_2AF9_488B_B9B4_00A712875D91_.wvu.Cols" localSheetId="10" hidden="1">Dates!#REF!,Dates!$C:$F,Dates!$H:$K</definedName>
    <definedName name="Z_87C0A393_8FDF_11D0_B43D_0000F62B346E_.wvu.Cols" hidden="1">#REF!,#REF!,#REF!,#REF!,#REF!</definedName>
    <definedName name="Z_919A0F12_8EB4_11D0_B43A_0000F62B346E_.wvu.Cols" hidden="1">#REF!,#REF!,#REF!,#REF!,#REF!</definedName>
    <definedName name="Z_9B47E6EA_A5DE_11D0_B453_0000F62B346E_.wvu.Cols" hidden="1">#REF!,#REF!,#REF!,#REF!,#REF!</definedName>
    <definedName name="Z_BE5CA973_A6A8_11D0_B454_0000F62B346E_.wvu.Cols" hidden="1">#REF!,#REF!,#REF!,#REF!,#REF!</definedName>
    <definedName name="Z_BE5CA977_A6A8_11D0_B454_0000F62B346E_.wvu.Cols" hidden="1">#REF!,#REF!,#REF!,#REF!,#REF!</definedName>
    <definedName name="Z_CD3E4CF3_A54F_11D0_B452_0000F62B346E_.wvu.Cols" hidden="1">#REF!,#REF!,#REF!,#REF!,#REF!</definedName>
    <definedName name="zsdcasdrf" hidden="1">{"equity comps",#N/A,FALSE,"CS Comps";"equity comps",#N/A,FALSE,"PS Comps";"equity comps",#N/A,FALSE,"GIC_Comps";"equity comps",#N/A,FALSE,"GIC2_Comps"}</definedName>
    <definedName name="zz" hidden="1">{"whole",#N/A,FALSE,"Gen_Dist_Act_Bud";"whole",#N/A,FALSE,"Gen_Dist_T3months";"whole",#N/A,FALSE,"GD_PerP";"whole",#N/A,FALSE,"HR Dist'n"}</definedName>
    <definedName name="zzz" hidden="1">{"whole",#N/A,FALSE,"CS HC";"whole",#N/A,FALSE,"CS_ACTvsBud";"whole",#N/A,FALSE,"CSTrail3mo";"whole",#N/A,FALSE,"CS Cost Per Head ";"whole",#N/A,FALSE,"CS CPH YTD"}</definedName>
    <definedName name="zzzz" hidden="1">{#N/A,#N/A,FALSE,"Summary";#N/A,#N/A,FALSE,"Details";#N/A,#N/A,FALSE,"Month-Hd";#N/A,#N/A,FALSE,"YTD-Hd";#N/A,#N/A,FALSE,"Capital"}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85" i="7" l="1"/>
  <c r="AS80" i="7" l="1"/>
  <c r="AS44" i="51" l="1"/>
  <c r="AS20" i="51"/>
  <c r="AS208" i="7" l="1"/>
  <c r="AS191" i="7"/>
  <c r="AS167" i="7"/>
  <c r="AS166" i="7"/>
  <c r="AS165" i="7"/>
  <c r="AS164" i="7"/>
  <c r="AS163" i="7"/>
  <c r="AS160" i="7"/>
  <c r="AS145" i="7"/>
  <c r="AS142" i="7"/>
  <c r="AS141" i="7"/>
  <c r="AS140" i="7"/>
  <c r="AS139" i="7"/>
  <c r="AS135" i="7"/>
  <c r="AS134" i="7"/>
  <c r="AS133" i="7"/>
  <c r="AS132" i="7"/>
  <c r="AS128" i="7"/>
  <c r="AS127" i="7"/>
  <c r="AS126" i="7"/>
  <c r="AS125" i="7"/>
  <c r="AS121" i="7"/>
  <c r="AS120" i="7"/>
  <c r="AS119" i="7"/>
  <c r="AS118" i="7"/>
  <c r="AS115" i="7"/>
  <c r="AS108" i="7"/>
  <c r="AS106" i="7"/>
  <c r="AS105" i="7"/>
  <c r="AS104" i="7"/>
  <c r="AS94" i="7"/>
  <c r="AS82" i="7"/>
  <c r="AS72" i="7"/>
  <c r="AS71" i="7"/>
  <c r="AS70" i="7"/>
  <c r="AS69" i="7"/>
  <c r="AS58" i="7"/>
  <c r="AS57" i="7"/>
  <c r="AS56" i="7"/>
  <c r="AS49" i="7"/>
  <c r="AS48" i="7"/>
  <c r="AS63" i="52"/>
  <c r="AS156" i="53"/>
  <c r="AS155" i="53"/>
  <c r="AS101" i="53"/>
  <c r="AS85" i="53"/>
  <c r="AS78" i="53"/>
  <c r="AS75" i="53"/>
  <c r="AS74" i="53"/>
  <c r="AS73" i="53"/>
  <c r="AS158" i="53" s="1"/>
  <c r="AS19" i="53"/>
  <c r="AS51" i="7" s="1"/>
  <c r="AS14" i="53"/>
  <c r="AS15" i="7" s="1"/>
  <c r="AS39" i="54"/>
  <c r="AS40" i="54" s="1"/>
  <c r="AS21" i="54"/>
  <c r="AS17" i="54"/>
  <c r="AS13" i="54"/>
  <c r="AS15" i="54" s="1"/>
  <c r="AS16" i="54" s="1"/>
  <c r="AS124" i="50"/>
  <c r="AS119" i="50"/>
  <c r="AS104" i="50"/>
  <c r="AS123" i="50" s="1"/>
  <c r="AS101" i="50"/>
  <c r="AS122" i="50" s="1"/>
  <c r="AS96" i="50"/>
  <c r="AS93" i="50"/>
  <c r="AS90" i="50"/>
  <c r="AS87" i="50"/>
  <c r="AS84" i="50"/>
  <c r="AS77" i="50"/>
  <c r="AS74" i="50"/>
  <c r="AS71" i="50"/>
  <c r="AS68" i="50"/>
  <c r="AS65" i="50"/>
  <c r="AS57" i="50"/>
  <c r="AS56" i="50"/>
  <c r="AS49" i="50"/>
  <c r="AS71" i="51"/>
  <c r="AS80" i="51"/>
  <c r="AS79" i="51"/>
  <c r="AS38" i="60"/>
  <c r="AS22" i="60"/>
  <c r="AS15" i="60"/>
  <c r="BP116" i="49" a="1"/>
  <c r="AS33" i="54" l="1"/>
  <c r="AS86" i="7"/>
  <c r="AS136" i="7"/>
  <c r="AS122" i="7"/>
  <c r="AS157" i="53"/>
  <c r="AS159" i="53" s="1"/>
  <c r="AS58" i="50"/>
  <c r="AS32" i="54"/>
  <c r="AS193" i="7"/>
  <c r="AS60" i="7"/>
  <c r="AS198" i="7"/>
  <c r="AS96" i="7"/>
  <c r="AS64" i="7"/>
  <c r="AS143" i="7"/>
  <c r="AS129" i="7"/>
  <c r="AS11" i="7"/>
  <c r="AS19" i="54"/>
  <c r="AS10" i="53"/>
  <c r="AS29" i="60"/>
  <c r="BP116" i="49"/>
  <c r="BO116" i="49" a="1"/>
  <c r="AS54" i="7" l="1"/>
  <c r="AS152" i="7"/>
  <c r="AS106" i="53"/>
  <c r="AS105" i="53"/>
  <c r="AS104" i="53"/>
  <c r="AS103" i="53"/>
  <c r="AS108" i="53"/>
  <c r="AS107" i="53"/>
  <c r="AS100" i="7"/>
  <c r="AS157" i="7"/>
  <c r="AS109" i="53"/>
  <c r="AS19" i="7"/>
  <c r="AS10" i="60"/>
  <c r="AS33" i="60" s="1"/>
  <c r="AS22" i="53"/>
  <c r="AS17" i="53"/>
  <c r="AS26" i="60"/>
  <c r="AS19" i="60"/>
  <c r="BO116" i="49"/>
  <c r="BN116" i="49" a="1"/>
  <c r="AS20" i="60" l="1"/>
  <c r="AS27" i="60"/>
  <c r="AS36" i="60"/>
  <c r="BN116" i="49"/>
  <c r="BM116" i="49" a="1"/>
  <c r="AS40" i="60" l="1"/>
  <c r="BM116" i="49"/>
  <c r="BL116" i="49" a="1"/>
  <c r="BL116" i="49" l="1"/>
  <c r="BK116" i="49" a="1"/>
  <c r="BK116" i="49" l="1"/>
  <c r="BJ116" i="49" a="1"/>
  <c r="BJ116" i="49" l="1"/>
  <c r="BI116" i="49" a="1"/>
  <c r="BI116" i="49" l="1"/>
  <c r="BH116" i="49" a="1"/>
  <c r="BH116" i="49" l="1"/>
  <c r="BG116" i="49" a="1"/>
  <c r="BG116" i="49" l="1"/>
  <c r="BF116" i="49" a="1"/>
  <c r="BF116" i="49" l="1"/>
  <c r="BE116" i="49" a="1"/>
  <c r="BE116" i="49" l="1"/>
  <c r="BD116" i="49" a="1"/>
  <c r="BD116" i="49" l="1"/>
  <c r="BC116" i="49" a="1"/>
  <c r="BC116" i="49" l="1"/>
  <c r="BB116" i="49" a="1"/>
  <c r="BB116" i="49" l="1"/>
  <c r="BA116" i="49" a="1"/>
  <c r="BA116" i="49" l="1"/>
  <c r="AZ116" i="49" a="1"/>
  <c r="AZ116" i="49" l="1"/>
  <c r="AY116" i="49" a="1"/>
  <c r="AY116" i="49" l="1"/>
  <c r="AX116" i="49" a="1"/>
  <c r="AX116" i="49" l="1"/>
  <c r="AW116" i="49" a="1"/>
  <c r="AW116" i="49" l="1"/>
  <c r="AV116" i="49" a="1"/>
  <c r="AV116" i="49" l="1"/>
  <c r="AU116" i="49" a="1"/>
  <c r="AU116" i="49" l="1"/>
  <c r="AT116" i="49" a="1"/>
  <c r="AT116" i="49" l="1"/>
  <c r="AS116" i="49" a="1"/>
  <c r="AS116" i="49" l="1"/>
  <c r="AR116" i="49" a="1"/>
  <c r="AR116" i="49" l="1"/>
  <c r="AQ116" i="49" a="1"/>
  <c r="AQ116" i="49" l="1"/>
  <c r="AP116" i="49" a="1"/>
  <c r="AP116" i="49" l="1"/>
  <c r="AO116" i="49" a="1"/>
  <c r="AO116" i="49" l="1"/>
  <c r="AN116" i="49" a="1"/>
  <c r="AN116" i="49" l="1"/>
  <c r="AM116" i="49" a="1"/>
  <c r="AM116" i="49" l="1"/>
  <c r="AL116" i="49" a="1"/>
  <c r="AL116" i="49" l="1"/>
  <c r="AK116" i="49" a="1"/>
  <c r="AK116" i="49" l="1"/>
  <c r="AJ116" i="49" a="1"/>
  <c r="AJ116" i="49" l="1"/>
  <c r="AI116" i="49" a="1"/>
  <c r="AI116" i="49" l="1"/>
  <c r="AH116" i="49" a="1"/>
  <c r="AH116" i="49" l="1"/>
  <c r="AG116" i="49" a="1"/>
  <c r="AG116" i="49" l="1"/>
  <c r="AF116" i="49" a="1"/>
  <c r="AF116" i="49" l="1"/>
  <c r="AE116" i="49" a="1"/>
  <c r="AE116" i="49" l="1"/>
  <c r="AD116" i="49" a="1"/>
  <c r="AD116" i="49" l="1"/>
  <c r="AC116" i="49" a="1"/>
  <c r="AC116" i="49" l="1"/>
  <c r="AB116" i="49" a="1"/>
  <c r="AB116" i="49" l="1"/>
  <c r="AA116" i="49" a="1"/>
  <c r="AA116" i="49" l="1"/>
  <c r="Z116" i="49" a="1"/>
  <c r="Z116" i="49" l="1"/>
  <c r="Y116" i="49" a="1"/>
  <c r="Y116" i="49" l="1"/>
  <c r="X116" i="49" a="1"/>
  <c r="X116" i="49" l="1"/>
  <c r="W116" i="49" a="1"/>
  <c r="W116" i="49" l="1"/>
  <c r="V116" i="49" a="1"/>
  <c r="V116" i="49" l="1"/>
  <c r="U116" i="49" a="1"/>
  <c r="U116" i="49" l="1"/>
  <c r="T116" i="49" a="1"/>
  <c r="T116" i="49" l="1"/>
  <c r="S116" i="49" a="1"/>
  <c r="S116" i="49" l="1"/>
  <c r="R116" i="49" a="1"/>
  <c r="R116" i="49" l="1"/>
  <c r="Q116" i="49" a="1"/>
  <c r="Q116" i="49" l="1"/>
  <c r="P116" i="49" a="1"/>
  <c r="P116" i="49" l="1"/>
  <c r="O116" i="49" a="1"/>
  <c r="O116" i="49" l="1"/>
  <c r="N116" i="49" a="1"/>
  <c r="N116" i="49" l="1"/>
  <c r="M116" i="49" a="1"/>
  <c r="M116" i="49" l="1"/>
  <c r="L116" i="49" a="1"/>
  <c r="L116" i="49" l="1"/>
  <c r="K116" i="49" a="1"/>
  <c r="K116" i="49" l="1"/>
  <c r="J116" i="49" a="1"/>
  <c r="J116" i="49" l="1"/>
  <c r="I116" i="49" a="1"/>
  <c r="I116" i="49" l="1"/>
  <c r="BP99" i="49" a="1"/>
  <c r="BP99" i="49" l="1"/>
  <c r="BO99" i="49" a="1"/>
  <c r="BO99" i="49" l="1"/>
  <c r="BN99" i="49" a="1"/>
  <c r="BN99" i="49" l="1"/>
  <c r="BM99" i="49" a="1"/>
  <c r="BM99" i="49" l="1"/>
  <c r="BL99" i="49" a="1"/>
  <c r="BL99" i="49" l="1"/>
  <c r="BK99" i="49" a="1"/>
  <c r="BK99" i="49" l="1"/>
  <c r="BJ99" i="49" a="1"/>
  <c r="BJ99" i="49" l="1"/>
  <c r="BI99" i="49" a="1"/>
  <c r="BI99" i="49" l="1"/>
  <c r="BH99" i="49" a="1"/>
  <c r="BH99" i="49" l="1"/>
  <c r="BG99" i="49" a="1"/>
  <c r="BG99" i="49" l="1"/>
  <c r="BF99" i="49" a="1"/>
  <c r="BF99" i="49" l="1"/>
  <c r="BE99" i="49" a="1"/>
  <c r="BE99" i="49" l="1"/>
  <c r="BD99" i="49" a="1"/>
  <c r="BD99" i="49" l="1"/>
  <c r="BC99" i="49" a="1"/>
  <c r="BC99" i="49" l="1"/>
  <c r="BB99" i="49" a="1"/>
  <c r="BB99" i="49" l="1"/>
  <c r="BA99" i="49" a="1"/>
  <c r="BA99" i="49" l="1"/>
  <c r="AZ99" i="49" a="1"/>
  <c r="AZ99" i="49" l="1"/>
  <c r="AY99" i="49" a="1"/>
  <c r="AY99" i="49" l="1"/>
  <c r="AX99" i="49" a="1"/>
  <c r="AX99" i="49" l="1"/>
  <c r="AW99" i="49" a="1"/>
  <c r="AW99" i="49" l="1"/>
  <c r="AV99" i="49" a="1"/>
  <c r="AV99" i="49" l="1"/>
  <c r="AU99" i="49" a="1"/>
  <c r="AU99" i="49" l="1"/>
  <c r="AT99" i="49" a="1"/>
  <c r="AT99" i="49" l="1"/>
  <c r="AS99" i="49" a="1"/>
  <c r="AS99" i="49" l="1"/>
  <c r="AR99" i="49" a="1"/>
  <c r="AR99" i="49" l="1"/>
  <c r="AQ99" i="49" a="1"/>
  <c r="AQ99" i="49" l="1"/>
  <c r="AP99" i="49" a="1"/>
  <c r="AP99" i="49" l="1"/>
  <c r="AO99" i="49" a="1"/>
  <c r="AO99" i="49" l="1"/>
  <c r="AN99" i="49" a="1"/>
  <c r="AN99" i="49" l="1"/>
  <c r="AM99" i="49" a="1"/>
  <c r="AM99" i="49" l="1"/>
  <c r="AL99" i="49" a="1"/>
  <c r="AL99" i="49" l="1"/>
  <c r="AK99" i="49" a="1"/>
  <c r="AK99" i="49" l="1"/>
  <c r="AJ99" i="49" a="1"/>
  <c r="AJ99" i="49" l="1"/>
  <c r="AI99" i="49" a="1"/>
  <c r="AI99" i="49" l="1"/>
  <c r="AH99" i="49" a="1"/>
  <c r="AH99" i="49" l="1"/>
  <c r="AG99" i="49" a="1"/>
  <c r="AG99" i="49" l="1"/>
  <c r="AF99" i="49" a="1"/>
  <c r="AF99" i="49" l="1"/>
  <c r="AE99" i="49" a="1"/>
  <c r="AE99" i="49" l="1"/>
  <c r="AD99" i="49" a="1"/>
  <c r="AD99" i="49" l="1"/>
  <c r="AC99" i="49" a="1"/>
  <c r="AC99" i="49" l="1"/>
  <c r="AB99" i="49" a="1"/>
  <c r="AB99" i="49" l="1"/>
  <c r="AA99" i="49" a="1"/>
  <c r="AA99" i="49" l="1"/>
  <c r="Z99" i="49" a="1"/>
  <c r="Z99" i="49" l="1"/>
  <c r="Y99" i="49" a="1"/>
  <c r="Y99" i="49" l="1"/>
  <c r="X99" i="49" a="1"/>
  <c r="X99" i="49" l="1"/>
  <c r="W99" i="49" a="1"/>
  <c r="W99" i="49" l="1"/>
  <c r="V99" i="49" a="1"/>
  <c r="V99" i="49" l="1"/>
  <c r="U99" i="49" a="1"/>
  <c r="U99" i="49" l="1"/>
  <c r="T99" i="49" a="1"/>
  <c r="T99" i="49" l="1"/>
  <c r="S99" i="49" a="1"/>
  <c r="S99" i="49" l="1"/>
  <c r="R99" i="49" a="1"/>
  <c r="R99" i="49" l="1"/>
  <c r="Q99" i="49" a="1"/>
  <c r="Q99" i="49" l="1"/>
  <c r="P99" i="49" a="1"/>
  <c r="P99" i="49" l="1"/>
  <c r="O99" i="49" a="1"/>
  <c r="O99" i="49" l="1"/>
  <c r="N99" i="49" a="1"/>
  <c r="N99" i="49" l="1"/>
  <c r="M99" i="49" a="1"/>
  <c r="M99" i="49" l="1"/>
  <c r="L99" i="49" a="1"/>
  <c r="L99" i="49" l="1"/>
  <c r="K99" i="49" a="1"/>
  <c r="K99" i="49" l="1"/>
  <c r="J99" i="49" a="1"/>
  <c r="J99" i="49" l="1"/>
  <c r="I99" i="49" a="1"/>
  <c r="I99" i="49" l="1"/>
  <c r="BP95" i="49" a="1"/>
  <c r="BP95" i="49" l="1"/>
  <c r="BO95" i="49" a="1"/>
  <c r="BO95" i="49" l="1"/>
  <c r="BN95" i="49" a="1"/>
  <c r="BN95" i="49" l="1"/>
  <c r="BM95" i="49" a="1"/>
  <c r="BM95" i="49" l="1"/>
  <c r="BL95" i="49" a="1"/>
  <c r="BL95" i="49" l="1"/>
  <c r="BK95" i="49" a="1"/>
  <c r="BK95" i="49" l="1"/>
  <c r="BJ95" i="49" a="1"/>
  <c r="BJ95" i="49" l="1"/>
  <c r="BI95" i="49" a="1"/>
  <c r="BI95" i="49" l="1"/>
  <c r="BH95" i="49" a="1"/>
  <c r="BH95" i="49" l="1"/>
  <c r="BG95" i="49" a="1"/>
  <c r="BG95" i="49" l="1"/>
  <c r="BF95" i="49" a="1"/>
  <c r="BF95" i="49" l="1"/>
  <c r="BE95" i="49" a="1"/>
  <c r="BE95" i="49" l="1"/>
  <c r="BD95" i="49" a="1"/>
  <c r="BD95" i="49" l="1"/>
  <c r="BC95" i="49" a="1"/>
  <c r="BC95" i="49" l="1"/>
  <c r="BB95" i="49" a="1"/>
  <c r="BB95" i="49" l="1"/>
  <c r="BA95" i="49" a="1"/>
  <c r="BA95" i="49" l="1"/>
  <c r="AZ95" i="49" a="1"/>
  <c r="AZ95" i="49" l="1"/>
  <c r="AY95" i="49" a="1"/>
  <c r="AY95" i="49" l="1"/>
  <c r="AX95" i="49" a="1"/>
  <c r="AX95" i="49" l="1"/>
  <c r="AW95" i="49" a="1"/>
  <c r="AW95" i="49" l="1"/>
  <c r="AV95" i="49" a="1"/>
  <c r="AV95" i="49" l="1"/>
  <c r="AU95" i="49" a="1"/>
  <c r="AU95" i="49" l="1"/>
  <c r="AT95" i="49" a="1"/>
  <c r="AT95" i="49" l="1"/>
  <c r="AS95" i="49" a="1"/>
  <c r="AS95" i="49" l="1"/>
  <c r="AR95" i="49" a="1"/>
  <c r="AR95" i="49" l="1"/>
  <c r="AQ95" i="49" a="1"/>
  <c r="AQ95" i="49" l="1"/>
  <c r="AP95" i="49" a="1"/>
  <c r="AP95" i="49" l="1"/>
  <c r="AO95" i="49" a="1"/>
  <c r="AO95" i="49" l="1"/>
  <c r="AN95" i="49" a="1"/>
  <c r="AN95" i="49" l="1"/>
  <c r="AM95" i="49" a="1"/>
  <c r="AM95" i="49" l="1"/>
  <c r="AL95" i="49" a="1"/>
  <c r="AL95" i="49" l="1"/>
  <c r="AK95" i="49" a="1"/>
  <c r="AK95" i="49" l="1"/>
  <c r="AJ95" i="49" a="1"/>
  <c r="AJ95" i="49" l="1"/>
  <c r="AI95" i="49" a="1"/>
  <c r="AI95" i="49" l="1"/>
  <c r="AH95" i="49" a="1"/>
  <c r="AH95" i="49" l="1"/>
  <c r="AG95" i="49" a="1"/>
  <c r="AG95" i="49" l="1"/>
  <c r="AF95" i="49" a="1"/>
  <c r="AF95" i="49" l="1"/>
  <c r="AE95" i="49" a="1"/>
  <c r="AE95" i="49" l="1"/>
  <c r="AD95" i="49" a="1"/>
  <c r="AD95" i="49" l="1"/>
  <c r="AC95" i="49" a="1"/>
  <c r="AC95" i="49" l="1"/>
  <c r="AB95" i="49" a="1"/>
  <c r="AB95" i="49" l="1"/>
  <c r="AA95" i="49" a="1"/>
  <c r="AA95" i="49" l="1"/>
  <c r="Z95" i="49" a="1"/>
  <c r="Z95" i="49" l="1"/>
  <c r="Y95" i="49" a="1"/>
  <c r="Y95" i="49" l="1"/>
  <c r="X95" i="49" a="1"/>
  <c r="X95" i="49" l="1"/>
  <c r="W95" i="49" a="1"/>
  <c r="W95" i="49" l="1"/>
  <c r="V95" i="49" a="1"/>
  <c r="V95" i="49" l="1"/>
  <c r="U95" i="49" a="1"/>
  <c r="U95" i="49" l="1"/>
  <c r="T95" i="49" a="1"/>
  <c r="T95" i="49" l="1"/>
  <c r="S95" i="49" a="1"/>
  <c r="S95" i="49" l="1"/>
  <c r="R95" i="49" a="1"/>
  <c r="R95" i="49" l="1"/>
  <c r="Q95" i="49" a="1"/>
  <c r="Q95" i="49" l="1"/>
  <c r="P95" i="49" a="1"/>
  <c r="P95" i="49" l="1"/>
  <c r="O95" i="49" a="1"/>
  <c r="O95" i="49" l="1"/>
  <c r="N95" i="49" a="1"/>
  <c r="N95" i="49" l="1"/>
  <c r="M95" i="49" a="1"/>
  <c r="M95" i="49" l="1"/>
  <c r="L95" i="49" a="1"/>
  <c r="L95" i="49" l="1"/>
  <c r="K95" i="49" a="1"/>
  <c r="K95" i="49" l="1"/>
  <c r="J95" i="49" a="1"/>
  <c r="J95" i="49" l="1"/>
  <c r="I95" i="49" a="1"/>
  <c r="I95" i="49" l="1"/>
  <c r="BP91" i="49" a="1"/>
  <c r="BP91" i="49" l="1"/>
  <c r="BO91" i="49" a="1"/>
  <c r="BO91" i="49" l="1"/>
  <c r="BN91" i="49" a="1"/>
  <c r="BN91" i="49" l="1"/>
  <c r="BM91" i="49" a="1"/>
  <c r="BM91" i="49" l="1"/>
  <c r="BL91" i="49" a="1"/>
  <c r="BL91" i="49" l="1"/>
  <c r="BK91" i="49" a="1"/>
  <c r="BK91" i="49" l="1"/>
  <c r="BJ91" i="49" a="1"/>
  <c r="BJ91" i="49" l="1"/>
  <c r="BI91" i="49" a="1"/>
  <c r="BI91" i="49" l="1"/>
  <c r="BH91" i="49" a="1"/>
  <c r="BH91" i="49" l="1"/>
  <c r="BG91" i="49" a="1"/>
  <c r="BG91" i="49" l="1"/>
  <c r="BF91" i="49" a="1"/>
  <c r="BF91" i="49" l="1"/>
  <c r="BE91" i="49" a="1"/>
  <c r="BE91" i="49" l="1"/>
  <c r="BD91" i="49" a="1"/>
  <c r="BD91" i="49" l="1"/>
  <c r="BC91" i="49" a="1"/>
  <c r="BC91" i="49" l="1"/>
  <c r="BB91" i="49" a="1"/>
  <c r="BB91" i="49" l="1"/>
  <c r="BA91" i="49" a="1"/>
  <c r="BA91" i="49" l="1"/>
  <c r="AZ91" i="49" a="1"/>
  <c r="AZ91" i="49" l="1"/>
  <c r="AY91" i="49" a="1"/>
  <c r="AY91" i="49" l="1"/>
  <c r="AX91" i="49" a="1"/>
  <c r="AX91" i="49" l="1"/>
  <c r="AW91" i="49" a="1"/>
  <c r="AW91" i="49" l="1"/>
  <c r="AV91" i="49" a="1"/>
  <c r="AV91" i="49" l="1"/>
  <c r="AU91" i="49" a="1"/>
  <c r="AU91" i="49" l="1"/>
  <c r="AT91" i="49" a="1"/>
  <c r="AT91" i="49" l="1"/>
  <c r="AS91" i="49" a="1"/>
  <c r="AS91" i="49" l="1"/>
  <c r="AR91" i="49" a="1"/>
  <c r="AR91" i="49" l="1"/>
  <c r="AQ91" i="49" a="1"/>
  <c r="AQ91" i="49" l="1"/>
  <c r="AP91" i="49" a="1"/>
  <c r="AP91" i="49" l="1"/>
  <c r="AO91" i="49" a="1"/>
  <c r="AO91" i="49" l="1"/>
  <c r="AN91" i="49" a="1"/>
  <c r="AN91" i="49" l="1"/>
  <c r="AM91" i="49" a="1"/>
  <c r="AM91" i="49" l="1"/>
  <c r="AL91" i="49" a="1"/>
  <c r="AL91" i="49" l="1"/>
  <c r="AK91" i="49" a="1"/>
  <c r="AK91" i="49" l="1"/>
  <c r="AJ91" i="49" a="1"/>
  <c r="AJ91" i="49" l="1"/>
  <c r="AI91" i="49" a="1"/>
  <c r="AI91" i="49" l="1"/>
  <c r="AH91" i="49" a="1"/>
  <c r="AH91" i="49" l="1"/>
  <c r="AG91" i="49" a="1"/>
  <c r="AG91" i="49" l="1"/>
  <c r="AF91" i="49" a="1"/>
  <c r="AF91" i="49" l="1"/>
  <c r="AE91" i="49" a="1"/>
  <c r="AE91" i="49" l="1"/>
  <c r="AD91" i="49" a="1"/>
  <c r="AD91" i="49" l="1"/>
  <c r="AC91" i="49" a="1"/>
  <c r="AC91" i="49" l="1"/>
  <c r="AB91" i="49" a="1"/>
  <c r="AB91" i="49" l="1"/>
  <c r="AA91" i="49" a="1"/>
  <c r="AA91" i="49" l="1"/>
  <c r="Z91" i="49" a="1"/>
  <c r="Z91" i="49" l="1"/>
  <c r="Y91" i="49" a="1"/>
  <c r="Y91" i="49" l="1"/>
  <c r="X91" i="49" a="1"/>
  <c r="X91" i="49" l="1"/>
  <c r="W91" i="49" a="1"/>
  <c r="W91" i="49" l="1"/>
  <c r="V91" i="49" a="1"/>
  <c r="V91" i="49" l="1"/>
  <c r="U91" i="49" a="1"/>
  <c r="U91" i="49" l="1"/>
  <c r="T91" i="49" a="1"/>
  <c r="T91" i="49" l="1"/>
  <c r="S91" i="49" a="1"/>
  <c r="S91" i="49" l="1"/>
  <c r="R91" i="49" a="1"/>
  <c r="R91" i="49" l="1"/>
  <c r="Q91" i="49" a="1"/>
  <c r="Q91" i="49" l="1"/>
  <c r="P91" i="49" a="1"/>
  <c r="P91" i="49" l="1"/>
  <c r="O91" i="49" a="1"/>
  <c r="O91" i="49" l="1"/>
  <c r="N91" i="49" a="1"/>
  <c r="N91" i="49" l="1"/>
  <c r="M91" i="49" a="1"/>
  <c r="M91" i="49" l="1"/>
  <c r="L91" i="49" a="1"/>
  <c r="L91" i="49" l="1"/>
  <c r="K91" i="49" a="1"/>
  <c r="K91" i="49" l="1"/>
  <c r="J91" i="49" a="1"/>
  <c r="J91" i="49" l="1"/>
  <c r="I91" i="49" a="1"/>
  <c r="I91" i="49" l="1"/>
  <c r="BP85" i="49" a="1"/>
  <c r="BP85" i="49" l="1"/>
  <c r="BO85" i="49" a="1"/>
  <c r="BO85" i="49" l="1"/>
  <c r="BN85" i="49" a="1"/>
  <c r="BN85" i="49" l="1"/>
  <c r="BM85" i="49" a="1"/>
  <c r="BM85" i="49" l="1"/>
  <c r="BL85" i="49" a="1"/>
  <c r="BL85" i="49" l="1"/>
  <c r="BK85" i="49" a="1"/>
  <c r="BK85" i="49" l="1"/>
  <c r="BJ85" i="49" a="1"/>
  <c r="BJ85" i="49" l="1"/>
  <c r="BI85" i="49" a="1"/>
  <c r="BI85" i="49" l="1"/>
  <c r="BH85" i="49" a="1"/>
  <c r="BH85" i="49" l="1"/>
  <c r="BG85" i="49" a="1"/>
  <c r="BG85" i="49" l="1"/>
  <c r="BF85" i="49" a="1"/>
  <c r="BF85" i="49" l="1"/>
  <c r="BE85" i="49" a="1"/>
  <c r="BE85" i="49" l="1"/>
  <c r="BD85" i="49" a="1"/>
  <c r="BD85" i="49" l="1"/>
  <c r="BC85" i="49" a="1"/>
  <c r="BC85" i="49" l="1"/>
  <c r="BB85" i="49" a="1"/>
  <c r="BB85" i="49" l="1"/>
  <c r="BA85" i="49" a="1"/>
  <c r="BA85" i="49" l="1"/>
  <c r="AZ85" i="49" a="1"/>
  <c r="AZ85" i="49" l="1"/>
  <c r="AY85" i="49" a="1"/>
  <c r="AY85" i="49" l="1"/>
  <c r="AX85" i="49" a="1"/>
  <c r="AX85" i="49" l="1"/>
  <c r="AW85" i="49" a="1"/>
  <c r="AW85" i="49" l="1"/>
  <c r="AV85" i="49" a="1"/>
  <c r="AV85" i="49" l="1"/>
  <c r="AU85" i="49" a="1"/>
  <c r="AU85" i="49" l="1"/>
  <c r="AT85" i="49" a="1"/>
  <c r="AT85" i="49" l="1"/>
  <c r="AS85" i="49" a="1"/>
  <c r="AS85" i="49" l="1"/>
  <c r="AR85" i="49" a="1"/>
  <c r="AR85" i="49" l="1"/>
  <c r="AQ85" i="49" a="1"/>
  <c r="AQ85" i="49" l="1"/>
  <c r="AP85" i="49" a="1"/>
  <c r="AP85" i="49" l="1"/>
  <c r="AO85" i="49" a="1"/>
  <c r="AO85" i="49" l="1"/>
  <c r="AN85" i="49" a="1"/>
  <c r="AN85" i="49" l="1"/>
  <c r="AM85" i="49" a="1"/>
  <c r="AM85" i="49" l="1"/>
  <c r="AL85" i="49" a="1"/>
  <c r="AL85" i="49" l="1"/>
  <c r="AK85" i="49" a="1"/>
  <c r="AK85" i="49" l="1"/>
  <c r="AJ85" i="49" a="1"/>
  <c r="AJ85" i="49" l="1"/>
  <c r="AI85" i="49" a="1"/>
  <c r="AI85" i="49" l="1"/>
  <c r="AH85" i="49" a="1"/>
  <c r="AH85" i="49" l="1"/>
  <c r="AG85" i="49" a="1"/>
  <c r="AG85" i="49" l="1"/>
  <c r="AF85" i="49" a="1"/>
  <c r="AF85" i="49" l="1"/>
  <c r="AE85" i="49" a="1"/>
  <c r="AE85" i="49" l="1"/>
  <c r="AD85" i="49" a="1"/>
  <c r="AD85" i="49" l="1"/>
  <c r="AC85" i="49" a="1"/>
  <c r="AC85" i="49" l="1"/>
  <c r="AB85" i="49" a="1"/>
  <c r="AB85" i="49" l="1"/>
  <c r="AA85" i="49" a="1"/>
  <c r="AA85" i="49" l="1"/>
  <c r="Z85" i="49" a="1"/>
  <c r="Z85" i="49" l="1"/>
  <c r="Y85" i="49" a="1"/>
  <c r="Y85" i="49" l="1"/>
  <c r="X85" i="49" a="1"/>
  <c r="X85" i="49" l="1"/>
  <c r="W85" i="49" a="1"/>
  <c r="W85" i="49" l="1"/>
  <c r="V85" i="49" a="1"/>
  <c r="V85" i="49" l="1"/>
  <c r="U85" i="49" a="1"/>
  <c r="U85" i="49" l="1"/>
  <c r="T85" i="49" a="1"/>
  <c r="T85" i="49" l="1"/>
  <c r="S85" i="49" a="1"/>
  <c r="S85" i="49" l="1"/>
  <c r="R85" i="49" a="1"/>
  <c r="R85" i="49" l="1"/>
  <c r="Q85" i="49" a="1"/>
  <c r="Q85" i="49" l="1"/>
  <c r="P85" i="49" a="1"/>
  <c r="P85" i="49" l="1"/>
  <c r="O85" i="49" a="1"/>
  <c r="O85" i="49" l="1"/>
  <c r="N85" i="49" a="1"/>
  <c r="N85" i="49" l="1"/>
  <c r="M85" i="49" a="1"/>
  <c r="M85" i="49" l="1"/>
  <c r="L85" i="49" a="1"/>
  <c r="L85" i="49" l="1"/>
  <c r="K85" i="49" a="1"/>
  <c r="K85" i="49" l="1"/>
  <c r="J85" i="49" a="1"/>
  <c r="J85" i="49" l="1"/>
  <c r="I85" i="49" a="1"/>
  <c r="I85" i="49" l="1"/>
  <c r="BP81" i="49" a="1"/>
  <c r="BP81" i="49" l="1"/>
  <c r="BO81" i="49" a="1"/>
  <c r="BO81" i="49" l="1"/>
  <c r="BN81" i="49" a="1"/>
  <c r="BN81" i="49" l="1"/>
  <c r="BM81" i="49" a="1"/>
  <c r="BM81" i="49" l="1"/>
  <c r="BL81" i="49" a="1"/>
  <c r="BL81" i="49" l="1"/>
  <c r="BK81" i="49" a="1"/>
  <c r="BK81" i="49" l="1"/>
  <c r="BJ81" i="49" a="1"/>
  <c r="BJ81" i="49" l="1"/>
  <c r="BI81" i="49" a="1"/>
  <c r="BI81" i="49" l="1"/>
  <c r="BH81" i="49" a="1"/>
  <c r="BH81" i="49" l="1"/>
  <c r="BG81" i="49" a="1"/>
  <c r="BG81" i="49" l="1"/>
  <c r="BF81" i="49" a="1"/>
  <c r="BF81" i="49" l="1"/>
  <c r="BE81" i="49" a="1"/>
  <c r="BE81" i="49" l="1"/>
  <c r="BD81" i="49" a="1"/>
  <c r="BD81" i="49" l="1"/>
  <c r="BC81" i="49" a="1"/>
  <c r="BC81" i="49" l="1"/>
  <c r="BB81" i="49" a="1"/>
  <c r="BB81" i="49" l="1"/>
  <c r="BA81" i="49" a="1"/>
  <c r="BA81" i="49" l="1"/>
  <c r="AZ81" i="49" a="1"/>
  <c r="AZ81" i="49" l="1"/>
  <c r="AY81" i="49" a="1"/>
  <c r="AY81" i="49" l="1"/>
  <c r="AX81" i="49" a="1"/>
  <c r="AX81" i="49" l="1"/>
  <c r="AW81" i="49" a="1"/>
  <c r="AW81" i="49" l="1"/>
  <c r="AV81" i="49" a="1"/>
  <c r="AV81" i="49" l="1"/>
  <c r="AU81" i="49" a="1"/>
  <c r="AU81" i="49" l="1"/>
  <c r="AT81" i="49" a="1"/>
  <c r="AT81" i="49" l="1"/>
  <c r="AS81" i="49" a="1"/>
  <c r="AS81" i="49" l="1"/>
  <c r="AR81" i="49" a="1"/>
  <c r="AR81" i="49" l="1"/>
  <c r="AQ81" i="49" a="1"/>
  <c r="AQ81" i="49" l="1"/>
  <c r="AP81" i="49" a="1"/>
  <c r="AP81" i="49" l="1"/>
  <c r="AO81" i="49" a="1"/>
  <c r="AO81" i="49" l="1"/>
  <c r="AN81" i="49" a="1"/>
  <c r="AN81" i="49" l="1"/>
  <c r="AM81" i="49" a="1"/>
  <c r="AM81" i="49" l="1"/>
  <c r="AL81" i="49" a="1"/>
  <c r="AL81" i="49" l="1"/>
  <c r="AK81" i="49" a="1"/>
  <c r="AK81" i="49" l="1"/>
  <c r="AJ81" i="49" a="1"/>
  <c r="AJ81" i="49" l="1"/>
  <c r="AI81" i="49" a="1"/>
  <c r="AI81" i="49" l="1"/>
  <c r="AH81" i="49" a="1"/>
  <c r="AH81" i="49" l="1"/>
  <c r="AG81" i="49" a="1"/>
  <c r="AG81" i="49" l="1"/>
  <c r="AF81" i="49" a="1"/>
  <c r="AF81" i="49" l="1"/>
  <c r="AE81" i="49" a="1"/>
  <c r="AE81" i="49" l="1"/>
  <c r="AD81" i="49" a="1"/>
  <c r="AD81" i="49" l="1"/>
  <c r="AC81" i="49" a="1"/>
  <c r="AC81" i="49" l="1"/>
  <c r="AB81" i="49" a="1"/>
  <c r="AB81" i="49" l="1"/>
  <c r="AA81" i="49" a="1"/>
  <c r="AA81" i="49" l="1"/>
  <c r="Z81" i="49" a="1"/>
  <c r="Z81" i="49" l="1"/>
  <c r="Y81" i="49" a="1"/>
  <c r="Y81" i="49" l="1"/>
  <c r="X81" i="49" a="1"/>
  <c r="X81" i="49" l="1"/>
  <c r="W81" i="49" a="1"/>
  <c r="W81" i="49" l="1"/>
  <c r="V81" i="49" a="1"/>
  <c r="V81" i="49" l="1"/>
  <c r="U81" i="49" a="1"/>
  <c r="U81" i="49" l="1"/>
  <c r="T81" i="49" a="1"/>
  <c r="T81" i="49" l="1"/>
  <c r="S81" i="49" a="1"/>
  <c r="S81" i="49" l="1"/>
  <c r="R81" i="49" a="1"/>
  <c r="R81" i="49" l="1"/>
  <c r="Q81" i="49" a="1"/>
  <c r="Q81" i="49" l="1"/>
  <c r="P81" i="49" a="1"/>
  <c r="P81" i="49" l="1"/>
  <c r="O81" i="49" a="1"/>
  <c r="O81" i="49" l="1"/>
  <c r="N81" i="49" a="1"/>
  <c r="N81" i="49" l="1"/>
  <c r="M81" i="49" a="1"/>
  <c r="M81" i="49" l="1"/>
  <c r="L81" i="49" a="1"/>
  <c r="L81" i="49" l="1"/>
  <c r="K81" i="49" a="1"/>
  <c r="K81" i="49" l="1"/>
  <c r="J81" i="49" a="1"/>
  <c r="J81" i="49" l="1"/>
  <c r="I81" i="49" a="1"/>
  <c r="I81" i="49" l="1"/>
  <c r="BP77" i="49" a="1"/>
  <c r="BP77" i="49" l="1"/>
  <c r="BO77" i="49" a="1"/>
  <c r="BO77" i="49" l="1"/>
  <c r="BN77" i="49" a="1"/>
  <c r="BN77" i="49" l="1"/>
  <c r="BM77" i="49" a="1"/>
  <c r="BM77" i="49" l="1"/>
  <c r="BL77" i="49" a="1"/>
  <c r="BL77" i="49" l="1"/>
  <c r="BK77" i="49" a="1"/>
  <c r="BK77" i="49" l="1"/>
  <c r="BJ77" i="49" a="1"/>
  <c r="BJ77" i="49" l="1"/>
  <c r="BI77" i="49" a="1"/>
  <c r="BI77" i="49" l="1"/>
  <c r="BH77" i="49" a="1"/>
  <c r="BH77" i="49" l="1"/>
  <c r="BG77" i="49" a="1"/>
  <c r="BG77" i="49" l="1"/>
  <c r="BF77" i="49" a="1"/>
  <c r="BF77" i="49" l="1"/>
  <c r="BE77" i="49" a="1"/>
  <c r="BE77" i="49" l="1"/>
  <c r="BD77" i="49" a="1"/>
  <c r="BD77" i="49" l="1"/>
  <c r="BC77" i="49" a="1"/>
  <c r="BC77" i="49" l="1"/>
  <c r="BB77" i="49" a="1"/>
  <c r="BB77" i="49" l="1"/>
  <c r="BA77" i="49" a="1"/>
  <c r="BA77" i="49" l="1"/>
  <c r="AZ77" i="49" a="1"/>
  <c r="AZ77" i="49" l="1"/>
  <c r="AY77" i="49" a="1"/>
  <c r="AY77" i="49" l="1"/>
  <c r="AX77" i="49" a="1"/>
  <c r="AX77" i="49" l="1"/>
  <c r="AW77" i="49" a="1"/>
  <c r="AW77" i="49" l="1"/>
  <c r="AV77" i="49" a="1"/>
  <c r="AV77" i="49" l="1"/>
  <c r="AU77" i="49" a="1"/>
  <c r="AU77" i="49" l="1"/>
  <c r="AT77" i="49" a="1"/>
  <c r="AT77" i="49" l="1"/>
  <c r="AS77" i="49" a="1"/>
  <c r="AS77" i="49" l="1"/>
  <c r="AR77" i="49" a="1"/>
  <c r="AR77" i="49" l="1"/>
  <c r="AQ77" i="49" a="1"/>
  <c r="AQ77" i="49" l="1"/>
  <c r="AP77" i="49" a="1"/>
  <c r="AP77" i="49" l="1"/>
  <c r="AO77" i="49" a="1"/>
  <c r="AO77" i="49" l="1"/>
  <c r="AN77" i="49" a="1"/>
  <c r="AN77" i="49" l="1"/>
  <c r="AM77" i="49" a="1"/>
  <c r="AM77" i="49" l="1"/>
  <c r="AL77" i="49" a="1"/>
  <c r="AL77" i="49" l="1"/>
  <c r="AK77" i="49" a="1"/>
  <c r="AK77" i="49" l="1"/>
  <c r="AJ77" i="49" a="1"/>
  <c r="AJ77" i="49" l="1"/>
  <c r="AI77" i="49" a="1"/>
  <c r="AI77" i="49" l="1"/>
  <c r="AH77" i="49" a="1"/>
  <c r="AH77" i="49" l="1"/>
  <c r="AG77" i="49" a="1"/>
  <c r="AG77" i="49" l="1"/>
  <c r="AF77" i="49" a="1"/>
  <c r="AF77" i="49" l="1"/>
  <c r="AE77" i="49" a="1"/>
  <c r="AE77" i="49" l="1"/>
  <c r="AD77" i="49" a="1"/>
  <c r="AD77" i="49" l="1"/>
  <c r="AC77" i="49" a="1"/>
  <c r="AC77" i="49" l="1"/>
  <c r="AB77" i="49" a="1"/>
  <c r="AB77" i="49" l="1"/>
  <c r="AA77" i="49" a="1"/>
  <c r="AA77" i="49" l="1"/>
  <c r="Z77" i="49" a="1"/>
  <c r="Z77" i="49" l="1"/>
  <c r="Y77" i="49" a="1"/>
  <c r="Y77" i="49" l="1"/>
  <c r="X77" i="49" a="1"/>
  <c r="X77" i="49" l="1"/>
  <c r="W77" i="49" a="1"/>
  <c r="W77" i="49" l="1"/>
  <c r="V77" i="49" a="1"/>
  <c r="V77" i="49" l="1"/>
  <c r="U77" i="49" a="1"/>
  <c r="U77" i="49" l="1"/>
  <c r="T77" i="49" a="1"/>
  <c r="T77" i="49" l="1"/>
  <c r="S77" i="49" a="1"/>
  <c r="S77" i="49" l="1"/>
  <c r="R77" i="49" a="1"/>
  <c r="R77" i="49" l="1"/>
  <c r="Q77" i="49" a="1"/>
  <c r="Q77" i="49" l="1"/>
  <c r="P77" i="49" a="1"/>
  <c r="P77" i="49" l="1"/>
  <c r="O77" i="49" a="1"/>
  <c r="O77" i="49" l="1"/>
  <c r="N77" i="49" a="1"/>
  <c r="N77" i="49" l="1"/>
  <c r="M77" i="49" a="1"/>
  <c r="M77" i="49" l="1"/>
  <c r="L77" i="49" a="1"/>
  <c r="L77" i="49" l="1"/>
  <c r="K77" i="49" a="1"/>
  <c r="K77" i="49" l="1"/>
  <c r="J77" i="49" a="1"/>
  <c r="J77" i="49" l="1"/>
  <c r="I77" i="49" a="1"/>
  <c r="I77" i="49" l="1"/>
  <c r="BP72" i="49" a="1"/>
  <c r="BP72" i="49" l="1"/>
  <c r="BO72" i="49" a="1"/>
  <c r="BO72" i="49" l="1"/>
  <c r="BN72" i="49" a="1"/>
  <c r="BN72" i="49" l="1"/>
  <c r="BM72" i="49" a="1"/>
  <c r="BM72" i="49" l="1"/>
  <c r="BL72" i="49" a="1"/>
  <c r="BL72" i="49" l="1"/>
  <c r="BK72" i="49" a="1"/>
  <c r="BK72" i="49" l="1"/>
  <c r="BJ72" i="49" a="1"/>
  <c r="BJ72" i="49" l="1"/>
  <c r="BI72" i="49" a="1"/>
  <c r="BI72" i="49" l="1"/>
  <c r="BH72" i="49" a="1"/>
  <c r="BH72" i="49" l="1"/>
  <c r="BG72" i="49" a="1"/>
  <c r="BG72" i="49" l="1"/>
  <c r="BF72" i="49" a="1"/>
  <c r="BF72" i="49" l="1"/>
  <c r="BE72" i="49" a="1"/>
  <c r="BE72" i="49" l="1"/>
  <c r="BD72" i="49" a="1"/>
  <c r="BD72" i="49" l="1"/>
  <c r="BC72" i="49" a="1"/>
  <c r="BC72" i="49" l="1"/>
  <c r="BB72" i="49" a="1"/>
  <c r="BB72" i="49" l="1"/>
  <c r="BA72" i="49" a="1"/>
  <c r="BA72" i="49" l="1"/>
  <c r="AZ72" i="49" a="1"/>
  <c r="AZ72" i="49" l="1"/>
  <c r="AY72" i="49" a="1"/>
  <c r="AY72" i="49" l="1"/>
  <c r="AX72" i="49" a="1"/>
  <c r="AX72" i="49" l="1"/>
  <c r="AW72" i="49" a="1"/>
  <c r="AW72" i="49" l="1"/>
  <c r="AV72" i="49" a="1"/>
  <c r="AV72" i="49" l="1"/>
  <c r="AU72" i="49" a="1"/>
  <c r="AU72" i="49" l="1"/>
  <c r="AT72" i="49" a="1"/>
  <c r="AT72" i="49" l="1"/>
  <c r="AS72" i="49" a="1"/>
  <c r="AS72" i="49" l="1"/>
  <c r="AR72" i="49" a="1"/>
  <c r="AR72" i="49" l="1"/>
  <c r="AQ72" i="49" a="1"/>
  <c r="AQ72" i="49" l="1"/>
  <c r="AP72" i="49" a="1"/>
  <c r="AP72" i="49" l="1"/>
  <c r="AO72" i="49" a="1"/>
  <c r="AO72" i="49" l="1"/>
  <c r="AN72" i="49" a="1"/>
  <c r="AN72" i="49" l="1"/>
  <c r="AM72" i="49" a="1"/>
  <c r="AM72" i="49" l="1"/>
  <c r="AL72" i="49" a="1"/>
  <c r="AL72" i="49" l="1"/>
  <c r="AK72" i="49" a="1"/>
  <c r="AK72" i="49" l="1"/>
  <c r="AJ72" i="49" a="1"/>
  <c r="AJ72" i="49" l="1"/>
  <c r="AI72" i="49" a="1"/>
  <c r="AI72" i="49" l="1"/>
  <c r="AH72" i="49" a="1"/>
  <c r="AH72" i="49" l="1"/>
  <c r="AG72" i="49" a="1"/>
  <c r="AG72" i="49" l="1"/>
  <c r="AF72" i="49" a="1"/>
  <c r="AF72" i="49" l="1"/>
  <c r="AE72" i="49" a="1"/>
  <c r="AE72" i="49" l="1"/>
  <c r="AD72" i="49" a="1"/>
  <c r="AD72" i="49" l="1"/>
  <c r="AC72" i="49" a="1"/>
  <c r="AC72" i="49" l="1"/>
  <c r="AB72" i="49" a="1"/>
  <c r="AB72" i="49" l="1"/>
  <c r="AA72" i="49" a="1"/>
  <c r="AA72" i="49" l="1"/>
  <c r="Z72" i="49" a="1"/>
  <c r="Z72" i="49" l="1"/>
  <c r="Y72" i="49" a="1"/>
  <c r="Y72" i="49" l="1"/>
  <c r="X72" i="49" a="1"/>
  <c r="X72" i="49" l="1"/>
  <c r="W72" i="49" a="1"/>
  <c r="W72" i="49" l="1"/>
  <c r="V72" i="49" a="1"/>
  <c r="V72" i="49" l="1"/>
  <c r="U72" i="49" a="1"/>
  <c r="U72" i="49" l="1"/>
  <c r="T72" i="49" a="1"/>
  <c r="T72" i="49" l="1"/>
  <c r="S72" i="49" a="1"/>
  <c r="S72" i="49" l="1"/>
  <c r="R72" i="49" a="1"/>
  <c r="R72" i="49" l="1"/>
  <c r="Q72" i="49" a="1"/>
  <c r="Q72" i="49" l="1"/>
  <c r="P72" i="49" a="1"/>
  <c r="P72" i="49" l="1"/>
  <c r="O72" i="49" a="1"/>
  <c r="O72" i="49" l="1"/>
  <c r="N72" i="49" a="1"/>
  <c r="N72" i="49" l="1"/>
  <c r="M72" i="49" a="1"/>
  <c r="M72" i="49" l="1"/>
  <c r="L72" i="49" a="1"/>
  <c r="L72" i="49" l="1"/>
  <c r="K72" i="49" a="1"/>
  <c r="K72" i="49" l="1"/>
  <c r="J72" i="49" a="1"/>
  <c r="J72" i="49" l="1"/>
  <c r="I72" i="49" a="1"/>
  <c r="I72" i="49" l="1"/>
  <c r="BP67" i="49" a="1"/>
  <c r="BP67" i="49" l="1"/>
  <c r="BO67" i="49" a="1"/>
  <c r="BO67" i="49" l="1"/>
  <c r="BN67" i="49" a="1"/>
  <c r="BN67" i="49" l="1"/>
  <c r="BM67" i="49" a="1"/>
  <c r="BM67" i="49" l="1"/>
  <c r="BL67" i="49" a="1"/>
  <c r="BL67" i="49" l="1"/>
  <c r="BK67" i="49" a="1"/>
  <c r="BK67" i="49" l="1"/>
  <c r="BJ67" i="49" a="1"/>
  <c r="BJ67" i="49" l="1"/>
  <c r="BI67" i="49" a="1"/>
  <c r="BI67" i="49" l="1"/>
  <c r="BH67" i="49" a="1"/>
  <c r="BH67" i="49" l="1"/>
  <c r="BG67" i="49" a="1"/>
  <c r="BG67" i="49" l="1"/>
  <c r="BF67" i="49" a="1"/>
  <c r="BF67" i="49" l="1"/>
  <c r="BE67" i="49" a="1"/>
  <c r="BE67" i="49" l="1"/>
  <c r="BD67" i="49" a="1"/>
  <c r="BD67" i="49" l="1"/>
  <c r="BC67" i="49" a="1"/>
  <c r="BC67" i="49" l="1"/>
  <c r="BB67" i="49" a="1"/>
  <c r="BB67" i="49" l="1"/>
  <c r="BA67" i="49" a="1"/>
  <c r="BA67" i="49" l="1"/>
  <c r="AZ67" i="49" a="1"/>
  <c r="AZ67" i="49" l="1"/>
  <c r="AY67" i="49" a="1"/>
  <c r="AY67" i="49" l="1"/>
  <c r="AX67" i="49" a="1"/>
  <c r="AX67" i="49" l="1"/>
  <c r="AW67" i="49" a="1"/>
  <c r="AW67" i="49" l="1"/>
  <c r="AV67" i="49" a="1"/>
  <c r="AV67" i="49" l="1"/>
  <c r="AU67" i="49" a="1"/>
  <c r="AU67" i="49" l="1"/>
  <c r="AT67" i="49" a="1"/>
  <c r="AT67" i="49" l="1"/>
  <c r="AS67" i="49" a="1"/>
  <c r="AS67" i="49" l="1"/>
  <c r="AR67" i="49" a="1"/>
  <c r="AR67" i="49" l="1"/>
  <c r="AQ67" i="49" a="1"/>
  <c r="AQ67" i="49" l="1"/>
  <c r="AP67" i="49" a="1"/>
  <c r="AP67" i="49" l="1"/>
  <c r="AO67" i="49" a="1"/>
  <c r="AO67" i="49" l="1"/>
  <c r="AN67" i="49" a="1"/>
  <c r="AN67" i="49" l="1"/>
  <c r="AM67" i="49" a="1"/>
  <c r="AM67" i="49" l="1"/>
  <c r="AL67" i="49" a="1"/>
  <c r="AL67" i="49" l="1"/>
  <c r="AK67" i="49" a="1"/>
  <c r="AK67" i="49" l="1"/>
  <c r="AJ67" i="49" a="1"/>
  <c r="AJ67" i="49" l="1"/>
  <c r="AI67" i="49" a="1"/>
  <c r="AI67" i="49" l="1"/>
  <c r="AH67" i="49" a="1"/>
  <c r="AH67" i="49" l="1"/>
  <c r="AG67" i="49" a="1"/>
  <c r="AG67" i="49" l="1"/>
  <c r="AF67" i="49" a="1"/>
  <c r="AF67" i="49" l="1"/>
  <c r="AE67" i="49" a="1"/>
  <c r="AE67" i="49" l="1"/>
  <c r="AD67" i="49" a="1"/>
  <c r="AD67" i="49" l="1"/>
  <c r="AC67" i="49" a="1"/>
  <c r="AC67" i="49" l="1"/>
  <c r="AB67" i="49" a="1"/>
  <c r="AB67" i="49" l="1"/>
  <c r="AA67" i="49" a="1"/>
  <c r="AA67" i="49" l="1"/>
  <c r="Z67" i="49" a="1"/>
  <c r="Z67" i="49" l="1"/>
  <c r="Y67" i="49" a="1"/>
  <c r="Y67" i="49" l="1"/>
  <c r="X67" i="49" a="1"/>
  <c r="X67" i="49" l="1"/>
  <c r="W67" i="49" a="1"/>
  <c r="W67" i="49" l="1"/>
  <c r="V67" i="49" a="1"/>
  <c r="V67" i="49" l="1"/>
  <c r="U67" i="49" a="1"/>
  <c r="U67" i="49" l="1"/>
  <c r="T67" i="49" a="1"/>
  <c r="T67" i="49" l="1"/>
  <c r="S67" i="49" a="1"/>
  <c r="S67" i="49" l="1"/>
  <c r="R67" i="49" a="1"/>
  <c r="R67" i="49" l="1"/>
  <c r="Q67" i="49" a="1"/>
  <c r="Q67" i="49" l="1"/>
  <c r="P67" i="49" a="1"/>
  <c r="P67" i="49" l="1"/>
  <c r="O67" i="49" a="1"/>
  <c r="O67" i="49" l="1"/>
  <c r="N67" i="49" a="1"/>
  <c r="N67" i="49" l="1"/>
  <c r="M67" i="49" a="1"/>
  <c r="M67" i="49" l="1"/>
  <c r="L67" i="49" a="1"/>
  <c r="L67" i="49" l="1"/>
  <c r="K67" i="49" a="1"/>
  <c r="K67" i="49" l="1"/>
  <c r="J67" i="49" a="1"/>
  <c r="J67" i="49" l="1"/>
  <c r="I67" i="49" a="1"/>
  <c r="I67" i="49" l="1"/>
  <c r="BP58" i="49" a="1"/>
  <c r="BP58" i="49" l="1"/>
  <c r="BO58" i="49" a="1"/>
  <c r="BO58" i="49" l="1"/>
  <c r="BN58" i="49" a="1"/>
  <c r="BN58" i="49" l="1"/>
  <c r="BM58" i="49" a="1"/>
  <c r="BM58" i="49" l="1"/>
  <c r="BL58" i="49" a="1"/>
  <c r="BL58" i="49" l="1"/>
  <c r="BK58" i="49" a="1"/>
  <c r="BK58" i="49" l="1"/>
  <c r="BJ58" i="49" a="1"/>
  <c r="BJ58" i="49" l="1"/>
  <c r="BI58" i="49" a="1"/>
  <c r="BI58" i="49" l="1"/>
  <c r="BH58" i="49" a="1"/>
  <c r="BH58" i="49" l="1"/>
  <c r="BG58" i="49" a="1"/>
  <c r="BG58" i="49" l="1"/>
  <c r="BF58" i="49" a="1"/>
  <c r="BF58" i="49" l="1"/>
  <c r="BE58" i="49" a="1"/>
  <c r="BE58" i="49" l="1"/>
  <c r="BD58" i="49" a="1"/>
  <c r="BD58" i="49" l="1"/>
  <c r="BC58" i="49" a="1"/>
  <c r="BC58" i="49" l="1"/>
  <c r="BB58" i="49" a="1"/>
  <c r="BB58" i="49" l="1"/>
  <c r="BA58" i="49" a="1"/>
  <c r="BA58" i="49" l="1"/>
  <c r="AZ58" i="49" a="1"/>
  <c r="AZ58" i="49" l="1"/>
  <c r="AY58" i="49" a="1"/>
  <c r="AY58" i="49" l="1"/>
  <c r="AX58" i="49" a="1"/>
  <c r="AX58" i="49" l="1"/>
  <c r="AW58" i="49" a="1"/>
  <c r="AW58" i="49" l="1"/>
  <c r="AV58" i="49" a="1"/>
  <c r="AV58" i="49" l="1"/>
  <c r="AU58" i="49" a="1"/>
  <c r="AU58" i="49" l="1"/>
  <c r="AT58" i="49" a="1"/>
  <c r="AT58" i="49" l="1"/>
  <c r="AS58" i="49" a="1"/>
  <c r="AS58" i="49" l="1"/>
  <c r="AR58" i="49" a="1"/>
  <c r="AR58" i="49" l="1"/>
  <c r="AQ58" i="49" a="1"/>
  <c r="AQ58" i="49" l="1"/>
  <c r="AP58" i="49" a="1"/>
  <c r="AP58" i="49" l="1"/>
  <c r="AO58" i="49" a="1"/>
  <c r="AO58" i="49" l="1"/>
  <c r="AN58" i="49" a="1"/>
  <c r="AN58" i="49" l="1"/>
  <c r="AM58" i="49" a="1"/>
  <c r="AM58" i="49" l="1"/>
  <c r="AL58" i="49" a="1"/>
  <c r="AL58" i="49" l="1"/>
  <c r="AK58" i="49" a="1"/>
  <c r="AK58" i="49" l="1"/>
  <c r="AJ58" i="49" a="1"/>
  <c r="AJ58" i="49" l="1"/>
  <c r="AI58" i="49" a="1"/>
  <c r="AI58" i="49" l="1"/>
  <c r="AH58" i="49" a="1"/>
  <c r="AH58" i="49" l="1"/>
  <c r="AG58" i="49" a="1"/>
  <c r="AG58" i="49" l="1"/>
  <c r="AF58" i="49" a="1"/>
  <c r="AF58" i="49" l="1"/>
  <c r="AE58" i="49" a="1"/>
  <c r="AE58" i="49" l="1"/>
  <c r="AD58" i="49" a="1"/>
  <c r="AD58" i="49" l="1"/>
  <c r="AC58" i="49" a="1"/>
  <c r="AC58" i="49" l="1"/>
  <c r="AB58" i="49" a="1"/>
  <c r="AB58" i="49" l="1"/>
  <c r="AA58" i="49" a="1"/>
  <c r="AA58" i="49" l="1"/>
  <c r="Z58" i="49" a="1"/>
  <c r="Z58" i="49" l="1"/>
  <c r="Y58" i="49" a="1"/>
  <c r="Y58" i="49" l="1"/>
  <c r="X58" i="49" a="1"/>
  <c r="X58" i="49" l="1"/>
  <c r="W58" i="49" a="1"/>
  <c r="W58" i="49" l="1"/>
  <c r="V58" i="49" a="1"/>
  <c r="V58" i="49" l="1"/>
  <c r="U58" i="49" a="1"/>
  <c r="U58" i="49" l="1"/>
  <c r="T58" i="49" a="1"/>
  <c r="T58" i="49" l="1"/>
  <c r="S58" i="49" a="1"/>
  <c r="S58" i="49" l="1"/>
  <c r="R58" i="49" a="1"/>
  <c r="R58" i="49" l="1"/>
  <c r="Q58" i="49" a="1"/>
  <c r="Q58" i="49" l="1"/>
  <c r="P58" i="49" a="1"/>
  <c r="P58" i="49" l="1"/>
  <c r="O58" i="49" a="1"/>
  <c r="O58" i="49" l="1"/>
  <c r="N58" i="49" a="1"/>
  <c r="N58" i="49" l="1"/>
  <c r="M58" i="49" a="1"/>
  <c r="M58" i="49" l="1"/>
  <c r="L58" i="49" a="1"/>
  <c r="L58" i="49" l="1"/>
  <c r="K58" i="49" a="1"/>
  <c r="K58" i="49" l="1"/>
  <c r="J58" i="49" a="1"/>
  <c r="J58" i="49" l="1"/>
  <c r="I58" i="49" a="1"/>
  <c r="I58" i="49" l="1"/>
  <c r="BP49" i="49" a="1"/>
  <c r="BP49" i="49" l="1"/>
  <c r="BO49" i="49" a="1"/>
  <c r="BO49" i="49" l="1"/>
  <c r="BN49" i="49" a="1"/>
  <c r="BN49" i="49" l="1"/>
  <c r="BM49" i="49" a="1"/>
  <c r="BM49" i="49" l="1"/>
  <c r="BL49" i="49" a="1"/>
  <c r="BL49" i="49" l="1"/>
  <c r="BK49" i="49" a="1"/>
  <c r="BK49" i="49" l="1"/>
  <c r="BJ49" i="49" a="1"/>
  <c r="BJ49" i="49" l="1"/>
  <c r="BI49" i="49" a="1"/>
  <c r="BI49" i="49" l="1"/>
  <c r="BH49" i="49" a="1"/>
  <c r="BH49" i="49" l="1"/>
  <c r="BG49" i="49" a="1"/>
  <c r="BG49" i="49" l="1"/>
  <c r="BF49" i="49" a="1"/>
  <c r="BF49" i="49" l="1"/>
  <c r="BE49" i="49" a="1"/>
  <c r="BE49" i="49" l="1"/>
  <c r="BD49" i="49" a="1"/>
  <c r="BD49" i="49" l="1"/>
  <c r="BC49" i="49" a="1"/>
  <c r="BC49" i="49" l="1"/>
  <c r="BB49" i="49" a="1"/>
  <c r="BB49" i="49" l="1"/>
  <c r="BA49" i="49" a="1"/>
  <c r="BA49" i="49" l="1"/>
  <c r="AZ49" i="49" a="1"/>
  <c r="AZ49" i="49" l="1"/>
  <c r="AY49" i="49" a="1"/>
  <c r="AY49" i="49" l="1"/>
  <c r="AX49" i="49" a="1"/>
  <c r="AX49" i="49" l="1"/>
  <c r="AW49" i="49" a="1"/>
  <c r="AW49" i="49" l="1"/>
  <c r="AV49" i="49" a="1"/>
  <c r="AV49" i="49" l="1"/>
  <c r="AU49" i="49" a="1"/>
  <c r="AU49" i="49" l="1"/>
  <c r="AT49" i="49" a="1"/>
  <c r="AT49" i="49" l="1"/>
  <c r="AS49" i="49" a="1"/>
  <c r="AS49" i="49" l="1"/>
  <c r="AR49" i="49" a="1"/>
  <c r="AR49" i="49" l="1"/>
  <c r="AQ49" i="49" a="1"/>
  <c r="AQ49" i="49" l="1"/>
  <c r="AP49" i="49" a="1"/>
  <c r="AP49" i="49" l="1"/>
  <c r="AO49" i="49" a="1"/>
  <c r="AO49" i="49" l="1"/>
  <c r="AN49" i="49" a="1"/>
  <c r="AN49" i="49" l="1"/>
  <c r="AM49" i="49" a="1"/>
  <c r="AM49" i="49" l="1"/>
  <c r="AL49" i="49" a="1"/>
  <c r="AL49" i="49" l="1"/>
  <c r="AK49" i="49" a="1"/>
  <c r="AK49" i="49" l="1"/>
  <c r="AJ49" i="49" a="1"/>
  <c r="AJ49" i="49" l="1"/>
  <c r="AI49" i="49" a="1"/>
  <c r="AI49" i="49" l="1"/>
  <c r="AH49" i="49" a="1"/>
  <c r="AH49" i="49" l="1"/>
  <c r="AG49" i="49" a="1"/>
  <c r="AG49" i="49" l="1"/>
  <c r="AF49" i="49" a="1"/>
  <c r="AF49" i="49" l="1"/>
  <c r="AE49" i="49" a="1"/>
  <c r="AE49" i="49" l="1"/>
  <c r="AD49" i="49" a="1"/>
  <c r="AD49" i="49" l="1"/>
  <c r="AC49" i="49" a="1"/>
  <c r="AC49" i="49" l="1"/>
  <c r="AB49" i="49" a="1"/>
  <c r="AB49" i="49" l="1"/>
  <c r="AA49" i="49" a="1"/>
  <c r="AA49" i="49" l="1"/>
  <c r="Z49" i="49" a="1"/>
  <c r="Z49" i="49" l="1"/>
  <c r="Y49" i="49" a="1"/>
  <c r="Y49" i="49" l="1"/>
  <c r="X49" i="49" a="1"/>
  <c r="X49" i="49" l="1"/>
  <c r="W49" i="49" a="1"/>
  <c r="W49" i="49" l="1"/>
  <c r="V49" i="49" a="1"/>
  <c r="V49" i="49" l="1"/>
  <c r="U49" i="49" a="1"/>
  <c r="U49" i="49" l="1"/>
  <c r="T49" i="49" a="1"/>
  <c r="T49" i="49" l="1"/>
  <c r="S49" i="49" a="1"/>
  <c r="S49" i="49" l="1"/>
  <c r="R49" i="49" a="1"/>
  <c r="R49" i="49" l="1"/>
  <c r="Q49" i="49" a="1"/>
  <c r="Q49" i="49" l="1"/>
  <c r="P49" i="49" a="1"/>
  <c r="P49" i="49" l="1"/>
  <c r="O49" i="49" a="1"/>
  <c r="O49" i="49" l="1"/>
  <c r="N49" i="49" a="1"/>
  <c r="N49" i="49" l="1"/>
  <c r="M49" i="49" a="1"/>
  <c r="M49" i="49" l="1"/>
  <c r="L49" i="49" a="1"/>
  <c r="L49" i="49" l="1"/>
  <c r="K49" i="49" a="1"/>
  <c r="K49" i="49" l="1"/>
  <c r="J49" i="49" a="1"/>
  <c r="J49" i="49" l="1"/>
  <c r="I49" i="49" a="1"/>
  <c r="I49" i="49" l="1"/>
  <c r="H49" i="49" a="1"/>
  <c r="H49" i="49" l="1"/>
  <c r="G49" i="49" a="1"/>
  <c r="G49" i="49" l="1"/>
  <c r="F49" i="49" a="1"/>
  <c r="F49" i="49" l="1"/>
  <c r="E49" i="49" a="1"/>
  <c r="E49" i="49" l="1"/>
  <c r="D49" i="49" a="1"/>
  <c r="D49" i="49" l="1"/>
  <c r="BP44" i="49" a="1"/>
  <c r="BP44" i="49" l="1"/>
  <c r="BO44" i="49" a="1"/>
  <c r="BO44" i="49" l="1"/>
  <c r="BN44" i="49" a="1"/>
  <c r="BN44" i="49" l="1"/>
  <c r="BM44" i="49" a="1"/>
  <c r="BM44" i="49" l="1"/>
  <c r="BL44" i="49" a="1"/>
  <c r="BL44" i="49" l="1"/>
  <c r="BK44" i="49" a="1"/>
  <c r="BK44" i="49" l="1"/>
  <c r="BJ44" i="49" a="1"/>
  <c r="BJ44" i="49" l="1"/>
  <c r="BI44" i="49" a="1"/>
  <c r="BI44" i="49" l="1"/>
  <c r="BH44" i="49" a="1"/>
  <c r="BH44" i="49" l="1"/>
  <c r="BG44" i="49" a="1"/>
  <c r="BG44" i="49" l="1"/>
  <c r="BF44" i="49" a="1"/>
  <c r="BF44" i="49" l="1"/>
  <c r="BE44" i="49" a="1"/>
  <c r="BE44" i="49" l="1"/>
  <c r="BD44" i="49" a="1"/>
  <c r="BD44" i="49" l="1"/>
  <c r="BC44" i="49" a="1"/>
  <c r="BC44" i="49" l="1"/>
  <c r="BB44" i="49" a="1"/>
  <c r="BB44" i="49" l="1"/>
  <c r="BA44" i="49" a="1"/>
  <c r="BA44" i="49" l="1"/>
  <c r="AZ44" i="49" a="1"/>
  <c r="AZ44" i="49" l="1"/>
  <c r="AY44" i="49" a="1"/>
  <c r="AY44" i="49" l="1"/>
  <c r="AX44" i="49" a="1"/>
  <c r="AX44" i="49" l="1"/>
  <c r="AW44" i="49" a="1"/>
  <c r="AW44" i="49" l="1"/>
  <c r="AV44" i="49" a="1"/>
  <c r="AV44" i="49" l="1"/>
  <c r="AU44" i="49" a="1"/>
  <c r="AU44" i="49" l="1"/>
  <c r="AT44" i="49" a="1"/>
  <c r="AT44" i="49" l="1"/>
  <c r="AS44" i="49" a="1"/>
  <c r="AS44" i="49" l="1"/>
  <c r="AR44" i="49" a="1"/>
  <c r="AR44" i="49" l="1"/>
  <c r="AQ44" i="49" a="1"/>
  <c r="AQ44" i="49" l="1"/>
  <c r="AP44" i="49" a="1"/>
  <c r="AP44" i="49" l="1"/>
  <c r="AO44" i="49" a="1"/>
  <c r="AO44" i="49" l="1"/>
  <c r="AN44" i="49" a="1"/>
  <c r="AN44" i="49" l="1"/>
  <c r="AM44" i="49" a="1"/>
  <c r="AM44" i="49" l="1"/>
  <c r="AL44" i="49" a="1"/>
  <c r="AL44" i="49" l="1"/>
  <c r="AK44" i="49" a="1"/>
  <c r="AK44" i="49" l="1"/>
  <c r="AJ44" i="49" a="1"/>
  <c r="AJ44" i="49" l="1"/>
  <c r="AI44" i="49" a="1"/>
  <c r="AI44" i="49" l="1"/>
  <c r="AH44" i="49" a="1"/>
  <c r="AH44" i="49" l="1"/>
  <c r="AG44" i="49" a="1"/>
  <c r="AG44" i="49" l="1"/>
  <c r="AF44" i="49" a="1"/>
  <c r="AF44" i="49" l="1"/>
  <c r="AE44" i="49" a="1"/>
  <c r="AE44" i="49" l="1"/>
  <c r="AD44" i="49" a="1"/>
  <c r="AD44" i="49" l="1"/>
  <c r="AC44" i="49" a="1"/>
  <c r="AC44" i="49" l="1"/>
  <c r="AB44" i="49" a="1"/>
  <c r="AB44" i="49" l="1"/>
  <c r="AA44" i="49" a="1"/>
  <c r="AA44" i="49" l="1"/>
  <c r="Z44" i="49" a="1"/>
  <c r="Z44" i="49" l="1"/>
  <c r="Y44" i="49" a="1"/>
  <c r="Y44" i="49" l="1"/>
  <c r="X44" i="49" a="1"/>
  <c r="X44" i="49" l="1"/>
  <c r="W44" i="49" a="1"/>
  <c r="W44" i="49" l="1"/>
  <c r="V44" i="49" a="1"/>
  <c r="V44" i="49" l="1"/>
  <c r="U44" i="49" a="1"/>
  <c r="U44" i="49" l="1"/>
  <c r="T44" i="49" a="1"/>
  <c r="T44" i="49" l="1"/>
  <c r="S44" i="49" a="1"/>
  <c r="S44" i="49" l="1"/>
  <c r="R44" i="49" a="1"/>
  <c r="R44" i="49" l="1"/>
  <c r="Q44" i="49" a="1"/>
  <c r="Q44" i="49" l="1"/>
  <c r="P44" i="49" a="1"/>
  <c r="P44" i="49" l="1"/>
  <c r="O44" i="49" a="1"/>
  <c r="O44" i="49" l="1"/>
  <c r="N44" i="49" a="1"/>
  <c r="N44" i="49" l="1"/>
  <c r="M44" i="49" a="1"/>
  <c r="M44" i="49" l="1"/>
  <c r="L44" i="49" a="1"/>
  <c r="L44" i="49" l="1"/>
  <c r="K44" i="49" a="1"/>
  <c r="K44" i="49" l="1"/>
  <c r="J44" i="49" a="1"/>
  <c r="J44" i="49" l="1"/>
  <c r="I44" i="49" a="1"/>
  <c r="I44" i="49" l="1"/>
  <c r="H44" i="49" a="1"/>
  <c r="H44" i="49" l="1"/>
  <c r="G44" i="49" a="1"/>
  <c r="G44" i="49" l="1"/>
  <c r="F44" i="49" a="1"/>
  <c r="F44" i="49" l="1"/>
  <c r="E44" i="49" a="1"/>
  <c r="E44" i="49" l="1"/>
  <c r="D44" i="49" a="1"/>
  <c r="D44" i="49" l="1"/>
  <c r="BP40" i="49" a="1"/>
  <c r="BP40" i="49" l="1"/>
  <c r="BO40" i="49" a="1"/>
  <c r="BO40" i="49" l="1"/>
  <c r="BN40" i="49" a="1"/>
  <c r="BN40" i="49" l="1"/>
  <c r="BM40" i="49" a="1"/>
  <c r="BM40" i="49" l="1"/>
  <c r="BL40" i="49" a="1"/>
  <c r="BL40" i="49" l="1"/>
  <c r="BK40" i="49" a="1"/>
  <c r="BK40" i="49" l="1"/>
  <c r="BJ40" i="49" a="1"/>
  <c r="BJ40" i="49" l="1"/>
  <c r="BI40" i="49" a="1"/>
  <c r="BI40" i="49" l="1"/>
  <c r="BH40" i="49" a="1"/>
  <c r="BH40" i="49" l="1"/>
  <c r="BG40" i="49" a="1"/>
  <c r="BG40" i="49" l="1"/>
  <c r="BF40" i="49" a="1"/>
  <c r="BF40" i="49" l="1"/>
  <c r="BE40" i="49" a="1"/>
  <c r="BE40" i="49" l="1"/>
  <c r="BD40" i="49" a="1"/>
  <c r="BD40" i="49" l="1"/>
  <c r="BC40" i="49" a="1"/>
  <c r="BC40" i="49" l="1"/>
  <c r="BB40" i="49" a="1"/>
  <c r="BB40" i="49" l="1"/>
  <c r="BA40" i="49" a="1"/>
  <c r="BA40" i="49" l="1"/>
  <c r="AZ40" i="49" a="1"/>
  <c r="AZ40" i="49" l="1"/>
  <c r="AY40" i="49" a="1"/>
  <c r="AY40" i="49" l="1"/>
  <c r="AX40" i="49" a="1"/>
  <c r="AX40" i="49" l="1"/>
  <c r="AW40" i="49" a="1"/>
  <c r="AW40" i="49" l="1"/>
  <c r="AV40" i="49" a="1"/>
  <c r="AV40" i="49" l="1"/>
  <c r="AU40" i="49" a="1"/>
  <c r="AU40" i="49" l="1"/>
  <c r="AT40" i="49" a="1"/>
  <c r="AT40" i="49" l="1"/>
  <c r="AS40" i="49" a="1"/>
  <c r="AS40" i="49" l="1"/>
  <c r="AR40" i="49" a="1"/>
  <c r="AR40" i="49" l="1"/>
  <c r="AQ40" i="49" a="1"/>
  <c r="AQ40" i="49" l="1"/>
  <c r="AP40" i="49" a="1"/>
  <c r="AP40" i="49" l="1"/>
  <c r="AO40" i="49" a="1"/>
  <c r="AO40" i="49" l="1"/>
  <c r="AN40" i="49" a="1"/>
  <c r="AN40" i="49" l="1"/>
  <c r="AM40" i="49" a="1"/>
  <c r="AM40" i="49" l="1"/>
  <c r="AL40" i="49" a="1"/>
  <c r="AL40" i="49" l="1"/>
  <c r="AK40" i="49" a="1"/>
  <c r="AK40" i="49" l="1"/>
  <c r="AJ40" i="49" a="1"/>
  <c r="AJ40" i="49" l="1"/>
  <c r="AI40" i="49" a="1"/>
  <c r="AI40" i="49" l="1"/>
  <c r="AH40" i="49" a="1"/>
  <c r="AH40" i="49" l="1"/>
  <c r="AG40" i="49" a="1"/>
  <c r="AG40" i="49" l="1"/>
  <c r="AF40" i="49" a="1"/>
  <c r="AF40" i="49" l="1"/>
  <c r="AE40" i="49" a="1"/>
  <c r="AE40" i="49" l="1"/>
  <c r="AD40" i="49" a="1"/>
  <c r="AD40" i="49" l="1"/>
  <c r="AC40" i="49" a="1"/>
  <c r="AC40" i="49" l="1"/>
  <c r="AB40" i="49" a="1"/>
  <c r="AB40" i="49" l="1"/>
  <c r="AA40" i="49" a="1"/>
  <c r="AA40" i="49" l="1"/>
  <c r="Z40" i="49" a="1"/>
  <c r="Z40" i="49" l="1"/>
  <c r="Y40" i="49" a="1"/>
  <c r="Y40" i="49" l="1"/>
  <c r="X40" i="49" a="1"/>
  <c r="X40" i="49" l="1"/>
  <c r="W40" i="49" a="1"/>
  <c r="W40" i="49" l="1"/>
  <c r="V40" i="49" a="1"/>
  <c r="V40" i="49" l="1"/>
  <c r="U40" i="49" a="1"/>
  <c r="U40" i="49" l="1"/>
  <c r="T40" i="49" a="1"/>
  <c r="T40" i="49" l="1"/>
  <c r="S40" i="49" a="1"/>
  <c r="S40" i="49" l="1"/>
  <c r="R40" i="49" a="1"/>
  <c r="R40" i="49" l="1"/>
  <c r="Q40" i="49" a="1"/>
  <c r="Q40" i="49" l="1"/>
  <c r="P40" i="49" a="1"/>
  <c r="P40" i="49" l="1"/>
  <c r="O40" i="49" a="1"/>
  <c r="O40" i="49" l="1"/>
  <c r="N40" i="49" a="1"/>
  <c r="N40" i="49" l="1"/>
  <c r="M40" i="49" a="1"/>
  <c r="M40" i="49" l="1"/>
  <c r="L40" i="49" a="1"/>
  <c r="L40" i="49" l="1"/>
  <c r="K40" i="49" a="1"/>
  <c r="K40" i="49" l="1"/>
  <c r="J40" i="49" a="1"/>
  <c r="J40" i="49" l="1"/>
  <c r="I40" i="49" a="1"/>
  <c r="I40" i="49" l="1"/>
  <c r="H40" i="49" a="1"/>
  <c r="H40" i="49" l="1"/>
  <c r="G40" i="49" a="1"/>
  <c r="G40" i="49" l="1"/>
  <c r="F40" i="49" a="1"/>
  <c r="F40" i="49" l="1"/>
  <c r="E40" i="49" a="1"/>
  <c r="E40" i="49" l="1"/>
  <c r="D40" i="49" a="1"/>
  <c r="D40" i="49" l="1"/>
  <c r="BP35" i="49" a="1"/>
  <c r="BP35" i="49" l="1"/>
  <c r="BO35" i="49" a="1"/>
  <c r="BO35" i="49" l="1"/>
  <c r="BN35" i="49" a="1"/>
  <c r="BN35" i="49" l="1"/>
  <c r="BM35" i="49" a="1"/>
  <c r="BM35" i="49" l="1"/>
  <c r="BL35" i="49" a="1"/>
  <c r="BL35" i="49" l="1"/>
  <c r="BK35" i="49" a="1"/>
  <c r="BK35" i="49" l="1"/>
  <c r="BJ35" i="49" a="1"/>
  <c r="BJ35" i="49" l="1"/>
  <c r="BI35" i="49" a="1"/>
  <c r="BI35" i="49" l="1"/>
  <c r="BH35" i="49" a="1"/>
  <c r="BH35" i="49" l="1"/>
  <c r="BG35" i="49" a="1"/>
  <c r="BG35" i="49" l="1"/>
  <c r="BF35" i="49" a="1"/>
  <c r="BF35" i="49" l="1"/>
  <c r="BE35" i="49" a="1"/>
  <c r="BE35" i="49" l="1"/>
  <c r="BD35" i="49" a="1"/>
  <c r="BD35" i="49" l="1"/>
  <c r="BC35" i="49" a="1"/>
  <c r="BC35" i="49" l="1"/>
  <c r="BB35" i="49" a="1"/>
  <c r="BB35" i="49" l="1"/>
  <c r="BA35" i="49" a="1"/>
  <c r="BA35" i="49" l="1"/>
  <c r="AZ35" i="49" a="1"/>
  <c r="AZ35" i="49" l="1"/>
  <c r="AY35" i="49" a="1"/>
  <c r="AY35" i="49" l="1"/>
  <c r="AX35" i="49" a="1"/>
  <c r="AX35" i="49" l="1"/>
  <c r="AW35" i="49" a="1"/>
  <c r="AW35" i="49" l="1"/>
  <c r="AV35" i="49" a="1"/>
  <c r="AV35" i="49" l="1"/>
  <c r="AU35" i="49" a="1"/>
  <c r="AU35" i="49" l="1"/>
  <c r="AT35" i="49" a="1"/>
  <c r="AT35" i="49" l="1"/>
  <c r="AS35" i="49" a="1"/>
  <c r="AS35" i="49" l="1"/>
  <c r="AR35" i="49" a="1"/>
  <c r="AR35" i="49" l="1"/>
  <c r="AQ35" i="49" a="1"/>
  <c r="AQ35" i="49" l="1"/>
  <c r="AP35" i="49" a="1"/>
  <c r="AP35" i="49" l="1"/>
  <c r="AO35" i="49" a="1"/>
  <c r="AO35" i="49" l="1"/>
  <c r="AN35" i="49" a="1"/>
  <c r="AN35" i="49" l="1"/>
  <c r="AM35" i="49" a="1"/>
  <c r="AM35" i="49" l="1"/>
  <c r="AL35" i="49" a="1"/>
  <c r="AL35" i="49" l="1"/>
  <c r="AK35" i="49" a="1"/>
  <c r="AK35" i="49" l="1"/>
  <c r="AJ35" i="49" a="1"/>
  <c r="AJ35" i="49" l="1"/>
  <c r="AI35" i="49" a="1"/>
  <c r="AI35" i="49" l="1"/>
  <c r="AH35" i="49" a="1"/>
  <c r="AH35" i="49" l="1"/>
  <c r="AG35" i="49" a="1"/>
  <c r="AG35" i="49" l="1"/>
  <c r="AF35" i="49" a="1"/>
  <c r="AF35" i="49" l="1"/>
  <c r="AE35" i="49" a="1"/>
  <c r="AE35" i="49" l="1"/>
  <c r="AD35" i="49" a="1"/>
  <c r="AD35" i="49" l="1"/>
  <c r="AC35" i="49" a="1"/>
  <c r="AC35" i="49" l="1"/>
  <c r="AB35" i="49" a="1"/>
  <c r="AB35" i="49" l="1"/>
  <c r="AA35" i="49" a="1"/>
  <c r="AA35" i="49" l="1"/>
  <c r="Z35" i="49" a="1"/>
  <c r="Z35" i="49" l="1"/>
  <c r="Y35" i="49" a="1"/>
  <c r="Y35" i="49" l="1"/>
  <c r="X35" i="49" a="1"/>
  <c r="X35" i="49" l="1"/>
  <c r="W35" i="49" a="1"/>
  <c r="W35" i="49" l="1"/>
  <c r="V35" i="49" a="1"/>
  <c r="V35" i="49" l="1"/>
  <c r="U35" i="49" a="1"/>
  <c r="U35" i="49" l="1"/>
  <c r="T35" i="49" a="1"/>
  <c r="T35" i="49" l="1"/>
  <c r="S35" i="49" a="1"/>
  <c r="S35" i="49" l="1"/>
  <c r="R35" i="49" a="1"/>
  <c r="R35" i="49" l="1"/>
  <c r="Q35" i="49" a="1"/>
  <c r="Q35" i="49" l="1"/>
  <c r="P35" i="49" a="1"/>
  <c r="P35" i="49" l="1"/>
  <c r="O35" i="49" a="1"/>
  <c r="O35" i="49" l="1"/>
  <c r="N35" i="49" a="1"/>
  <c r="N35" i="49" l="1"/>
  <c r="M35" i="49" a="1"/>
  <c r="M35" i="49" l="1"/>
  <c r="L35" i="49" a="1"/>
  <c r="L35" i="49" l="1"/>
  <c r="K35" i="49" a="1"/>
  <c r="K35" i="49" l="1"/>
  <c r="J35" i="49" a="1"/>
  <c r="J35" i="49" l="1"/>
  <c r="I35" i="49" a="1"/>
  <c r="I35" i="49" l="1"/>
  <c r="H35" i="49" a="1"/>
  <c r="H35" i="49" l="1"/>
  <c r="G35" i="49" a="1"/>
  <c r="G35" i="49" l="1"/>
  <c r="F35" i="49" a="1"/>
  <c r="F35" i="49" l="1"/>
  <c r="E35" i="49" a="1"/>
  <c r="E35" i="49" l="1"/>
  <c r="D35" i="49" a="1"/>
  <c r="D35" i="49" l="1"/>
  <c r="BP30" i="49" a="1"/>
  <c r="BP30" i="49" l="1"/>
  <c r="BO30" i="49" a="1"/>
  <c r="BO30" i="49" l="1"/>
  <c r="BN30" i="49" a="1"/>
  <c r="BN30" i="49" l="1"/>
  <c r="BM30" i="49" a="1"/>
  <c r="BM30" i="49" l="1"/>
  <c r="BL30" i="49" a="1"/>
  <c r="BL30" i="49" l="1"/>
  <c r="BK30" i="49" a="1"/>
  <c r="BK30" i="49" l="1"/>
  <c r="BJ30" i="49" a="1"/>
  <c r="BJ30" i="49" l="1"/>
  <c r="BI30" i="49" a="1"/>
  <c r="BI30" i="49" l="1"/>
  <c r="BH30" i="49" a="1"/>
  <c r="BH30" i="49" l="1"/>
  <c r="BG30" i="49" a="1"/>
  <c r="BG30" i="49" l="1"/>
  <c r="BF30" i="49" a="1"/>
  <c r="BF30" i="49" l="1"/>
  <c r="BE30" i="49" a="1"/>
  <c r="BE30" i="49" l="1"/>
  <c r="BD30" i="49" a="1"/>
  <c r="BD30" i="49" l="1"/>
  <c r="BC30" i="49" a="1"/>
  <c r="BC30" i="49" l="1"/>
  <c r="BB30" i="49" a="1"/>
  <c r="BB30" i="49" l="1"/>
  <c r="BA30" i="49" a="1"/>
  <c r="BA30" i="49" l="1"/>
  <c r="AZ30" i="49" a="1"/>
  <c r="AZ30" i="49" l="1"/>
  <c r="AY30" i="49" a="1"/>
  <c r="AY30" i="49" l="1"/>
  <c r="AX30" i="49" a="1"/>
  <c r="AX30" i="49" l="1"/>
  <c r="AW30" i="49" a="1"/>
  <c r="AW30" i="49" l="1"/>
  <c r="AV30" i="49" a="1"/>
  <c r="AV30" i="49" l="1"/>
  <c r="AU30" i="49" a="1"/>
  <c r="AU30" i="49" l="1"/>
  <c r="AT30" i="49" a="1"/>
  <c r="AT30" i="49" l="1"/>
  <c r="AS30" i="49" a="1"/>
  <c r="AS30" i="49" l="1"/>
  <c r="AR30" i="49" a="1"/>
  <c r="AR30" i="49" l="1"/>
  <c r="AQ30" i="49" a="1"/>
  <c r="AQ30" i="49" l="1"/>
  <c r="AP30" i="49" a="1"/>
  <c r="AP30" i="49" l="1"/>
  <c r="AO30" i="49" a="1"/>
  <c r="AO30" i="49" l="1"/>
  <c r="AN30" i="49" a="1"/>
  <c r="AN30" i="49" l="1"/>
  <c r="AM30" i="49" a="1"/>
  <c r="AM30" i="49" l="1"/>
  <c r="AL30" i="49" a="1"/>
  <c r="AL30" i="49" l="1"/>
  <c r="AK30" i="49" a="1"/>
  <c r="AK30" i="49" l="1"/>
  <c r="AJ30" i="49" a="1"/>
  <c r="AJ30" i="49" l="1"/>
  <c r="AI30" i="49" a="1"/>
  <c r="AI30" i="49" l="1"/>
  <c r="AH30" i="49" a="1"/>
  <c r="AH30" i="49" l="1"/>
  <c r="AG30" i="49" a="1"/>
  <c r="AG30" i="49" l="1"/>
  <c r="AF30" i="49" a="1"/>
  <c r="AF30" i="49" l="1"/>
  <c r="AE30" i="49" a="1"/>
  <c r="AE30" i="49" l="1"/>
  <c r="AD30" i="49" a="1"/>
  <c r="AD30" i="49" l="1"/>
  <c r="AC30" i="49" a="1"/>
  <c r="AC30" i="49" l="1"/>
  <c r="AB30" i="49" a="1"/>
  <c r="AB30" i="49" l="1"/>
  <c r="AA30" i="49" a="1"/>
  <c r="AA30" i="49" l="1"/>
  <c r="Z30" i="49" a="1"/>
  <c r="Z30" i="49" l="1"/>
  <c r="Y30" i="49" a="1"/>
  <c r="Y30" i="49" l="1"/>
  <c r="X30" i="49" a="1"/>
  <c r="X30" i="49" l="1"/>
  <c r="W30" i="49" a="1"/>
  <c r="W30" i="49" l="1"/>
  <c r="V30" i="49" a="1"/>
  <c r="V30" i="49" l="1"/>
  <c r="U30" i="49" a="1"/>
  <c r="U30" i="49" l="1"/>
  <c r="T30" i="49" a="1"/>
  <c r="T30" i="49" l="1"/>
  <c r="S30" i="49" a="1"/>
  <c r="S30" i="49" l="1"/>
  <c r="R30" i="49" a="1"/>
  <c r="R30" i="49" l="1"/>
  <c r="Q30" i="49" a="1"/>
  <c r="Q30" i="49" l="1"/>
  <c r="P30" i="49" a="1"/>
  <c r="P30" i="49" l="1"/>
  <c r="O30" i="49" a="1"/>
  <c r="O30" i="49" l="1"/>
  <c r="N30" i="49" a="1"/>
  <c r="N30" i="49" l="1"/>
  <c r="M30" i="49" a="1"/>
  <c r="M30" i="49" l="1"/>
  <c r="L30" i="49" a="1"/>
  <c r="L30" i="49" l="1"/>
  <c r="K30" i="49" a="1"/>
  <c r="K30" i="49" l="1"/>
  <c r="J30" i="49" a="1"/>
  <c r="J30" i="49" l="1"/>
  <c r="I30" i="49" a="1"/>
  <c r="I30" i="49" l="1"/>
  <c r="H30" i="49" a="1"/>
  <c r="H30" i="49" l="1"/>
  <c r="G30" i="49" a="1"/>
  <c r="G30" i="49" l="1"/>
  <c r="F30" i="49" a="1"/>
  <c r="F30" i="49" l="1"/>
  <c r="E30" i="49" a="1"/>
  <c r="E30" i="49" l="1"/>
  <c r="D30" i="49" a="1"/>
  <c r="D30" i="49" l="1"/>
  <c r="BP24" i="49" a="1"/>
  <c r="BP24" i="49" l="1"/>
  <c r="BO24" i="49" a="1"/>
  <c r="BO24" i="49" l="1"/>
  <c r="BN24" i="49" a="1"/>
  <c r="BN24" i="49" l="1"/>
  <c r="BM24" i="49" a="1"/>
  <c r="BM24" i="49" l="1"/>
  <c r="BL24" i="49" a="1"/>
  <c r="BL24" i="49" l="1"/>
  <c r="BK24" i="49" a="1"/>
  <c r="BK24" i="49" l="1"/>
  <c r="BJ24" i="49" a="1"/>
  <c r="BJ24" i="49" l="1"/>
  <c r="BI24" i="49" a="1"/>
  <c r="BI24" i="49" l="1"/>
  <c r="BH24" i="49" a="1"/>
  <c r="BH24" i="49" l="1"/>
  <c r="BG24" i="49" a="1"/>
  <c r="BG24" i="49" l="1"/>
  <c r="BF24" i="49" a="1"/>
  <c r="BF24" i="49" l="1"/>
  <c r="BE24" i="49" a="1"/>
  <c r="BE24" i="49" l="1"/>
  <c r="BD24" i="49" a="1"/>
  <c r="BD24" i="49" l="1"/>
  <c r="BC24" i="49" a="1"/>
  <c r="BC24" i="49" l="1"/>
  <c r="BB24" i="49" a="1"/>
  <c r="BB24" i="49" l="1"/>
  <c r="BA24" i="49" a="1"/>
  <c r="BA24" i="49" l="1"/>
  <c r="AZ24" i="49" a="1"/>
  <c r="AZ24" i="49" l="1"/>
  <c r="AY24" i="49" a="1"/>
  <c r="AY24" i="49" l="1"/>
  <c r="AX24" i="49" a="1"/>
  <c r="AX24" i="49" l="1"/>
  <c r="AW24" i="49" a="1"/>
  <c r="AW24" i="49" l="1"/>
  <c r="AV24" i="49" a="1"/>
  <c r="AV24" i="49" l="1"/>
  <c r="AU24" i="49" a="1"/>
  <c r="AU24" i="49" l="1"/>
  <c r="AT24" i="49" a="1"/>
  <c r="AT24" i="49" l="1"/>
  <c r="AS24" i="49" a="1"/>
  <c r="AS24" i="49" l="1"/>
  <c r="AR24" i="49" a="1"/>
  <c r="AR24" i="49" l="1"/>
  <c r="AQ24" i="49" a="1"/>
  <c r="AQ24" i="49" l="1"/>
  <c r="AP24" i="49" a="1"/>
  <c r="AP24" i="49" l="1"/>
  <c r="AO24" i="49" a="1"/>
  <c r="AO24" i="49" l="1"/>
  <c r="AN24" i="49" a="1"/>
  <c r="AN24" i="49" l="1"/>
  <c r="AM24" i="49" a="1"/>
  <c r="AM24" i="49" l="1"/>
  <c r="AL24" i="49" a="1"/>
  <c r="AL24" i="49" l="1"/>
  <c r="AK24" i="49" a="1"/>
  <c r="AK24" i="49" l="1"/>
  <c r="AJ24" i="49" a="1"/>
  <c r="AJ24" i="49" l="1"/>
  <c r="AI24" i="49" a="1"/>
  <c r="AI24" i="49" l="1"/>
  <c r="AH24" i="49" a="1"/>
  <c r="AH24" i="49" l="1"/>
  <c r="AG24" i="49" a="1"/>
  <c r="AG24" i="49" l="1"/>
  <c r="AF24" i="49" a="1"/>
  <c r="AF24" i="49" l="1"/>
  <c r="AE24" i="49" a="1"/>
  <c r="AE24" i="49" l="1"/>
  <c r="AD24" i="49" a="1"/>
  <c r="AD24" i="49" l="1"/>
  <c r="AC24" i="49" a="1"/>
  <c r="AC24" i="49" l="1"/>
  <c r="AB24" i="49" a="1"/>
  <c r="AB24" i="49" l="1"/>
  <c r="AA24" i="49" a="1"/>
  <c r="AA24" i="49" l="1"/>
  <c r="Z24" i="49" a="1"/>
  <c r="Z24" i="49" l="1"/>
  <c r="Y24" i="49" a="1"/>
  <c r="Y24" i="49" l="1"/>
  <c r="X24" i="49" a="1"/>
  <c r="X24" i="49" l="1"/>
  <c r="W24" i="49" a="1"/>
  <c r="W24" i="49" l="1"/>
  <c r="V24" i="49" a="1"/>
  <c r="V24" i="49" l="1"/>
  <c r="U24" i="49" a="1"/>
  <c r="U24" i="49" l="1"/>
  <c r="T24" i="49" a="1"/>
  <c r="T24" i="49" l="1"/>
  <c r="S24" i="49" a="1"/>
  <c r="S24" i="49" l="1"/>
  <c r="R24" i="49" a="1"/>
  <c r="R24" i="49" l="1"/>
  <c r="Q24" i="49" a="1"/>
  <c r="Q24" i="49" l="1"/>
  <c r="P24" i="49" a="1"/>
  <c r="P24" i="49" l="1"/>
  <c r="O24" i="49" a="1"/>
  <c r="O24" i="49" l="1"/>
  <c r="N24" i="49" a="1"/>
  <c r="N24" i="49" l="1"/>
  <c r="M24" i="49" a="1"/>
  <c r="M24" i="49" l="1"/>
  <c r="L24" i="49" a="1"/>
  <c r="L24" i="49" l="1"/>
  <c r="K24" i="49" a="1"/>
  <c r="K24" i="49" l="1"/>
  <c r="J24" i="49" a="1"/>
  <c r="J24" i="49" l="1"/>
  <c r="I24" i="49" a="1"/>
  <c r="I24" i="49" l="1"/>
  <c r="H24" i="49" a="1"/>
  <c r="H24" i="49" l="1"/>
  <c r="G24" i="49" a="1"/>
  <c r="G24" i="49" l="1"/>
  <c r="F24" i="49" a="1"/>
  <c r="F24" i="49" l="1"/>
  <c r="E24" i="49" a="1"/>
  <c r="E24" i="49" l="1"/>
  <c r="D24" i="49" a="1"/>
  <c r="D24" i="49" l="1"/>
  <c r="BP20" i="49" a="1"/>
  <c r="BP20" i="49" l="1"/>
  <c r="BO20" i="49" a="1"/>
  <c r="BO20" i="49" l="1"/>
  <c r="BN20" i="49" a="1"/>
  <c r="BN20" i="49" l="1"/>
  <c r="BM20" i="49" a="1"/>
  <c r="BM20" i="49" l="1"/>
  <c r="BL20" i="49" a="1"/>
  <c r="BL20" i="49" l="1"/>
  <c r="BK20" i="49" a="1"/>
  <c r="BK20" i="49" l="1"/>
  <c r="BJ20" i="49" a="1"/>
  <c r="BJ20" i="49" l="1"/>
  <c r="BI20" i="49" a="1"/>
  <c r="BI20" i="49" l="1"/>
  <c r="BH20" i="49" a="1"/>
  <c r="BH20" i="49" l="1"/>
  <c r="BG20" i="49" a="1"/>
  <c r="BG20" i="49" l="1"/>
  <c r="BF20" i="49" a="1"/>
  <c r="BF20" i="49" l="1"/>
  <c r="BE20" i="49" a="1"/>
  <c r="BE20" i="49" l="1"/>
  <c r="BD20" i="49" a="1"/>
  <c r="BD20" i="49" l="1"/>
  <c r="BC20" i="49" a="1"/>
  <c r="BC20" i="49" l="1"/>
  <c r="BB20" i="49" a="1"/>
  <c r="BB20" i="49" l="1"/>
  <c r="BA20" i="49" a="1"/>
  <c r="BA20" i="49" l="1"/>
  <c r="AZ20" i="49" a="1"/>
  <c r="AZ20" i="49" l="1"/>
  <c r="AY20" i="49" a="1"/>
  <c r="AY20" i="49" l="1"/>
  <c r="AX20" i="49" a="1"/>
  <c r="AX20" i="49" l="1"/>
  <c r="AW20" i="49" a="1"/>
  <c r="AW20" i="49" l="1"/>
  <c r="AV20" i="49" a="1"/>
  <c r="AV20" i="49" l="1"/>
  <c r="AU20" i="49" a="1"/>
  <c r="AU20" i="49" l="1"/>
  <c r="AT20" i="49" a="1"/>
  <c r="AT20" i="49" l="1"/>
  <c r="AS20" i="49" a="1"/>
  <c r="AS20" i="49" l="1"/>
  <c r="AR20" i="49" a="1"/>
  <c r="AR20" i="49" l="1"/>
  <c r="AQ20" i="49" a="1"/>
  <c r="AQ20" i="49" l="1"/>
  <c r="AP20" i="49" a="1"/>
  <c r="AP20" i="49" l="1"/>
  <c r="AO20" i="49" a="1"/>
  <c r="AO20" i="49" l="1"/>
  <c r="AN20" i="49" a="1"/>
  <c r="AN20" i="49" l="1"/>
  <c r="AM20" i="49" a="1"/>
  <c r="AM20" i="49" l="1"/>
  <c r="AL20" i="49" a="1"/>
  <c r="AL20" i="49" l="1"/>
  <c r="AK20" i="49" a="1"/>
  <c r="AK20" i="49" l="1"/>
  <c r="AJ20" i="49" a="1"/>
  <c r="AJ20" i="49" l="1"/>
  <c r="AI20" i="49" a="1"/>
  <c r="AI20" i="49" l="1"/>
  <c r="AH20" i="49" a="1"/>
  <c r="AH20" i="49" l="1"/>
  <c r="AG20" i="49" a="1"/>
  <c r="AG20" i="49" l="1"/>
  <c r="AF20" i="49" a="1"/>
  <c r="AF20" i="49" l="1"/>
  <c r="AE20" i="49" a="1"/>
  <c r="AE20" i="49" l="1"/>
  <c r="AD20" i="49" a="1"/>
  <c r="AD20" i="49" l="1"/>
  <c r="AC20" i="49" a="1"/>
  <c r="AC20" i="49" l="1"/>
  <c r="AB20" i="49" a="1"/>
  <c r="AB20" i="49" l="1"/>
  <c r="AA20" i="49" a="1"/>
  <c r="AA20" i="49" l="1"/>
  <c r="Z20" i="49" a="1"/>
  <c r="Z20" i="49" l="1"/>
  <c r="Y20" i="49" a="1"/>
  <c r="Y20" i="49" l="1"/>
  <c r="X20" i="49" a="1"/>
  <c r="X20" i="49" l="1"/>
  <c r="W20" i="49" a="1"/>
  <c r="W20" i="49" l="1"/>
  <c r="V20" i="49" a="1"/>
  <c r="V20" i="49" l="1"/>
  <c r="U20" i="49" a="1"/>
  <c r="U20" i="49" l="1"/>
  <c r="T20" i="49" a="1"/>
  <c r="T20" i="49" l="1"/>
  <c r="S20" i="49" a="1"/>
  <c r="S20" i="49" l="1"/>
  <c r="R20" i="49" a="1"/>
  <c r="R20" i="49" l="1"/>
  <c r="Q20" i="49" a="1"/>
  <c r="Q20" i="49" l="1"/>
  <c r="P20" i="49" a="1"/>
  <c r="P20" i="49" l="1"/>
  <c r="O20" i="49" a="1"/>
  <c r="O20" i="49" l="1"/>
  <c r="N20" i="49" a="1"/>
  <c r="N20" i="49" l="1"/>
  <c r="M20" i="49" a="1"/>
  <c r="M20" i="49" l="1"/>
  <c r="L20" i="49" a="1"/>
  <c r="L20" i="49" l="1"/>
  <c r="K20" i="49" a="1"/>
  <c r="K20" i="49" l="1"/>
  <c r="J20" i="49" a="1"/>
  <c r="J20" i="49" l="1"/>
  <c r="I20" i="49" a="1"/>
  <c r="I20" i="49" l="1"/>
  <c r="H20" i="49" a="1"/>
  <c r="H20" i="49" l="1"/>
  <c r="G20" i="49" a="1"/>
  <c r="G20" i="49" l="1"/>
  <c r="F20" i="49" a="1"/>
  <c r="F20" i="49" l="1"/>
  <c r="E20" i="49" a="1"/>
  <c r="E20" i="49" l="1"/>
  <c r="D20" i="49" a="1"/>
  <c r="D20" i="49" l="1"/>
  <c r="BP16" i="49" a="1"/>
  <c r="BP16" i="49" l="1"/>
  <c r="BO16" i="49" a="1"/>
  <c r="BO16" i="49" l="1"/>
  <c r="BN16" i="49" a="1"/>
  <c r="BN16" i="49" l="1"/>
  <c r="BM16" i="49" a="1"/>
  <c r="BM16" i="49" l="1"/>
  <c r="BL16" i="49" a="1"/>
  <c r="BL16" i="49" l="1"/>
  <c r="BK16" i="49" a="1"/>
  <c r="BK16" i="49" l="1"/>
  <c r="BJ16" i="49" a="1"/>
  <c r="BJ16" i="49" l="1"/>
  <c r="BI16" i="49" a="1"/>
  <c r="BI16" i="49" l="1"/>
  <c r="BH16" i="49" a="1"/>
  <c r="BH16" i="49" l="1"/>
  <c r="BG16" i="49" a="1"/>
  <c r="BG16" i="49" l="1"/>
  <c r="BF16" i="49" a="1"/>
  <c r="BF16" i="49" l="1"/>
  <c r="BE16" i="49" a="1"/>
  <c r="BE16" i="49" l="1"/>
  <c r="BD16" i="49" a="1"/>
  <c r="BD16" i="49" l="1"/>
  <c r="BC16" i="49" a="1"/>
  <c r="BC16" i="49" l="1"/>
  <c r="BB16" i="49" a="1"/>
  <c r="BB16" i="49" l="1"/>
  <c r="BA16" i="49" a="1"/>
  <c r="BA16" i="49" l="1"/>
  <c r="AZ16" i="49" a="1"/>
  <c r="AZ16" i="49" l="1"/>
  <c r="AY16" i="49" a="1"/>
  <c r="AY16" i="49" l="1"/>
  <c r="AX16" i="49" a="1"/>
  <c r="AX16" i="49" l="1"/>
  <c r="AW16" i="49" a="1"/>
  <c r="AW16" i="49" l="1"/>
  <c r="AV16" i="49" a="1"/>
  <c r="AV16" i="49" l="1"/>
  <c r="AU16" i="49" a="1"/>
  <c r="AU16" i="49" l="1"/>
  <c r="AT16" i="49" a="1"/>
  <c r="AT16" i="49" l="1"/>
  <c r="AS16" i="49" a="1"/>
  <c r="AS16" i="49" l="1"/>
  <c r="AR16" i="49" a="1"/>
  <c r="AR16" i="49" l="1"/>
  <c r="AQ16" i="49" a="1"/>
  <c r="AQ16" i="49" l="1"/>
  <c r="AP16" i="49" a="1"/>
  <c r="AP16" i="49" l="1"/>
  <c r="AO16" i="49" a="1"/>
  <c r="AO16" i="49" l="1"/>
  <c r="AN16" i="49" a="1"/>
  <c r="AN16" i="49" l="1"/>
  <c r="AM16" i="49" a="1"/>
  <c r="AM16" i="49" l="1"/>
  <c r="AL16" i="49" a="1"/>
  <c r="AL16" i="49" l="1"/>
  <c r="AK16" i="49" a="1"/>
  <c r="AK16" i="49" l="1"/>
  <c r="AJ16" i="49" a="1"/>
  <c r="AJ16" i="49" l="1"/>
  <c r="AI16" i="49" a="1"/>
  <c r="AI16" i="49" l="1"/>
  <c r="AH16" i="49" a="1"/>
  <c r="AH16" i="49" l="1"/>
  <c r="AG16" i="49" a="1"/>
  <c r="AG16" i="49" l="1"/>
  <c r="AF16" i="49" a="1"/>
  <c r="AF16" i="49" l="1"/>
  <c r="AE16" i="49" a="1"/>
  <c r="AE16" i="49" l="1"/>
  <c r="AD16" i="49" a="1"/>
  <c r="AD16" i="49" l="1"/>
  <c r="AC16" i="49" a="1"/>
  <c r="AC16" i="49" l="1"/>
  <c r="AB16" i="49" a="1"/>
  <c r="AB16" i="49" l="1"/>
  <c r="AA16" i="49" a="1"/>
  <c r="AA16" i="49" l="1"/>
  <c r="Z16" i="49" a="1"/>
  <c r="Z16" i="49" l="1"/>
  <c r="Y16" i="49" a="1"/>
  <c r="Y16" i="49" l="1"/>
  <c r="X16" i="49" a="1"/>
  <c r="X16" i="49" l="1"/>
  <c r="W16" i="49" a="1"/>
  <c r="W16" i="49" l="1"/>
  <c r="V16" i="49" a="1"/>
  <c r="V16" i="49" l="1"/>
  <c r="U16" i="49" a="1"/>
  <c r="U16" i="49" l="1"/>
  <c r="T16" i="49" a="1"/>
  <c r="T16" i="49" l="1"/>
  <c r="S16" i="49" a="1"/>
  <c r="S16" i="49" l="1"/>
  <c r="R16" i="49" a="1"/>
  <c r="R16" i="49" l="1"/>
  <c r="Q16" i="49" a="1"/>
  <c r="Q16" i="49" l="1"/>
  <c r="P16" i="49" a="1"/>
  <c r="P16" i="49" l="1"/>
  <c r="O16" i="49" a="1"/>
  <c r="O16" i="49" l="1"/>
  <c r="N16" i="49" a="1"/>
  <c r="N16" i="49" l="1"/>
  <c r="M16" i="49" a="1"/>
  <c r="M16" i="49" l="1"/>
  <c r="L16" i="49" a="1"/>
  <c r="L16" i="49" l="1"/>
  <c r="K16" i="49" a="1"/>
  <c r="K16" i="49" l="1"/>
  <c r="J16" i="49" a="1"/>
  <c r="J16" i="49" l="1"/>
  <c r="I16" i="49" a="1"/>
  <c r="I16" i="49" l="1"/>
  <c r="H16" i="49" a="1"/>
  <c r="H16" i="49" l="1"/>
  <c r="G16" i="49" a="1"/>
  <c r="G16" i="49" l="1"/>
  <c r="F16" i="49" a="1"/>
  <c r="F16" i="49" l="1"/>
  <c r="E16" i="49" a="1"/>
  <c r="E16" i="49" l="1"/>
  <c r="D16" i="49" a="1"/>
  <c r="D16" i="49" l="1"/>
  <c r="BP12" i="49" a="1"/>
  <c r="BP12" i="49" l="1"/>
  <c r="BO12" i="49" a="1"/>
  <c r="BO12" i="49" l="1"/>
  <c r="BN12" i="49" a="1"/>
  <c r="BN12" i="49" l="1"/>
  <c r="BM12" i="49" a="1"/>
  <c r="BM12" i="49" l="1"/>
  <c r="BL12" i="49" a="1"/>
  <c r="BL12" i="49" l="1"/>
  <c r="BK12" i="49" a="1"/>
  <c r="BK12" i="49" l="1"/>
  <c r="BJ12" i="49" a="1"/>
  <c r="BJ12" i="49" l="1"/>
  <c r="BI12" i="49" a="1"/>
  <c r="BI12" i="49" l="1"/>
  <c r="BH12" i="49" a="1"/>
  <c r="BH12" i="49" l="1"/>
  <c r="BG12" i="49" a="1"/>
  <c r="BG12" i="49" l="1"/>
  <c r="BF12" i="49" a="1"/>
  <c r="BF12" i="49" l="1"/>
  <c r="BE12" i="49" a="1"/>
  <c r="BE12" i="49" l="1"/>
  <c r="BD12" i="49" a="1"/>
  <c r="BD12" i="49" l="1"/>
  <c r="BC12" i="49" a="1"/>
  <c r="BC12" i="49" l="1"/>
  <c r="BB12" i="49" a="1"/>
  <c r="BB12" i="49" l="1"/>
  <c r="BA12" i="49" a="1"/>
  <c r="BA12" i="49" l="1"/>
  <c r="AZ12" i="49" a="1"/>
  <c r="AZ12" i="49" l="1"/>
  <c r="AY12" i="49" a="1"/>
  <c r="AY12" i="49" l="1"/>
  <c r="AX12" i="49" a="1"/>
  <c r="AX12" i="49" l="1"/>
  <c r="AW12" i="49" a="1"/>
  <c r="AW12" i="49" l="1"/>
  <c r="AV12" i="49" a="1"/>
  <c r="AV12" i="49" l="1"/>
  <c r="AU12" i="49" a="1"/>
  <c r="AU12" i="49" l="1"/>
  <c r="AT12" i="49" a="1"/>
  <c r="AT12" i="49" l="1"/>
  <c r="AS12" i="49" a="1"/>
  <c r="AS12" i="49" l="1"/>
  <c r="AR12" i="49" a="1"/>
  <c r="AR12" i="49" l="1"/>
  <c r="AQ12" i="49" a="1"/>
  <c r="AQ12" i="49" l="1"/>
  <c r="AP12" i="49" a="1"/>
  <c r="AP12" i="49" l="1"/>
  <c r="AO12" i="49" a="1"/>
  <c r="AO12" i="49" l="1"/>
  <c r="AN12" i="49" a="1"/>
  <c r="AN12" i="49" l="1"/>
  <c r="AM12" i="49" a="1"/>
  <c r="AM12" i="49" l="1"/>
  <c r="AL12" i="49" a="1"/>
  <c r="AL12" i="49" l="1"/>
  <c r="AK12" i="49" a="1"/>
  <c r="AK12" i="49" l="1"/>
  <c r="AJ12" i="49" a="1"/>
  <c r="AJ12" i="49" l="1"/>
  <c r="AI12" i="49" a="1"/>
  <c r="AI12" i="49" l="1"/>
  <c r="AH12" i="49" a="1"/>
  <c r="AH12" i="49" l="1"/>
  <c r="AG12" i="49" a="1"/>
  <c r="AG12" i="49" l="1"/>
  <c r="AF12" i="49" a="1"/>
  <c r="AF12" i="49" l="1"/>
  <c r="AE12" i="49" a="1"/>
  <c r="AE12" i="49" l="1"/>
  <c r="AD12" i="49" a="1"/>
  <c r="AD12" i="49" l="1"/>
  <c r="AC12" i="49" a="1"/>
  <c r="AC12" i="49" l="1"/>
  <c r="AB12" i="49" a="1"/>
  <c r="AB12" i="49" l="1"/>
  <c r="AA12" i="49" a="1"/>
  <c r="AA12" i="49" l="1"/>
  <c r="Z12" i="49" a="1"/>
  <c r="Z12" i="49" l="1"/>
  <c r="Y12" i="49" a="1"/>
  <c r="Y12" i="49" l="1"/>
  <c r="X12" i="49" a="1"/>
  <c r="X12" i="49" l="1"/>
  <c r="W12" i="49" a="1"/>
  <c r="W12" i="49" l="1"/>
  <c r="V12" i="49" a="1"/>
  <c r="V12" i="49" l="1"/>
  <c r="U12" i="49" a="1"/>
  <c r="U12" i="49" l="1"/>
  <c r="T12" i="49" a="1"/>
  <c r="T12" i="49" l="1"/>
  <c r="S12" i="49" a="1"/>
  <c r="S12" i="49" l="1"/>
  <c r="R12" i="49" a="1"/>
  <c r="R12" i="49" l="1"/>
  <c r="Q12" i="49" a="1"/>
  <c r="Q12" i="49" l="1"/>
  <c r="P12" i="49" a="1"/>
  <c r="P12" i="49" l="1"/>
  <c r="O12" i="49" a="1"/>
  <c r="O12" i="49" l="1"/>
  <c r="N12" i="49" a="1"/>
  <c r="N12" i="49" l="1"/>
  <c r="M12" i="49" a="1"/>
  <c r="M12" i="49" l="1"/>
  <c r="L12" i="49" a="1"/>
  <c r="L12" i="49" l="1"/>
  <c r="K12" i="49" a="1"/>
  <c r="K12" i="49" l="1"/>
  <c r="J12" i="49" a="1"/>
  <c r="J12" i="49" l="1"/>
  <c r="I12" i="49" a="1"/>
  <c r="I12" i="49" l="1"/>
  <c r="H12" i="49" a="1"/>
  <c r="H12" i="49" l="1"/>
  <c r="G12" i="49" a="1"/>
  <c r="G12" i="49" l="1"/>
  <c r="F12" i="49" a="1"/>
  <c r="F12" i="49" l="1"/>
  <c r="E12" i="49" a="1"/>
  <c r="E12" i="49" l="1"/>
  <c r="D12" i="49" a="1"/>
  <c r="D12" i="49" l="1"/>
  <c r="AR101" i="59" a="1"/>
  <c r="AQ96" i="59" a="1"/>
  <c r="AO102" i="59" a="1"/>
  <c r="AL102" i="59" a="1"/>
  <c r="AM101" i="59" a="1"/>
  <c r="AN96" i="59" a="1"/>
  <c r="AO95" i="59" a="1"/>
  <c r="AL95" i="59" a="1"/>
  <c r="AH102" i="59" a="1"/>
  <c r="AI101" i="59" a="1"/>
  <c r="AJ96" i="59" a="1"/>
  <c r="AG96" i="59" a="1"/>
  <c r="AH95" i="59" a="1"/>
  <c r="AD96" i="59" a="1"/>
  <c r="AE95" i="59" a="1"/>
  <c r="AB95" i="59" a="1"/>
  <c r="AC102" i="59" a="1"/>
  <c r="AD101" i="59" a="1"/>
  <c r="Z102" i="59" a="1"/>
  <c r="W102" i="59" a="1"/>
  <c r="X101" i="59" a="1"/>
  <c r="Y96" i="59" a="1"/>
  <c r="Z95" i="59" a="1"/>
  <c r="W95" i="59" a="1"/>
  <c r="U101" i="59" a="1"/>
  <c r="T96" i="59" a="1"/>
  <c r="AO24" i="54" a="1"/>
  <c r="AI96" i="59" a="1"/>
  <c r="X96" i="59" a="1"/>
  <c r="U95" i="59" a="1"/>
  <c r="AR102" i="59" a="1"/>
  <c r="AQ101" i="59" a="1"/>
  <c r="AR95" i="59" a="1"/>
  <c r="AN102" i="59" a="1"/>
  <c r="AO101" i="59" a="1"/>
  <c r="AL101" i="59" a="1"/>
  <c r="AM96" i="59" a="1"/>
  <c r="AN95" i="59" a="1"/>
  <c r="AJ102" i="59" a="1"/>
  <c r="AG102" i="59" a="1"/>
  <c r="AH101" i="59" a="1"/>
  <c r="AJ95" i="59" a="1"/>
  <c r="AG95" i="59" a="1"/>
  <c r="AC96" i="59" a="1"/>
  <c r="AD95" i="59" a="1"/>
  <c r="AE102" i="59" a="1"/>
  <c r="AB102" i="59" a="1"/>
  <c r="AC101" i="59" a="1"/>
  <c r="Y102" i="59" a="1"/>
  <c r="Z101" i="59" a="1"/>
  <c r="W101" i="59" a="1"/>
  <c r="Y95" i="59" a="1"/>
  <c r="U102" i="59" a="1"/>
  <c r="T101" i="59" a="1"/>
  <c r="AE96" i="59" a="1"/>
  <c r="U96" i="59" a="1"/>
  <c r="AQ102" i="59" a="1"/>
  <c r="AR96" i="59" a="1"/>
  <c r="AQ95" i="59" a="1"/>
  <c r="AM102" i="59" a="1"/>
  <c r="AN101" i="59" a="1"/>
  <c r="AO96" i="59" a="1"/>
  <c r="AL96" i="59" a="1"/>
  <c r="AM95" i="59" a="1"/>
  <c r="AI102" i="59" a="1"/>
  <c r="AJ101" i="59" a="1"/>
  <c r="AG101" i="59" a="1"/>
  <c r="AH96" i="59" a="1"/>
  <c r="AI95" i="59" a="1"/>
  <c r="AB96" i="59" a="1"/>
  <c r="AC95" i="59" a="1"/>
  <c r="AD102" i="59" a="1"/>
  <c r="AE101" i="59" a="1"/>
  <c r="AB101" i="59" a="1"/>
  <c r="X102" i="59" a="1"/>
  <c r="Y101" i="59" a="1"/>
  <c r="Z96" i="59" a="1"/>
  <c r="W96" i="59" a="1"/>
  <c r="X95" i="59" a="1"/>
  <c r="T102" i="59" a="1"/>
  <c r="T95" i="59" a="1"/>
  <c r="T95" i="59" l="1"/>
  <c r="T102" i="59"/>
  <c r="X95" i="59"/>
  <c r="W96" i="59"/>
  <c r="Z96" i="59"/>
  <c r="Y101" i="59"/>
  <c r="X102" i="59"/>
  <c r="AB101" i="59"/>
  <c r="AE101" i="59"/>
  <c r="AD102" i="59"/>
  <c r="AC95" i="59"/>
  <c r="AB96" i="59"/>
  <c r="AI95" i="59"/>
  <c r="AH96" i="59"/>
  <c r="AG101" i="59"/>
  <c r="AJ101" i="59"/>
  <c r="AI102" i="59"/>
  <c r="AM95" i="59"/>
  <c r="AL96" i="59"/>
  <c r="AO96" i="59"/>
  <c r="AN101" i="59"/>
  <c r="AM102" i="59"/>
  <c r="AQ95" i="59"/>
  <c r="AR96" i="59"/>
  <c r="AQ102" i="59"/>
  <c r="U96" i="59"/>
  <c r="AE96" i="59"/>
  <c r="T101" i="59"/>
  <c r="U102" i="59"/>
  <c r="Y95" i="59"/>
  <c r="W101" i="59"/>
  <c r="Z101" i="59"/>
  <c r="Y102" i="59"/>
  <c r="AC101" i="59"/>
  <c r="AB102" i="59"/>
  <c r="AE102" i="59"/>
  <c r="AD95" i="59"/>
  <c r="AC96" i="59"/>
  <c r="AG95" i="59"/>
  <c r="AJ95" i="59"/>
  <c r="AH101" i="59"/>
  <c r="AG102" i="59"/>
  <c r="AJ102" i="59"/>
  <c r="AN95" i="59"/>
  <c r="AM96" i="59"/>
  <c r="AL101" i="59"/>
  <c r="AO101" i="59"/>
  <c r="AN102" i="59"/>
  <c r="AR95" i="59"/>
  <c r="AQ101" i="59"/>
  <c r="AR102" i="59"/>
  <c r="U95" i="59"/>
  <c r="X96" i="59"/>
  <c r="AI96" i="59"/>
  <c r="AO24" i="54"/>
  <c r="T96" i="59"/>
  <c r="U101" i="59"/>
  <c r="W95" i="59"/>
  <c r="Z95" i="59"/>
  <c r="Y96" i="59"/>
  <c r="X101" i="59"/>
  <c r="W102" i="59"/>
  <c r="Z102" i="59"/>
  <c r="AD101" i="59"/>
  <c r="AC102" i="59"/>
  <c r="AB95" i="59"/>
  <c r="AE95" i="59"/>
  <c r="AD96" i="59"/>
  <c r="AH95" i="59"/>
  <c r="AG96" i="59"/>
  <c r="AJ96" i="59"/>
  <c r="AI101" i="59"/>
  <c r="AH102" i="59"/>
  <c r="AL95" i="59"/>
  <c r="AO95" i="59"/>
  <c r="AN96" i="59"/>
  <c r="AM101" i="59"/>
  <c r="AL102" i="59"/>
  <c r="AO102" i="59"/>
  <c r="AQ96" i="59"/>
  <c r="AR101" i="59"/>
  <c r="AU83" i="51" l="1"/>
  <c r="AR93" i="59"/>
  <c r="AS82" i="59"/>
  <c r="AS74" i="59"/>
  <c r="AS66" i="59"/>
  <c r="AS36" i="59"/>
  <c r="AS23" i="59"/>
  <c r="AS13" i="59"/>
  <c r="AV83" i="51" l="1"/>
  <c r="AW83" i="51"/>
  <c r="AX83" i="51" s="1"/>
  <c r="AY83" i="51" s="1"/>
  <c r="BA83" i="51" s="1"/>
  <c r="AW21" i="54"/>
  <c r="BB83" i="51" l="1"/>
  <c r="BC83" i="51" s="1"/>
  <c r="BD83" i="51" s="1"/>
  <c r="BF83" i="51" s="1"/>
  <c r="AZ83" i="51"/>
  <c r="AR99" i="59"/>
  <c r="AR98" i="59"/>
  <c r="AR105" i="59"/>
  <c r="AR104" i="59"/>
  <c r="AR145" i="7"/>
  <c r="AR48" i="7"/>
  <c r="AR44" i="51"/>
  <c r="AS149" i="7" l="1"/>
  <c r="AS147" i="7"/>
  <c r="BE83" i="51"/>
  <c r="BG83" i="51"/>
  <c r="BH83" i="51" s="1"/>
  <c r="BI83" i="51" s="1"/>
  <c r="BK83" i="51" s="1"/>
  <c r="AR38" i="60"/>
  <c r="AR22" i="60"/>
  <c r="AS23" i="60" s="1"/>
  <c r="AS54" i="60" s="1"/>
  <c r="AR15" i="60"/>
  <c r="AS16" i="60" s="1"/>
  <c r="AS49" i="60" s="1"/>
  <c r="AR80" i="51"/>
  <c r="AR79" i="51"/>
  <c r="AR71" i="51"/>
  <c r="AR124" i="50"/>
  <c r="AR119" i="50"/>
  <c r="AR104" i="50"/>
  <c r="AR123" i="50" s="1"/>
  <c r="AR101" i="50"/>
  <c r="AR122" i="50" s="1"/>
  <c r="AR96" i="50"/>
  <c r="AR93" i="50"/>
  <c r="AR90" i="50"/>
  <c r="AR87" i="50"/>
  <c r="AR84" i="50"/>
  <c r="AR77" i="50"/>
  <c r="AR74" i="50"/>
  <c r="AR71" i="50"/>
  <c r="AR68" i="50"/>
  <c r="AR65" i="50"/>
  <c r="AR17" i="54"/>
  <c r="AR33" i="54" s="1"/>
  <c r="AR25" i="54"/>
  <c r="AR21" i="54"/>
  <c r="AR13" i="54"/>
  <c r="AR156" i="53"/>
  <c r="AR155" i="53"/>
  <c r="AR149" i="53"/>
  <c r="AR146" i="53"/>
  <c r="AR143" i="53"/>
  <c r="AR140" i="53"/>
  <c r="AR137" i="53"/>
  <c r="AR101" i="53"/>
  <c r="AR85" i="53"/>
  <c r="AR78" i="53"/>
  <c r="AR75" i="53"/>
  <c r="AR73" i="53"/>
  <c r="AR158" i="53" s="1"/>
  <c r="AR58" i="53"/>
  <c r="AR53" i="53"/>
  <c r="AR48" i="53"/>
  <c r="AR14" i="53"/>
  <c r="AS16" i="53" s="1"/>
  <c r="AR60" i="52"/>
  <c r="AR59" i="52"/>
  <c r="AR50" i="52"/>
  <c r="AR49" i="52"/>
  <c r="AR16" i="52"/>
  <c r="AR15" i="52"/>
  <c r="AR167" i="7"/>
  <c r="AR166" i="7"/>
  <c r="AR165" i="7"/>
  <c r="AR164" i="7"/>
  <c r="AR163" i="7"/>
  <c r="AR160" i="7"/>
  <c r="AR142" i="7"/>
  <c r="AR141" i="7"/>
  <c r="AR140" i="7"/>
  <c r="AR139" i="7"/>
  <c r="AR135" i="7"/>
  <c r="AR134" i="7"/>
  <c r="AR133" i="7"/>
  <c r="AR132" i="7"/>
  <c r="AR128" i="7"/>
  <c r="AR127" i="7"/>
  <c r="AR126" i="7"/>
  <c r="AR125" i="7"/>
  <c r="AR121" i="7"/>
  <c r="AR120" i="7"/>
  <c r="AR119" i="7"/>
  <c r="AR118" i="7"/>
  <c r="AR115" i="7"/>
  <c r="AR108" i="7"/>
  <c r="AR106" i="7"/>
  <c r="AR105" i="7"/>
  <c r="AR104" i="7"/>
  <c r="AR58" i="7"/>
  <c r="AR57" i="7"/>
  <c r="AR56" i="7"/>
  <c r="AR49" i="7"/>
  <c r="AR32" i="50"/>
  <c r="AR39" i="50" s="1"/>
  <c r="AR16" i="50"/>
  <c r="AR25" i="50" s="1"/>
  <c r="AR15" i="54" l="1"/>
  <c r="AS10" i="54"/>
  <c r="AS109" i="7"/>
  <c r="AS111" i="7"/>
  <c r="BJ83" i="51"/>
  <c r="AR32" i="54"/>
  <c r="BL83" i="51"/>
  <c r="BM83" i="51" s="1"/>
  <c r="BN83" i="51" s="1"/>
  <c r="AR157" i="53"/>
  <c r="AR159" i="53" s="1"/>
  <c r="AR16" i="54"/>
  <c r="AR19" i="54"/>
  <c r="AR29" i="60"/>
  <c r="AR152" i="53"/>
  <c r="AR15" i="7"/>
  <c r="AR129" i="7"/>
  <c r="AR122" i="7"/>
  <c r="AR136" i="7"/>
  <c r="AR143" i="7"/>
  <c r="AR26" i="60" l="1"/>
  <c r="AS30" i="60"/>
  <c r="AS44" i="60" s="1"/>
  <c r="AS16" i="7"/>
  <c r="AS18" i="7"/>
  <c r="AS27" i="7"/>
  <c r="BO83" i="51"/>
  <c r="AR150" i="53"/>
  <c r="AR120" i="50"/>
  <c r="AR19" i="60"/>
  <c r="AR141" i="53"/>
  <c r="AR147" i="53"/>
  <c r="AR144" i="53"/>
  <c r="AR138" i="53"/>
  <c r="AR193" i="7"/>
  <c r="AR96" i="7"/>
  <c r="AR64" i="7"/>
  <c r="AS66" i="7" s="1"/>
  <c r="AR198" i="7"/>
  <c r="AR60" i="7"/>
  <c r="AS62" i="7" s="1"/>
  <c r="AS97" i="7" l="1"/>
  <c r="AS99" i="7"/>
  <c r="AR121" i="50"/>
  <c r="AR127" i="50" l="1"/>
  <c r="AR82" i="59" l="1"/>
  <c r="AR74" i="59"/>
  <c r="AR66" i="59"/>
  <c r="AR36" i="59"/>
  <c r="AS41" i="59" s="1"/>
  <c r="AR23" i="59"/>
  <c r="AR13" i="59"/>
  <c r="BG105" i="50"/>
  <c r="BH105" i="50" s="1"/>
  <c r="BI105" i="50" s="1"/>
  <c r="AU130" i="53" l="1"/>
  <c r="AU129" i="53"/>
  <c r="AU132" i="53"/>
  <c r="AQ184" i="7"/>
  <c r="AQ185" i="7" s="1"/>
  <c r="AO184" i="7"/>
  <c r="AP184" i="7" s="1"/>
  <c r="AN184" i="7"/>
  <c r="AN185" i="7" s="1"/>
  <c r="AN49" i="7"/>
  <c r="AN48" i="7"/>
  <c r="AO49" i="7"/>
  <c r="AO48" i="7"/>
  <c r="AQ49" i="7"/>
  <c r="AQ48" i="7"/>
  <c r="AW102" i="50"/>
  <c r="BI18" i="60"/>
  <c r="BN18" i="60" s="1"/>
  <c r="BD18" i="60"/>
  <c r="BC18" i="60"/>
  <c r="BH18" i="60" s="1"/>
  <c r="BM18" i="60" s="1"/>
  <c r="AO185" i="7" l="1"/>
  <c r="AQ64" i="51"/>
  <c r="AQ44" i="51"/>
  <c r="AQ48" i="53"/>
  <c r="AR50" i="53" s="1"/>
  <c r="AE53" i="53"/>
  <c r="AD53" i="53"/>
  <c r="AC53" i="53"/>
  <c r="AB53" i="53"/>
  <c r="Z53" i="53"/>
  <c r="Y53" i="53"/>
  <c r="X53" i="53"/>
  <c r="W53" i="53"/>
  <c r="U53" i="53"/>
  <c r="T53" i="53"/>
  <c r="S53" i="53"/>
  <c r="R53" i="53"/>
  <c r="P53" i="53"/>
  <c r="O53" i="53"/>
  <c r="N53" i="53"/>
  <c r="M53" i="53"/>
  <c r="K53" i="53"/>
  <c r="J53" i="53"/>
  <c r="I53" i="53"/>
  <c r="H53" i="53"/>
  <c r="AJ53" i="53"/>
  <c r="AI53" i="53"/>
  <c r="AH53" i="53"/>
  <c r="AG53" i="53"/>
  <c r="AN53" i="53"/>
  <c r="AM53" i="53"/>
  <c r="AR54" i="53" s="1"/>
  <c r="AL53" i="53"/>
  <c r="AQ53" i="53"/>
  <c r="AR55" i="53" s="1"/>
  <c r="AQ208" i="7" l="1"/>
  <c r="AQ191" i="7"/>
  <c r="AQ167" i="7"/>
  <c r="AQ166" i="7"/>
  <c r="AQ165" i="7"/>
  <c r="AQ164" i="7"/>
  <c r="AQ163" i="7"/>
  <c r="AQ160" i="7"/>
  <c r="AQ145" i="7"/>
  <c r="AQ142" i="7"/>
  <c r="AQ141" i="7"/>
  <c r="AQ140" i="7"/>
  <c r="AQ139" i="7"/>
  <c r="AQ135" i="7"/>
  <c r="AQ134" i="7"/>
  <c r="AQ133" i="7"/>
  <c r="AQ132" i="7"/>
  <c r="AQ128" i="7"/>
  <c r="AQ127" i="7"/>
  <c r="AQ126" i="7"/>
  <c r="AQ125" i="7"/>
  <c r="AQ121" i="7"/>
  <c r="AQ120" i="7"/>
  <c r="AQ119" i="7"/>
  <c r="AQ118" i="7"/>
  <c r="AQ115" i="7"/>
  <c r="AQ108" i="7"/>
  <c r="AQ106" i="7"/>
  <c r="AQ105" i="7"/>
  <c r="AQ104" i="7"/>
  <c r="AQ82" i="7"/>
  <c r="AQ72" i="7"/>
  <c r="AQ71" i="7"/>
  <c r="AQ70" i="7"/>
  <c r="AQ69" i="7"/>
  <c r="AQ58" i="7"/>
  <c r="AQ57" i="7"/>
  <c r="AQ56" i="7"/>
  <c r="AO38" i="7"/>
  <c r="AN38" i="7"/>
  <c r="AM38" i="7"/>
  <c r="AL38" i="7"/>
  <c r="AQ63" i="52"/>
  <c r="AQ60" i="52"/>
  <c r="AQ59" i="52"/>
  <c r="AQ55" i="52"/>
  <c r="AQ54" i="52"/>
  <c r="AQ156" i="53"/>
  <c r="AQ155" i="53"/>
  <c r="AQ149" i="53"/>
  <c r="AQ146" i="53"/>
  <c r="AQ143" i="53"/>
  <c r="AQ140" i="53"/>
  <c r="AQ137" i="53"/>
  <c r="AQ101" i="53"/>
  <c r="AQ85" i="53"/>
  <c r="AQ75" i="53"/>
  <c r="AQ19" i="53"/>
  <c r="AQ51" i="7" s="1"/>
  <c r="AQ14" i="53"/>
  <c r="AR16" i="53" s="1"/>
  <c r="AQ21" i="54"/>
  <c r="AQ124" i="50"/>
  <c r="AQ119" i="50"/>
  <c r="AQ104" i="50"/>
  <c r="AQ123" i="50" s="1"/>
  <c r="AQ101" i="50"/>
  <c r="AQ122" i="50" s="1"/>
  <c r="AQ96" i="50"/>
  <c r="AQ93" i="50"/>
  <c r="AQ90" i="50"/>
  <c r="AQ87" i="50"/>
  <c r="AQ84" i="50"/>
  <c r="AQ77" i="50"/>
  <c r="AQ74" i="50"/>
  <c r="AQ71" i="50"/>
  <c r="AQ68" i="50"/>
  <c r="AQ65" i="50"/>
  <c r="AQ49" i="50"/>
  <c r="AQ56" i="50"/>
  <c r="AQ80" i="51"/>
  <c r="AQ79" i="51"/>
  <c r="AQ93" i="59"/>
  <c r="AR111" i="7" l="1"/>
  <c r="AR109" i="7"/>
  <c r="AR149" i="7"/>
  <c r="AR147" i="7"/>
  <c r="AQ152" i="53"/>
  <c r="AQ120" i="50" s="1"/>
  <c r="AQ121" i="50" s="1"/>
  <c r="AQ15" i="7"/>
  <c r="AQ10" i="53"/>
  <c r="AQ17" i="53" s="1"/>
  <c r="AQ86" i="7"/>
  <c r="AQ136" i="7"/>
  <c r="AQ143" i="7"/>
  <c r="AQ157" i="53"/>
  <c r="AQ129" i="7"/>
  <c r="AQ122" i="7"/>
  <c r="AR18" i="7" l="1"/>
  <c r="AR16" i="7"/>
  <c r="AQ11" i="7"/>
  <c r="AQ19" i="7" s="1"/>
  <c r="AQ105" i="53"/>
  <c r="AQ104" i="53"/>
  <c r="AQ198" i="7"/>
  <c r="AQ138" i="53"/>
  <c r="AQ141" i="53"/>
  <c r="AQ144" i="53"/>
  <c r="AQ193" i="7"/>
  <c r="AQ107" i="53"/>
  <c r="AQ147" i="53"/>
  <c r="AQ108" i="53"/>
  <c r="AQ150" i="53"/>
  <c r="AQ127" i="50"/>
  <c r="AQ103" i="53"/>
  <c r="AQ22" i="53"/>
  <c r="AQ109" i="53"/>
  <c r="AQ106" i="53"/>
  <c r="AQ99" i="59"/>
  <c r="AQ98" i="59"/>
  <c r="AQ105" i="59"/>
  <c r="AQ104" i="59"/>
  <c r="AQ54" i="7" l="1"/>
  <c r="AQ152" i="7"/>
  <c r="AQ157" i="7"/>
  <c r="AQ82" i="59" l="1"/>
  <c r="AQ74" i="59"/>
  <c r="AQ66" i="59"/>
  <c r="AQ36" i="59"/>
  <c r="AR41" i="59" s="1"/>
  <c r="AQ23" i="59"/>
  <c r="AQ13" i="59"/>
  <c r="AM74" i="50" l="1"/>
  <c r="AV25" i="54" l="1"/>
  <c r="BL73" i="7"/>
  <c r="BM73" i="7" s="1"/>
  <c r="BN73" i="7" s="1"/>
  <c r="BG73" i="7"/>
  <c r="BH73" i="7" s="1"/>
  <c r="BI73" i="7" s="1"/>
  <c r="BB73" i="7"/>
  <c r="BC73" i="7" s="1"/>
  <c r="BD73" i="7" s="1"/>
  <c r="AO64" i="51"/>
  <c r="AO44" i="51"/>
  <c r="AO49" i="50"/>
  <c r="AO32" i="50"/>
  <c r="AO50" i="50" s="1"/>
  <c r="AP50" i="50" s="1"/>
  <c r="AO128" i="53"/>
  <c r="AO53" i="53" s="1"/>
  <c r="AO48" i="53"/>
  <c r="AO85" i="53"/>
  <c r="AO108" i="7"/>
  <c r="AP108" i="7" l="1"/>
  <c r="AQ109" i="7"/>
  <c r="AQ111" i="7"/>
  <c r="AO23" i="59"/>
  <c r="AO13" i="59"/>
  <c r="AO82" i="59"/>
  <c r="AP82" i="59" s="1"/>
  <c r="AP81" i="59"/>
  <c r="AP80" i="59"/>
  <c r="AO74" i="59"/>
  <c r="AP74" i="59" s="1"/>
  <c r="AO66" i="59"/>
  <c r="AP66" i="59" s="1"/>
  <c r="AP73" i="59"/>
  <c r="AP72" i="59"/>
  <c r="AP65" i="59"/>
  <c r="AP64" i="59"/>
  <c r="AP35" i="59"/>
  <c r="AP34" i="59"/>
  <c r="AO36" i="59"/>
  <c r="AP36" i="59" s="1"/>
  <c r="AO38" i="60"/>
  <c r="AO22" i="60"/>
  <c r="AO15" i="60"/>
  <c r="AP83" i="51"/>
  <c r="AP65" i="51"/>
  <c r="AP63" i="51"/>
  <c r="AP62" i="51"/>
  <c r="AP61" i="51"/>
  <c r="AP60" i="51"/>
  <c r="AP56" i="51"/>
  <c r="AP55" i="51"/>
  <c r="AP54" i="51"/>
  <c r="AP53" i="51"/>
  <c r="AP52" i="51"/>
  <c r="AP51" i="51"/>
  <c r="AP50" i="51"/>
  <c r="AP49" i="51"/>
  <c r="AP48" i="51"/>
  <c r="AP47" i="51"/>
  <c r="AP43" i="51"/>
  <c r="AP41" i="51"/>
  <c r="AP40" i="51"/>
  <c r="AP39" i="51"/>
  <c r="AP38" i="51"/>
  <c r="AP37" i="51"/>
  <c r="AP36" i="51"/>
  <c r="AP104" i="50" s="1"/>
  <c r="AP35" i="51"/>
  <c r="AP31" i="51"/>
  <c r="AP30" i="51"/>
  <c r="AP29" i="51"/>
  <c r="AP28" i="51"/>
  <c r="AP27" i="51"/>
  <c r="AP84" i="50" s="1"/>
  <c r="AP26" i="51"/>
  <c r="AP25" i="51"/>
  <c r="AP24" i="51"/>
  <c r="AP65" i="50" s="1"/>
  <c r="AP21" i="51"/>
  <c r="AP20" i="51"/>
  <c r="AP19" i="51"/>
  <c r="AP16" i="51"/>
  <c r="AP15" i="51"/>
  <c r="AP14" i="51"/>
  <c r="AP13" i="51"/>
  <c r="AP12" i="51"/>
  <c r="AP11" i="51"/>
  <c r="AO80" i="51"/>
  <c r="AO79" i="51"/>
  <c r="AO71" i="51"/>
  <c r="AO124" i="50"/>
  <c r="AP124" i="50" s="1"/>
  <c r="AO119" i="50"/>
  <c r="AO104" i="50"/>
  <c r="AP101" i="50"/>
  <c r="AO101" i="50"/>
  <c r="AO122" i="50" s="1"/>
  <c r="AO84" i="50"/>
  <c r="AO77" i="50"/>
  <c r="AO74" i="50"/>
  <c r="AO71" i="50"/>
  <c r="AO68" i="50"/>
  <c r="AO65" i="50"/>
  <c r="AO56" i="50"/>
  <c r="AO16" i="50"/>
  <c r="AP16" i="50" s="1"/>
  <c r="AO21" i="54"/>
  <c r="AO22" i="54" s="1"/>
  <c r="AQ22" i="54" s="1"/>
  <c r="AR22" i="54" s="1"/>
  <c r="AO17" i="54"/>
  <c r="AO13" i="54"/>
  <c r="AP134" i="53"/>
  <c r="AP133" i="53"/>
  <c r="AP128" i="53"/>
  <c r="AP127" i="53"/>
  <c r="AP123" i="53"/>
  <c r="AP120" i="53"/>
  <c r="AP117" i="53"/>
  <c r="AP113" i="53"/>
  <c r="AP100" i="53"/>
  <c r="AP99" i="53"/>
  <c r="AP98" i="53"/>
  <c r="AP97" i="53"/>
  <c r="AP96" i="53"/>
  <c r="AP95" i="53"/>
  <c r="AP92" i="53"/>
  <c r="AP91" i="53"/>
  <c r="AO156" i="53"/>
  <c r="AO155" i="53"/>
  <c r="AP155" i="53" s="1"/>
  <c r="AO149" i="53"/>
  <c r="AO146" i="53"/>
  <c r="AO143" i="53"/>
  <c r="AO140" i="53"/>
  <c r="AO137" i="53"/>
  <c r="AO101" i="53"/>
  <c r="AO78" i="53"/>
  <c r="AO75" i="53"/>
  <c r="AO73" i="53"/>
  <c r="AO158" i="53" s="1"/>
  <c r="AO58" i="53"/>
  <c r="AO43" i="53"/>
  <c r="AO33" i="53"/>
  <c r="AO28" i="53"/>
  <c r="AO19" i="53"/>
  <c r="AQ21" i="53" s="1"/>
  <c r="AO14" i="53"/>
  <c r="AQ16" i="53" s="1"/>
  <c r="AP91" i="52"/>
  <c r="AP90" i="52"/>
  <c r="AP84" i="52"/>
  <c r="AP77" i="52"/>
  <c r="AP74" i="52"/>
  <c r="AP72" i="52"/>
  <c r="AP58" i="52"/>
  <c r="AP53" i="52"/>
  <c r="AP48" i="52"/>
  <c r="AP43" i="52"/>
  <c r="AP33" i="52"/>
  <c r="AP28" i="52"/>
  <c r="AP19" i="52"/>
  <c r="AP14" i="52"/>
  <c r="AO63" i="52"/>
  <c r="AQ65" i="52" s="1"/>
  <c r="AO60" i="52"/>
  <c r="AO59" i="52"/>
  <c r="AO55" i="52"/>
  <c r="AO54" i="52"/>
  <c r="AO50" i="52"/>
  <c r="AO49" i="52"/>
  <c r="AO45" i="52"/>
  <c r="AO44" i="52"/>
  <c r="AO24" i="52"/>
  <c r="AO36" i="52"/>
  <c r="AO35" i="52"/>
  <c r="AO34" i="52"/>
  <c r="AO31" i="52"/>
  <c r="AO30" i="52"/>
  <c r="AO29" i="52"/>
  <c r="AO10" i="52"/>
  <c r="AO56" i="52" s="1"/>
  <c r="AO21" i="52"/>
  <c r="AO20" i="52"/>
  <c r="AO16" i="52"/>
  <c r="AO15" i="52"/>
  <c r="AO208" i="7"/>
  <c r="AO191" i="7"/>
  <c r="AP162" i="7"/>
  <c r="AO167" i="7"/>
  <c r="AP167" i="7" s="1"/>
  <c r="AO166" i="7"/>
  <c r="AO165" i="7"/>
  <c r="AO164" i="7"/>
  <c r="AO163" i="7"/>
  <c r="AO160" i="7"/>
  <c r="AO145" i="7"/>
  <c r="AP138" i="7"/>
  <c r="AO142" i="7"/>
  <c r="AO141" i="7"/>
  <c r="AO140" i="7"/>
  <c r="AO139" i="7"/>
  <c r="AP131" i="7"/>
  <c r="AO135" i="7"/>
  <c r="AO134" i="7"/>
  <c r="AO133" i="7"/>
  <c r="AO132" i="7"/>
  <c r="AP124" i="7"/>
  <c r="AO128" i="7"/>
  <c r="AO127" i="7"/>
  <c r="AO126" i="7"/>
  <c r="AO125" i="7"/>
  <c r="AP117" i="7"/>
  <c r="AO121" i="7"/>
  <c r="AO120" i="7"/>
  <c r="AO119" i="7"/>
  <c r="AO118" i="7"/>
  <c r="AP114" i="7"/>
  <c r="AO115" i="7"/>
  <c r="AP103" i="7"/>
  <c r="AO106" i="7"/>
  <c r="AO105" i="7"/>
  <c r="AO104" i="7"/>
  <c r="AO82" i="7"/>
  <c r="AP68" i="7"/>
  <c r="AO72" i="7"/>
  <c r="AO71" i="7"/>
  <c r="AO70" i="7"/>
  <c r="AQ73" i="7" s="1"/>
  <c r="AO69" i="7"/>
  <c r="AP55" i="7"/>
  <c r="AP185" i="7" s="1"/>
  <c r="AO58" i="7"/>
  <c r="AO57" i="7"/>
  <c r="AO56" i="7"/>
  <c r="AO93" i="59"/>
  <c r="AN93" i="59"/>
  <c r="BO65" i="51"/>
  <c r="BO63" i="51"/>
  <c r="BO62" i="51"/>
  <c r="BO61" i="51"/>
  <c r="BO60" i="51"/>
  <c r="BN56" i="51"/>
  <c r="BN64" i="51" s="1"/>
  <c r="BM56" i="51"/>
  <c r="BM64" i="51" s="1"/>
  <c r="BL56" i="51"/>
  <c r="BL64" i="51" s="1"/>
  <c r="BK56" i="51"/>
  <c r="BK64" i="51" s="1"/>
  <c r="BO55" i="51"/>
  <c r="BO54" i="51"/>
  <c r="BO53" i="51"/>
  <c r="BO52" i="51"/>
  <c r="BO51" i="51"/>
  <c r="BO50" i="51"/>
  <c r="BO49" i="51"/>
  <c r="BO48" i="51"/>
  <c r="BO47" i="51"/>
  <c r="BO42" i="51"/>
  <c r="BO41" i="51"/>
  <c r="BO40" i="51"/>
  <c r="BO39" i="51"/>
  <c r="BO38" i="51"/>
  <c r="BO37" i="51"/>
  <c r="BO21" i="51"/>
  <c r="BO20" i="51"/>
  <c r="BO19" i="51"/>
  <c r="BO17" i="51"/>
  <c r="BO16" i="51"/>
  <c r="BO15" i="51"/>
  <c r="BO13" i="51"/>
  <c r="BO12" i="51"/>
  <c r="BL105" i="50"/>
  <c r="BM105" i="50" s="1"/>
  <c r="BN105" i="50" s="1"/>
  <c r="BO48" i="50"/>
  <c r="BO47" i="50"/>
  <c r="BO46" i="50"/>
  <c r="BO45" i="50"/>
  <c r="BO44" i="50"/>
  <c r="BN152" i="53"/>
  <c r="BN120" i="50" s="1"/>
  <c r="BM152" i="53"/>
  <c r="BM120" i="50" s="1"/>
  <c r="BL152" i="53"/>
  <c r="BL120" i="50" s="1"/>
  <c r="BK152" i="53"/>
  <c r="BK120" i="50" s="1"/>
  <c r="BO134" i="53"/>
  <c r="BO133" i="53"/>
  <c r="BO128" i="53"/>
  <c r="BN60" i="53"/>
  <c r="BM60" i="53"/>
  <c r="BL60" i="53"/>
  <c r="BK60" i="53"/>
  <c r="BN59" i="53"/>
  <c r="BM59" i="53"/>
  <c r="BL59" i="53"/>
  <c r="BK59" i="53"/>
  <c r="BO58" i="53"/>
  <c r="BL36" i="53"/>
  <c r="BM36" i="53" s="1"/>
  <c r="BN36" i="53" s="1"/>
  <c r="BN58" i="52"/>
  <c r="BM58" i="52"/>
  <c r="BL58" i="52"/>
  <c r="BK58" i="52"/>
  <c r="AO19" i="54" l="1"/>
  <c r="AO15" i="54"/>
  <c r="AQ10" i="54"/>
  <c r="AQ83" i="7"/>
  <c r="AQ85" i="7"/>
  <c r="AQ64" i="7"/>
  <c r="AR66" i="7" s="1"/>
  <c r="AQ60" i="7"/>
  <c r="AR62" i="7" s="1"/>
  <c r="AQ149" i="7"/>
  <c r="AQ147" i="7"/>
  <c r="AP72" i="7"/>
  <c r="AO122" i="7"/>
  <c r="AO129" i="7"/>
  <c r="AO143" i="7"/>
  <c r="AP82" i="7"/>
  <c r="AP166" i="7"/>
  <c r="AO86" i="7"/>
  <c r="AO29" i="60"/>
  <c r="AO19" i="60" s="1"/>
  <c r="AO25" i="50"/>
  <c r="AO38" i="52"/>
  <c r="AO41" i="52" s="1"/>
  <c r="AO33" i="54"/>
  <c r="BO120" i="50"/>
  <c r="BN60" i="52"/>
  <c r="AO157" i="53"/>
  <c r="AP157" i="53" s="1"/>
  <c r="AO152" i="53"/>
  <c r="AO120" i="50" s="1"/>
  <c r="AO121" i="50" s="1"/>
  <c r="AO127" i="50" s="1"/>
  <c r="AO32" i="54"/>
  <c r="AP156" i="53"/>
  <c r="AO55" i="50"/>
  <c r="AO73" i="50" s="1"/>
  <c r="AT73" i="50" s="1"/>
  <c r="AY73" i="50" s="1"/>
  <c r="BD73" i="50" s="1"/>
  <c r="BI73" i="50" s="1"/>
  <c r="BN73" i="50" s="1"/>
  <c r="BO58" i="52"/>
  <c r="AO61" i="52"/>
  <c r="AO51" i="52"/>
  <c r="AO67" i="52"/>
  <c r="AO75" i="52" s="1"/>
  <c r="AO46" i="52"/>
  <c r="AO76" i="50"/>
  <c r="AO15" i="59"/>
  <c r="AO18" i="59" s="1"/>
  <c r="AO36" i="53"/>
  <c r="AO24" i="53"/>
  <c r="AO81" i="50" s="1"/>
  <c r="AP36" i="52"/>
  <c r="AP22" i="60"/>
  <c r="AR25" i="60" s="1"/>
  <c r="AP15" i="60"/>
  <c r="AO123" i="50"/>
  <c r="AO16" i="54"/>
  <c r="BO56" i="51"/>
  <c r="BO64" i="51"/>
  <c r="AP101" i="53"/>
  <c r="AO10" i="53"/>
  <c r="AQ12" i="53" s="1"/>
  <c r="AO31" i="53"/>
  <c r="AO63" i="53"/>
  <c r="AO196" i="7"/>
  <c r="AO15" i="7"/>
  <c r="AO51" i="7"/>
  <c r="AQ53" i="7" s="1"/>
  <c r="AP31" i="52"/>
  <c r="AP208" i="7"/>
  <c r="AO17" i="52"/>
  <c r="AO22" i="52"/>
  <c r="AO136" i="7"/>
  <c r="AP145" i="7"/>
  <c r="BL60" i="52"/>
  <c r="BM60" i="52"/>
  <c r="AS76" i="7" l="1"/>
  <c r="AT76" i="7" s="1"/>
  <c r="AO26" i="60"/>
  <c r="AO159" i="53"/>
  <c r="AT76" i="50"/>
  <c r="AY76" i="50" s="1"/>
  <c r="BD76" i="50" s="1"/>
  <c r="BI76" i="50" s="1"/>
  <c r="BN76" i="50" s="1"/>
  <c r="AQ16" i="7"/>
  <c r="AQ18" i="7"/>
  <c r="AO99" i="59"/>
  <c r="AO98" i="59"/>
  <c r="AO104" i="59"/>
  <c r="AO105" i="59"/>
  <c r="AP86" i="7"/>
  <c r="AP25" i="50"/>
  <c r="AP52" i="50" s="1"/>
  <c r="AO52" i="50"/>
  <c r="AP29" i="60"/>
  <c r="AR32" i="60" s="1"/>
  <c r="AO70" i="52"/>
  <c r="AO95" i="50"/>
  <c r="AO67" i="50"/>
  <c r="AT67" i="50" s="1"/>
  <c r="AY67" i="50" s="1"/>
  <c r="BD67" i="50" s="1"/>
  <c r="BI67" i="50" s="1"/>
  <c r="BN67" i="50" s="1"/>
  <c r="AO102" i="50"/>
  <c r="AO105" i="50"/>
  <c r="AO70" i="50"/>
  <c r="AT70" i="50" s="1"/>
  <c r="AO89" i="50"/>
  <c r="AT89" i="50" s="1"/>
  <c r="AY89" i="50" s="1"/>
  <c r="BD89" i="50" s="1"/>
  <c r="BI89" i="50" s="1"/>
  <c r="BN89" i="50" s="1"/>
  <c r="AO144" i="53"/>
  <c r="AO141" i="53"/>
  <c r="AO147" i="53"/>
  <c r="AO150" i="53"/>
  <c r="AO138" i="53"/>
  <c r="AO126" i="50"/>
  <c r="AO11" i="7"/>
  <c r="AQ13" i="7" s="1"/>
  <c r="AO17" i="59"/>
  <c r="AO105" i="53"/>
  <c r="AO10" i="60"/>
  <c r="AO104" i="53"/>
  <c r="AO107" i="53"/>
  <c r="AO106" i="53"/>
  <c r="AO103" i="53"/>
  <c r="AO108" i="53"/>
  <c r="AO80" i="52"/>
  <c r="AO10" i="51" s="1"/>
  <c r="AO32" i="51" s="1"/>
  <c r="AO78" i="51" s="1"/>
  <c r="AO78" i="52"/>
  <c r="AO109" i="53"/>
  <c r="AO61" i="53"/>
  <c r="AO22" i="53"/>
  <c r="AO46" i="53"/>
  <c r="AT46" i="53" s="1"/>
  <c r="AY46" i="53" s="1"/>
  <c r="BD46" i="53" s="1"/>
  <c r="AO38" i="53"/>
  <c r="AO17" i="53"/>
  <c r="AO51" i="53"/>
  <c r="AO56" i="53"/>
  <c r="AT56" i="53" s="1"/>
  <c r="AY56" i="53" s="1"/>
  <c r="AO60" i="7"/>
  <c r="AQ62" i="7" s="1"/>
  <c r="AO193" i="7"/>
  <c r="AO96" i="7"/>
  <c r="AO64" i="7"/>
  <c r="AQ66" i="7" s="1"/>
  <c r="AO30" i="7"/>
  <c r="AO198" i="7"/>
  <c r="AP143" i="7"/>
  <c r="AP122" i="7"/>
  <c r="AP136" i="7"/>
  <c r="AP129" i="7"/>
  <c r="AN105" i="59"/>
  <c r="AN104" i="59"/>
  <c r="AN99" i="59"/>
  <c r="AN98" i="59"/>
  <c r="AS79" i="7" l="1"/>
  <c r="AS93" i="7" s="1"/>
  <c r="AS90" i="7" s="1"/>
  <c r="AT95" i="50"/>
  <c r="AY95" i="50" s="1"/>
  <c r="BD95" i="50" s="1"/>
  <c r="BI95" i="50" s="1"/>
  <c r="BN95" i="50" s="1"/>
  <c r="AY70" i="50"/>
  <c r="BD70" i="50" s="1"/>
  <c r="BI70" i="50" s="1"/>
  <c r="BN70" i="50" s="1"/>
  <c r="AT51" i="53"/>
  <c r="AY51" i="53" s="1"/>
  <c r="BD51" i="53" s="1"/>
  <c r="BI51" i="53" s="1"/>
  <c r="BN51" i="53" s="1"/>
  <c r="AO19" i="7"/>
  <c r="AO152" i="7"/>
  <c r="AQ154" i="7" s="1"/>
  <c r="AP19" i="60"/>
  <c r="AP26" i="60"/>
  <c r="AO157" i="7"/>
  <c r="AQ159" i="7" s="1"/>
  <c r="AO54" i="7"/>
  <c r="AO81" i="52"/>
  <c r="AO87" i="52"/>
  <c r="AO85" i="52"/>
  <c r="AO88" i="52"/>
  <c r="AO20" i="60"/>
  <c r="AO27" i="60"/>
  <c r="AO33" i="60"/>
  <c r="AO36" i="60"/>
  <c r="AO41" i="53"/>
  <c r="AO67" i="53"/>
  <c r="AO32" i="7"/>
  <c r="AO31" i="7"/>
  <c r="AP198" i="7"/>
  <c r="AO100" i="7"/>
  <c r="AP193" i="7"/>
  <c r="BI46" i="53" l="1"/>
  <c r="BN46" i="53" s="1"/>
  <c r="AO40" i="60"/>
  <c r="AO76" i="53"/>
  <c r="AO70" i="53"/>
  <c r="AO25" i="59" s="1"/>
  <c r="AO26" i="59" s="1"/>
  <c r="AO79" i="53" l="1"/>
  <c r="AO81" i="53"/>
  <c r="AO88" i="53" l="1"/>
  <c r="AO89" i="53"/>
  <c r="AO82" i="53"/>
  <c r="AO86" i="53"/>
  <c r="BL216" i="7" l="1"/>
  <c r="BM216" i="7" s="1"/>
  <c r="BL215" i="7"/>
  <c r="BM215" i="7" s="1"/>
  <c r="BN215" i="7" s="1"/>
  <c r="BO215" i="7" s="1"/>
  <c r="BL92" i="7"/>
  <c r="BM92" i="7" s="1"/>
  <c r="BN92" i="7" s="1"/>
  <c r="BL87" i="7"/>
  <c r="BM87" i="7" s="1"/>
  <c r="BO87" i="7" s="1"/>
  <c r="BO73" i="7"/>
  <c r="BL52" i="7"/>
  <c r="BM52" i="7" s="1"/>
  <c r="BN52" i="7" s="1"/>
  <c r="BG216" i="7"/>
  <c r="BH216" i="7" s="1"/>
  <c r="BI216" i="7" s="1"/>
  <c r="BJ216" i="7" s="1"/>
  <c r="BG215" i="7"/>
  <c r="BH215" i="7" s="1"/>
  <c r="BI215" i="7" s="1"/>
  <c r="BJ215" i="7" s="1"/>
  <c r="BB216" i="7"/>
  <c r="BC216" i="7" s="1"/>
  <c r="BD216" i="7" s="1"/>
  <c r="BE216" i="7" s="1"/>
  <c r="BB215" i="7"/>
  <c r="BC215" i="7" s="1"/>
  <c r="BN216" i="7" l="1"/>
  <c r="BO216" i="7" s="1"/>
  <c r="BD215" i="7"/>
  <c r="BE215" i="7" s="1"/>
  <c r="AN124" i="50" l="1"/>
  <c r="AN119" i="50"/>
  <c r="AJ39" i="7"/>
  <c r="AI39" i="7"/>
  <c r="AH39" i="7"/>
  <c r="AL39" i="7"/>
  <c r="AO39" i="7"/>
  <c r="AN39" i="7"/>
  <c r="AM39" i="7"/>
  <c r="AN12" i="54"/>
  <c r="BI152" i="53"/>
  <c r="BH152" i="53"/>
  <c r="BG152" i="53"/>
  <c r="BF152" i="53"/>
  <c r="BD152" i="53"/>
  <c r="BC152" i="53"/>
  <c r="BB152" i="53"/>
  <c r="BA152" i="53"/>
  <c r="AY152" i="53"/>
  <c r="AX152" i="53"/>
  <c r="AW152" i="53"/>
  <c r="AV152" i="53"/>
  <c r="AN38" i="60"/>
  <c r="AN22" i="60"/>
  <c r="AS24" i="60" s="1"/>
  <c r="AN15" i="60"/>
  <c r="AO16" i="60" l="1"/>
  <c r="AO49" i="60" s="1"/>
  <c r="AS17" i="60"/>
  <c r="AO23" i="60"/>
  <c r="AO54" i="60" s="1"/>
  <c r="AN29" i="60"/>
  <c r="AO30" i="60" l="1"/>
  <c r="AO44" i="60" s="1"/>
  <c r="AS31" i="60"/>
  <c r="AN19" i="60"/>
  <c r="AN26" i="60"/>
  <c r="H71" i="51" l="1"/>
  <c r="I71" i="51"/>
  <c r="J71" i="51"/>
  <c r="K71" i="51"/>
  <c r="M71" i="51"/>
  <c r="N71" i="51"/>
  <c r="O71" i="51"/>
  <c r="P71" i="51"/>
  <c r="R71" i="51"/>
  <c r="S71" i="51"/>
  <c r="T71" i="51"/>
  <c r="U71" i="51"/>
  <c r="W71" i="51"/>
  <c r="X71" i="51"/>
  <c r="Y71" i="51"/>
  <c r="Z71" i="51"/>
  <c r="AB71" i="51"/>
  <c r="AC71" i="51"/>
  <c r="AD71" i="51"/>
  <c r="AE71" i="51"/>
  <c r="AG71" i="51"/>
  <c r="AH71" i="51"/>
  <c r="AI71" i="51"/>
  <c r="AJ71" i="51"/>
  <c r="AL71" i="51"/>
  <c r="AM71" i="51"/>
  <c r="AN71" i="51"/>
  <c r="AN115" i="7" l="1"/>
  <c r="AN64" i="51"/>
  <c r="AN57" i="50"/>
  <c r="BJ17" i="51"/>
  <c r="BE17" i="51"/>
  <c r="AZ17" i="51"/>
  <c r="AU17" i="51"/>
  <c r="AU57" i="51"/>
  <c r="AU58" i="51"/>
  <c r="AU59" i="51"/>
  <c r="AT34" i="50"/>
  <c r="AT57" i="50" s="1"/>
  <c r="F39" i="50"/>
  <c r="AN74" i="53"/>
  <c r="AN28" i="53"/>
  <c r="AO30" i="53" s="1"/>
  <c r="AN48" i="53"/>
  <c r="AO50" i="53" s="1"/>
  <c r="AP34" i="50" l="1"/>
  <c r="AP57" i="50" s="1"/>
  <c r="AR57" i="50"/>
  <c r="AQ57" i="50"/>
  <c r="AQ58" i="50" s="1"/>
  <c r="AO57" i="50"/>
  <c r="AO58" i="50" s="1"/>
  <c r="AV34" i="50"/>
  <c r="AU34" i="50"/>
  <c r="AU57" i="50" s="1"/>
  <c r="AW34" i="50" l="1"/>
  <c r="AV57" i="50"/>
  <c r="AX34" i="50" l="1"/>
  <c r="AW57" i="50"/>
  <c r="AY34" i="50" l="1"/>
  <c r="AX57" i="50"/>
  <c r="AY57" i="50" l="1"/>
  <c r="AZ34" i="50"/>
  <c r="AZ57" i="50" s="1"/>
  <c r="BA34" i="50"/>
  <c r="BB34" i="50" l="1"/>
  <c r="BA57" i="50"/>
  <c r="BC34" i="50" l="1"/>
  <c r="BB57" i="50"/>
  <c r="BD34" i="50" l="1"/>
  <c r="BC57" i="50"/>
  <c r="BD57" i="50" l="1"/>
  <c r="BF34" i="50"/>
  <c r="BE34" i="50"/>
  <c r="BE57" i="50" s="1"/>
  <c r="BG34" i="50" l="1"/>
  <c r="BF57" i="50"/>
  <c r="BH34" i="50" l="1"/>
  <c r="BG57" i="50"/>
  <c r="BI34" i="50" l="1"/>
  <c r="BK34" i="50" s="1"/>
  <c r="BH57" i="50"/>
  <c r="BK57" i="50" l="1"/>
  <c r="BL34" i="50"/>
  <c r="BJ34" i="50"/>
  <c r="BJ57" i="50" s="1"/>
  <c r="BI57" i="50"/>
  <c r="BL57" i="50" l="1"/>
  <c r="BM34" i="50"/>
  <c r="BJ21" i="51"/>
  <c r="BJ20" i="51"/>
  <c r="BJ19" i="51"/>
  <c r="BJ16" i="51"/>
  <c r="BJ15" i="51"/>
  <c r="BJ13" i="51"/>
  <c r="BJ12" i="51"/>
  <c r="BE21" i="51"/>
  <c r="BE20" i="51"/>
  <c r="BE19" i="51"/>
  <c r="BE16" i="51"/>
  <c r="BE15" i="51"/>
  <c r="BE13" i="51"/>
  <c r="BE12" i="51"/>
  <c r="AZ21" i="51"/>
  <c r="AZ20" i="51"/>
  <c r="AZ19" i="51"/>
  <c r="AZ16" i="51"/>
  <c r="AZ15" i="51"/>
  <c r="AZ13" i="51"/>
  <c r="AZ12" i="51"/>
  <c r="AU21" i="51"/>
  <c r="AU20" i="51"/>
  <c r="AU19" i="51"/>
  <c r="AU16" i="51"/>
  <c r="AU15" i="51"/>
  <c r="AU13" i="51"/>
  <c r="AU12" i="51"/>
  <c r="AN80" i="51"/>
  <c r="AN79" i="51"/>
  <c r="AN96" i="50"/>
  <c r="AN93" i="50"/>
  <c r="AN90" i="50"/>
  <c r="AN87" i="50"/>
  <c r="AN84" i="50"/>
  <c r="AN65" i="50"/>
  <c r="AN56" i="50"/>
  <c r="AN58" i="50" s="1"/>
  <c r="AN49" i="50"/>
  <c r="AN17" i="54"/>
  <c r="AN13" i="54"/>
  <c r="AN156" i="53"/>
  <c r="AN149" i="53"/>
  <c r="AN146" i="53"/>
  <c r="AN143" i="53"/>
  <c r="AN140" i="53"/>
  <c r="AN137" i="53"/>
  <c r="AN101" i="53"/>
  <c r="AN85" i="53"/>
  <c r="AN78" i="53"/>
  <c r="AN75" i="53"/>
  <c r="AN73" i="53"/>
  <c r="AN158" i="53" s="1"/>
  <c r="AN58" i="53"/>
  <c r="AO60" i="53" s="1"/>
  <c r="AO55" i="53"/>
  <c r="AN43" i="53"/>
  <c r="AO45" i="53" s="1"/>
  <c r="AN33" i="53"/>
  <c r="AO35" i="53" s="1"/>
  <c r="AN19" i="53"/>
  <c r="AN14" i="53"/>
  <c r="AN63" i="52"/>
  <c r="AN60" i="52"/>
  <c r="AN59" i="52"/>
  <c r="AN55" i="52"/>
  <c r="AN54" i="52"/>
  <c r="AN50" i="52"/>
  <c r="AN49" i="52"/>
  <c r="AN45" i="52"/>
  <c r="AN44" i="52"/>
  <c r="AN24" i="52"/>
  <c r="AO26" i="52" s="1"/>
  <c r="AN36" i="52"/>
  <c r="AN35" i="52"/>
  <c r="AN34" i="52"/>
  <c r="AN31" i="52"/>
  <c r="AN30" i="52"/>
  <c r="AN29" i="52"/>
  <c r="AN10" i="52"/>
  <c r="AO12" i="52" s="1"/>
  <c r="AN21" i="52"/>
  <c r="AN20" i="52"/>
  <c r="AN16" i="52"/>
  <c r="AN15" i="52"/>
  <c r="AN167" i="7"/>
  <c r="AN166" i="7"/>
  <c r="AN165" i="7"/>
  <c r="AN164" i="7"/>
  <c r="AN163" i="7"/>
  <c r="AN160" i="7"/>
  <c r="AN145" i="7"/>
  <c r="AN142" i="7"/>
  <c r="AN141" i="7"/>
  <c r="AN140" i="7"/>
  <c r="AN139" i="7"/>
  <c r="AN135" i="7"/>
  <c r="AN134" i="7"/>
  <c r="AN133" i="7"/>
  <c r="AN132" i="7"/>
  <c r="AN128" i="7"/>
  <c r="AN127" i="7"/>
  <c r="AN126" i="7"/>
  <c r="AN125" i="7"/>
  <c r="AN121" i="7"/>
  <c r="AN120" i="7"/>
  <c r="AN119" i="7"/>
  <c r="AN118" i="7"/>
  <c r="AM115" i="7"/>
  <c r="AL115" i="7"/>
  <c r="AN108" i="7"/>
  <c r="AS110" i="7" s="1"/>
  <c r="AN106" i="7"/>
  <c r="AN105" i="7"/>
  <c r="AN104" i="7"/>
  <c r="AN82" i="7"/>
  <c r="AS84" i="7" s="1"/>
  <c r="AN72" i="7"/>
  <c r="AN71" i="7"/>
  <c r="AN70" i="7"/>
  <c r="AO73" i="7" s="1"/>
  <c r="AN69" i="7"/>
  <c r="AN58" i="7"/>
  <c r="AN57" i="7"/>
  <c r="AN56" i="7"/>
  <c r="AO65" i="52" l="1"/>
  <c r="AS64" i="52"/>
  <c r="AO16" i="53"/>
  <c r="AS15" i="53"/>
  <c r="AO21" i="53"/>
  <c r="AS20" i="53"/>
  <c r="AO10" i="54"/>
  <c r="AO11" i="54" s="1"/>
  <c r="AS28" i="54"/>
  <c r="AN33" i="54"/>
  <c r="AS37" i="54" s="1"/>
  <c r="AS29" i="54"/>
  <c r="AS146" i="7"/>
  <c r="AS148" i="7"/>
  <c r="AN19" i="54"/>
  <c r="AO111" i="7"/>
  <c r="AO109" i="7"/>
  <c r="AO149" i="7"/>
  <c r="AO147" i="7"/>
  <c r="AO85" i="7"/>
  <c r="AO83" i="7"/>
  <c r="AN32" i="54"/>
  <c r="AS36" i="54" s="1"/>
  <c r="BN34" i="50"/>
  <c r="BM57" i="50"/>
  <c r="AN152" i="53"/>
  <c r="AN15" i="54"/>
  <c r="AN16" i="54" s="1"/>
  <c r="AN24" i="53"/>
  <c r="AN51" i="52"/>
  <c r="AN61" i="52"/>
  <c r="AN38" i="52"/>
  <c r="AO40" i="52" s="1"/>
  <c r="AN46" i="52"/>
  <c r="AN56" i="52"/>
  <c r="AN55" i="50"/>
  <c r="AN86" i="7"/>
  <c r="AN122" i="7"/>
  <c r="AN36" i="53"/>
  <c r="AN63" i="53"/>
  <c r="AO65" i="53" s="1"/>
  <c r="AN10" i="53"/>
  <c r="AS11" i="53" s="1"/>
  <c r="AS202" i="7" s="1"/>
  <c r="AN31" i="53"/>
  <c r="AN22" i="52"/>
  <c r="AN143" i="7"/>
  <c r="AN136" i="7"/>
  <c r="AN129" i="7"/>
  <c r="AN147" i="53" l="1"/>
  <c r="AN120" i="50"/>
  <c r="AN121" i="50" s="1"/>
  <c r="AN127" i="50" s="1"/>
  <c r="AN81" i="50"/>
  <c r="AO26" i="53"/>
  <c r="AN109" i="53"/>
  <c r="AO12" i="53"/>
  <c r="AN10" i="60"/>
  <c r="AS11" i="60" s="1"/>
  <c r="AN95" i="50"/>
  <c r="BO34" i="50"/>
  <c r="BN57" i="50"/>
  <c r="AN138" i="53"/>
  <c r="AN144" i="53"/>
  <c r="AN150" i="53"/>
  <c r="AN141" i="53"/>
  <c r="AN67" i="50"/>
  <c r="AN73" i="50"/>
  <c r="AN89" i="50"/>
  <c r="AN86" i="50"/>
  <c r="AN92" i="50"/>
  <c r="AN70" i="50"/>
  <c r="AN67" i="52"/>
  <c r="AO69" i="52" s="1"/>
  <c r="AN41" i="52"/>
  <c r="AN76" i="50"/>
  <c r="AN51" i="53"/>
  <c r="AN107" i="53"/>
  <c r="AN106" i="53"/>
  <c r="AN104" i="53"/>
  <c r="AN103" i="53"/>
  <c r="AN105" i="53"/>
  <c r="AN108" i="53"/>
  <c r="AN38" i="53"/>
  <c r="AO40" i="53" s="1"/>
  <c r="AN56" i="53"/>
  <c r="AN22" i="53"/>
  <c r="AN46" i="53"/>
  <c r="AN61" i="53"/>
  <c r="AN17" i="53"/>
  <c r="AN126" i="50" l="1"/>
  <c r="AO12" i="60"/>
  <c r="AN27" i="60"/>
  <c r="AN20" i="60"/>
  <c r="AN36" i="60"/>
  <c r="AS37" i="60" s="1"/>
  <c r="AN33" i="60"/>
  <c r="BO57" i="50"/>
  <c r="AN75" i="52"/>
  <c r="AN70" i="52"/>
  <c r="AN67" i="53"/>
  <c r="AO69" i="53" s="1"/>
  <c r="AN41" i="53"/>
  <c r="AN40" i="60" l="1"/>
  <c r="AS41" i="60" s="1"/>
  <c r="AN80" i="52"/>
  <c r="AN78" i="52"/>
  <c r="AN76" i="53"/>
  <c r="AN70" i="53"/>
  <c r="AN25" i="59" l="1"/>
  <c r="AO42" i="60"/>
  <c r="AN81" i="52"/>
  <c r="AN88" i="52"/>
  <c r="AN87" i="52"/>
  <c r="AN10" i="51"/>
  <c r="AN85" i="52"/>
  <c r="AN79" i="53"/>
  <c r="AN81" i="53"/>
  <c r="AN89" i="53" l="1"/>
  <c r="AN88" i="53"/>
  <c r="AN86" i="53"/>
  <c r="AN82" i="53"/>
  <c r="B34" i="7" l="1"/>
  <c r="B33" i="7"/>
  <c r="AM187" i="7"/>
  <c r="AM185" i="7"/>
  <c r="AM183" i="7"/>
  <c r="D4" i="6"/>
  <c r="AW25" i="54" l="1"/>
  <c r="AX25" i="54" s="1"/>
  <c r="AY25" i="54" s="1"/>
  <c r="BA25" i="54" s="1"/>
  <c r="BB25" i="54" s="1"/>
  <c r="BC25" i="54" s="1"/>
  <c r="BD25" i="54" s="1"/>
  <c r="BF25" i="54" s="1"/>
  <c r="BG25" i="54" s="1"/>
  <c r="BH25" i="54" s="1"/>
  <c r="BI25" i="54" s="1"/>
  <c r="BK25" i="54" s="1"/>
  <c r="BL25" i="54" s="1"/>
  <c r="BM25" i="54" s="1"/>
  <c r="BN25" i="54" s="1"/>
  <c r="AX21" i="54" l="1"/>
  <c r="AY21" i="54" s="1"/>
  <c r="AZ21" i="54" l="1"/>
  <c r="AM21" i="54"/>
  <c r="AL21" i="54"/>
  <c r="AJ21" i="54"/>
  <c r="AI21" i="54"/>
  <c r="AH21" i="54"/>
  <c r="AG21" i="54"/>
  <c r="AM64" i="51"/>
  <c r="AN23" i="59"/>
  <c r="AN26" i="59" s="1"/>
  <c r="AM23" i="59"/>
  <c r="AK21" i="54" l="1"/>
  <c r="AM24" i="54"/>
  <c r="AM191" i="7" l="1"/>
  <c r="AM167" i="7"/>
  <c r="AM166" i="7"/>
  <c r="AM165" i="7"/>
  <c r="AM164" i="7"/>
  <c r="AM163" i="7"/>
  <c r="AM160" i="7"/>
  <c r="AM145" i="7"/>
  <c r="AM142" i="7"/>
  <c r="AM141" i="7"/>
  <c r="AM140" i="7"/>
  <c r="AM139" i="7"/>
  <c r="AM135" i="7"/>
  <c r="AM134" i="7"/>
  <c r="AM133" i="7"/>
  <c r="AM132" i="7"/>
  <c r="AM128" i="7"/>
  <c r="AM127" i="7"/>
  <c r="AM126" i="7"/>
  <c r="AM125" i="7"/>
  <c r="AM121" i="7"/>
  <c r="AM120" i="7"/>
  <c r="AM119" i="7"/>
  <c r="AM118" i="7"/>
  <c r="AM108" i="7"/>
  <c r="AM106" i="7"/>
  <c r="AM105" i="7"/>
  <c r="AM104" i="7"/>
  <c r="AM82" i="7"/>
  <c r="AM72" i="7"/>
  <c r="AM71" i="7"/>
  <c r="AM70" i="7"/>
  <c r="AN73" i="7" s="1"/>
  <c r="AM69" i="7"/>
  <c r="AM58" i="7"/>
  <c r="AM57" i="7"/>
  <c r="AM56" i="7"/>
  <c r="AM156" i="53"/>
  <c r="AM155" i="53"/>
  <c r="AM149" i="53"/>
  <c r="AM146" i="53"/>
  <c r="AM143" i="53"/>
  <c r="AM140" i="53"/>
  <c r="AM137" i="53"/>
  <c r="AM101" i="53"/>
  <c r="AM85" i="53"/>
  <c r="AM78" i="53"/>
  <c r="AM75" i="53"/>
  <c r="AM73" i="53"/>
  <c r="AM158" i="53" s="1"/>
  <c r="AM58" i="53"/>
  <c r="AM19" i="53"/>
  <c r="AN21" i="53" s="1"/>
  <c r="AM14" i="53"/>
  <c r="AR15" i="53" s="1"/>
  <c r="AM63" i="52"/>
  <c r="AM24" i="52"/>
  <c r="AM10" i="52"/>
  <c r="AM25" i="54"/>
  <c r="AN60" i="53" l="1"/>
  <c r="AR59" i="53"/>
  <c r="AR110" i="7"/>
  <c r="AR148" i="7"/>
  <c r="AR146" i="7"/>
  <c r="AN12" i="52"/>
  <c r="AM38" i="52"/>
  <c r="AN40" i="52" s="1"/>
  <c r="AN26" i="52"/>
  <c r="AN65" i="52"/>
  <c r="AM86" i="7"/>
  <c r="AN85" i="7"/>
  <c r="AN83" i="7"/>
  <c r="AM129" i="7"/>
  <c r="AN149" i="7"/>
  <c r="AN147" i="7"/>
  <c r="AN109" i="7"/>
  <c r="AN111" i="7"/>
  <c r="AM15" i="7"/>
  <c r="AN16" i="53"/>
  <c r="AM152" i="53"/>
  <c r="AM138" i="53" s="1"/>
  <c r="AM157" i="53"/>
  <c r="AM159" i="53" s="1"/>
  <c r="AM67" i="52"/>
  <c r="AN69" i="52" s="1"/>
  <c r="AM136" i="7"/>
  <c r="AM143" i="7"/>
  <c r="AM51" i="7"/>
  <c r="AM122" i="7"/>
  <c r="AM10" i="53"/>
  <c r="AM41" i="52"/>
  <c r="AR210" i="7" l="1"/>
  <c r="AR17" i="7"/>
  <c r="AM193" i="7"/>
  <c r="AM198" i="7"/>
  <c r="AM70" i="52"/>
  <c r="AM30" i="7"/>
  <c r="AM31" i="7" s="1"/>
  <c r="AM40" i="7"/>
  <c r="AM75" i="52"/>
  <c r="AM80" i="52" s="1"/>
  <c r="AM60" i="7"/>
  <c r="AR61" i="7" s="1"/>
  <c r="AM11" i="7"/>
  <c r="AM64" i="7"/>
  <c r="AR65" i="7" s="1"/>
  <c r="AM96" i="7"/>
  <c r="AR98" i="7" s="1"/>
  <c r="AM109" i="53"/>
  <c r="AN12" i="53"/>
  <c r="AM147" i="53"/>
  <c r="AM141" i="53"/>
  <c r="AM150" i="53"/>
  <c r="AM144" i="53"/>
  <c r="AM106" i="53"/>
  <c r="AM104" i="53"/>
  <c r="AM103" i="53"/>
  <c r="AM107" i="53"/>
  <c r="AM105" i="53"/>
  <c r="AM108" i="53"/>
  <c r="AM22" i="53"/>
  <c r="AM61" i="53"/>
  <c r="AM17" i="53"/>
  <c r="AM85" i="52" l="1"/>
  <c r="AM87" i="52"/>
  <c r="AM19" i="7"/>
  <c r="AM81" i="52"/>
  <c r="AM88" i="52"/>
  <c r="AM32" i="7"/>
  <c r="AM100" i="7"/>
  <c r="AM152" i="7"/>
  <c r="AM54" i="7"/>
  <c r="AM157" i="7"/>
  <c r="AM93" i="59"/>
  <c r="AM38" i="60"/>
  <c r="AM22" i="60"/>
  <c r="AM15" i="60"/>
  <c r="AM80" i="51"/>
  <c r="AM79" i="51"/>
  <c r="BJ63" i="51"/>
  <c r="BJ62" i="51"/>
  <c r="BJ61" i="51"/>
  <c r="BJ60" i="51"/>
  <c r="BJ55" i="51"/>
  <c r="BJ54" i="51"/>
  <c r="BJ53" i="51"/>
  <c r="BJ52" i="51"/>
  <c r="BJ51" i="51"/>
  <c r="BJ50" i="51"/>
  <c r="BJ49" i="51"/>
  <c r="BJ48" i="51"/>
  <c r="BJ47" i="51"/>
  <c r="BE63" i="51"/>
  <c r="BE62" i="51"/>
  <c r="BE61" i="51"/>
  <c r="BE60" i="51"/>
  <c r="BE55" i="51"/>
  <c r="BE54" i="51"/>
  <c r="BE53" i="51"/>
  <c r="BE52" i="51"/>
  <c r="BE51" i="51"/>
  <c r="BE50" i="51"/>
  <c r="BE49" i="51"/>
  <c r="BE48" i="51"/>
  <c r="BE47" i="51"/>
  <c r="AZ63" i="51"/>
  <c r="AZ62" i="51"/>
  <c r="AZ61" i="51"/>
  <c r="AZ60" i="51"/>
  <c r="AZ55" i="51"/>
  <c r="AZ54" i="51"/>
  <c r="AZ53" i="51"/>
  <c r="AZ52" i="51"/>
  <c r="AZ51" i="51"/>
  <c r="AZ50" i="51"/>
  <c r="AZ49" i="51"/>
  <c r="AZ48" i="51"/>
  <c r="AZ47" i="51"/>
  <c r="AU63" i="51"/>
  <c r="AU62" i="51"/>
  <c r="AU61" i="51"/>
  <c r="AU60" i="51"/>
  <c r="AU55" i="51"/>
  <c r="AU54" i="51"/>
  <c r="AU53" i="51"/>
  <c r="AU52" i="51"/>
  <c r="AU51" i="51"/>
  <c r="AU50" i="51"/>
  <c r="AU49" i="51"/>
  <c r="AU48" i="51"/>
  <c r="AU47" i="51"/>
  <c r="BJ42" i="51"/>
  <c r="BJ41" i="51"/>
  <c r="BJ40" i="51"/>
  <c r="BJ39" i="51"/>
  <c r="BJ38" i="51"/>
  <c r="BJ37" i="51"/>
  <c r="BE42" i="51"/>
  <c r="BE41" i="51"/>
  <c r="BE40" i="51"/>
  <c r="BE39" i="51"/>
  <c r="BE38" i="51"/>
  <c r="BE37" i="51"/>
  <c r="AZ42" i="51"/>
  <c r="AZ41" i="51"/>
  <c r="AZ40" i="51"/>
  <c r="AZ39" i="51"/>
  <c r="AZ38" i="51"/>
  <c r="AZ37" i="51"/>
  <c r="AU42" i="51"/>
  <c r="AU41" i="51"/>
  <c r="AU40" i="51"/>
  <c r="AU39" i="51"/>
  <c r="AU38" i="51"/>
  <c r="AU37" i="51"/>
  <c r="AM124" i="50"/>
  <c r="AM120" i="50"/>
  <c r="AM96" i="50"/>
  <c r="AM93" i="50"/>
  <c r="AM90" i="50"/>
  <c r="AM87" i="50"/>
  <c r="AM84" i="50"/>
  <c r="AM77" i="50"/>
  <c r="AM71" i="50"/>
  <c r="AM68" i="50"/>
  <c r="AM65" i="50"/>
  <c r="AR17" i="60" l="1"/>
  <c r="AR24" i="60"/>
  <c r="AO25" i="60"/>
  <c r="AN23" i="60"/>
  <c r="AN54" i="60" s="1"/>
  <c r="AN16" i="60"/>
  <c r="AN49" i="60" s="1"/>
  <c r="AO18" i="60"/>
  <c r="AM29" i="60"/>
  <c r="AR31" i="60" s="1"/>
  <c r="AO56" i="60" l="1"/>
  <c r="AS55" i="60"/>
  <c r="AO51" i="60"/>
  <c r="AS50" i="60"/>
  <c r="AN30" i="60"/>
  <c r="AN44" i="60" s="1"/>
  <c r="AO32" i="60"/>
  <c r="AM105" i="59"/>
  <c r="AM104" i="59"/>
  <c r="AM99" i="59"/>
  <c r="AM98" i="59"/>
  <c r="AM19" i="60"/>
  <c r="AM26" i="60"/>
  <c r="AO46" i="60" l="1"/>
  <c r="AS45" i="60"/>
  <c r="BI56" i="51"/>
  <c r="BI64" i="51" s="1"/>
  <c r="BH56" i="51"/>
  <c r="BH64" i="51" s="1"/>
  <c r="BG56" i="51"/>
  <c r="BG64" i="51" s="1"/>
  <c r="BF56" i="51"/>
  <c r="BF64" i="51" s="1"/>
  <c r="BD56" i="51"/>
  <c r="BC56" i="51"/>
  <c r="BB56" i="51"/>
  <c r="AY56" i="51"/>
  <c r="AY64" i="51" s="1"/>
  <c r="AX56" i="51"/>
  <c r="AX64" i="51" s="1"/>
  <c r="AW56" i="51"/>
  <c r="AW64" i="51" s="1"/>
  <c r="AV56" i="51"/>
  <c r="AV64" i="51" s="1"/>
  <c r="AL25" i="54"/>
  <c r="AJ25" i="54"/>
  <c r="AI25" i="54"/>
  <c r="AH25" i="54"/>
  <c r="BD64" i="51" l="1"/>
  <c r="BC64" i="51"/>
  <c r="BB64" i="51"/>
  <c r="AZ56" i="51"/>
  <c r="BJ56" i="51"/>
  <c r="AG22" i="54"/>
  <c r="AH22" i="54" s="1"/>
  <c r="AI22" i="54" s="1"/>
  <c r="AJ22" i="54" s="1"/>
  <c r="AL22" i="54" s="1"/>
  <c r="AM22" i="54" s="1"/>
  <c r="AL149" i="53"/>
  <c r="AP149" i="53" s="1"/>
  <c r="AL146" i="53"/>
  <c r="AP146" i="53" s="1"/>
  <c r="AL143" i="53"/>
  <c r="AP143" i="53" s="1"/>
  <c r="AL140" i="53"/>
  <c r="AP140" i="53" s="1"/>
  <c r="AL137" i="53"/>
  <c r="AP137" i="53" s="1"/>
  <c r="AL85" i="53"/>
  <c r="AP85" i="53" s="1"/>
  <c r="BI120" i="50"/>
  <c r="BH120" i="50"/>
  <c r="BG120" i="50"/>
  <c r="BF120" i="50"/>
  <c r="BD120" i="50"/>
  <c r="BC120" i="50"/>
  <c r="BB120" i="50"/>
  <c r="BA120" i="50"/>
  <c r="AY120" i="50"/>
  <c r="AX120" i="50"/>
  <c r="AW120" i="50"/>
  <c r="AV120" i="50"/>
  <c r="BE120" i="50" l="1"/>
  <c r="AL152" i="53"/>
  <c r="AL147" i="53" s="1"/>
  <c r="BJ120" i="50"/>
  <c r="AZ120" i="50"/>
  <c r="AL141" i="53" l="1"/>
  <c r="AP152" i="53"/>
  <c r="AL138" i="53"/>
  <c r="AL150" i="53"/>
  <c r="AL144" i="53"/>
  <c r="AT120" i="50"/>
  <c r="AL124" i="50"/>
  <c r="AL119" i="50"/>
  <c r="AL64" i="51"/>
  <c r="AP64" i="51" s="1"/>
  <c r="AP141" i="53" l="1"/>
  <c r="AP150" i="53"/>
  <c r="AP144" i="53"/>
  <c r="AP147" i="53"/>
  <c r="AP138" i="53"/>
  <c r="AL73" i="53"/>
  <c r="AP73" i="53" s="1"/>
  <c r="AL208" i="7"/>
  <c r="AJ208" i="7"/>
  <c r="AI208" i="7"/>
  <c r="AH208" i="7"/>
  <c r="AG208" i="7"/>
  <c r="AE208" i="7"/>
  <c r="AD208" i="7"/>
  <c r="AC208" i="7"/>
  <c r="AB208" i="7"/>
  <c r="Z208" i="7"/>
  <c r="Y208" i="7"/>
  <c r="X208" i="7"/>
  <c r="W208" i="7"/>
  <c r="U208" i="7"/>
  <c r="T208" i="7"/>
  <c r="S208" i="7"/>
  <c r="R208" i="7"/>
  <c r="P208" i="7"/>
  <c r="O208" i="7"/>
  <c r="N208" i="7"/>
  <c r="M208" i="7"/>
  <c r="K208" i="7"/>
  <c r="J208" i="7"/>
  <c r="I208" i="7"/>
  <c r="H208" i="7"/>
  <c r="AL167" i="7"/>
  <c r="AL166" i="7"/>
  <c r="AL165" i="7"/>
  <c r="AL164" i="7"/>
  <c r="AL163" i="7"/>
  <c r="AL160" i="7"/>
  <c r="AL142" i="7"/>
  <c r="AL141" i="7"/>
  <c r="AL140" i="7"/>
  <c r="AL139" i="7"/>
  <c r="AL135" i="7"/>
  <c r="AL134" i="7"/>
  <c r="AL133" i="7"/>
  <c r="AL132" i="7"/>
  <c r="AL128" i="7"/>
  <c r="AL127" i="7"/>
  <c r="AL126" i="7"/>
  <c r="AL125" i="7"/>
  <c r="AL121" i="7"/>
  <c r="AL120" i="7"/>
  <c r="AL119" i="7"/>
  <c r="AL118" i="7"/>
  <c r="AL145" i="7"/>
  <c r="AJ145" i="7"/>
  <c r="AL108" i="7"/>
  <c r="AL106" i="7"/>
  <c r="AL105" i="7"/>
  <c r="AL104" i="7"/>
  <c r="AL82" i="7"/>
  <c r="AQ84" i="7" s="1"/>
  <c r="AL72" i="7"/>
  <c r="AL71" i="7"/>
  <c r="AL70" i="7"/>
  <c r="AM73" i="7" s="1"/>
  <c r="AL69" i="7"/>
  <c r="AL58" i="7"/>
  <c r="AL57" i="7"/>
  <c r="AL56" i="7"/>
  <c r="AL17" i="54"/>
  <c r="AL13" i="54"/>
  <c r="AL32" i="54" s="1"/>
  <c r="AL156" i="53"/>
  <c r="AL155" i="53"/>
  <c r="AL120" i="50"/>
  <c r="AP120" i="50" s="1"/>
  <c r="AL78" i="53"/>
  <c r="AP78" i="53" s="1"/>
  <c r="AL75" i="53"/>
  <c r="AP75" i="53" s="1"/>
  <c r="AL58" i="53"/>
  <c r="AL19" i="53"/>
  <c r="AQ20" i="53" s="1"/>
  <c r="AL14" i="53"/>
  <c r="AP56" i="7" l="1"/>
  <c r="AP14" i="53"/>
  <c r="AP44" i="59" s="1"/>
  <c r="AQ15" i="53"/>
  <c r="AQ110" i="7"/>
  <c r="AQ146" i="7"/>
  <c r="AQ148" i="7"/>
  <c r="AL158" i="53"/>
  <c r="AP158" i="53" s="1"/>
  <c r="AP159" i="53" s="1"/>
  <c r="AO146" i="7"/>
  <c r="AO148" i="7"/>
  <c r="AL33" i="54"/>
  <c r="AM21" i="53"/>
  <c r="AP19" i="53"/>
  <c r="AM60" i="53"/>
  <c r="AP58" i="53"/>
  <c r="AL15" i="54"/>
  <c r="AM10" i="54"/>
  <c r="AL15" i="7"/>
  <c r="AM16" i="53"/>
  <c r="AL51" i="7"/>
  <c r="AQ52" i="7" s="1"/>
  <c r="AL157" i="53"/>
  <c r="AM85" i="7"/>
  <c r="AM83" i="7"/>
  <c r="AM109" i="7"/>
  <c r="AM111" i="7"/>
  <c r="AM147" i="7"/>
  <c r="AM149" i="7"/>
  <c r="AL149" i="7"/>
  <c r="AL121" i="50"/>
  <c r="AL129" i="7"/>
  <c r="AL122" i="7"/>
  <c r="AL143" i="7"/>
  <c r="AL136" i="7"/>
  <c r="AL86" i="7"/>
  <c r="AL147" i="7"/>
  <c r="AL10" i="53"/>
  <c r="AR38" i="59" l="1"/>
  <c r="AS52" i="59"/>
  <c r="AS51" i="59"/>
  <c r="AS53" i="59"/>
  <c r="AS38" i="59"/>
  <c r="AL159" i="53"/>
  <c r="AR53" i="59"/>
  <c r="AR51" i="59"/>
  <c r="AR52" i="59"/>
  <c r="AP10" i="53"/>
  <c r="AP106" i="53" s="1"/>
  <c r="AQ11" i="53"/>
  <c r="AQ202" i="7" s="1"/>
  <c r="AQ210" i="7"/>
  <c r="AQ17" i="7"/>
  <c r="AM16" i="7"/>
  <c r="AQ52" i="59"/>
  <c r="AQ51" i="59"/>
  <c r="AQ38" i="59"/>
  <c r="AQ53" i="59"/>
  <c r="AM53" i="7"/>
  <c r="AP47" i="59"/>
  <c r="AP48" i="59"/>
  <c r="AL40" i="7"/>
  <c r="AM27" i="7"/>
  <c r="AL30" i="7"/>
  <c r="AM18" i="7"/>
  <c r="AL16" i="54"/>
  <c r="AM12" i="53"/>
  <c r="AL103" i="53"/>
  <c r="AL106" i="53"/>
  <c r="AL105" i="53"/>
  <c r="AL108" i="53"/>
  <c r="AL104" i="53"/>
  <c r="AL107" i="53"/>
  <c r="AL11" i="7"/>
  <c r="AL127" i="50"/>
  <c r="AL17" i="53"/>
  <c r="AL61" i="53"/>
  <c r="AL22" i="53"/>
  <c r="AP109" i="53" l="1"/>
  <c r="AP108" i="53"/>
  <c r="AP104" i="53"/>
  <c r="AP17" i="53"/>
  <c r="AP107" i="53"/>
  <c r="AP61" i="53"/>
  <c r="AP103" i="53"/>
  <c r="AP22" i="53"/>
  <c r="AP105" i="53"/>
  <c r="AM13" i="7"/>
  <c r="AQ12" i="7"/>
  <c r="AL31" i="7"/>
  <c r="AL32" i="7"/>
  <c r="AL19" i="7"/>
  <c r="AL54" i="7"/>
  <c r="AL157" i="7"/>
  <c r="AQ158" i="7" s="1"/>
  <c r="AL152" i="7"/>
  <c r="AQ153" i="7" s="1"/>
  <c r="AL93" i="59"/>
  <c r="AJ93" i="59"/>
  <c r="AI93" i="59"/>
  <c r="AH93" i="59"/>
  <c r="AG93" i="59"/>
  <c r="AE93" i="59"/>
  <c r="AD93" i="59"/>
  <c r="AC93" i="59"/>
  <c r="AB93" i="59"/>
  <c r="Z93" i="59"/>
  <c r="Y93" i="59"/>
  <c r="X93" i="59"/>
  <c r="W93" i="59"/>
  <c r="U93" i="59"/>
  <c r="T93" i="59"/>
  <c r="AC104" i="59" l="1"/>
  <c r="AJ99" i="59"/>
  <c r="AJ105" i="59"/>
  <c r="AD105" i="59"/>
  <c r="AE99" i="59"/>
  <c r="AE104" i="59"/>
  <c r="AG104" i="59"/>
  <c r="AH105" i="59"/>
  <c r="AH98" i="59"/>
  <c r="AL105" i="59"/>
  <c r="AL99" i="59"/>
  <c r="AM154" i="7"/>
  <c r="AM159" i="7"/>
  <c r="AM34" i="7"/>
  <c r="AH104" i="59"/>
  <c r="AB104" i="59"/>
  <c r="AI105" i="59"/>
  <c r="AB105" i="59"/>
  <c r="AC105" i="59" l="1"/>
  <c r="AL98" i="59"/>
  <c r="AD99" i="59"/>
  <c r="AG98" i="59"/>
  <c r="AC98" i="59"/>
  <c r="AI98" i="59"/>
  <c r="AH99" i="59"/>
  <c r="AD98" i="59"/>
  <c r="AC99" i="59"/>
  <c r="AJ98" i="59"/>
  <c r="AE98" i="59"/>
  <c r="AG105" i="59"/>
  <c r="AL104" i="59"/>
  <c r="AE105" i="59"/>
  <c r="AB98" i="59"/>
  <c r="AI99" i="59"/>
  <c r="AJ104" i="59"/>
  <c r="AI104" i="59"/>
  <c r="AD104" i="59"/>
  <c r="AB99" i="59"/>
  <c r="AG99" i="59"/>
  <c r="AL38" i="60"/>
  <c r="AP38" i="60" s="1"/>
  <c r="AL22" i="60"/>
  <c r="AL15" i="60"/>
  <c r="AM18" i="60" s="1"/>
  <c r="AL80" i="51"/>
  <c r="AP80" i="51" s="1"/>
  <c r="AL79" i="51"/>
  <c r="AP79" i="51" s="1"/>
  <c r="AL96" i="50"/>
  <c r="AL93" i="50"/>
  <c r="AL90" i="50"/>
  <c r="AL87" i="50"/>
  <c r="AL84" i="50"/>
  <c r="AL77" i="50"/>
  <c r="AL74" i="50"/>
  <c r="AL71" i="50"/>
  <c r="AL68" i="50"/>
  <c r="AL65" i="50"/>
  <c r="AL56" i="50"/>
  <c r="AL58" i="50" s="1"/>
  <c r="S33" i="52"/>
  <c r="Q74" i="52"/>
  <c r="Q72" i="52"/>
  <c r="R33" i="52"/>
  <c r="P33" i="52"/>
  <c r="O33" i="52"/>
  <c r="N33" i="52"/>
  <c r="M33" i="52"/>
  <c r="K33" i="52"/>
  <c r="L72" i="52"/>
  <c r="J33" i="52"/>
  <c r="AN25" i="60" l="1"/>
  <c r="AM25" i="60"/>
  <c r="AN18" i="60"/>
  <c r="AM16" i="60"/>
  <c r="AM23" i="60"/>
  <c r="AL29" i="60"/>
  <c r="AN32" i="60" l="1"/>
  <c r="AM30" i="60"/>
  <c r="AL26" i="60"/>
  <c r="AL19" i="60"/>
  <c r="AJ38" i="60" l="1"/>
  <c r="AI38" i="60"/>
  <c r="AH38" i="60"/>
  <c r="AG38" i="60"/>
  <c r="AE38" i="60"/>
  <c r="AD38" i="60"/>
  <c r="AC38" i="60"/>
  <c r="AB38" i="60"/>
  <c r="Z38" i="60"/>
  <c r="Y38" i="60"/>
  <c r="X38" i="60"/>
  <c r="W38" i="60"/>
  <c r="U38" i="60"/>
  <c r="T38" i="60"/>
  <c r="S38" i="60"/>
  <c r="R38" i="60"/>
  <c r="P38" i="60"/>
  <c r="O38" i="60"/>
  <c r="N38" i="60"/>
  <c r="M38" i="60"/>
  <c r="AJ22" i="60"/>
  <c r="AI22" i="60"/>
  <c r="AH22" i="60"/>
  <c r="AG22" i="60"/>
  <c r="AG25" i="60" s="1"/>
  <c r="AE22" i="60"/>
  <c r="AD22" i="60"/>
  <c r="AC22" i="60"/>
  <c r="AB22" i="60"/>
  <c r="Z22" i="60"/>
  <c r="Z25" i="60" s="1"/>
  <c r="Y22" i="60"/>
  <c r="Y25" i="60" s="1"/>
  <c r="X22" i="60"/>
  <c r="W22" i="60"/>
  <c r="U22" i="60"/>
  <c r="T22" i="60"/>
  <c r="S22" i="60"/>
  <c r="R22" i="60"/>
  <c r="R25" i="60" s="1"/>
  <c r="P22" i="60"/>
  <c r="O22" i="60"/>
  <c r="N22" i="60"/>
  <c r="M22" i="60"/>
  <c r="AJ15" i="60"/>
  <c r="AI15" i="60"/>
  <c r="AN17" i="60" s="1"/>
  <c r="AH15" i="60"/>
  <c r="AG15" i="60"/>
  <c r="AE15" i="60"/>
  <c r="AD15" i="60"/>
  <c r="AC15" i="60"/>
  <c r="AB15" i="60"/>
  <c r="Z15" i="60"/>
  <c r="Y15" i="60"/>
  <c r="X15" i="60"/>
  <c r="W15" i="60"/>
  <c r="U15" i="60"/>
  <c r="T15" i="60"/>
  <c r="S15" i="60"/>
  <c r="R15" i="60"/>
  <c r="P15" i="60"/>
  <c r="Q15" i="60" s="1"/>
  <c r="O15" i="60"/>
  <c r="N15" i="60"/>
  <c r="M15" i="60"/>
  <c r="K38" i="60"/>
  <c r="J38" i="60"/>
  <c r="I38" i="60"/>
  <c r="H38" i="60"/>
  <c r="K22" i="60"/>
  <c r="K25" i="60" s="1"/>
  <c r="J22" i="60"/>
  <c r="I22" i="60"/>
  <c r="H22" i="60"/>
  <c r="K15" i="60"/>
  <c r="K17" i="60" s="1"/>
  <c r="J15" i="60"/>
  <c r="J17" i="60" s="1"/>
  <c r="I15" i="60"/>
  <c r="H15" i="60"/>
  <c r="H16" i="60" s="1"/>
  <c r="AC18" i="60" l="1"/>
  <c r="AB25" i="60"/>
  <c r="N18" i="60"/>
  <c r="AM24" i="60"/>
  <c r="AH25" i="60"/>
  <c r="M25" i="60"/>
  <c r="AJ25" i="60"/>
  <c r="AL25" i="60"/>
  <c r="J24" i="60"/>
  <c r="J25" i="60"/>
  <c r="I18" i="60"/>
  <c r="S25" i="60"/>
  <c r="X18" i="60"/>
  <c r="AC25" i="60"/>
  <c r="H23" i="60"/>
  <c r="H25" i="60"/>
  <c r="O25" i="60"/>
  <c r="W25" i="60"/>
  <c r="AD25" i="60"/>
  <c r="T25" i="60"/>
  <c r="AN24" i="60"/>
  <c r="AI25" i="60"/>
  <c r="N25" i="60"/>
  <c r="V22" i="60"/>
  <c r="U25" i="60"/>
  <c r="I25" i="60"/>
  <c r="S18" i="60"/>
  <c r="AH18" i="60"/>
  <c r="P25" i="60"/>
  <c r="X25" i="60"/>
  <c r="AE25" i="60"/>
  <c r="AO24" i="60"/>
  <c r="AO17" i="60"/>
  <c r="Y23" i="60"/>
  <c r="K29" i="60"/>
  <c r="L29" i="60" s="1"/>
  <c r="L30" i="60" s="1"/>
  <c r="U17" i="60"/>
  <c r="Z24" i="60"/>
  <c r="L38" i="60"/>
  <c r="J29" i="60"/>
  <c r="J19" i="60" s="1"/>
  <c r="S23" i="60"/>
  <c r="AC16" i="60"/>
  <c r="O17" i="60"/>
  <c r="M23" i="60"/>
  <c r="R17" i="60"/>
  <c r="K23" i="60"/>
  <c r="L22" i="60"/>
  <c r="L23" i="60" s="1"/>
  <c r="K24" i="60"/>
  <c r="AA38" i="60"/>
  <c r="W16" i="60"/>
  <c r="AE16" i="60"/>
  <c r="N24" i="60"/>
  <c r="Y16" i="60"/>
  <c r="AC17" i="60"/>
  <c r="O23" i="60"/>
  <c r="AC23" i="60"/>
  <c r="K16" i="60"/>
  <c r="AJ18" i="60"/>
  <c r="AM17" i="60"/>
  <c r="W18" i="60"/>
  <c r="P23" i="60"/>
  <c r="AD23" i="60"/>
  <c r="X16" i="60"/>
  <c r="T29" i="60"/>
  <c r="T19" i="60" s="1"/>
  <c r="R23" i="60"/>
  <c r="X23" i="60"/>
  <c r="AE23" i="60"/>
  <c r="AL17" i="60"/>
  <c r="AG16" i="60"/>
  <c r="H17" i="60"/>
  <c r="I24" i="60"/>
  <c r="P16" i="60"/>
  <c r="AD18" i="60"/>
  <c r="AD16" i="60"/>
  <c r="P18" i="60"/>
  <c r="W23" i="60"/>
  <c r="U24" i="60"/>
  <c r="W29" i="60"/>
  <c r="W19" i="60" s="1"/>
  <c r="AG29" i="60"/>
  <c r="AG26" i="60" s="1"/>
  <c r="Z16" i="60"/>
  <c r="AD17" i="60"/>
  <c r="T23" i="60"/>
  <c r="Z23" i="60"/>
  <c r="AH23" i="60"/>
  <c r="Y18" i="60"/>
  <c r="AL24" i="60"/>
  <c r="AG23" i="60"/>
  <c r="I23" i="60"/>
  <c r="S16" i="60"/>
  <c r="AH16" i="60"/>
  <c r="J16" i="60"/>
  <c r="K18" i="60"/>
  <c r="J23" i="60"/>
  <c r="H29" i="60"/>
  <c r="H30" i="60" s="1"/>
  <c r="N16" i="60"/>
  <c r="T16" i="60"/>
  <c r="AB16" i="60"/>
  <c r="AI16" i="60"/>
  <c r="AG17" i="60"/>
  <c r="N23" i="60"/>
  <c r="U23" i="60"/>
  <c r="AB23" i="60"/>
  <c r="AI23" i="60"/>
  <c r="O24" i="60"/>
  <c r="H18" i="60"/>
  <c r="R16" i="60"/>
  <c r="I16" i="60"/>
  <c r="J18" i="60"/>
  <c r="M16" i="60"/>
  <c r="I17" i="60"/>
  <c r="L15" i="60"/>
  <c r="Q17" i="60" s="1"/>
  <c r="H24" i="60"/>
  <c r="I29" i="60"/>
  <c r="O29" i="60"/>
  <c r="O19" i="60" s="1"/>
  <c r="O16" i="60"/>
  <c r="U16" i="60"/>
  <c r="AL18" i="60"/>
  <c r="AL16" i="60"/>
  <c r="AJ16" i="60"/>
  <c r="P17" i="60"/>
  <c r="O18" i="60"/>
  <c r="AL23" i="60"/>
  <c r="AJ23" i="60"/>
  <c r="T24" i="60"/>
  <c r="R29" i="60"/>
  <c r="AF38" i="60"/>
  <c r="AB29" i="60"/>
  <c r="AB26" i="60" s="1"/>
  <c r="AG24" i="60"/>
  <c r="AJ24" i="60"/>
  <c r="AK22" i="60"/>
  <c r="AI24" i="60"/>
  <c r="N17" i="60"/>
  <c r="N29" i="60"/>
  <c r="T18" i="60"/>
  <c r="T17" i="60"/>
  <c r="AI18" i="60"/>
  <c r="AI29" i="60"/>
  <c r="AN31" i="60" s="1"/>
  <c r="AI17" i="60"/>
  <c r="P29" i="60"/>
  <c r="P24" i="60"/>
  <c r="Q22" i="60"/>
  <c r="V38" i="60"/>
  <c r="AC29" i="60"/>
  <c r="AH17" i="60"/>
  <c r="AJ29" i="60"/>
  <c r="AJ17" i="60"/>
  <c r="AK15" i="60"/>
  <c r="W17" i="60"/>
  <c r="S24" i="60"/>
  <c r="Y24" i="60"/>
  <c r="AB24" i="60"/>
  <c r="AD29" i="60"/>
  <c r="X29" i="60"/>
  <c r="X17" i="60"/>
  <c r="AE29" i="60"/>
  <c r="AE17" i="60"/>
  <c r="AE18" i="60"/>
  <c r="AF15" i="60"/>
  <c r="AB17" i="60"/>
  <c r="AG18" i="60"/>
  <c r="M24" i="60"/>
  <c r="AH24" i="60"/>
  <c r="AH29" i="60"/>
  <c r="AM31" i="60" s="1"/>
  <c r="AC24" i="60"/>
  <c r="Y29" i="60"/>
  <c r="Y17" i="60"/>
  <c r="R18" i="60"/>
  <c r="AD24" i="60"/>
  <c r="W24" i="60"/>
  <c r="M29" i="60"/>
  <c r="M18" i="60"/>
  <c r="M17" i="60"/>
  <c r="S29" i="60"/>
  <c r="S17" i="60"/>
  <c r="Z17" i="60"/>
  <c r="Z18" i="60"/>
  <c r="AA15" i="60"/>
  <c r="U18" i="60"/>
  <c r="R24" i="60"/>
  <c r="X24" i="60"/>
  <c r="AE24" i="60"/>
  <c r="AF22" i="60"/>
  <c r="Z29" i="60"/>
  <c r="AK38" i="60"/>
  <c r="U29" i="60"/>
  <c r="V15" i="60"/>
  <c r="V16" i="60" s="1"/>
  <c r="AB18" i="60"/>
  <c r="AA22" i="60"/>
  <c r="Q38" i="60"/>
  <c r="AA23" i="60" l="1"/>
  <c r="K19" i="60"/>
  <c r="AP24" i="60"/>
  <c r="AP23" i="60"/>
  <c r="AO31" i="60"/>
  <c r="AP17" i="60"/>
  <c r="AP16" i="60"/>
  <c r="K31" i="60"/>
  <c r="K26" i="60"/>
  <c r="K30" i="60"/>
  <c r="J30" i="60"/>
  <c r="AG19" i="60"/>
  <c r="T31" i="60"/>
  <c r="Q23" i="60"/>
  <c r="L24" i="60"/>
  <c r="X30" i="60"/>
  <c r="T26" i="60"/>
  <c r="J31" i="60"/>
  <c r="J26" i="60"/>
  <c r="T32" i="60"/>
  <c r="H32" i="60"/>
  <c r="H26" i="60"/>
  <c r="S30" i="60"/>
  <c r="H19" i="60"/>
  <c r="H31" i="60"/>
  <c r="K32" i="60"/>
  <c r="J32" i="60"/>
  <c r="I31" i="60"/>
  <c r="O31" i="60"/>
  <c r="P30" i="60"/>
  <c r="AC30" i="60"/>
  <c r="I26" i="60"/>
  <c r="AG31" i="60"/>
  <c r="AF16" i="60"/>
  <c r="O26" i="60"/>
  <c r="I19" i="60"/>
  <c r="I32" i="60"/>
  <c r="AD30" i="60"/>
  <c r="Z19" i="60"/>
  <c r="Z30" i="60"/>
  <c r="AH26" i="60"/>
  <c r="AH30" i="60"/>
  <c r="P26" i="60"/>
  <c r="R32" i="60"/>
  <c r="AE26" i="60"/>
  <c r="AE30" i="60"/>
  <c r="AC19" i="60"/>
  <c r="AI30" i="60"/>
  <c r="N30" i="60"/>
  <c r="AK23" i="60"/>
  <c r="R26" i="60"/>
  <c r="R30" i="60"/>
  <c r="AL31" i="60"/>
  <c r="AG30" i="60"/>
  <c r="L17" i="60"/>
  <c r="L16" i="60"/>
  <c r="O32" i="60"/>
  <c r="M30" i="60"/>
  <c r="AL30" i="60"/>
  <c r="AL32" i="60"/>
  <c r="AJ30" i="60"/>
  <c r="Y30" i="60"/>
  <c r="W31" i="60"/>
  <c r="AB30" i="60"/>
  <c r="V23" i="60"/>
  <c r="O30" i="60"/>
  <c r="W30" i="60"/>
  <c r="U26" i="60"/>
  <c r="U30" i="60"/>
  <c r="AF23" i="60"/>
  <c r="AA16" i="60"/>
  <c r="AK16" i="60"/>
  <c r="I30" i="60"/>
  <c r="R19" i="60"/>
  <c r="Q16" i="60"/>
  <c r="W26" i="60"/>
  <c r="T30" i="60"/>
  <c r="AA17" i="60"/>
  <c r="S31" i="60"/>
  <c r="S19" i="60"/>
  <c r="Y31" i="60"/>
  <c r="Y26" i="60"/>
  <c r="Y32" i="60"/>
  <c r="AH19" i="60"/>
  <c r="AH31" i="60"/>
  <c r="AD31" i="60"/>
  <c r="AD32" i="60"/>
  <c r="AD26" i="60"/>
  <c r="AD19" i="60"/>
  <c r="S26" i="60"/>
  <c r="AK29" i="60"/>
  <c r="AJ32" i="60"/>
  <c r="AJ31" i="60"/>
  <c r="Q24" i="60"/>
  <c r="AK24" i="60"/>
  <c r="AJ26" i="60"/>
  <c r="AE32" i="60"/>
  <c r="AE31" i="60"/>
  <c r="AF29" i="60"/>
  <c r="AE19" i="60"/>
  <c r="AI31" i="60"/>
  <c r="AI32" i="60"/>
  <c r="AB31" i="60"/>
  <c r="AB32" i="60"/>
  <c r="AB19" i="60"/>
  <c r="V29" i="60"/>
  <c r="X32" i="60" s="1"/>
  <c r="U31" i="60"/>
  <c r="U19" i="60"/>
  <c r="U32" i="60"/>
  <c r="AF24" i="60"/>
  <c r="M31" i="60"/>
  <c r="M32" i="60"/>
  <c r="M19" i="60"/>
  <c r="Y19" i="60"/>
  <c r="M26" i="60"/>
  <c r="P32" i="60"/>
  <c r="P19" i="60"/>
  <c r="Q29" i="60"/>
  <c r="Q30" i="60" s="1"/>
  <c r="P31" i="60"/>
  <c r="N31" i="60"/>
  <c r="N32" i="60"/>
  <c r="AG32" i="60"/>
  <c r="V24" i="60"/>
  <c r="R31" i="60"/>
  <c r="AI26" i="60"/>
  <c r="N26" i="60"/>
  <c r="V17" i="60"/>
  <c r="Z32" i="60"/>
  <c r="Z31" i="60"/>
  <c r="AA29" i="60"/>
  <c r="Z26" i="60"/>
  <c r="W32" i="60"/>
  <c r="AF17" i="60"/>
  <c r="X31" i="60"/>
  <c r="X26" i="60"/>
  <c r="X19" i="60"/>
  <c r="L19" i="60"/>
  <c r="L31" i="60"/>
  <c r="L26" i="60"/>
  <c r="N19" i="60"/>
  <c r="AI19" i="60"/>
  <c r="AA24" i="60"/>
  <c r="AK17" i="60"/>
  <c r="AJ19" i="60"/>
  <c r="AC31" i="60"/>
  <c r="AC26" i="60"/>
  <c r="AM32" i="60" l="1"/>
  <c r="AP30" i="60"/>
  <c r="AP31" i="60"/>
  <c r="AK26" i="60"/>
  <c r="AF30" i="60"/>
  <c r="AF26" i="60"/>
  <c r="V30" i="60"/>
  <c r="AH32" i="60"/>
  <c r="AA26" i="60"/>
  <c r="AA30" i="60"/>
  <c r="AK30" i="60"/>
  <c r="AA19" i="60"/>
  <c r="AC32" i="60"/>
  <c r="AF31" i="60"/>
  <c r="AK31" i="60"/>
  <c r="V31" i="60"/>
  <c r="V26" i="60"/>
  <c r="Q31" i="60"/>
  <c r="Q19" i="60"/>
  <c r="AA31" i="60"/>
  <c r="Q26" i="60"/>
  <c r="AF19" i="60"/>
  <c r="AK19" i="60"/>
  <c r="V19" i="60"/>
  <c r="S32" i="60"/>
  <c r="AJ191" i="7" l="1"/>
  <c r="AI191" i="7"/>
  <c r="AH191" i="7"/>
  <c r="AG191" i="7"/>
  <c r="AE191" i="7"/>
  <c r="AD191" i="7"/>
  <c r="AC191" i="7"/>
  <c r="AB191" i="7"/>
  <c r="Z191" i="7"/>
  <c r="Y191" i="7"/>
  <c r="X191" i="7"/>
  <c r="W191" i="7"/>
  <c r="AC192" i="7" l="1"/>
  <c r="AH192" i="7"/>
  <c r="Z192" i="7"/>
  <c r="AA192" i="7" s="1"/>
  <c r="AI192" i="7"/>
  <c r="AJ192" i="7"/>
  <c r="AK192" i="7" s="1"/>
  <c r="AK191" i="7"/>
  <c r="AD192" i="7"/>
  <c r="AE192" i="7"/>
  <c r="AF192" i="7" s="1"/>
  <c r="AG192" i="7"/>
  <c r="AB192" i="7"/>
  <c r="AA191" i="7"/>
  <c r="AF191" i="7"/>
  <c r="P191" i="7" l="1"/>
  <c r="O191" i="7"/>
  <c r="N191" i="7"/>
  <c r="M191" i="7"/>
  <c r="S191" i="7"/>
  <c r="T191" i="7"/>
  <c r="U191" i="7"/>
  <c r="Y192" i="7" s="1"/>
  <c r="R191" i="7"/>
  <c r="AN82" i="59"/>
  <c r="AM82" i="59"/>
  <c r="AL82" i="59"/>
  <c r="AN74" i="59"/>
  <c r="AM74" i="59"/>
  <c r="AL74" i="59"/>
  <c r="AN66" i="59"/>
  <c r="AM66" i="59"/>
  <c r="AL66" i="59"/>
  <c r="AN36" i="59"/>
  <c r="AO41" i="59" s="1"/>
  <c r="AM36" i="59"/>
  <c r="AL36" i="59"/>
  <c r="AJ82" i="59"/>
  <c r="AK82" i="59" s="1"/>
  <c r="AI82" i="59"/>
  <c r="AH82" i="59"/>
  <c r="AG82" i="59"/>
  <c r="AE82" i="59"/>
  <c r="AF82" i="59" s="1"/>
  <c r="AD82" i="59"/>
  <c r="AC82" i="59"/>
  <c r="AB82" i="59"/>
  <c r="AK81" i="59"/>
  <c r="AF81" i="59"/>
  <c r="AK80" i="59"/>
  <c r="AF80" i="59"/>
  <c r="AA81" i="59"/>
  <c r="AA80" i="59"/>
  <c r="X82" i="59"/>
  <c r="Y82" i="59"/>
  <c r="Z82" i="59"/>
  <c r="AA82" i="59" s="1"/>
  <c r="W82" i="59"/>
  <c r="U82" i="59"/>
  <c r="V82" i="59" s="1"/>
  <c r="V81" i="59"/>
  <c r="V80" i="59"/>
  <c r="AJ66" i="59"/>
  <c r="AK66" i="59" s="1"/>
  <c r="AI66" i="59"/>
  <c r="AH66" i="59"/>
  <c r="AG66" i="59"/>
  <c r="AE66" i="59"/>
  <c r="AF66" i="59" s="1"/>
  <c r="AD66" i="59"/>
  <c r="AC66" i="59"/>
  <c r="AB66" i="59"/>
  <c r="X66" i="59"/>
  <c r="Y66" i="59"/>
  <c r="Z66" i="59"/>
  <c r="AA66" i="59" s="1"/>
  <c r="W66" i="59"/>
  <c r="AK65" i="59"/>
  <c r="AK64" i="59"/>
  <c r="AF65" i="59"/>
  <c r="AF64" i="59"/>
  <c r="AA65" i="59"/>
  <c r="AA64" i="59"/>
  <c r="U66" i="59"/>
  <c r="V66" i="59" s="1"/>
  <c r="V65" i="59"/>
  <c r="V64" i="59"/>
  <c r="AK73" i="59"/>
  <c r="AK72" i="59"/>
  <c r="AK35" i="59"/>
  <c r="AK34" i="59"/>
  <c r="AF73" i="59"/>
  <c r="AF72" i="59"/>
  <c r="AF35" i="59"/>
  <c r="AF34" i="59"/>
  <c r="AJ74" i="59"/>
  <c r="AK74" i="59" s="1"/>
  <c r="AI74" i="59"/>
  <c r="AH74" i="59"/>
  <c r="AG74" i="59"/>
  <c r="AC74" i="59"/>
  <c r="AD74" i="59"/>
  <c r="AE74" i="59"/>
  <c r="AF74" i="59" s="1"/>
  <c r="AJ36" i="59"/>
  <c r="AI36" i="59"/>
  <c r="AH36" i="59"/>
  <c r="AG36" i="59"/>
  <c r="AC36" i="59"/>
  <c r="AD36" i="59"/>
  <c r="AE36" i="59"/>
  <c r="AL23" i="59"/>
  <c r="AJ23" i="59"/>
  <c r="AI23" i="59"/>
  <c r="AH23" i="59"/>
  <c r="AG23" i="59"/>
  <c r="AC23" i="59"/>
  <c r="AD23" i="59"/>
  <c r="AE23" i="59"/>
  <c r="AC13" i="59"/>
  <c r="AD13" i="59"/>
  <c r="AE13" i="59"/>
  <c r="AB74" i="59"/>
  <c r="Z74" i="59"/>
  <c r="AA74" i="59" s="1"/>
  <c r="Y74" i="59"/>
  <c r="X74" i="59"/>
  <c r="W74" i="59"/>
  <c r="U74" i="59"/>
  <c r="V74" i="59" s="1"/>
  <c r="AA73" i="59"/>
  <c r="V73" i="59"/>
  <c r="AA72" i="59"/>
  <c r="V72" i="59"/>
  <c r="AB36" i="59"/>
  <c r="Z36" i="59"/>
  <c r="Y36" i="59"/>
  <c r="X36" i="59"/>
  <c r="W36" i="59"/>
  <c r="U36" i="59"/>
  <c r="AA35" i="59"/>
  <c r="V35" i="59"/>
  <c r="AA34" i="59"/>
  <c r="V34" i="59"/>
  <c r="AB23" i="59"/>
  <c r="Z23" i="59"/>
  <c r="Y23" i="59"/>
  <c r="X23" i="59"/>
  <c r="W23" i="59"/>
  <c r="U23" i="59"/>
  <c r="T23" i="59"/>
  <c r="T26" i="59" s="1"/>
  <c r="S23" i="59"/>
  <c r="S26" i="59" s="1"/>
  <c r="R23" i="59"/>
  <c r="R26" i="59" s="1"/>
  <c r="AN13" i="59"/>
  <c r="AM13" i="59"/>
  <c r="AL13" i="59"/>
  <c r="AJ13" i="59"/>
  <c r="AI13" i="59"/>
  <c r="AH13" i="59"/>
  <c r="AG13" i="59"/>
  <c r="AB13" i="59"/>
  <c r="Z13" i="59"/>
  <c r="Y13" i="59"/>
  <c r="X13" i="59"/>
  <c r="W13" i="59"/>
  <c r="U13" i="59"/>
  <c r="T13" i="59"/>
  <c r="S13" i="59"/>
  <c r="R13" i="59"/>
  <c r="R18" i="59" s="1"/>
  <c r="AA36" i="59" l="1"/>
  <c r="AF36" i="59"/>
  <c r="U192" i="7"/>
  <c r="S192" i="7"/>
  <c r="T192" i="7"/>
  <c r="X192" i="7"/>
  <c r="R192" i="7"/>
  <c r="V191" i="7"/>
  <c r="W192" i="7"/>
  <c r="Q191" i="7"/>
  <c r="P192" i="7"/>
  <c r="O192" i="7"/>
  <c r="M192" i="7"/>
  <c r="N192" i="7"/>
  <c r="AM41" i="59"/>
  <c r="AN41" i="59"/>
  <c r="AJ41" i="59"/>
  <c r="AK36" i="59"/>
  <c r="AH41" i="59"/>
  <c r="AE41" i="59"/>
  <c r="AD41" i="59"/>
  <c r="AC41" i="59"/>
  <c r="X41" i="59"/>
  <c r="AI41" i="59"/>
  <c r="S18" i="59"/>
  <c r="T17" i="59"/>
  <c r="R17" i="59"/>
  <c r="S17" i="59"/>
  <c r="T18" i="59"/>
  <c r="Z41" i="59"/>
  <c r="Y41" i="59"/>
  <c r="V36" i="59"/>
  <c r="Y105" i="59" l="1"/>
  <c r="Y104" i="59"/>
  <c r="X105" i="59"/>
  <c r="X104" i="59"/>
  <c r="U98" i="59"/>
  <c r="U99" i="59"/>
  <c r="Y99" i="59"/>
  <c r="Y98" i="59"/>
  <c r="X99" i="59"/>
  <c r="X98" i="59"/>
  <c r="T98" i="59"/>
  <c r="T99" i="59"/>
  <c r="Z105" i="59"/>
  <c r="Z104" i="59"/>
  <c r="Z99" i="59"/>
  <c r="Z98" i="59"/>
  <c r="U104" i="59"/>
  <c r="U105" i="59"/>
  <c r="T104" i="59"/>
  <c r="T105" i="59"/>
  <c r="W104" i="59"/>
  <c r="W105" i="59"/>
  <c r="W98" i="59"/>
  <c r="W99" i="59"/>
  <c r="BJ65" i="51" l="1"/>
  <c r="BJ48" i="50"/>
  <c r="BJ47" i="50"/>
  <c r="BJ46" i="50"/>
  <c r="BJ45" i="50"/>
  <c r="BJ44" i="50"/>
  <c r="BJ134" i="53"/>
  <c r="BJ133" i="53"/>
  <c r="BJ128" i="53"/>
  <c r="BI60" i="53"/>
  <c r="BH60" i="53"/>
  <c r="BG60" i="53"/>
  <c r="BF60" i="53"/>
  <c r="BI59" i="53"/>
  <c r="BH59" i="53"/>
  <c r="BG59" i="53"/>
  <c r="BF59" i="53"/>
  <c r="BJ58" i="53"/>
  <c r="BO59" i="53" s="1"/>
  <c r="BG36" i="53"/>
  <c r="BH36" i="53" s="1"/>
  <c r="BI36" i="53" s="1"/>
  <c r="BI58" i="52"/>
  <c r="BH58" i="52"/>
  <c r="BM59" i="52" s="1"/>
  <c r="BG58" i="52"/>
  <c r="BL59" i="52" s="1"/>
  <c r="BF58" i="52"/>
  <c r="BK59" i="52" s="1"/>
  <c r="BE65" i="51"/>
  <c r="BB105" i="50"/>
  <c r="BC105" i="50" s="1"/>
  <c r="BD105" i="50" s="1"/>
  <c r="BE48" i="50"/>
  <c r="BE47" i="50"/>
  <c r="BE46" i="50"/>
  <c r="BE45" i="50"/>
  <c r="BE44" i="50"/>
  <c r="BE134" i="53"/>
  <c r="BE133" i="53"/>
  <c r="BE128" i="53"/>
  <c r="BD60" i="53"/>
  <c r="BC60" i="53"/>
  <c r="BB60" i="53"/>
  <c r="BA60" i="53"/>
  <c r="BD59" i="53"/>
  <c r="BC59" i="53"/>
  <c r="BB59" i="53"/>
  <c r="BA59" i="53"/>
  <c r="BE58" i="53"/>
  <c r="BB36" i="53"/>
  <c r="BC36" i="53" s="1"/>
  <c r="BD36" i="53" s="1"/>
  <c r="BD58" i="52"/>
  <c r="BC58" i="52"/>
  <c r="BB58" i="52"/>
  <c r="BA58" i="52"/>
  <c r="BN59" i="52" l="1"/>
  <c r="BK60" i="52"/>
  <c r="BG59" i="52"/>
  <c r="BJ59" i="53"/>
  <c r="BC60" i="52"/>
  <c r="BF59" i="52"/>
  <c r="BJ64" i="51"/>
  <c r="BH60" i="52"/>
  <c r="BH59" i="52"/>
  <c r="BG60" i="52"/>
  <c r="BI60" i="52"/>
  <c r="BI59" i="52"/>
  <c r="BJ58" i="52"/>
  <c r="BO59" i="52" s="1"/>
  <c r="BF60" i="52"/>
  <c r="BD60" i="52"/>
  <c r="BB60" i="52"/>
  <c r="BE58" i="52"/>
  <c r="BJ59" i="52" l="1"/>
  <c r="Q128" i="53" l="1"/>
  <c r="R54" i="52"/>
  <c r="R50" i="52"/>
  <c r="S49" i="52"/>
  <c r="R49" i="52"/>
  <c r="S44" i="52"/>
  <c r="S45" i="52"/>
  <c r="R45" i="52"/>
  <c r="Q58" i="52"/>
  <c r="P54" i="52"/>
  <c r="N54" i="52"/>
  <c r="P55" i="52"/>
  <c r="O54" i="52"/>
  <c r="N55" i="52"/>
  <c r="O49" i="52"/>
  <c r="P49" i="52"/>
  <c r="O50" i="52"/>
  <c r="M45" i="52"/>
  <c r="P44" i="52"/>
  <c r="Q43" i="52"/>
  <c r="P45" i="52"/>
  <c r="P78" i="53"/>
  <c r="O78" i="53"/>
  <c r="N78" i="53"/>
  <c r="M78" i="53"/>
  <c r="P75" i="53"/>
  <c r="O75" i="53"/>
  <c r="N75" i="53"/>
  <c r="M75" i="53"/>
  <c r="P73" i="53"/>
  <c r="O73" i="53"/>
  <c r="N73" i="53"/>
  <c r="M73" i="53"/>
  <c r="P58" i="53"/>
  <c r="O58" i="53"/>
  <c r="N58" i="53"/>
  <c r="M58" i="53"/>
  <c r="P48" i="53"/>
  <c r="O48" i="53"/>
  <c r="N48" i="53"/>
  <c r="M48" i="53"/>
  <c r="P43" i="53"/>
  <c r="O43" i="53"/>
  <c r="M43" i="53"/>
  <c r="P33" i="53"/>
  <c r="O33" i="53"/>
  <c r="N33" i="53"/>
  <c r="M33" i="53"/>
  <c r="P28" i="53"/>
  <c r="O28" i="53"/>
  <c r="N28" i="53"/>
  <c r="M28" i="53"/>
  <c r="P19" i="53"/>
  <c r="O19" i="53"/>
  <c r="N19" i="53"/>
  <c r="N51" i="7" s="1"/>
  <c r="M19" i="53"/>
  <c r="M51" i="7" s="1"/>
  <c r="P14" i="53"/>
  <c r="O14" i="53"/>
  <c r="N14" i="53"/>
  <c r="M14" i="53"/>
  <c r="K78" i="53"/>
  <c r="J78" i="53"/>
  <c r="I78" i="53"/>
  <c r="H78" i="53"/>
  <c r="K75" i="53"/>
  <c r="J75" i="53"/>
  <c r="I75" i="53"/>
  <c r="H75" i="53"/>
  <c r="K73" i="53"/>
  <c r="J73" i="53"/>
  <c r="I73" i="53"/>
  <c r="H73" i="53"/>
  <c r="K58" i="53"/>
  <c r="K59" i="53" s="1"/>
  <c r="J58" i="53"/>
  <c r="I58" i="53"/>
  <c r="H58" i="53"/>
  <c r="H60" i="53" s="1"/>
  <c r="K48" i="53"/>
  <c r="J48" i="53"/>
  <c r="I48" i="53"/>
  <c r="I49" i="53" s="1"/>
  <c r="H48" i="53"/>
  <c r="K43" i="53"/>
  <c r="J43" i="53"/>
  <c r="I43" i="53"/>
  <c r="H43" i="53"/>
  <c r="K33" i="53"/>
  <c r="J33" i="53"/>
  <c r="I33" i="53"/>
  <c r="H33" i="53"/>
  <c r="H35" i="53" s="1"/>
  <c r="K28" i="53"/>
  <c r="K29" i="53" s="1"/>
  <c r="J28" i="53"/>
  <c r="I28" i="53"/>
  <c r="H28" i="53"/>
  <c r="H30" i="53" s="1"/>
  <c r="K19" i="53"/>
  <c r="J19" i="53"/>
  <c r="I19" i="53"/>
  <c r="I20" i="53" s="1"/>
  <c r="H19" i="53"/>
  <c r="H51" i="7" s="1"/>
  <c r="K14" i="53"/>
  <c r="J14" i="53"/>
  <c r="J15" i="7" s="1"/>
  <c r="I14" i="53"/>
  <c r="I15" i="7" s="1"/>
  <c r="H14" i="53"/>
  <c r="H16" i="53" s="1"/>
  <c r="R101" i="53"/>
  <c r="Q134" i="53"/>
  <c r="Q133" i="53"/>
  <c r="Q127" i="53"/>
  <c r="Q123" i="53"/>
  <c r="Q120" i="53"/>
  <c r="Q117" i="53"/>
  <c r="Q113" i="53"/>
  <c r="Q100" i="53"/>
  <c r="Q99" i="53"/>
  <c r="Q96" i="53"/>
  <c r="P101" i="53"/>
  <c r="O101" i="53"/>
  <c r="N101" i="53"/>
  <c r="M101" i="53"/>
  <c r="AY58" i="52"/>
  <c r="AX58" i="52"/>
  <c r="BC59" i="52" s="1"/>
  <c r="AW58" i="52"/>
  <c r="BB59" i="52" s="1"/>
  <c r="AV58" i="52"/>
  <c r="AT58" i="52"/>
  <c r="AW16" i="54"/>
  <c r="AJ17" i="54"/>
  <c r="AI17" i="54"/>
  <c r="AH17" i="54"/>
  <c r="AH33" i="54" s="1"/>
  <c r="AG17" i="54"/>
  <c r="AG33" i="54" s="1"/>
  <c r="AJ13" i="54"/>
  <c r="AI13" i="54"/>
  <c r="AI32" i="54" s="1"/>
  <c r="AH13" i="54"/>
  <c r="AG13" i="54"/>
  <c r="AE17" i="54"/>
  <c r="AD17" i="54"/>
  <c r="AD13" i="54"/>
  <c r="AE10" i="54" s="1"/>
  <c r="AE13" i="54"/>
  <c r="AC92" i="53"/>
  <c r="AC17" i="54" s="1"/>
  <c r="AB92" i="53"/>
  <c r="AB17" i="54" s="1"/>
  <c r="AC91" i="53"/>
  <c r="AB91" i="53"/>
  <c r="AB13" i="54" s="1"/>
  <c r="Z92" i="53"/>
  <c r="Y92" i="53"/>
  <c r="X92" i="53"/>
  <c r="W92" i="53"/>
  <c r="Z91" i="53"/>
  <c r="Y91" i="53"/>
  <c r="X91" i="53"/>
  <c r="X13" i="54" s="1"/>
  <c r="X15" i="54" s="1"/>
  <c r="W91" i="53"/>
  <c r="S91" i="53"/>
  <c r="T91" i="53"/>
  <c r="U91" i="53"/>
  <c r="S92" i="53"/>
  <c r="T92" i="53"/>
  <c r="U92" i="53"/>
  <c r="R92" i="53"/>
  <c r="R91" i="53"/>
  <c r="AK92" i="53"/>
  <c r="AK91" i="53"/>
  <c r="Q92" i="53"/>
  <c r="Q91" i="53"/>
  <c r="L92" i="53"/>
  <c r="L91" i="53"/>
  <c r="G92" i="53"/>
  <c r="G91" i="53"/>
  <c r="AJ33" i="54" l="1"/>
  <c r="AO37" i="54" s="1"/>
  <c r="AO29" i="54"/>
  <c r="AJ32" i="54"/>
  <c r="AO36" i="54" s="1"/>
  <c r="AO28" i="54"/>
  <c r="AG15" i="54"/>
  <c r="AG16" i="54" s="1"/>
  <c r="AG32" i="54"/>
  <c r="AH15" i="54"/>
  <c r="AH16" i="54" s="1"/>
  <c r="AH32" i="54"/>
  <c r="AN29" i="54"/>
  <c r="AI33" i="54"/>
  <c r="AK33" i="54" s="1"/>
  <c r="O60" i="53"/>
  <c r="Q208" i="7"/>
  <c r="AJ10" i="54"/>
  <c r="AJ11" i="54" s="1"/>
  <c r="AN28" i="54"/>
  <c r="AY60" i="52"/>
  <c r="N10" i="53"/>
  <c r="N109" i="53" s="1"/>
  <c r="P20" i="53"/>
  <c r="I35" i="53"/>
  <c r="AX60" i="52"/>
  <c r="O59" i="53"/>
  <c r="V91" i="53"/>
  <c r="AC13" i="54"/>
  <c r="AC28" i="54" s="1"/>
  <c r="AJ28" i="54"/>
  <c r="AA91" i="53"/>
  <c r="Y13" i="54"/>
  <c r="Y15" i="54" s="1"/>
  <c r="AF91" i="53"/>
  <c r="V92" i="53"/>
  <c r="Z17" i="54"/>
  <c r="AE29" i="54" s="1"/>
  <c r="AI29" i="54"/>
  <c r="H29" i="53"/>
  <c r="AH29" i="54"/>
  <c r="J44" i="53"/>
  <c r="O15" i="53"/>
  <c r="P196" i="7"/>
  <c r="Y17" i="54"/>
  <c r="AD29" i="54" s="1"/>
  <c r="Z13" i="54"/>
  <c r="AE28" i="54" s="1"/>
  <c r="X17" i="54"/>
  <c r="X16" i="54" s="1"/>
  <c r="AV60" i="52"/>
  <c r="AZ58" i="52"/>
  <c r="BE59" i="52" s="1"/>
  <c r="BA59" i="52"/>
  <c r="J15" i="53"/>
  <c r="H34" i="53"/>
  <c r="H50" i="53"/>
  <c r="N31" i="53"/>
  <c r="N15" i="7"/>
  <c r="P35" i="53"/>
  <c r="J20" i="53"/>
  <c r="J51" i="7"/>
  <c r="AF92" i="53"/>
  <c r="W13" i="54"/>
  <c r="AB28" i="54" s="1"/>
  <c r="K21" i="53"/>
  <c r="K51" i="7"/>
  <c r="K20" i="53"/>
  <c r="AY59" i="52"/>
  <c r="AW59" i="52"/>
  <c r="H10" i="53"/>
  <c r="H22" i="53" s="1"/>
  <c r="H15" i="7"/>
  <c r="I10" i="53"/>
  <c r="H44" i="53"/>
  <c r="P15" i="53"/>
  <c r="P15" i="7"/>
  <c r="P21" i="53"/>
  <c r="P51" i="7"/>
  <c r="M196" i="7"/>
  <c r="M197" i="7" s="1"/>
  <c r="AT59" i="52"/>
  <c r="K15" i="53"/>
  <c r="K15" i="7"/>
  <c r="H54" i="53"/>
  <c r="M10" i="53"/>
  <c r="M107" i="53" s="1"/>
  <c r="M15" i="7"/>
  <c r="O31" i="53"/>
  <c r="O15" i="7"/>
  <c r="O20" i="53"/>
  <c r="O51" i="7"/>
  <c r="AA92" i="53"/>
  <c r="W17" i="54"/>
  <c r="AB29" i="54" s="1"/>
  <c r="BA60" i="52"/>
  <c r="BD59" i="52"/>
  <c r="I36" i="53"/>
  <c r="I51" i="7"/>
  <c r="K49" i="53"/>
  <c r="L75" i="53"/>
  <c r="M15" i="53"/>
  <c r="N20" i="53"/>
  <c r="O196" i="7"/>
  <c r="AE11" i="54"/>
  <c r="AX16" i="54"/>
  <c r="AD15" i="54"/>
  <c r="AD16" i="54" s="1"/>
  <c r="AI28" i="54"/>
  <c r="AG29" i="54"/>
  <c r="AE15" i="54"/>
  <c r="AE16" i="54" s="1"/>
  <c r="Y10" i="54"/>
  <c r="AI10" i="54"/>
  <c r="AI11" i="54" s="1"/>
  <c r="AC10" i="54"/>
  <c r="AB15" i="54"/>
  <c r="AB16" i="54" s="1"/>
  <c r="AG28" i="54"/>
  <c r="AG10" i="54"/>
  <c r="AH10" i="54"/>
  <c r="AJ15" i="54"/>
  <c r="AJ16" i="54" s="1"/>
  <c r="AL10" i="54"/>
  <c r="AJ29" i="54"/>
  <c r="P34" i="53"/>
  <c r="M36" i="53"/>
  <c r="P29" i="53"/>
  <c r="Q75" i="53"/>
  <c r="Q73" i="53"/>
  <c r="N36" i="53"/>
  <c r="N24" i="53"/>
  <c r="K34" i="53"/>
  <c r="K35" i="53"/>
  <c r="M30" i="53"/>
  <c r="L73" i="53"/>
  <c r="J31" i="53"/>
  <c r="J30" i="53"/>
  <c r="H36" i="53"/>
  <c r="I29" i="53"/>
  <c r="K24" i="53"/>
  <c r="L78" i="53"/>
  <c r="M24" i="53"/>
  <c r="M35" i="53"/>
  <c r="Q78" i="53"/>
  <c r="N30" i="53"/>
  <c r="I31" i="53"/>
  <c r="I30" i="53"/>
  <c r="L33" i="53"/>
  <c r="O24" i="53"/>
  <c r="N34" i="53"/>
  <c r="P24" i="53"/>
  <c r="J24" i="53"/>
  <c r="M29" i="53"/>
  <c r="I24" i="53"/>
  <c r="O29" i="53"/>
  <c r="Q33" i="53"/>
  <c r="P54" i="53"/>
  <c r="K54" i="53"/>
  <c r="K55" i="53"/>
  <c r="M55" i="53"/>
  <c r="I63" i="53"/>
  <c r="S50" i="52"/>
  <c r="S54" i="52"/>
  <c r="R44" i="52"/>
  <c r="R55" i="52"/>
  <c r="S55" i="52"/>
  <c r="N49" i="53"/>
  <c r="J50" i="53"/>
  <c r="N50" i="53"/>
  <c r="M44" i="52"/>
  <c r="N45" i="52"/>
  <c r="Q48" i="52"/>
  <c r="M50" i="52"/>
  <c r="J45" i="53"/>
  <c r="J59" i="53"/>
  <c r="N44" i="52"/>
  <c r="O45" i="52"/>
  <c r="M49" i="52"/>
  <c r="N50" i="52"/>
  <c r="Q53" i="52"/>
  <c r="M55" i="52"/>
  <c r="K45" i="53"/>
  <c r="O44" i="52"/>
  <c r="N49" i="52"/>
  <c r="M54" i="52"/>
  <c r="L53" i="53"/>
  <c r="J63" i="53"/>
  <c r="P50" i="52"/>
  <c r="O55" i="52"/>
  <c r="J60" i="53"/>
  <c r="N43" i="53"/>
  <c r="P59" i="53"/>
  <c r="H55" i="53"/>
  <c r="M54" i="53"/>
  <c r="I55" i="53"/>
  <c r="P49" i="53"/>
  <c r="M50" i="53"/>
  <c r="H49" i="53"/>
  <c r="I50" i="53"/>
  <c r="M49" i="53"/>
  <c r="O44" i="53"/>
  <c r="I44" i="53"/>
  <c r="M44" i="53"/>
  <c r="O36" i="53"/>
  <c r="Q14" i="53"/>
  <c r="M16" i="53"/>
  <c r="O10" i="53"/>
  <c r="N29" i="53"/>
  <c r="O30" i="53"/>
  <c r="M34" i="53"/>
  <c r="N35" i="53"/>
  <c r="P36" i="53"/>
  <c r="P45" i="53"/>
  <c r="O50" i="53"/>
  <c r="N55" i="53"/>
  <c r="Q58" i="53"/>
  <c r="M60" i="53"/>
  <c r="P63" i="53"/>
  <c r="N16" i="53"/>
  <c r="Q19" i="53"/>
  <c r="M21" i="53"/>
  <c r="P10" i="53"/>
  <c r="P30" i="53"/>
  <c r="O35" i="53"/>
  <c r="P44" i="53"/>
  <c r="O49" i="53"/>
  <c r="P50" i="53"/>
  <c r="N54" i="53"/>
  <c r="M59" i="53"/>
  <c r="N60" i="53"/>
  <c r="N15" i="53"/>
  <c r="O16" i="53"/>
  <c r="M20" i="53"/>
  <c r="N21" i="53"/>
  <c r="M31" i="53"/>
  <c r="O34" i="53"/>
  <c r="N59" i="53"/>
  <c r="P16" i="53"/>
  <c r="O21" i="53"/>
  <c r="M45" i="53"/>
  <c r="P60" i="53"/>
  <c r="M63" i="53"/>
  <c r="P31" i="53"/>
  <c r="M109" i="53"/>
  <c r="Q28" i="53"/>
  <c r="Q48" i="53"/>
  <c r="J36" i="53"/>
  <c r="J10" i="53"/>
  <c r="J22" i="53" s="1"/>
  <c r="K36" i="53"/>
  <c r="H15" i="53"/>
  <c r="I16" i="53"/>
  <c r="L19" i="53"/>
  <c r="H21" i="53"/>
  <c r="K10" i="53"/>
  <c r="K22" i="53" s="1"/>
  <c r="J29" i="53"/>
  <c r="K30" i="53"/>
  <c r="I34" i="53"/>
  <c r="J35" i="53"/>
  <c r="K44" i="53"/>
  <c r="J49" i="53"/>
  <c r="K50" i="53"/>
  <c r="I54" i="53"/>
  <c r="J55" i="53"/>
  <c r="H59" i="53"/>
  <c r="I60" i="53"/>
  <c r="I15" i="53"/>
  <c r="J16" i="53"/>
  <c r="H20" i="53"/>
  <c r="I21" i="53"/>
  <c r="H31" i="53"/>
  <c r="J34" i="53"/>
  <c r="H24" i="53"/>
  <c r="J54" i="53"/>
  <c r="I59" i="53"/>
  <c r="K31" i="53"/>
  <c r="K16" i="53"/>
  <c r="J21" i="53"/>
  <c r="L43" i="53"/>
  <c r="H45" i="53"/>
  <c r="K60" i="53"/>
  <c r="H63" i="53"/>
  <c r="L14" i="53"/>
  <c r="L58" i="53"/>
  <c r="K63" i="53"/>
  <c r="L28" i="53"/>
  <c r="I45" i="53"/>
  <c r="L48" i="53"/>
  <c r="S101" i="53"/>
  <c r="Q98" i="53"/>
  <c r="Q95" i="53"/>
  <c r="Q97" i="53"/>
  <c r="AW60" i="52"/>
  <c r="AI15" i="54"/>
  <c r="AI16" i="54" s="1"/>
  <c r="M17" i="53" l="1"/>
  <c r="N105" i="53"/>
  <c r="N10" i="60"/>
  <c r="N61" i="53"/>
  <c r="N11" i="53"/>
  <c r="M46" i="53"/>
  <c r="N107" i="53"/>
  <c r="N12" i="53"/>
  <c r="N22" i="53"/>
  <c r="M103" i="53"/>
  <c r="M51" i="53"/>
  <c r="N17" i="53"/>
  <c r="AC29" i="54"/>
  <c r="Y16" i="54"/>
  <c r="H56" i="53"/>
  <c r="M106" i="53"/>
  <c r="M56" i="53"/>
  <c r="H17" i="53"/>
  <c r="M11" i="53"/>
  <c r="H46" i="53"/>
  <c r="AD28" i="54"/>
  <c r="AK32" i="54"/>
  <c r="N108" i="53"/>
  <c r="N56" i="53"/>
  <c r="N103" i="53"/>
  <c r="N104" i="53"/>
  <c r="N106" i="53"/>
  <c r="N51" i="53"/>
  <c r="W15" i="54"/>
  <c r="W16" i="54" s="1"/>
  <c r="Z10" i="54"/>
  <c r="Z11" i="54" s="1"/>
  <c r="AB10" i="54"/>
  <c r="AB11" i="54" s="1"/>
  <c r="Z15" i="54"/>
  <c r="Z16" i="54" s="1"/>
  <c r="N38" i="53"/>
  <c r="Q51" i="7"/>
  <c r="AC15" i="54"/>
  <c r="AC16" i="54" s="1"/>
  <c r="X10" i="54"/>
  <c r="X11" i="54" s="1"/>
  <c r="H51" i="53"/>
  <c r="H61" i="53"/>
  <c r="AH28" i="54"/>
  <c r="AD10" i="54"/>
  <c r="AD11" i="54" s="1"/>
  <c r="L51" i="7"/>
  <c r="P61" i="53"/>
  <c r="P10" i="60"/>
  <c r="I61" i="53"/>
  <c r="I65" i="53"/>
  <c r="I46" i="53"/>
  <c r="J10" i="60"/>
  <c r="I17" i="53"/>
  <c r="M22" i="53"/>
  <c r="P81" i="50"/>
  <c r="Q15" i="7"/>
  <c r="L15" i="7"/>
  <c r="M10" i="60"/>
  <c r="H10" i="60"/>
  <c r="N20" i="60"/>
  <c r="N49" i="60"/>
  <c r="N27" i="60"/>
  <c r="N54" i="60"/>
  <c r="K46" i="53"/>
  <c r="K10" i="60"/>
  <c r="I56" i="53"/>
  <c r="I51" i="53"/>
  <c r="K17" i="53"/>
  <c r="Q10" i="53"/>
  <c r="Q107" i="53" s="1"/>
  <c r="O10" i="60"/>
  <c r="M61" i="53"/>
  <c r="M104" i="53"/>
  <c r="M12" i="53"/>
  <c r="I10" i="60"/>
  <c r="I12" i="53"/>
  <c r="N25" i="53"/>
  <c r="P103" i="53"/>
  <c r="I22" i="53"/>
  <c r="K61" i="53"/>
  <c r="M105" i="53"/>
  <c r="M108" i="53"/>
  <c r="AL11" i="54"/>
  <c r="AH11" i="54"/>
  <c r="AG11" i="54"/>
  <c r="AC11" i="54"/>
  <c r="Y11" i="54"/>
  <c r="AY16" i="54"/>
  <c r="BA16" i="54" s="1"/>
  <c r="BB16" i="54" s="1"/>
  <c r="BC16" i="54" s="1"/>
  <c r="BD16" i="54" s="1"/>
  <c r="BF16" i="54" s="1"/>
  <c r="BG16" i="54" s="1"/>
  <c r="BH16" i="54" s="1"/>
  <c r="BI16" i="54" s="1"/>
  <c r="BK16" i="54" s="1"/>
  <c r="BL16" i="54" s="1"/>
  <c r="BM16" i="54" s="1"/>
  <c r="BN16" i="54" s="1"/>
  <c r="K81" i="50"/>
  <c r="O81" i="50"/>
  <c r="I38" i="53"/>
  <c r="N81" i="50"/>
  <c r="M81" i="50"/>
  <c r="Q34" i="53"/>
  <c r="P26" i="53"/>
  <c r="N26" i="53"/>
  <c r="M38" i="53"/>
  <c r="M25" i="53"/>
  <c r="M26" i="53"/>
  <c r="O26" i="53"/>
  <c r="Q24" i="53"/>
  <c r="O25" i="53"/>
  <c r="K26" i="53"/>
  <c r="Q29" i="53"/>
  <c r="J26" i="53"/>
  <c r="P25" i="53"/>
  <c r="N63" i="53"/>
  <c r="N64" i="53" s="1"/>
  <c r="N196" i="7"/>
  <c r="P109" i="53"/>
  <c r="O22" i="53"/>
  <c r="O109" i="53"/>
  <c r="O103" i="53"/>
  <c r="O61" i="53"/>
  <c r="J65" i="53"/>
  <c r="O63" i="53"/>
  <c r="O55" i="53"/>
  <c r="O54" i="53"/>
  <c r="N46" i="53"/>
  <c r="N45" i="53"/>
  <c r="N44" i="53"/>
  <c r="P55" i="53"/>
  <c r="Q53" i="53"/>
  <c r="Q43" i="53"/>
  <c r="O45" i="53"/>
  <c r="Q49" i="53"/>
  <c r="Q59" i="53"/>
  <c r="P105" i="53"/>
  <c r="P22" i="53"/>
  <c r="P107" i="53"/>
  <c r="P38" i="53"/>
  <c r="P11" i="53"/>
  <c r="P108" i="53"/>
  <c r="P104" i="53"/>
  <c r="P106" i="53"/>
  <c r="P51" i="53"/>
  <c r="P12" i="53"/>
  <c r="Q31" i="53"/>
  <c r="Q15" i="53"/>
  <c r="P56" i="53"/>
  <c r="M64" i="53"/>
  <c r="M65" i="53"/>
  <c r="P46" i="53"/>
  <c r="O12" i="53"/>
  <c r="O56" i="53"/>
  <c r="O104" i="53"/>
  <c r="O46" i="53"/>
  <c r="O105" i="53"/>
  <c r="O11" i="53"/>
  <c r="O106" i="53"/>
  <c r="O38" i="53"/>
  <c r="O107" i="53"/>
  <c r="O108" i="53"/>
  <c r="O51" i="53"/>
  <c r="Q36" i="53"/>
  <c r="Q20" i="53"/>
  <c r="P64" i="53"/>
  <c r="P17" i="53"/>
  <c r="O17" i="53"/>
  <c r="L31" i="53"/>
  <c r="J12" i="53"/>
  <c r="J38" i="53"/>
  <c r="J17" i="53"/>
  <c r="J56" i="53"/>
  <c r="J46" i="53"/>
  <c r="J61" i="53"/>
  <c r="J51" i="53"/>
  <c r="L24" i="53"/>
  <c r="I26" i="53"/>
  <c r="L36" i="53"/>
  <c r="H38" i="53"/>
  <c r="K65" i="53"/>
  <c r="L63" i="53"/>
  <c r="K56" i="53"/>
  <c r="K51" i="53"/>
  <c r="K12" i="53"/>
  <c r="K38" i="53"/>
  <c r="L10" i="53"/>
  <c r="Q101" i="53"/>
  <c r="N12" i="60" l="1"/>
  <c r="N44" i="60"/>
  <c r="N36" i="60"/>
  <c r="N11" i="60"/>
  <c r="N33" i="60"/>
  <c r="N41" i="53"/>
  <c r="Q17" i="53"/>
  <c r="Q108" i="53"/>
  <c r="Q22" i="53"/>
  <c r="Q105" i="53"/>
  <c r="Q103" i="53"/>
  <c r="Q106" i="53"/>
  <c r="N67" i="53"/>
  <c r="N70" i="53" s="1"/>
  <c r="AL37" i="54"/>
  <c r="Q46" i="53"/>
  <c r="Q61" i="53"/>
  <c r="Q104" i="53"/>
  <c r="I41" i="53"/>
  <c r="I67" i="53"/>
  <c r="Q44" i="53"/>
  <c r="N39" i="53"/>
  <c r="L22" i="53"/>
  <c r="J27" i="60"/>
  <c r="J11" i="60"/>
  <c r="J36" i="60"/>
  <c r="J12" i="60"/>
  <c r="J33" i="60"/>
  <c r="J20" i="60"/>
  <c r="J49" i="60"/>
  <c r="J44" i="60"/>
  <c r="J54" i="60"/>
  <c r="O12" i="60"/>
  <c r="O36" i="60"/>
  <c r="O27" i="60"/>
  <c r="O49" i="60"/>
  <c r="O33" i="60"/>
  <c r="O20" i="60"/>
  <c r="O11" i="60"/>
  <c r="O54" i="60"/>
  <c r="O44" i="60"/>
  <c r="N40" i="60"/>
  <c r="M11" i="60"/>
  <c r="M12" i="60"/>
  <c r="M36" i="60"/>
  <c r="M49" i="60"/>
  <c r="N51" i="60" s="1"/>
  <c r="M27" i="60"/>
  <c r="M54" i="60"/>
  <c r="N56" i="60" s="1"/>
  <c r="M20" i="60"/>
  <c r="Q10" i="60"/>
  <c r="M33" i="60"/>
  <c r="M44" i="60"/>
  <c r="P12" i="60"/>
  <c r="P36" i="60"/>
  <c r="P20" i="60"/>
  <c r="P54" i="60"/>
  <c r="P11" i="60"/>
  <c r="P27" i="60"/>
  <c r="P44" i="60"/>
  <c r="P33" i="60"/>
  <c r="P49" i="60"/>
  <c r="Q109" i="53"/>
  <c r="Q51" i="53"/>
  <c r="I12" i="60"/>
  <c r="I36" i="60"/>
  <c r="I11" i="60"/>
  <c r="I20" i="60"/>
  <c r="I33" i="60"/>
  <c r="I27" i="60"/>
  <c r="I49" i="60"/>
  <c r="N50" i="60" s="1"/>
  <c r="I54" i="60"/>
  <c r="I44" i="60"/>
  <c r="N45" i="60" s="1"/>
  <c r="L10" i="60"/>
  <c r="H54" i="60"/>
  <c r="H12" i="60"/>
  <c r="H36" i="60"/>
  <c r="H11" i="60"/>
  <c r="H44" i="60"/>
  <c r="H49" i="60"/>
  <c r="H20" i="60"/>
  <c r="H33" i="60"/>
  <c r="H27" i="60"/>
  <c r="N65" i="53"/>
  <c r="M41" i="53"/>
  <c r="K11" i="60"/>
  <c r="K12" i="60"/>
  <c r="K36" i="60"/>
  <c r="K27" i="60"/>
  <c r="K33" i="60"/>
  <c r="K20" i="60"/>
  <c r="K44" i="60"/>
  <c r="K54" i="60"/>
  <c r="K55" i="60" s="1"/>
  <c r="K49" i="60"/>
  <c r="Q81" i="50"/>
  <c r="L81" i="50"/>
  <c r="Q63" i="53"/>
  <c r="M67" i="53"/>
  <c r="N40" i="53"/>
  <c r="M40" i="53"/>
  <c r="M39" i="53"/>
  <c r="Q38" i="53"/>
  <c r="Q25" i="53"/>
  <c r="Q196" i="7"/>
  <c r="O197" i="7"/>
  <c r="P197" i="7"/>
  <c r="N197" i="7"/>
  <c r="Q54" i="53"/>
  <c r="P65" i="53"/>
  <c r="Q11" i="53"/>
  <c r="O64" i="53"/>
  <c r="O65" i="53"/>
  <c r="Q56" i="53"/>
  <c r="O40" i="53"/>
  <c r="O41" i="53"/>
  <c r="O67" i="53"/>
  <c r="O39" i="53"/>
  <c r="P40" i="53"/>
  <c r="P41" i="53"/>
  <c r="P67" i="53"/>
  <c r="P39" i="53"/>
  <c r="L61" i="53"/>
  <c r="K41" i="53"/>
  <c r="K67" i="53"/>
  <c r="K40" i="53"/>
  <c r="L38" i="53"/>
  <c r="H41" i="53"/>
  <c r="H67" i="53"/>
  <c r="I40" i="53"/>
  <c r="L56" i="53"/>
  <c r="L17" i="53"/>
  <c r="L46" i="53"/>
  <c r="L51" i="53"/>
  <c r="J40" i="53"/>
  <c r="J41" i="53"/>
  <c r="J67" i="53"/>
  <c r="N76" i="53" l="1"/>
  <c r="N79" i="53" s="1"/>
  <c r="I70" i="53"/>
  <c r="I76" i="53"/>
  <c r="N68" i="53"/>
  <c r="N69" i="53"/>
  <c r="AL36" i="54"/>
  <c r="M76" i="53"/>
  <c r="O45" i="60"/>
  <c r="O46" i="60"/>
  <c r="Q64" i="53"/>
  <c r="Q41" i="53"/>
  <c r="H56" i="60"/>
  <c r="H55" i="60"/>
  <c r="M45" i="60"/>
  <c r="M46" i="60"/>
  <c r="M50" i="60"/>
  <c r="M51" i="60"/>
  <c r="O55" i="60"/>
  <c r="O56" i="60"/>
  <c r="O37" i="60"/>
  <c r="O40" i="60"/>
  <c r="O42" i="60" s="1"/>
  <c r="P45" i="60"/>
  <c r="P46" i="60"/>
  <c r="J50" i="60"/>
  <c r="J51" i="60"/>
  <c r="H51" i="60"/>
  <c r="H50" i="60"/>
  <c r="L11" i="60"/>
  <c r="L54" i="60"/>
  <c r="L55" i="60" s="1"/>
  <c r="L27" i="60"/>
  <c r="L33" i="60"/>
  <c r="L44" i="60"/>
  <c r="L45" i="60" s="1"/>
  <c r="L20" i="60"/>
  <c r="L49" i="60"/>
  <c r="L50" i="60" s="1"/>
  <c r="M37" i="60"/>
  <c r="M40" i="60"/>
  <c r="N42" i="60" s="1"/>
  <c r="Q36" i="60"/>
  <c r="N46" i="60"/>
  <c r="K37" i="60"/>
  <c r="K40" i="60"/>
  <c r="P56" i="60"/>
  <c r="P55" i="60"/>
  <c r="Q11" i="60"/>
  <c r="Q20" i="60"/>
  <c r="Q27" i="60"/>
  <c r="Q54" i="60"/>
  <c r="Q49" i="60"/>
  <c r="Q33" i="60"/>
  <c r="Q44" i="60"/>
  <c r="I40" i="60"/>
  <c r="I41" i="60" s="1"/>
  <c r="I37" i="60"/>
  <c r="P50" i="60"/>
  <c r="P51" i="60"/>
  <c r="K56" i="60"/>
  <c r="J55" i="60"/>
  <c r="J56" i="60"/>
  <c r="J40" i="60"/>
  <c r="J37" i="60"/>
  <c r="K50" i="60"/>
  <c r="K51" i="60"/>
  <c r="H46" i="60"/>
  <c r="H45" i="60"/>
  <c r="I45" i="60"/>
  <c r="I46" i="60"/>
  <c r="I56" i="60"/>
  <c r="I55" i="60"/>
  <c r="M70" i="53"/>
  <c r="K45" i="60"/>
  <c r="K46" i="60"/>
  <c r="L36" i="60"/>
  <c r="H37" i="60"/>
  <c r="H40" i="60"/>
  <c r="I50" i="60"/>
  <c r="I51" i="60"/>
  <c r="P37" i="60"/>
  <c r="P40" i="60"/>
  <c r="M55" i="60"/>
  <c r="M56" i="60"/>
  <c r="N55" i="60"/>
  <c r="N37" i="60"/>
  <c r="O50" i="60"/>
  <c r="O51" i="60"/>
  <c r="J46" i="60"/>
  <c r="J45" i="60"/>
  <c r="Q39" i="53"/>
  <c r="M68" i="53"/>
  <c r="M69" i="53"/>
  <c r="I69" i="53"/>
  <c r="P70" i="53"/>
  <c r="P76" i="53"/>
  <c r="P68" i="53"/>
  <c r="P69" i="53"/>
  <c r="Q67" i="53"/>
  <c r="O70" i="53"/>
  <c r="O76" i="53"/>
  <c r="O68" i="53"/>
  <c r="O69" i="53"/>
  <c r="J70" i="53"/>
  <c r="J76" i="53"/>
  <c r="J69" i="53"/>
  <c r="H76" i="53"/>
  <c r="L67" i="53"/>
  <c r="H70" i="53"/>
  <c r="K70" i="53"/>
  <c r="K69" i="53"/>
  <c r="K76" i="53"/>
  <c r="L41" i="53"/>
  <c r="N81" i="53" l="1"/>
  <c r="M81" i="53"/>
  <c r="I81" i="53"/>
  <c r="I79" i="53"/>
  <c r="M79" i="53"/>
  <c r="N41" i="60"/>
  <c r="Q45" i="60"/>
  <c r="Q50" i="60"/>
  <c r="I42" i="60"/>
  <c r="H42" i="60"/>
  <c r="H41" i="60"/>
  <c r="Q55" i="60"/>
  <c r="K42" i="60"/>
  <c r="K41" i="60"/>
  <c r="P41" i="60"/>
  <c r="P42" i="60"/>
  <c r="L37" i="60"/>
  <c r="L40" i="60"/>
  <c r="L41" i="60" s="1"/>
  <c r="O41" i="60"/>
  <c r="Q40" i="60"/>
  <c r="Q37" i="60"/>
  <c r="J41" i="60"/>
  <c r="J42" i="60"/>
  <c r="M41" i="60"/>
  <c r="M42" i="60"/>
  <c r="N82" i="53"/>
  <c r="Q70" i="53"/>
  <c r="Q68" i="53"/>
  <c r="M82" i="53"/>
  <c r="P81" i="53"/>
  <c r="P79" i="53"/>
  <c r="Q76" i="53"/>
  <c r="O79" i="53"/>
  <c r="O81" i="53"/>
  <c r="L70" i="53"/>
  <c r="J79" i="53"/>
  <c r="J81" i="53"/>
  <c r="K81" i="53"/>
  <c r="K79" i="53"/>
  <c r="H79" i="53"/>
  <c r="L76" i="53"/>
  <c r="H81" i="53"/>
  <c r="I82" i="53" l="1"/>
  <c r="Q41" i="60"/>
  <c r="O82" i="53"/>
  <c r="K82" i="53"/>
  <c r="J82" i="53"/>
  <c r="P82" i="53"/>
  <c r="Q79" i="53"/>
  <c r="L79" i="53"/>
  <c r="Q81" i="53"/>
  <c r="L81" i="53"/>
  <c r="H82" i="53"/>
  <c r="L82" i="53" l="1"/>
  <c r="Q82" i="53"/>
  <c r="AG156" i="53"/>
  <c r="AH156" i="53"/>
  <c r="AI156" i="53"/>
  <c r="AJ156" i="53"/>
  <c r="AK156" i="53" s="1"/>
  <c r="P158" i="53"/>
  <c r="O158" i="53"/>
  <c r="N158" i="53"/>
  <c r="M158" i="53"/>
  <c r="AE156" i="53"/>
  <c r="AD156" i="53"/>
  <c r="AC156" i="53"/>
  <c r="AB156" i="53"/>
  <c r="Z156" i="53"/>
  <c r="AA156" i="53" s="1"/>
  <c r="Y156" i="53"/>
  <c r="X156" i="53"/>
  <c r="W156" i="53"/>
  <c r="U156" i="53"/>
  <c r="V156" i="53" s="1"/>
  <c r="T156" i="53"/>
  <c r="S156" i="53"/>
  <c r="R156" i="53"/>
  <c r="P156" i="53"/>
  <c r="Q156" i="53" s="1"/>
  <c r="O156" i="53"/>
  <c r="N156" i="53"/>
  <c r="M156" i="53"/>
  <c r="AJ155" i="53"/>
  <c r="AI155" i="53"/>
  <c r="AH155" i="53"/>
  <c r="AG155" i="53"/>
  <c r="AG157" i="53" s="1"/>
  <c r="AE155" i="53"/>
  <c r="AF155" i="53" s="1"/>
  <c r="AD155" i="53"/>
  <c r="AC155" i="53"/>
  <c r="AB155" i="53"/>
  <c r="Z155" i="53"/>
  <c r="AA155" i="53" s="1"/>
  <c r="Y155" i="53"/>
  <c r="X155" i="53"/>
  <c r="W155" i="53"/>
  <c r="U155" i="53"/>
  <c r="T155" i="53"/>
  <c r="S155" i="53"/>
  <c r="R155" i="53"/>
  <c r="P155" i="53"/>
  <c r="Q155" i="53" s="1"/>
  <c r="O155" i="53"/>
  <c r="N155" i="53"/>
  <c r="M155" i="53"/>
  <c r="I155" i="53"/>
  <c r="J155" i="53"/>
  <c r="K155" i="53"/>
  <c r="L155" i="53" s="1"/>
  <c r="I156" i="53"/>
  <c r="J156" i="53"/>
  <c r="K156" i="53"/>
  <c r="I158" i="53"/>
  <c r="J158" i="53"/>
  <c r="K158" i="53"/>
  <c r="H158" i="53"/>
  <c r="H156" i="53"/>
  <c r="H155" i="53"/>
  <c r="AH157" i="53" l="1"/>
  <c r="H157" i="53"/>
  <c r="I157" i="53"/>
  <c r="I159" i="53" s="1"/>
  <c r="AE157" i="53"/>
  <c r="AF157" i="53" s="1"/>
  <c r="AI157" i="53"/>
  <c r="N157" i="53"/>
  <c r="AJ157" i="53"/>
  <c r="AK157" i="53" s="1"/>
  <c r="U157" i="53"/>
  <c r="V157" i="53" s="1"/>
  <c r="Y157" i="53"/>
  <c r="W157" i="53"/>
  <c r="AD157" i="53"/>
  <c r="M157" i="53"/>
  <c r="M159" i="53" s="1"/>
  <c r="S157" i="53"/>
  <c r="AC157" i="53"/>
  <c r="O157" i="53"/>
  <c r="O159" i="53" s="1"/>
  <c r="AB157" i="53"/>
  <c r="R157" i="53"/>
  <c r="X157" i="53"/>
  <c r="K157" i="53"/>
  <c r="L157" i="53" s="1"/>
  <c r="J157" i="53"/>
  <c r="J159" i="53" s="1"/>
  <c r="L156" i="53"/>
  <c r="P157" i="53"/>
  <c r="P159" i="53" s="1"/>
  <c r="T157" i="53"/>
  <c r="N159" i="53"/>
  <c r="L158" i="53"/>
  <c r="H159" i="53"/>
  <c r="AK155" i="53"/>
  <c r="Q158" i="53"/>
  <c r="AF156" i="53"/>
  <c r="Z157" i="53"/>
  <c r="V155" i="53"/>
  <c r="Q157" i="53" l="1"/>
  <c r="Q159" i="53" s="1"/>
  <c r="L159" i="53"/>
  <c r="K159" i="53"/>
  <c r="AA157" i="53"/>
  <c r="AW36" i="53" l="1"/>
  <c r="AX36" i="53" s="1"/>
  <c r="AY36" i="53" l="1"/>
  <c r="AM60" i="52" l="1"/>
  <c r="AL60" i="52"/>
  <c r="AM59" i="52"/>
  <c r="AL59" i="52"/>
  <c r="AK91" i="52"/>
  <c r="AK90" i="52"/>
  <c r="AF91" i="52"/>
  <c r="AF90" i="52"/>
  <c r="AA91" i="52"/>
  <c r="AA90" i="52"/>
  <c r="V91" i="52"/>
  <c r="V90" i="52"/>
  <c r="AZ134" i="53"/>
  <c r="AZ133" i="53"/>
  <c r="AZ128" i="53"/>
  <c r="AU134" i="53"/>
  <c r="AU133" i="53"/>
  <c r="AU128" i="53"/>
  <c r="T43" i="53"/>
  <c r="U78" i="53"/>
  <c r="T78" i="53"/>
  <c r="S78" i="53"/>
  <c r="R78" i="53"/>
  <c r="U75" i="53"/>
  <c r="T75" i="53"/>
  <c r="S75" i="53"/>
  <c r="R75" i="53"/>
  <c r="U73" i="53"/>
  <c r="T73" i="53"/>
  <c r="S73" i="53"/>
  <c r="R73" i="53"/>
  <c r="U58" i="53"/>
  <c r="T58" i="53"/>
  <c r="S58" i="53"/>
  <c r="R58" i="53"/>
  <c r="U48" i="53"/>
  <c r="T48" i="53"/>
  <c r="S48" i="53"/>
  <c r="R48" i="53"/>
  <c r="U43" i="53"/>
  <c r="S43" i="53"/>
  <c r="R43" i="53"/>
  <c r="U33" i="53"/>
  <c r="U34" i="53" s="1"/>
  <c r="T33" i="53"/>
  <c r="T34" i="53" s="1"/>
  <c r="S33" i="53"/>
  <c r="S34" i="53" s="1"/>
  <c r="R33" i="53"/>
  <c r="U28" i="53"/>
  <c r="U29" i="53" s="1"/>
  <c r="T28" i="53"/>
  <c r="T29" i="53" s="1"/>
  <c r="S28" i="53"/>
  <c r="S29" i="53" s="1"/>
  <c r="R28" i="53"/>
  <c r="U19" i="53"/>
  <c r="U51" i="7" s="1"/>
  <c r="T19" i="53"/>
  <c r="T51" i="7" s="1"/>
  <c r="S19" i="53"/>
  <c r="S51" i="7" s="1"/>
  <c r="R19" i="53"/>
  <c r="R51" i="7" s="1"/>
  <c r="U14" i="53"/>
  <c r="U15" i="53" s="1"/>
  <c r="T14" i="53"/>
  <c r="T15" i="7" s="1"/>
  <c r="S14" i="53"/>
  <c r="S15" i="7" s="1"/>
  <c r="R14" i="53"/>
  <c r="AE85" i="53"/>
  <c r="AD85" i="53"/>
  <c r="AE78" i="53"/>
  <c r="AD78" i="53"/>
  <c r="AC78" i="53"/>
  <c r="AB78" i="53"/>
  <c r="AE75" i="53"/>
  <c r="AD75" i="53"/>
  <c r="AC75" i="53"/>
  <c r="AB75" i="53"/>
  <c r="AE73" i="53"/>
  <c r="AD73" i="53"/>
  <c r="AC73" i="53"/>
  <c r="AB73" i="53"/>
  <c r="AE58" i="53"/>
  <c r="AD58" i="53"/>
  <c r="AC58" i="53"/>
  <c r="AB58" i="53"/>
  <c r="AE48" i="53"/>
  <c r="AD48" i="53"/>
  <c r="AC48" i="53"/>
  <c r="AB48" i="53"/>
  <c r="AE43" i="53"/>
  <c r="AD43" i="53"/>
  <c r="AC43" i="53"/>
  <c r="AB43" i="53"/>
  <c r="AE33" i="53"/>
  <c r="AD33" i="53"/>
  <c r="AC33" i="53"/>
  <c r="AB33" i="53"/>
  <c r="AE28" i="53"/>
  <c r="AD28" i="53"/>
  <c r="AC28" i="53"/>
  <c r="AB28" i="53"/>
  <c r="AE19" i="53"/>
  <c r="AD19" i="53"/>
  <c r="AD51" i="7" s="1"/>
  <c r="AC19" i="53"/>
  <c r="AC51" i="7" s="1"/>
  <c r="AB19" i="53"/>
  <c r="AB51" i="7" s="1"/>
  <c r="AE14" i="53"/>
  <c r="AD14" i="53"/>
  <c r="AC14" i="53"/>
  <c r="AB14" i="53"/>
  <c r="Z78" i="53"/>
  <c r="Y78" i="53"/>
  <c r="X78" i="53"/>
  <c r="W78" i="53"/>
  <c r="Z75" i="53"/>
  <c r="Y75" i="53"/>
  <c r="X75" i="53"/>
  <c r="W75" i="53"/>
  <c r="Z73" i="53"/>
  <c r="Y73" i="53"/>
  <c r="X73" i="53"/>
  <c r="W73" i="53"/>
  <c r="Z58" i="53"/>
  <c r="Y58" i="53"/>
  <c r="X58" i="53"/>
  <c r="W58" i="53"/>
  <c r="Z48" i="53"/>
  <c r="Y48" i="53"/>
  <c r="X48" i="53"/>
  <c r="W48" i="53"/>
  <c r="Z43" i="53"/>
  <c r="Y43" i="53"/>
  <c r="X43" i="53"/>
  <c r="W43" i="53"/>
  <c r="Z33" i="53"/>
  <c r="Y33" i="53"/>
  <c r="X33" i="53"/>
  <c r="W33" i="53"/>
  <c r="Z28" i="53"/>
  <c r="Y28" i="53"/>
  <c r="X28" i="53"/>
  <c r="X29" i="53" s="1"/>
  <c r="W28" i="53"/>
  <c r="Z19" i="53"/>
  <c r="Z51" i="7" s="1"/>
  <c r="Y19" i="53"/>
  <c r="Y51" i="7" s="1"/>
  <c r="X19" i="53"/>
  <c r="W19" i="53"/>
  <c r="Z14" i="53"/>
  <c r="Y14" i="53"/>
  <c r="X14" i="53"/>
  <c r="W14" i="53"/>
  <c r="AJ85" i="53"/>
  <c r="AI85" i="53"/>
  <c r="AH85" i="53"/>
  <c r="AG85" i="53"/>
  <c r="AH78" i="53"/>
  <c r="AI78" i="53"/>
  <c r="AJ78" i="53"/>
  <c r="AG78" i="53"/>
  <c r="AH73" i="53"/>
  <c r="AI73" i="53"/>
  <c r="AJ73" i="53"/>
  <c r="AH75" i="53"/>
  <c r="AI75" i="53"/>
  <c r="AJ75" i="53"/>
  <c r="AG75" i="53"/>
  <c r="AG73" i="53"/>
  <c r="AH48" i="53"/>
  <c r="AI48" i="53"/>
  <c r="AN49" i="53" s="1"/>
  <c r="AJ48" i="53"/>
  <c r="AO49" i="53" s="1"/>
  <c r="AG48" i="53"/>
  <c r="AH43" i="53"/>
  <c r="AI43" i="53"/>
  <c r="AJ43" i="53"/>
  <c r="AG43" i="53"/>
  <c r="G96" i="53"/>
  <c r="L96" i="53"/>
  <c r="V96" i="53"/>
  <c r="AA96" i="53"/>
  <c r="AF96" i="53"/>
  <c r="AJ58" i="53"/>
  <c r="AO59" i="53" s="1"/>
  <c r="AI58" i="53"/>
  <c r="AH58" i="53"/>
  <c r="AG58" i="53"/>
  <c r="AH33" i="53"/>
  <c r="AI33" i="53"/>
  <c r="AN34" i="53" s="1"/>
  <c r="AJ33" i="53"/>
  <c r="AO34" i="53" s="1"/>
  <c r="AG33" i="53"/>
  <c r="AH28" i="53"/>
  <c r="AI28" i="53"/>
  <c r="AN29" i="53" s="1"/>
  <c r="AJ28" i="53"/>
  <c r="AO29" i="53" s="1"/>
  <c r="AG28" i="53"/>
  <c r="L134" i="53"/>
  <c r="L133" i="53"/>
  <c r="L128" i="53"/>
  <c r="L127" i="53"/>
  <c r="L123" i="53"/>
  <c r="L120" i="53"/>
  <c r="L117" i="53"/>
  <c r="L113" i="53"/>
  <c r="V134" i="53"/>
  <c r="V133" i="53"/>
  <c r="V128" i="53"/>
  <c r="V127" i="53"/>
  <c r="V123" i="53"/>
  <c r="V120" i="53"/>
  <c r="V117" i="53"/>
  <c r="V113" i="53"/>
  <c r="AA134" i="53"/>
  <c r="AA133" i="53"/>
  <c r="AA128" i="53"/>
  <c r="AA127" i="53"/>
  <c r="AA123" i="53"/>
  <c r="AA120" i="53"/>
  <c r="AA117" i="53"/>
  <c r="AA113" i="53"/>
  <c r="AF134" i="53"/>
  <c r="AF133" i="53"/>
  <c r="AF128" i="53"/>
  <c r="AF127" i="53"/>
  <c r="AF123" i="53"/>
  <c r="AF120" i="53"/>
  <c r="AF117" i="53"/>
  <c r="AF113" i="53"/>
  <c r="AK134" i="53"/>
  <c r="AK133" i="53"/>
  <c r="AK128" i="53"/>
  <c r="AK127" i="53"/>
  <c r="AK123" i="53"/>
  <c r="AK120" i="53"/>
  <c r="AK117" i="53"/>
  <c r="AK113" i="53"/>
  <c r="AK96" i="53"/>
  <c r="AJ101" i="53"/>
  <c r="AI101" i="53"/>
  <c r="AH101" i="53"/>
  <c r="AG101" i="53"/>
  <c r="AE101" i="53"/>
  <c r="AD101" i="53"/>
  <c r="AC101" i="53"/>
  <c r="AB101" i="53"/>
  <c r="Z101" i="53"/>
  <c r="Y101" i="53"/>
  <c r="X101" i="53"/>
  <c r="W101" i="53"/>
  <c r="U101" i="53"/>
  <c r="T101" i="53"/>
  <c r="K101" i="53"/>
  <c r="J101" i="53"/>
  <c r="I101" i="53"/>
  <c r="H101" i="53"/>
  <c r="F101" i="53"/>
  <c r="E101" i="53"/>
  <c r="D101" i="53"/>
  <c r="C101" i="53"/>
  <c r="AJ19" i="53"/>
  <c r="AO20" i="53" s="1"/>
  <c r="AI19" i="53"/>
  <c r="AH19" i="53"/>
  <c r="AG19" i="53"/>
  <c r="AJ14" i="53"/>
  <c r="AO15" i="53" s="1"/>
  <c r="AI14" i="53"/>
  <c r="AN15" i="53" s="1"/>
  <c r="AH14" i="53"/>
  <c r="AG14" i="53"/>
  <c r="V33" i="52"/>
  <c r="Q33" i="52"/>
  <c r="R30" i="52"/>
  <c r="U29" i="52"/>
  <c r="P29" i="52"/>
  <c r="O29" i="52"/>
  <c r="U30" i="52"/>
  <c r="T29" i="52"/>
  <c r="S29" i="52"/>
  <c r="P30" i="52"/>
  <c r="O30" i="52"/>
  <c r="N29" i="52"/>
  <c r="M29" i="52"/>
  <c r="R10" i="52"/>
  <c r="R17" i="52" s="1"/>
  <c r="R21" i="52"/>
  <c r="U20" i="52"/>
  <c r="P20" i="52"/>
  <c r="O20" i="52"/>
  <c r="U21" i="52"/>
  <c r="V19" i="52"/>
  <c r="P21" i="52"/>
  <c r="O21" i="52"/>
  <c r="M21" i="52"/>
  <c r="T16" i="52"/>
  <c r="N16" i="52"/>
  <c r="M16" i="52"/>
  <c r="S15" i="52"/>
  <c r="R15" i="52"/>
  <c r="N15" i="52"/>
  <c r="M15" i="52"/>
  <c r="V14" i="52"/>
  <c r="T31" i="52"/>
  <c r="S16" i="52"/>
  <c r="R16" i="52"/>
  <c r="P10" i="52"/>
  <c r="Q14" i="52"/>
  <c r="N31" i="52"/>
  <c r="M31" i="52"/>
  <c r="AO44" i="53" l="1"/>
  <c r="AO54" i="53"/>
  <c r="U59" i="53"/>
  <c r="T20" i="53"/>
  <c r="P55" i="50"/>
  <c r="P56" i="52"/>
  <c r="P46" i="52"/>
  <c r="P51" i="52"/>
  <c r="R55" i="50"/>
  <c r="R46" i="52"/>
  <c r="R56" i="52"/>
  <c r="R51" i="52"/>
  <c r="AI51" i="7"/>
  <c r="AN20" i="53"/>
  <c r="AN44" i="53"/>
  <c r="AN54" i="53"/>
  <c r="AN59" i="53"/>
  <c r="W158" i="53"/>
  <c r="W159" i="53" s="1"/>
  <c r="AB15" i="7"/>
  <c r="AB15" i="59"/>
  <c r="AL16" i="53"/>
  <c r="AJ15" i="7"/>
  <c r="AJ15" i="59"/>
  <c r="X19" i="54"/>
  <c r="AL15" i="53"/>
  <c r="AG15" i="7"/>
  <c r="AG15" i="59"/>
  <c r="AL20" i="53"/>
  <c r="AG51" i="7"/>
  <c r="AG158" i="53"/>
  <c r="AG159" i="53" s="1"/>
  <c r="AI158" i="53"/>
  <c r="AI159" i="53" s="1"/>
  <c r="Y15" i="7"/>
  <c r="Y15" i="59"/>
  <c r="AM15" i="53"/>
  <c r="AH15" i="7"/>
  <c r="AH15" i="59"/>
  <c r="AM20" i="53"/>
  <c r="AH51" i="7"/>
  <c r="AM52" i="7" s="1"/>
  <c r="AC19" i="54"/>
  <c r="AJ19" i="54"/>
  <c r="AH158" i="53"/>
  <c r="AH159" i="53" s="1"/>
  <c r="Z15" i="7"/>
  <c r="Z15" i="59"/>
  <c r="X158" i="53"/>
  <c r="X159" i="53" s="1"/>
  <c r="AC15" i="7"/>
  <c r="AC15" i="59"/>
  <c r="AE21" i="53"/>
  <c r="AE51" i="7"/>
  <c r="AF51" i="7" s="1"/>
  <c r="AB158" i="53"/>
  <c r="AB159" i="53" s="1"/>
  <c r="U54" i="53"/>
  <c r="AL21" i="53"/>
  <c r="AJ51" i="7"/>
  <c r="AE19" i="54"/>
  <c r="Y19" i="54"/>
  <c r="AG19" i="54"/>
  <c r="AM59" i="53"/>
  <c r="W16" i="53"/>
  <c r="W15" i="7"/>
  <c r="W15" i="59"/>
  <c r="AB19" i="54"/>
  <c r="AI19" i="54"/>
  <c r="AL60" i="53"/>
  <c r="T54" i="53"/>
  <c r="AI15" i="7"/>
  <c r="AI15" i="59"/>
  <c r="W19" i="54"/>
  <c r="AD19" i="54"/>
  <c r="AA19" i="53"/>
  <c r="W51" i="7"/>
  <c r="W60" i="53"/>
  <c r="Y158" i="53"/>
  <c r="Y159" i="53" s="1"/>
  <c r="AD10" i="53"/>
  <c r="AD61" i="53" s="1"/>
  <c r="AD15" i="7"/>
  <c r="AD15" i="59"/>
  <c r="AC158" i="53"/>
  <c r="AC159" i="53" s="1"/>
  <c r="U16" i="53"/>
  <c r="U15" i="7"/>
  <c r="U15" i="59"/>
  <c r="R59" i="53"/>
  <c r="X21" i="53"/>
  <c r="X51" i="7"/>
  <c r="X59" i="53"/>
  <c r="Z158" i="53"/>
  <c r="Z159" i="53" s="1"/>
  <c r="AE16" i="53"/>
  <c r="AE15" i="7"/>
  <c r="AE10" i="53"/>
  <c r="AE51" i="53" s="1"/>
  <c r="AE15" i="59"/>
  <c r="AD158" i="53"/>
  <c r="AD159" i="53" s="1"/>
  <c r="V51" i="7"/>
  <c r="S59" i="53"/>
  <c r="T158" i="53"/>
  <c r="T159" i="53" s="1"/>
  <c r="AE158" i="53"/>
  <c r="AE159" i="53" s="1"/>
  <c r="T59" i="53"/>
  <c r="U158" i="53"/>
  <c r="U159" i="53" s="1"/>
  <c r="AL59" i="53"/>
  <c r="U20" i="53"/>
  <c r="Z19" i="54"/>
  <c r="AH19" i="54"/>
  <c r="AJ158" i="53"/>
  <c r="AJ159" i="53" s="1"/>
  <c r="X10" i="53"/>
  <c r="X46" i="53" s="1"/>
  <c r="X15" i="7"/>
  <c r="X15" i="59"/>
  <c r="Z59" i="53"/>
  <c r="R31" i="53"/>
  <c r="R15" i="7"/>
  <c r="AD36" i="53"/>
  <c r="Z24" i="53"/>
  <c r="S158" i="53"/>
  <c r="S159" i="53" s="1"/>
  <c r="S35" i="53"/>
  <c r="W29" i="53"/>
  <c r="AJ196" i="7"/>
  <c r="X49" i="53"/>
  <c r="AE196" i="7"/>
  <c r="S49" i="53"/>
  <c r="T196" i="7"/>
  <c r="W196" i="7"/>
  <c r="T49" i="53"/>
  <c r="U44" i="53"/>
  <c r="U196" i="7"/>
  <c r="AD196" i="7"/>
  <c r="R49" i="53"/>
  <c r="AI196" i="7"/>
  <c r="AH196" i="7"/>
  <c r="X44" i="53"/>
  <c r="X196" i="7"/>
  <c r="AE35" i="53"/>
  <c r="R44" i="53"/>
  <c r="R196" i="7"/>
  <c r="U49" i="53"/>
  <c r="Z196" i="7"/>
  <c r="AC196" i="7"/>
  <c r="AG196" i="7"/>
  <c r="Y44" i="53"/>
  <c r="Y196" i="7"/>
  <c r="AB196" i="7"/>
  <c r="S45" i="53"/>
  <c r="S196" i="7"/>
  <c r="AB15" i="53"/>
  <c r="AC59" i="53"/>
  <c r="AC20" i="53"/>
  <c r="AD60" i="53"/>
  <c r="T21" i="53"/>
  <c r="Y10" i="53"/>
  <c r="Y46" i="53" s="1"/>
  <c r="W34" i="53"/>
  <c r="Y60" i="53"/>
  <c r="AD21" i="53"/>
  <c r="AE60" i="53"/>
  <c r="U21" i="53"/>
  <c r="Z31" i="53"/>
  <c r="AA78" i="53"/>
  <c r="AB21" i="53"/>
  <c r="AD35" i="53"/>
  <c r="V73" i="53"/>
  <c r="R158" i="53"/>
  <c r="X54" i="53"/>
  <c r="R54" i="53"/>
  <c r="W54" i="53"/>
  <c r="S54" i="53"/>
  <c r="W49" i="53"/>
  <c r="X34" i="53"/>
  <c r="AE15" i="53"/>
  <c r="V75" i="53"/>
  <c r="R55" i="53"/>
  <c r="AC21" i="53"/>
  <c r="AF85" i="53"/>
  <c r="AD49" i="53"/>
  <c r="X16" i="53"/>
  <c r="X60" i="53"/>
  <c r="AA75" i="53"/>
  <c r="AD16" i="53"/>
  <c r="AB60" i="53"/>
  <c r="AD59" i="53"/>
  <c r="AF73" i="53"/>
  <c r="R24" i="53"/>
  <c r="R30" i="53"/>
  <c r="R63" i="53"/>
  <c r="R50" i="53"/>
  <c r="U60" i="53"/>
  <c r="AK73" i="53"/>
  <c r="Y16" i="53"/>
  <c r="AF19" i="53"/>
  <c r="AE59" i="53"/>
  <c r="S30" i="53"/>
  <c r="R34" i="53"/>
  <c r="S50" i="53"/>
  <c r="AA73" i="53"/>
  <c r="AC15" i="53"/>
  <c r="AB20" i="53"/>
  <c r="AC60" i="53"/>
  <c r="R16" i="53"/>
  <c r="T30" i="53"/>
  <c r="R35" i="53"/>
  <c r="S55" i="53"/>
  <c r="R60" i="53"/>
  <c r="AB16" i="53"/>
  <c r="AD15" i="53"/>
  <c r="S63" i="53"/>
  <c r="W15" i="53"/>
  <c r="W59" i="53"/>
  <c r="AD20" i="53"/>
  <c r="AB59" i="53"/>
  <c r="S31" i="53"/>
  <c r="R36" i="53"/>
  <c r="R29" i="53"/>
  <c r="S24" i="53"/>
  <c r="S44" i="53"/>
  <c r="Z10" i="53"/>
  <c r="Z22" i="53" s="1"/>
  <c r="X15" i="53"/>
  <c r="AC16" i="53"/>
  <c r="AF75" i="53"/>
  <c r="T15" i="53"/>
  <c r="S20" i="53"/>
  <c r="R10" i="53"/>
  <c r="T24" i="53"/>
  <c r="V48" i="53"/>
  <c r="U45" i="53"/>
  <c r="V28" i="53"/>
  <c r="T50" i="53"/>
  <c r="T44" i="53"/>
  <c r="T45" i="53"/>
  <c r="S10" i="53"/>
  <c r="U31" i="53"/>
  <c r="V33" i="53"/>
  <c r="T36" i="53"/>
  <c r="U24" i="53"/>
  <c r="V53" i="53"/>
  <c r="T63" i="53"/>
  <c r="S36" i="53"/>
  <c r="Z34" i="53"/>
  <c r="Z54" i="53"/>
  <c r="V14" i="53"/>
  <c r="V44" i="59" s="1"/>
  <c r="T10" i="53"/>
  <c r="U36" i="53"/>
  <c r="V58" i="53"/>
  <c r="U63" i="53"/>
  <c r="T31" i="53"/>
  <c r="W20" i="53"/>
  <c r="W44" i="53"/>
  <c r="R15" i="53"/>
  <c r="S16" i="53"/>
  <c r="V19" i="53"/>
  <c r="AA20" i="53" s="1"/>
  <c r="R21" i="53"/>
  <c r="U10" i="53"/>
  <c r="U30" i="53"/>
  <c r="T35" i="53"/>
  <c r="U50" i="53"/>
  <c r="T55" i="53"/>
  <c r="S60" i="53"/>
  <c r="V78" i="53"/>
  <c r="W21" i="53"/>
  <c r="Z49" i="53"/>
  <c r="S15" i="53"/>
  <c r="T16" i="53"/>
  <c r="R20" i="53"/>
  <c r="S21" i="53"/>
  <c r="U35" i="53"/>
  <c r="U55" i="53"/>
  <c r="T60" i="53"/>
  <c r="Y59" i="53"/>
  <c r="V43" i="53"/>
  <c r="R45" i="53"/>
  <c r="Z63" i="53"/>
  <c r="Z55" i="53"/>
  <c r="Z30" i="53"/>
  <c r="Z36" i="53"/>
  <c r="Z35" i="53"/>
  <c r="Z29" i="53"/>
  <c r="Z50" i="53"/>
  <c r="Y49" i="53"/>
  <c r="Y54" i="53"/>
  <c r="AD54" i="53"/>
  <c r="AD29" i="53"/>
  <c r="Y29" i="53"/>
  <c r="AD34" i="53"/>
  <c r="AC54" i="53"/>
  <c r="Y55" i="53"/>
  <c r="AC49" i="53"/>
  <c r="Y50" i="53"/>
  <c r="Y35" i="53"/>
  <c r="AC29" i="53"/>
  <c r="Y30" i="53"/>
  <c r="AB44" i="53"/>
  <c r="AC44" i="53"/>
  <c r="AD44" i="53"/>
  <c r="Z44" i="53"/>
  <c r="X55" i="53"/>
  <c r="AB54" i="53"/>
  <c r="AB49" i="53"/>
  <c r="Y36" i="53"/>
  <c r="Y34" i="53"/>
  <c r="AB34" i="53"/>
  <c r="X35" i="53"/>
  <c r="AB29" i="53"/>
  <c r="AF78" i="53"/>
  <c r="AE54" i="53"/>
  <c r="AE55" i="53"/>
  <c r="AE50" i="53"/>
  <c r="AE63" i="53"/>
  <c r="AE49" i="53"/>
  <c r="AE44" i="53"/>
  <c r="AE36" i="53"/>
  <c r="AE24" i="53"/>
  <c r="AE34" i="53"/>
  <c r="AE31" i="53"/>
  <c r="AE29" i="53"/>
  <c r="AE30" i="53"/>
  <c r="AD55" i="53"/>
  <c r="AD50" i="53"/>
  <c r="AC34" i="53"/>
  <c r="AC31" i="53"/>
  <c r="AD30" i="53"/>
  <c r="AC55" i="53"/>
  <c r="AB50" i="53"/>
  <c r="AB45" i="53"/>
  <c r="AC45" i="53"/>
  <c r="AC35" i="53"/>
  <c r="AB30" i="53"/>
  <c r="AB31" i="53"/>
  <c r="AB10" i="53"/>
  <c r="AF28" i="53"/>
  <c r="AD31" i="53"/>
  <c r="AC36" i="53"/>
  <c r="AD24" i="53"/>
  <c r="AE46" i="53"/>
  <c r="AF48" i="53"/>
  <c r="AC63" i="53"/>
  <c r="AB24" i="53"/>
  <c r="AB36" i="53"/>
  <c r="AB63" i="53"/>
  <c r="AE20" i="53"/>
  <c r="AC10" i="53"/>
  <c r="AC30" i="53"/>
  <c r="AF33" i="53"/>
  <c r="AB35" i="53"/>
  <c r="AD45" i="53"/>
  <c r="AC50" i="53"/>
  <c r="AF53" i="53"/>
  <c r="AB55" i="53"/>
  <c r="AD63" i="53"/>
  <c r="AC24" i="53"/>
  <c r="AF43" i="53"/>
  <c r="AF14" i="53"/>
  <c r="AF44" i="59" s="1"/>
  <c r="AE45" i="53"/>
  <c r="AF58" i="53"/>
  <c r="W31" i="53"/>
  <c r="W24" i="53"/>
  <c r="Y15" i="53"/>
  <c r="Z16" i="53"/>
  <c r="X20" i="53"/>
  <c r="Y21" i="53"/>
  <c r="X31" i="53"/>
  <c r="W36" i="53"/>
  <c r="X24" i="53"/>
  <c r="AA43" i="53"/>
  <c r="W45" i="53"/>
  <c r="Z60" i="53"/>
  <c r="W63" i="53"/>
  <c r="Z15" i="53"/>
  <c r="Y20" i="53"/>
  <c r="Z21" i="53"/>
  <c r="W10" i="53"/>
  <c r="AA28" i="53"/>
  <c r="W30" i="53"/>
  <c r="Y31" i="53"/>
  <c r="X36" i="53"/>
  <c r="Y24" i="53"/>
  <c r="X45" i="53"/>
  <c r="AA48" i="53"/>
  <c r="W50" i="53"/>
  <c r="X63" i="53"/>
  <c r="Z20" i="53"/>
  <c r="X30" i="53"/>
  <c r="AA33" i="53"/>
  <c r="W35" i="53"/>
  <c r="Y45" i="53"/>
  <c r="X50" i="53"/>
  <c r="AA53" i="53"/>
  <c r="W55" i="53"/>
  <c r="Y63" i="53"/>
  <c r="AA14" i="53"/>
  <c r="AA44" i="59" s="1"/>
  <c r="Z45" i="53"/>
  <c r="AA58" i="53"/>
  <c r="AK85" i="53"/>
  <c r="AH21" i="53"/>
  <c r="AG15" i="53"/>
  <c r="AK14" i="53"/>
  <c r="AH20" i="53"/>
  <c r="AH15" i="53"/>
  <c r="AI15" i="53"/>
  <c r="AK19" i="53"/>
  <c r="AP20" i="53" s="1"/>
  <c r="AJ20" i="53"/>
  <c r="AG16" i="53"/>
  <c r="AH16" i="53"/>
  <c r="AI21" i="53"/>
  <c r="AI16" i="53"/>
  <c r="AG20" i="53"/>
  <c r="AJ21" i="53"/>
  <c r="AI20" i="53"/>
  <c r="AG21" i="53"/>
  <c r="AJ15" i="53"/>
  <c r="AJ16" i="53"/>
  <c r="P22" i="52"/>
  <c r="V15" i="52"/>
  <c r="U16" i="52"/>
  <c r="S21" i="52"/>
  <c r="S30" i="52"/>
  <c r="P31" i="52"/>
  <c r="O16" i="52"/>
  <c r="T21" i="52"/>
  <c r="M10" i="52"/>
  <c r="S10" i="52"/>
  <c r="R12" i="52"/>
  <c r="M30" i="52"/>
  <c r="T30" i="52"/>
  <c r="T15" i="52"/>
  <c r="R20" i="52"/>
  <c r="N10" i="52"/>
  <c r="V28" i="52"/>
  <c r="R29" i="52"/>
  <c r="R31" i="52"/>
  <c r="O15" i="52"/>
  <c r="U15" i="52"/>
  <c r="Q19" i="52"/>
  <c r="V20" i="52" s="1"/>
  <c r="M20" i="52"/>
  <c r="S20" i="52"/>
  <c r="O10" i="52"/>
  <c r="U10" i="52"/>
  <c r="Q28" i="52"/>
  <c r="Q31" i="52" s="1"/>
  <c r="S31" i="52"/>
  <c r="O31" i="52"/>
  <c r="U31" i="52"/>
  <c r="P16" i="52"/>
  <c r="N21" i="52"/>
  <c r="R22" i="52"/>
  <c r="T10" i="52"/>
  <c r="N30" i="52"/>
  <c r="P15" i="52"/>
  <c r="P17" i="52"/>
  <c r="N20" i="52"/>
  <c r="T20" i="52"/>
  <c r="AD22" i="53" l="1"/>
  <c r="AI40" i="7"/>
  <c r="AM76" i="7"/>
  <c r="AL76" i="7"/>
  <c r="AH76" i="7"/>
  <c r="AJ76" i="7"/>
  <c r="AG76" i="7"/>
  <c r="AI76" i="7"/>
  <c r="AE76" i="7"/>
  <c r="AD76" i="7"/>
  <c r="AL21" i="7"/>
  <c r="AL53" i="7"/>
  <c r="AO52" i="7"/>
  <c r="AK44" i="59"/>
  <c r="AN52" i="59" s="1"/>
  <c r="AP15" i="53"/>
  <c r="X61" i="53"/>
  <c r="AE22" i="53"/>
  <c r="AJ40" i="7"/>
  <c r="AO210" i="7"/>
  <c r="AP210" i="7" s="1"/>
  <c r="AO17" i="7"/>
  <c r="AG40" i="7"/>
  <c r="AL41" i="7"/>
  <c r="AH40" i="7"/>
  <c r="AM41" i="7"/>
  <c r="X56" i="53"/>
  <c r="AE61" i="53"/>
  <c r="AE104" i="53"/>
  <c r="AF20" i="53"/>
  <c r="AE17" i="53"/>
  <c r="X51" i="53"/>
  <c r="X22" i="53"/>
  <c r="AE12" i="53"/>
  <c r="X17" i="53"/>
  <c r="AA158" i="53"/>
  <c r="AA159" i="53" s="1"/>
  <c r="T22" i="52"/>
  <c r="T55" i="50"/>
  <c r="N22" i="52"/>
  <c r="N55" i="50"/>
  <c r="N51" i="52"/>
  <c r="N46" i="52"/>
  <c r="N56" i="52"/>
  <c r="S55" i="50"/>
  <c r="S56" i="52"/>
  <c r="S46" i="52"/>
  <c r="S51" i="52"/>
  <c r="U17" i="52"/>
  <c r="U55" i="50"/>
  <c r="S22" i="52"/>
  <c r="M22" i="52"/>
  <c r="M55" i="50"/>
  <c r="M56" i="52"/>
  <c r="M51" i="52"/>
  <c r="M46" i="52"/>
  <c r="O17" i="52"/>
  <c r="O55" i="50"/>
  <c r="O46" i="52"/>
  <c r="O51" i="52"/>
  <c r="O56" i="52"/>
  <c r="Z61" i="53"/>
  <c r="AD51" i="53"/>
  <c r="AD56" i="53"/>
  <c r="Z46" i="53"/>
  <c r="AD17" i="53"/>
  <c r="AD46" i="53"/>
  <c r="AD11" i="53"/>
  <c r="AD202" i="7" s="1"/>
  <c r="AI30" i="7"/>
  <c r="AI31" i="7" s="1"/>
  <c r="AH30" i="7"/>
  <c r="AH31" i="7" s="1"/>
  <c r="AJ30" i="7"/>
  <c r="AJ31" i="7" s="1"/>
  <c r="AG30" i="7"/>
  <c r="AG31" i="7" s="1"/>
  <c r="Y22" i="53"/>
  <c r="AA29" i="53"/>
  <c r="Y12" i="53"/>
  <c r="V15" i="7"/>
  <c r="Y17" i="53"/>
  <c r="Y61" i="53"/>
  <c r="Y56" i="53"/>
  <c r="Y51" i="53"/>
  <c r="Z38" i="53"/>
  <c r="AF158" i="53"/>
  <c r="AF159" i="53" s="1"/>
  <c r="AK158" i="53"/>
  <c r="AK159" i="53" s="1"/>
  <c r="AA51" i="7"/>
  <c r="X18" i="59"/>
  <c r="Y40" i="59" s="1"/>
  <c r="Y42" i="59" s="1"/>
  <c r="X17" i="59"/>
  <c r="AE53" i="59"/>
  <c r="AB52" i="59"/>
  <c r="AE38" i="59"/>
  <c r="AD51" i="59"/>
  <c r="AD38" i="59"/>
  <c r="AA57" i="59"/>
  <c r="AD52" i="59"/>
  <c r="AD53" i="59"/>
  <c r="AB38" i="59"/>
  <c r="AC38" i="59"/>
  <c r="AE51" i="59"/>
  <c r="AF51" i="59" s="1"/>
  <c r="AC51" i="59"/>
  <c r="AA47" i="59"/>
  <c r="AB53" i="59"/>
  <c r="AC53" i="59"/>
  <c r="AE52" i="59"/>
  <c r="AF52" i="59" s="1"/>
  <c r="AC52" i="59"/>
  <c r="AA45" i="59"/>
  <c r="AB51" i="59"/>
  <c r="AA48" i="59"/>
  <c r="U17" i="53"/>
  <c r="U10" i="60"/>
  <c r="U81" i="50"/>
  <c r="R22" i="53"/>
  <c r="R10" i="60"/>
  <c r="AB104" i="53"/>
  <c r="AB10" i="60"/>
  <c r="U18" i="59"/>
  <c r="U17" i="59"/>
  <c r="AL94" i="7"/>
  <c r="AM17" i="7"/>
  <c r="AG17" i="59"/>
  <c r="AG18" i="59"/>
  <c r="AH40" i="59" s="1"/>
  <c r="AH42" i="59" s="1"/>
  <c r="AL27" i="7"/>
  <c r="AL18" i="7"/>
  <c r="AL16" i="7"/>
  <c r="X81" i="50"/>
  <c r="AC10" i="60"/>
  <c r="AE81" i="50"/>
  <c r="Y51" i="59"/>
  <c r="Y38" i="59"/>
  <c r="W38" i="59"/>
  <c r="X51" i="59"/>
  <c r="W53" i="59"/>
  <c r="Z52" i="59"/>
  <c r="AA52" i="59" s="1"/>
  <c r="X52" i="59"/>
  <c r="V45" i="59"/>
  <c r="Z53" i="59"/>
  <c r="AA53" i="59" s="1"/>
  <c r="Z51" i="59"/>
  <c r="AA51" i="59" s="1"/>
  <c r="X53" i="59"/>
  <c r="W52" i="59"/>
  <c r="Y52" i="59"/>
  <c r="Y53" i="59"/>
  <c r="W51" i="59"/>
  <c r="Z38" i="59"/>
  <c r="X38" i="59"/>
  <c r="V47" i="59"/>
  <c r="V48" i="59"/>
  <c r="R46" i="53"/>
  <c r="AN51" i="59"/>
  <c r="AM52" i="59"/>
  <c r="AM51" i="59"/>
  <c r="AL52" i="59"/>
  <c r="AL38" i="59"/>
  <c r="AM53" i="59"/>
  <c r="AK57" i="59"/>
  <c r="AM38" i="59"/>
  <c r="AK47" i="59"/>
  <c r="Z11" i="53"/>
  <c r="Z51" i="53"/>
  <c r="Z12" i="53"/>
  <c r="AI53" i="59"/>
  <c r="AJ53" i="59"/>
  <c r="AI52" i="59"/>
  <c r="AG51" i="59"/>
  <c r="AH38" i="59"/>
  <c r="AH52" i="59"/>
  <c r="AH51" i="59"/>
  <c r="AG52" i="59"/>
  <c r="AF57" i="59"/>
  <c r="AI38" i="59"/>
  <c r="AI51" i="59"/>
  <c r="AF45" i="59"/>
  <c r="AJ51" i="59"/>
  <c r="AK51" i="59" s="1"/>
  <c r="AG53" i="59"/>
  <c r="AJ52" i="59"/>
  <c r="AK52" i="59" s="1"/>
  <c r="AF47" i="59"/>
  <c r="AH53" i="59"/>
  <c r="AJ38" i="59"/>
  <c r="AG38" i="59"/>
  <c r="AF48" i="59"/>
  <c r="AE64" i="53"/>
  <c r="S10" i="60"/>
  <c r="Y104" i="53"/>
  <c r="Y10" i="60"/>
  <c r="AD18" i="59"/>
  <c r="AE40" i="59" s="1"/>
  <c r="AE42" i="59" s="1"/>
  <c r="AD17" i="59"/>
  <c r="AC18" i="59"/>
  <c r="AD40" i="59" s="1"/>
  <c r="AD42" i="59" s="1"/>
  <c r="AC17" i="59"/>
  <c r="AK15" i="7"/>
  <c r="AL24" i="7"/>
  <c r="AL17" i="7"/>
  <c r="AB17" i="59"/>
  <c r="AB18" i="59"/>
  <c r="AC40" i="59" s="1"/>
  <c r="AC42" i="59" s="1"/>
  <c r="AD104" i="53"/>
  <c r="AD10" i="60"/>
  <c r="AF15" i="7"/>
  <c r="W104" i="53"/>
  <c r="W10" i="60"/>
  <c r="X104" i="53"/>
  <c r="X10" i="60"/>
  <c r="AE18" i="59"/>
  <c r="AE17" i="59"/>
  <c r="AI18" i="59"/>
  <c r="AJ40" i="59" s="1"/>
  <c r="AJ42" i="59" s="1"/>
  <c r="AI17" i="59"/>
  <c r="W17" i="59"/>
  <c r="W18" i="59"/>
  <c r="X40" i="59" s="1"/>
  <c r="X42" i="59" s="1"/>
  <c r="Y17" i="59"/>
  <c r="Y18" i="59"/>
  <c r="Z40" i="59" s="1"/>
  <c r="Z42" i="59" s="1"/>
  <c r="AL52" i="7"/>
  <c r="AK51" i="7"/>
  <c r="T22" i="53"/>
  <c r="T10" i="60"/>
  <c r="AB61" i="53"/>
  <c r="AE11" i="53"/>
  <c r="Z10" i="60"/>
  <c r="Y81" i="50"/>
  <c r="Y11" i="53"/>
  <c r="AE10" i="60"/>
  <c r="AM94" i="7"/>
  <c r="AA15" i="7"/>
  <c r="Z18" i="59"/>
  <c r="Z17" i="59"/>
  <c r="AH17" i="59"/>
  <c r="AH18" i="59"/>
  <c r="AI40" i="59" s="1"/>
  <c r="AI42" i="59" s="1"/>
  <c r="AJ18" i="59"/>
  <c r="AJ17" i="59"/>
  <c r="W197" i="7"/>
  <c r="W81" i="50"/>
  <c r="T81" i="50"/>
  <c r="R81" i="50"/>
  <c r="AC81" i="50"/>
  <c r="Z81" i="50"/>
  <c r="AB81" i="50"/>
  <c r="AD81" i="50"/>
  <c r="AE25" i="53"/>
  <c r="T26" i="53"/>
  <c r="S81" i="50"/>
  <c r="R38" i="53"/>
  <c r="V29" i="52"/>
  <c r="Z25" i="53"/>
  <c r="AD197" i="7"/>
  <c r="Y197" i="7"/>
  <c r="AA196" i="7"/>
  <c r="Z197" i="7"/>
  <c r="AA197" i="7" s="1"/>
  <c r="AI197" i="7"/>
  <c r="X38" i="53"/>
  <c r="S26" i="53"/>
  <c r="AJ197" i="7"/>
  <c r="AK197" i="7" s="1"/>
  <c r="AK196" i="7"/>
  <c r="AB197" i="7"/>
  <c r="AF196" i="7"/>
  <c r="AE197" i="7"/>
  <c r="AF197" i="7" s="1"/>
  <c r="X197" i="7"/>
  <c r="Z26" i="53"/>
  <c r="U197" i="7"/>
  <c r="V196" i="7"/>
  <c r="T197" i="7"/>
  <c r="S197" i="7"/>
  <c r="R197" i="7"/>
  <c r="AH197" i="7"/>
  <c r="AE38" i="53"/>
  <c r="AC197" i="7"/>
  <c r="AG197" i="7"/>
  <c r="S65" i="53"/>
  <c r="S22" i="53"/>
  <c r="S103" i="53"/>
  <c r="S106" i="53"/>
  <c r="S108" i="53"/>
  <c r="S107" i="53"/>
  <c r="S104" i="53"/>
  <c r="S105" i="53"/>
  <c r="S109" i="53"/>
  <c r="R56" i="53"/>
  <c r="R103" i="53"/>
  <c r="R106" i="53"/>
  <c r="R107" i="53"/>
  <c r="R104" i="53"/>
  <c r="R108" i="53"/>
  <c r="R105" i="53"/>
  <c r="R109" i="53"/>
  <c r="R159" i="53"/>
  <c r="V158" i="53"/>
  <c r="V159" i="53" s="1"/>
  <c r="AE56" i="53"/>
  <c r="R61" i="53"/>
  <c r="AC22" i="53"/>
  <c r="AC104" i="53"/>
  <c r="U61" i="53"/>
  <c r="R17" i="53"/>
  <c r="Z64" i="53"/>
  <c r="T56" i="53"/>
  <c r="W61" i="53"/>
  <c r="T61" i="53"/>
  <c r="Z56" i="53"/>
  <c r="Z104" i="53"/>
  <c r="Z17" i="53"/>
  <c r="AB56" i="53"/>
  <c r="AB17" i="53"/>
  <c r="R51" i="53"/>
  <c r="AA34" i="53"/>
  <c r="U65" i="53"/>
  <c r="T46" i="53"/>
  <c r="T12" i="53"/>
  <c r="T104" i="53"/>
  <c r="T38" i="53"/>
  <c r="T51" i="53"/>
  <c r="S46" i="53"/>
  <c r="U46" i="53"/>
  <c r="U38" i="53"/>
  <c r="U104" i="53"/>
  <c r="U51" i="53"/>
  <c r="U12" i="53"/>
  <c r="U26" i="53"/>
  <c r="V24" i="53"/>
  <c r="V63" i="53"/>
  <c r="S51" i="53"/>
  <c r="S12" i="53"/>
  <c r="S56" i="53"/>
  <c r="S38" i="53"/>
  <c r="S17" i="53"/>
  <c r="T17" i="53"/>
  <c r="V10" i="53"/>
  <c r="V46" i="53" s="1"/>
  <c r="U56" i="53"/>
  <c r="V31" i="53"/>
  <c r="V68" i="59" s="1"/>
  <c r="V15" i="53"/>
  <c r="T65" i="53"/>
  <c r="X11" i="53"/>
  <c r="V36" i="53"/>
  <c r="V20" i="53"/>
  <c r="S61" i="53"/>
  <c r="U22" i="53"/>
  <c r="AF34" i="53"/>
  <c r="AF29" i="53"/>
  <c r="AF36" i="53"/>
  <c r="AF31" i="53"/>
  <c r="AF68" i="59" s="1"/>
  <c r="AF15" i="53"/>
  <c r="AD65" i="53"/>
  <c r="AD64" i="53"/>
  <c r="AB64" i="53"/>
  <c r="AB65" i="53"/>
  <c r="AF63" i="53"/>
  <c r="AC51" i="53"/>
  <c r="AC64" i="53"/>
  <c r="AC65" i="53"/>
  <c r="AD25" i="53"/>
  <c r="AD26" i="53"/>
  <c r="AE65" i="53"/>
  <c r="AD38" i="53"/>
  <c r="AF44" i="53"/>
  <c r="AF54" i="53"/>
  <c r="AF59" i="53"/>
  <c r="AC25" i="53"/>
  <c r="AC26" i="53"/>
  <c r="AC12" i="53"/>
  <c r="AC46" i="53"/>
  <c r="AC38" i="53"/>
  <c r="AC11" i="53"/>
  <c r="AC56" i="53"/>
  <c r="AC61" i="53"/>
  <c r="AD12" i="53"/>
  <c r="AC17" i="53"/>
  <c r="AB26" i="53"/>
  <c r="AF24" i="53"/>
  <c r="AB25" i="53"/>
  <c r="AF49" i="53"/>
  <c r="AB11" i="53"/>
  <c r="AB51" i="53"/>
  <c r="AB12" i="53"/>
  <c r="AB46" i="53"/>
  <c r="AB38" i="53"/>
  <c r="AF10" i="53"/>
  <c r="AE26" i="53"/>
  <c r="AB22" i="53"/>
  <c r="AA49" i="53"/>
  <c r="Y64" i="53"/>
  <c r="Y65" i="53"/>
  <c r="AA59" i="53"/>
  <c r="W38" i="53"/>
  <c r="W51" i="53"/>
  <c r="AA10" i="53"/>
  <c r="W11" i="53"/>
  <c r="W12" i="53"/>
  <c r="W46" i="53"/>
  <c r="AA36" i="53"/>
  <c r="AA54" i="53"/>
  <c r="Y26" i="53"/>
  <c r="Y25" i="53"/>
  <c r="W64" i="53"/>
  <c r="W65" i="53"/>
  <c r="AA63" i="53"/>
  <c r="AA44" i="53"/>
  <c r="Y38" i="53"/>
  <c r="W26" i="53"/>
  <c r="AA24" i="53"/>
  <c r="W25" i="53"/>
  <c r="X25" i="53"/>
  <c r="X26" i="53"/>
  <c r="W22" i="53"/>
  <c r="Z65" i="53"/>
  <c r="AA31" i="53"/>
  <c r="AA68" i="59" s="1"/>
  <c r="AA15" i="53"/>
  <c r="X65" i="53"/>
  <c r="X64" i="53"/>
  <c r="W17" i="53"/>
  <c r="W56" i="53"/>
  <c r="X12" i="53"/>
  <c r="AK15" i="53"/>
  <c r="AK20" i="53"/>
  <c r="O12" i="52"/>
  <c r="O22" i="52"/>
  <c r="U12" i="52"/>
  <c r="U11" i="52"/>
  <c r="U22" i="52"/>
  <c r="N12" i="52"/>
  <c r="N17" i="52"/>
  <c r="S12" i="52"/>
  <c r="S17" i="52"/>
  <c r="S11" i="52"/>
  <c r="M17" i="52"/>
  <c r="Q10" i="52"/>
  <c r="V10" i="52"/>
  <c r="V55" i="50" s="1"/>
  <c r="T11" i="52"/>
  <c r="T12" i="52"/>
  <c r="T17" i="52"/>
  <c r="V31" i="52"/>
  <c r="P12" i="52"/>
  <c r="R11" i="52"/>
  <c r="AL77" i="7" l="1"/>
  <c r="AL79" i="7"/>
  <c r="AL93" i="7" s="1"/>
  <c r="AL90" i="7" s="1"/>
  <c r="AL96" i="7" s="1"/>
  <c r="AL78" i="7"/>
  <c r="AM79" i="7"/>
  <c r="AM93" i="7" s="1"/>
  <c r="AM90" i="7" s="1"/>
  <c r="AM78" i="7"/>
  <c r="AM77" i="7"/>
  <c r="AK45" i="59"/>
  <c r="AL53" i="59"/>
  <c r="AN38" i="59"/>
  <c r="AL51" i="59"/>
  <c r="AK48" i="59"/>
  <c r="AN53" i="59"/>
  <c r="AN55" i="59" s="1"/>
  <c r="AO51" i="59"/>
  <c r="AP51" i="59" s="1"/>
  <c r="AO52" i="59"/>
  <c r="AP52" i="59" s="1"/>
  <c r="AO38" i="59"/>
  <c r="AO53" i="59"/>
  <c r="AP57" i="59"/>
  <c r="AS55" i="59" s="1"/>
  <c r="AP45" i="59"/>
  <c r="Q22" i="52"/>
  <c r="Q55" i="50"/>
  <c r="Q46" i="52"/>
  <c r="Q56" i="52"/>
  <c r="Q51" i="52"/>
  <c r="Z41" i="53"/>
  <c r="Z67" i="53"/>
  <c r="AH32" i="7"/>
  <c r="AI32" i="7"/>
  <c r="AG32" i="7"/>
  <c r="AL33" i="7" s="1"/>
  <c r="AJ32" i="7"/>
  <c r="AK30" i="7"/>
  <c r="AK31" i="7" s="1"/>
  <c r="AL55" i="59"/>
  <c r="AA42" i="59"/>
  <c r="AG55" i="59"/>
  <c r="AM55" i="59"/>
  <c r="R67" i="53"/>
  <c r="AI55" i="59"/>
  <c r="R41" i="53"/>
  <c r="AF42" i="59"/>
  <c r="AH55" i="59"/>
  <c r="S12" i="60"/>
  <c r="S11" i="60"/>
  <c r="S36" i="60"/>
  <c r="S20" i="60"/>
  <c r="S49" i="60"/>
  <c r="S54" i="60"/>
  <c r="S27" i="60"/>
  <c r="S44" i="60"/>
  <c r="S33" i="60"/>
  <c r="AA61" i="59"/>
  <c r="AA60" i="59"/>
  <c r="X12" i="60"/>
  <c r="X36" i="60"/>
  <c r="X20" i="60"/>
  <c r="X49" i="60"/>
  <c r="X11" i="60"/>
  <c r="X27" i="60"/>
  <c r="X33" i="60"/>
  <c r="X44" i="60"/>
  <c r="X54" i="60"/>
  <c r="Z202" i="7"/>
  <c r="AA104" i="53"/>
  <c r="X67" i="53"/>
  <c r="Y12" i="60"/>
  <c r="Y11" i="60"/>
  <c r="Y36" i="60"/>
  <c r="Y20" i="60"/>
  <c r="Y27" i="60"/>
  <c r="Y49" i="60"/>
  <c r="Y54" i="60"/>
  <c r="Y33" i="60"/>
  <c r="Y44" i="60"/>
  <c r="V56" i="53"/>
  <c r="AB202" i="7"/>
  <c r="X202" i="7"/>
  <c r="Z39" i="53"/>
  <c r="AC12" i="60"/>
  <c r="AC36" i="60"/>
  <c r="AC20" i="60"/>
  <c r="AC54" i="60"/>
  <c r="AC49" i="60"/>
  <c r="AC11" i="60"/>
  <c r="AC27" i="60"/>
  <c r="AC44" i="60"/>
  <c r="AC33" i="60"/>
  <c r="AK42" i="59"/>
  <c r="R11" i="60"/>
  <c r="R12" i="60"/>
  <c r="R36" i="60"/>
  <c r="R20" i="60"/>
  <c r="R33" i="60"/>
  <c r="R27" i="60"/>
  <c r="V10" i="60"/>
  <c r="R44" i="60"/>
  <c r="R54" i="60"/>
  <c r="R49" i="60"/>
  <c r="U12" i="60"/>
  <c r="U36" i="60"/>
  <c r="U27" i="60"/>
  <c r="U49" i="60"/>
  <c r="U50" i="60" s="1"/>
  <c r="U20" i="60"/>
  <c r="U11" i="60"/>
  <c r="U44" i="60"/>
  <c r="U33" i="60"/>
  <c r="U54" i="60"/>
  <c r="AE39" i="53"/>
  <c r="AK53" i="59"/>
  <c r="AK61" i="59" s="1"/>
  <c r="AJ55" i="59"/>
  <c r="AC55" i="59"/>
  <c r="AE12" i="60"/>
  <c r="AE11" i="60"/>
  <c r="AE20" i="60"/>
  <c r="AE36" i="60"/>
  <c r="AE54" i="60"/>
  <c r="AE27" i="60"/>
  <c r="AE49" i="60"/>
  <c r="AE33" i="60"/>
  <c r="AE44" i="60"/>
  <c r="AD11" i="60"/>
  <c r="AD36" i="60"/>
  <c r="AD20" i="60"/>
  <c r="AD27" i="60"/>
  <c r="AD12" i="60"/>
  <c r="AD54" i="60"/>
  <c r="AD33" i="60"/>
  <c r="AD49" i="60"/>
  <c r="AD44" i="60"/>
  <c r="AF10" i="60"/>
  <c r="AB36" i="60"/>
  <c r="AB11" i="60"/>
  <c r="AB27" i="60"/>
  <c r="AB49" i="60"/>
  <c r="AB12" i="60"/>
  <c r="AB20" i="60"/>
  <c r="AB33" i="60"/>
  <c r="AB44" i="60"/>
  <c r="AB54" i="60"/>
  <c r="AB55" i="59"/>
  <c r="AD55" i="59"/>
  <c r="Z12" i="60"/>
  <c r="Z36" i="60"/>
  <c r="Z54" i="60"/>
  <c r="Z49" i="60"/>
  <c r="Z11" i="60"/>
  <c r="Z27" i="60"/>
  <c r="Z20" i="60"/>
  <c r="Z33" i="60"/>
  <c r="Z44" i="60"/>
  <c r="Z40" i="53"/>
  <c r="W202" i="7"/>
  <c r="AC202" i="7"/>
  <c r="Y202" i="7"/>
  <c r="AE202" i="7"/>
  <c r="T36" i="60"/>
  <c r="T12" i="60"/>
  <c r="T27" i="60"/>
  <c r="T11" i="60"/>
  <c r="T33" i="60"/>
  <c r="T20" i="60"/>
  <c r="T49" i="60"/>
  <c r="T54" i="60"/>
  <c r="T44" i="60"/>
  <c r="W12" i="60"/>
  <c r="W36" i="60"/>
  <c r="AA10" i="60"/>
  <c r="W27" i="60"/>
  <c r="W11" i="60"/>
  <c r="W49" i="60"/>
  <c r="W20" i="60"/>
  <c r="W54" i="60"/>
  <c r="W33" i="60"/>
  <c r="W44" i="60"/>
  <c r="AL25" i="7"/>
  <c r="AL23" i="7"/>
  <c r="AF53" i="59"/>
  <c r="AF60" i="59" s="1"/>
  <c r="AE55" i="59"/>
  <c r="AF69" i="59"/>
  <c r="AE40" i="53"/>
  <c r="AA81" i="50"/>
  <c r="AF81" i="50"/>
  <c r="X39" i="53"/>
  <c r="AE41" i="53"/>
  <c r="V81" i="50"/>
  <c r="X41" i="53"/>
  <c r="AE67" i="53"/>
  <c r="X40" i="53"/>
  <c r="AA69" i="59"/>
  <c r="V17" i="53"/>
  <c r="AA17" i="53"/>
  <c r="AA61" i="53"/>
  <c r="AF17" i="53"/>
  <c r="AF104" i="53"/>
  <c r="V38" i="53"/>
  <c r="AA64" i="53"/>
  <c r="V61" i="53"/>
  <c r="T41" i="53"/>
  <c r="T67" i="53"/>
  <c r="T40" i="53"/>
  <c r="S40" i="53"/>
  <c r="S41" i="53"/>
  <c r="S67" i="53"/>
  <c r="V51" i="53"/>
  <c r="V104" i="53"/>
  <c r="AA25" i="53"/>
  <c r="V22" i="53"/>
  <c r="U41" i="53"/>
  <c r="U67" i="53"/>
  <c r="U40" i="53"/>
  <c r="AF64" i="53"/>
  <c r="AF25" i="53"/>
  <c r="AC67" i="53"/>
  <c r="AC40" i="53"/>
  <c r="AC41" i="53"/>
  <c r="AC39" i="53"/>
  <c r="AF51" i="53"/>
  <c r="AD41" i="53"/>
  <c r="AD39" i="53"/>
  <c r="AD40" i="53"/>
  <c r="AD67" i="53"/>
  <c r="AF11" i="53"/>
  <c r="AF22" i="53"/>
  <c r="AB41" i="53"/>
  <c r="AF38" i="53"/>
  <c r="AB67" i="53"/>
  <c r="AB39" i="53"/>
  <c r="AB40" i="53"/>
  <c r="AF46" i="53"/>
  <c r="AF61" i="53"/>
  <c r="AF56" i="53"/>
  <c r="AA11" i="53"/>
  <c r="AA22" i="53"/>
  <c r="Y41" i="53"/>
  <c r="Y39" i="53"/>
  <c r="Y40" i="53"/>
  <c r="Y67" i="53"/>
  <c r="AA46" i="53"/>
  <c r="AA56" i="53"/>
  <c r="W41" i="53"/>
  <c r="W67" i="53"/>
  <c r="AA38" i="53"/>
  <c r="W39" i="53"/>
  <c r="W40" i="53"/>
  <c r="AA51" i="53"/>
  <c r="Q17" i="52"/>
  <c r="V11" i="52"/>
  <c r="V22" i="52"/>
  <c r="V17" i="52"/>
  <c r="AM97" i="7" l="1"/>
  <c r="AM99" i="7"/>
  <c r="AL100" i="7"/>
  <c r="AM92" i="7"/>
  <c r="AK60" i="59"/>
  <c r="AQ55" i="59"/>
  <c r="AR55" i="59"/>
  <c r="AO55" i="59"/>
  <c r="AP53" i="59"/>
  <c r="AP60" i="59" s="1"/>
  <c r="Z76" i="53"/>
  <c r="Z81" i="53" s="1"/>
  <c r="Z70" i="53"/>
  <c r="Z25" i="59" s="1"/>
  <c r="Z26" i="59" s="1"/>
  <c r="AI34" i="7"/>
  <c r="AJ34" i="7"/>
  <c r="AL34" i="7"/>
  <c r="AH34" i="7"/>
  <c r="AM33" i="7"/>
  <c r="AK32" i="7"/>
  <c r="X70" i="53"/>
  <c r="X76" i="53"/>
  <c r="X79" i="53" s="1"/>
  <c r="R76" i="53"/>
  <c r="R70" i="53"/>
  <c r="Z51" i="60"/>
  <c r="Z50" i="60"/>
  <c r="AC46" i="60"/>
  <c r="AC45" i="60"/>
  <c r="Y46" i="60"/>
  <c r="Y45" i="60"/>
  <c r="AE76" i="53"/>
  <c r="T45" i="60"/>
  <c r="T46" i="60"/>
  <c r="Z55" i="60"/>
  <c r="Z56" i="60"/>
  <c r="AB55" i="60"/>
  <c r="AB56" i="60"/>
  <c r="AE37" i="60"/>
  <c r="AE40" i="60"/>
  <c r="S55" i="60"/>
  <c r="S56" i="60"/>
  <c r="W50" i="60"/>
  <c r="W51" i="60"/>
  <c r="Z46" i="60"/>
  <c r="Z45" i="60"/>
  <c r="AB45" i="60"/>
  <c r="AB46" i="60"/>
  <c r="AE45" i="60"/>
  <c r="AE46" i="60"/>
  <c r="R55" i="60"/>
  <c r="R56" i="60"/>
  <c r="S51" i="60"/>
  <c r="S50" i="60"/>
  <c r="AE70" i="53"/>
  <c r="T55" i="60"/>
  <c r="T56" i="60"/>
  <c r="Z37" i="60"/>
  <c r="Z40" i="60"/>
  <c r="AB37" i="60"/>
  <c r="AB40" i="60"/>
  <c r="AF36" i="60"/>
  <c r="R46" i="60"/>
  <c r="R45" i="60"/>
  <c r="AF61" i="59"/>
  <c r="Y56" i="60"/>
  <c r="Y55" i="60"/>
  <c r="Y37" i="60"/>
  <c r="Y40" i="60"/>
  <c r="AD55" i="60"/>
  <c r="AD56" i="60"/>
  <c r="AA202" i="7"/>
  <c r="W45" i="60"/>
  <c r="W46" i="60"/>
  <c r="U51" i="60"/>
  <c r="T51" i="60"/>
  <c r="T50" i="60"/>
  <c r="T40" i="60"/>
  <c r="T37" i="60"/>
  <c r="AF11" i="60"/>
  <c r="AF20" i="60"/>
  <c r="AF54" i="60"/>
  <c r="AF49" i="60"/>
  <c r="AF27" i="60"/>
  <c r="AF33" i="60"/>
  <c r="AF44" i="60"/>
  <c r="AE50" i="60"/>
  <c r="AE51" i="60"/>
  <c r="U55" i="60"/>
  <c r="U56" i="60"/>
  <c r="V11" i="60"/>
  <c r="V27" i="60"/>
  <c r="V20" i="60"/>
  <c r="V49" i="60"/>
  <c r="V50" i="60" s="1"/>
  <c r="V54" i="60"/>
  <c r="V55" i="60" s="1"/>
  <c r="V33" i="60"/>
  <c r="V44" i="60"/>
  <c r="V45" i="60" s="1"/>
  <c r="AC50" i="60"/>
  <c r="AC51" i="60"/>
  <c r="AD50" i="60"/>
  <c r="Y50" i="60"/>
  <c r="Y51" i="60"/>
  <c r="X50" i="60"/>
  <c r="X51" i="60"/>
  <c r="S37" i="60"/>
  <c r="S40" i="60"/>
  <c r="AA20" i="60"/>
  <c r="AA11" i="60"/>
  <c r="AA27" i="60"/>
  <c r="AA54" i="60"/>
  <c r="AA33" i="60"/>
  <c r="AA49" i="60"/>
  <c r="AA50" i="60" s="1"/>
  <c r="AA44" i="60"/>
  <c r="AD46" i="60"/>
  <c r="AD45" i="60"/>
  <c r="U37" i="60"/>
  <c r="U40" i="60"/>
  <c r="AC56" i="60"/>
  <c r="AC55" i="60"/>
  <c r="X56" i="60"/>
  <c r="X55" i="60"/>
  <c r="S46" i="60"/>
  <c r="S45" i="60"/>
  <c r="R51" i="60"/>
  <c r="R50" i="60"/>
  <c r="AC37" i="60"/>
  <c r="AC40" i="60"/>
  <c r="R40" i="60"/>
  <c r="V36" i="60"/>
  <c r="R37" i="60"/>
  <c r="AF202" i="7"/>
  <c r="AE68" i="53"/>
  <c r="V41" i="53"/>
  <c r="W55" i="60"/>
  <c r="W56" i="60"/>
  <c r="W40" i="60"/>
  <c r="AA36" i="60"/>
  <c r="W37" i="60"/>
  <c r="AB50" i="60"/>
  <c r="AB51" i="60"/>
  <c r="AD51" i="60"/>
  <c r="AD37" i="60"/>
  <c r="AD40" i="60"/>
  <c r="AE55" i="60"/>
  <c r="AE56" i="60"/>
  <c r="U45" i="60"/>
  <c r="U46" i="60"/>
  <c r="X45" i="60"/>
  <c r="X46" i="60"/>
  <c r="X37" i="60"/>
  <c r="X40" i="60"/>
  <c r="R79" i="53"/>
  <c r="X68" i="53"/>
  <c r="U76" i="53"/>
  <c r="U69" i="53"/>
  <c r="U70" i="53"/>
  <c r="V67" i="53"/>
  <c r="T70" i="53"/>
  <c r="T76" i="53"/>
  <c r="T69" i="53"/>
  <c r="Z68" i="53"/>
  <c r="S70" i="53"/>
  <c r="S69" i="53"/>
  <c r="S76" i="53"/>
  <c r="AF67" i="53"/>
  <c r="AB70" i="53"/>
  <c r="AB69" i="53"/>
  <c r="AB76" i="53"/>
  <c r="AB68" i="53"/>
  <c r="AF39" i="53"/>
  <c r="AF41" i="53"/>
  <c r="AC76" i="53"/>
  <c r="AC68" i="53"/>
  <c r="AC70" i="53"/>
  <c r="AC69" i="53"/>
  <c r="AD76" i="53"/>
  <c r="AD68" i="53"/>
  <c r="AD70" i="53"/>
  <c r="AD69" i="53"/>
  <c r="AE69" i="53"/>
  <c r="W70" i="53"/>
  <c r="W76" i="53"/>
  <c r="W68" i="53"/>
  <c r="W69" i="53"/>
  <c r="AA67" i="53"/>
  <c r="X69" i="53"/>
  <c r="Y76" i="53"/>
  <c r="Y68" i="53"/>
  <c r="Y69" i="53"/>
  <c r="Y70" i="53"/>
  <c r="AA39" i="53"/>
  <c r="AA41" i="53"/>
  <c r="Z69" i="53"/>
  <c r="AP61" i="59" l="1"/>
  <c r="Z79" i="53"/>
  <c r="R81" i="53"/>
  <c r="X25" i="59"/>
  <c r="X26" i="59" s="1"/>
  <c r="AE79" i="53"/>
  <c r="AE81" i="53"/>
  <c r="AE88" i="53" s="1"/>
  <c r="X81" i="53"/>
  <c r="AF55" i="60"/>
  <c r="AC42" i="60"/>
  <c r="AC41" i="60"/>
  <c r="AF40" i="60"/>
  <c r="AF37" i="60"/>
  <c r="T42" i="60"/>
  <c r="T41" i="60"/>
  <c r="AB42" i="60"/>
  <c r="AB41" i="60"/>
  <c r="X42" i="60"/>
  <c r="X41" i="60"/>
  <c r="AA45" i="60"/>
  <c r="AF50" i="60"/>
  <c r="AE25" i="59"/>
  <c r="AE26" i="59" s="1"/>
  <c r="AB25" i="59"/>
  <c r="AB26" i="59" s="1"/>
  <c r="S42" i="60"/>
  <c r="S41" i="60"/>
  <c r="Z41" i="60"/>
  <c r="Z42" i="60"/>
  <c r="AE42" i="60"/>
  <c r="AE41" i="60"/>
  <c r="W25" i="59"/>
  <c r="W26" i="59" s="1"/>
  <c r="Y25" i="59"/>
  <c r="Y26" i="59" s="1"/>
  <c r="AC25" i="59"/>
  <c r="AC26" i="59" s="1"/>
  <c r="AD42" i="60"/>
  <c r="AD41" i="60"/>
  <c r="AA37" i="60"/>
  <c r="AA40" i="60"/>
  <c r="V37" i="60"/>
  <c r="V40" i="60"/>
  <c r="V41" i="60" s="1"/>
  <c r="U42" i="60"/>
  <c r="U41" i="60"/>
  <c r="AD25" i="59"/>
  <c r="AD26" i="59" s="1"/>
  <c r="U25" i="59"/>
  <c r="U26" i="59" s="1"/>
  <c r="W41" i="60"/>
  <c r="W42" i="60"/>
  <c r="R42" i="60"/>
  <c r="R41" i="60"/>
  <c r="AA55" i="60"/>
  <c r="AF45" i="60"/>
  <c r="Y41" i="60"/>
  <c r="Y42" i="60"/>
  <c r="AC79" i="53"/>
  <c r="Y79" i="53"/>
  <c r="U79" i="53"/>
  <c r="AB79" i="53"/>
  <c r="W79" i="53"/>
  <c r="AD79" i="53"/>
  <c r="T79" i="53"/>
  <c r="S79" i="53"/>
  <c r="V76" i="53"/>
  <c r="V70" i="53"/>
  <c r="R82" i="53"/>
  <c r="S81" i="53"/>
  <c r="T81" i="53"/>
  <c r="U81" i="53"/>
  <c r="AF76" i="53"/>
  <c r="AB81" i="53"/>
  <c r="AD81" i="53"/>
  <c r="AC81" i="53"/>
  <c r="AF68" i="53"/>
  <c r="AF70" i="53"/>
  <c r="Y81" i="53"/>
  <c r="AA76" i="53"/>
  <c r="W81" i="53"/>
  <c r="Z88" i="53"/>
  <c r="Z86" i="53"/>
  <c r="Z82" i="53"/>
  <c r="AA70" i="53"/>
  <c r="AA68" i="53"/>
  <c r="AE82" i="53" l="1"/>
  <c r="X82" i="53"/>
  <c r="X88" i="53"/>
  <c r="X86" i="53"/>
  <c r="R86" i="53"/>
  <c r="AE86" i="53"/>
  <c r="AA41" i="60"/>
  <c r="V76" i="59"/>
  <c r="AA76" i="59"/>
  <c r="AF41" i="60"/>
  <c r="AF76" i="59"/>
  <c r="AA79" i="53"/>
  <c r="AC86" i="53"/>
  <c r="AD86" i="53"/>
  <c r="AB86" i="53"/>
  <c r="AF79" i="53"/>
  <c r="V79" i="53"/>
  <c r="S82" i="53"/>
  <c r="S86" i="53"/>
  <c r="V81" i="53"/>
  <c r="U82" i="53"/>
  <c r="U86" i="53"/>
  <c r="T82" i="53"/>
  <c r="T86" i="53"/>
  <c r="AD88" i="53"/>
  <c r="AD82" i="53"/>
  <c r="AB82" i="53"/>
  <c r="AF81" i="53"/>
  <c r="AB88" i="53"/>
  <c r="AC88" i="53"/>
  <c r="AC82" i="53"/>
  <c r="W82" i="53"/>
  <c r="AA81" i="53"/>
  <c r="W86" i="53"/>
  <c r="W88" i="53"/>
  <c r="Y86" i="53"/>
  <c r="Y88" i="53"/>
  <c r="Y82" i="53"/>
  <c r="AF77" i="59" l="1"/>
  <c r="AA77" i="59"/>
  <c r="AT22" i="50"/>
  <c r="V82" i="53"/>
  <c r="V86" i="53"/>
  <c r="AF86" i="53"/>
  <c r="AF82" i="53"/>
  <c r="AA86" i="53"/>
  <c r="AA82" i="53"/>
  <c r="AU22" i="50" l="1"/>
  <c r="AV22" i="50"/>
  <c r="AJ21" i="52"/>
  <c r="AI21" i="52"/>
  <c r="AH21" i="52"/>
  <c r="AG21" i="52"/>
  <c r="AE21" i="52"/>
  <c r="AD21" i="52"/>
  <c r="AC21" i="52"/>
  <c r="AB21" i="52"/>
  <c r="Z21" i="52"/>
  <c r="Y21" i="52"/>
  <c r="X21" i="52"/>
  <c r="W21" i="52"/>
  <c r="AJ20" i="52"/>
  <c r="AI20" i="52"/>
  <c r="AH20" i="52"/>
  <c r="AG20" i="52"/>
  <c r="AE20" i="52"/>
  <c r="AD20" i="52"/>
  <c r="AC20" i="52"/>
  <c r="AB20" i="52"/>
  <c r="Z20" i="52"/>
  <c r="Y20" i="52"/>
  <c r="X20" i="52"/>
  <c r="W20" i="52"/>
  <c r="AK19" i="52"/>
  <c r="AP20" i="52" s="1"/>
  <c r="AF19" i="52"/>
  <c r="AA19" i="52"/>
  <c r="AJ16" i="52"/>
  <c r="AI16" i="52"/>
  <c r="AH16" i="52"/>
  <c r="AG16" i="52"/>
  <c r="AE16" i="52"/>
  <c r="AD16" i="52"/>
  <c r="AC16" i="52"/>
  <c r="AB16" i="52"/>
  <c r="Z16" i="52"/>
  <c r="Y16" i="52"/>
  <c r="X16" i="52"/>
  <c r="W16" i="52"/>
  <c r="AJ15" i="52"/>
  <c r="AI15" i="52"/>
  <c r="AH15" i="52"/>
  <c r="AG15" i="52"/>
  <c r="AE15" i="52"/>
  <c r="AD15" i="52"/>
  <c r="AC15" i="52"/>
  <c r="AB15" i="52"/>
  <c r="Z15" i="52"/>
  <c r="Y15" i="52"/>
  <c r="X15" i="52"/>
  <c r="W15" i="52"/>
  <c r="AK14" i="52"/>
  <c r="AP15" i="52" s="1"/>
  <c r="AF14" i="52"/>
  <c r="AA14" i="52"/>
  <c r="AJ24" i="53"/>
  <c r="AI24" i="53"/>
  <c r="AH24" i="53"/>
  <c r="AG24" i="53"/>
  <c r="T25" i="53"/>
  <c r="R25" i="53"/>
  <c r="D24" i="53"/>
  <c r="I25" i="53" s="1"/>
  <c r="E24" i="53"/>
  <c r="J25" i="53" s="1"/>
  <c r="F24" i="53"/>
  <c r="C24" i="53"/>
  <c r="H25" i="53" s="1"/>
  <c r="AJ24" i="52"/>
  <c r="AO25" i="52" s="1"/>
  <c r="AI24" i="52"/>
  <c r="AN25" i="52" s="1"/>
  <c r="AH24" i="52"/>
  <c r="AM25" i="52" s="1"/>
  <c r="AG24" i="52"/>
  <c r="AE24" i="52"/>
  <c r="AD24" i="52"/>
  <c r="AC24" i="52"/>
  <c r="AB24" i="52"/>
  <c r="Z24" i="52"/>
  <c r="Y24" i="52"/>
  <c r="X24" i="52"/>
  <c r="W24" i="52"/>
  <c r="U24" i="52"/>
  <c r="T24" i="52"/>
  <c r="S24" i="52"/>
  <c r="R24" i="52"/>
  <c r="R26" i="52" s="1"/>
  <c r="P24" i="52"/>
  <c r="O24" i="52"/>
  <c r="N24" i="52"/>
  <c r="M24" i="52"/>
  <c r="K24" i="52"/>
  <c r="J24" i="52"/>
  <c r="I24" i="52"/>
  <c r="H24" i="52"/>
  <c r="C24" i="52"/>
  <c r="D24" i="52"/>
  <c r="E24" i="52"/>
  <c r="F24" i="52"/>
  <c r="AJ36" i="53"/>
  <c r="AI36" i="53"/>
  <c r="AH36" i="53"/>
  <c r="F36" i="53"/>
  <c r="E36" i="53"/>
  <c r="D36" i="53"/>
  <c r="C36" i="53"/>
  <c r="AJ35" i="53"/>
  <c r="AI35" i="53"/>
  <c r="AH35" i="53"/>
  <c r="AG35" i="53"/>
  <c r="F35" i="53"/>
  <c r="E35" i="53"/>
  <c r="D35" i="53"/>
  <c r="AJ34" i="53"/>
  <c r="AI34" i="53"/>
  <c r="AH34" i="53"/>
  <c r="AG34" i="53"/>
  <c r="AK33" i="53"/>
  <c r="V34" i="53"/>
  <c r="G33" i="53"/>
  <c r="L34" i="53" s="1"/>
  <c r="AJ31" i="53"/>
  <c r="AI31" i="53"/>
  <c r="AH31" i="53"/>
  <c r="AG31" i="53"/>
  <c r="F31" i="53"/>
  <c r="E31" i="53"/>
  <c r="D31" i="53"/>
  <c r="C31" i="53"/>
  <c r="AJ30" i="53"/>
  <c r="AI30" i="53"/>
  <c r="AH30" i="53"/>
  <c r="AG30" i="53"/>
  <c r="F30" i="53"/>
  <c r="E30" i="53"/>
  <c r="D30" i="53"/>
  <c r="AJ29" i="53"/>
  <c r="AI29" i="53"/>
  <c r="AH29" i="53"/>
  <c r="AG29" i="53"/>
  <c r="AK28" i="53"/>
  <c r="G28" i="53"/>
  <c r="L29" i="53" s="1"/>
  <c r="AJ36" i="52"/>
  <c r="AI36" i="52"/>
  <c r="AH36" i="52"/>
  <c r="AG36" i="52"/>
  <c r="AE36" i="52"/>
  <c r="AD36" i="52"/>
  <c r="AC36" i="52"/>
  <c r="AB36" i="52"/>
  <c r="Z36" i="52"/>
  <c r="Y36" i="52"/>
  <c r="X36" i="52"/>
  <c r="W36" i="52"/>
  <c r="V36" i="52"/>
  <c r="U36" i="52"/>
  <c r="T36" i="52"/>
  <c r="S36" i="52"/>
  <c r="R36" i="52"/>
  <c r="P36" i="52"/>
  <c r="O36" i="52"/>
  <c r="N36" i="52"/>
  <c r="M36" i="52"/>
  <c r="K36" i="52"/>
  <c r="J36" i="52"/>
  <c r="I36" i="52"/>
  <c r="H36" i="52"/>
  <c r="F36" i="52"/>
  <c r="E36" i="52"/>
  <c r="D36" i="52"/>
  <c r="C36" i="52"/>
  <c r="AJ31" i="52"/>
  <c r="AI31" i="52"/>
  <c r="AH31" i="52"/>
  <c r="AG31" i="52"/>
  <c r="AE31" i="52"/>
  <c r="AD31" i="52"/>
  <c r="AC31" i="52"/>
  <c r="AB31" i="52"/>
  <c r="Z31" i="52"/>
  <c r="Y31" i="52"/>
  <c r="X31" i="52"/>
  <c r="W31" i="52"/>
  <c r="K31" i="52"/>
  <c r="J31" i="52"/>
  <c r="I31" i="52"/>
  <c r="H31" i="52"/>
  <c r="F31" i="52"/>
  <c r="E31" i="52"/>
  <c r="D31" i="52"/>
  <c r="C31" i="52"/>
  <c r="AJ35" i="52"/>
  <c r="AI35" i="52"/>
  <c r="AH35" i="52"/>
  <c r="AG35" i="52"/>
  <c r="AE35" i="52"/>
  <c r="AD35" i="52"/>
  <c r="AC35" i="52"/>
  <c r="AB35" i="52"/>
  <c r="Z35" i="52"/>
  <c r="Y35" i="52"/>
  <c r="X35" i="52"/>
  <c r="W35" i="52"/>
  <c r="U35" i="52"/>
  <c r="T35" i="52"/>
  <c r="S35" i="52"/>
  <c r="R35" i="52"/>
  <c r="P35" i="52"/>
  <c r="O35" i="52"/>
  <c r="N35" i="52"/>
  <c r="M35" i="52"/>
  <c r="K35" i="52"/>
  <c r="J35" i="52"/>
  <c r="I35" i="52"/>
  <c r="H35" i="52"/>
  <c r="F35" i="52"/>
  <c r="E35" i="52"/>
  <c r="D35" i="52"/>
  <c r="AJ34" i="52"/>
  <c r="AI34" i="52"/>
  <c r="AH34" i="52"/>
  <c r="AG34" i="52"/>
  <c r="AE34" i="52"/>
  <c r="AD34" i="52"/>
  <c r="AC34" i="52"/>
  <c r="AB34" i="52"/>
  <c r="Z34" i="52"/>
  <c r="Y34" i="52"/>
  <c r="X34" i="52"/>
  <c r="W34" i="52"/>
  <c r="V34" i="52"/>
  <c r="U34" i="52"/>
  <c r="T34" i="52"/>
  <c r="S34" i="52"/>
  <c r="R34" i="52"/>
  <c r="P34" i="52"/>
  <c r="O34" i="52"/>
  <c r="N34" i="52"/>
  <c r="M34" i="52"/>
  <c r="K34" i="52"/>
  <c r="J34" i="52"/>
  <c r="I34" i="52"/>
  <c r="H34" i="52"/>
  <c r="AK33" i="52"/>
  <c r="AP34" i="52" s="1"/>
  <c r="AF33" i="52"/>
  <c r="AF36" i="52" s="1"/>
  <c r="AA33" i="52"/>
  <c r="L33" i="52"/>
  <c r="G33" i="52"/>
  <c r="AJ30" i="52"/>
  <c r="AI30" i="52"/>
  <c r="AH30" i="52"/>
  <c r="AG30" i="52"/>
  <c r="AE30" i="52"/>
  <c r="AD30" i="52"/>
  <c r="AC30" i="52"/>
  <c r="AB30" i="52"/>
  <c r="Z30" i="52"/>
  <c r="Y30" i="52"/>
  <c r="X30" i="52"/>
  <c r="W30" i="52"/>
  <c r="K30" i="52"/>
  <c r="J30" i="52"/>
  <c r="I30" i="52"/>
  <c r="H30" i="52"/>
  <c r="F30" i="52"/>
  <c r="E30" i="52"/>
  <c r="D30" i="52"/>
  <c r="AJ29" i="52"/>
  <c r="AI29" i="52"/>
  <c r="AH29" i="52"/>
  <c r="AG29" i="52"/>
  <c r="AE29" i="52"/>
  <c r="AD29" i="52"/>
  <c r="AC29" i="52"/>
  <c r="AB29" i="52"/>
  <c r="Z29" i="52"/>
  <c r="Y29" i="52"/>
  <c r="X29" i="52"/>
  <c r="W29" i="52"/>
  <c r="K29" i="52"/>
  <c r="J29" i="52"/>
  <c r="I29" i="52"/>
  <c r="H29" i="52"/>
  <c r="AK28" i="52"/>
  <c r="AP29" i="52" s="1"/>
  <c r="AF28" i="52"/>
  <c r="AA28" i="52"/>
  <c r="AA29" i="52" s="1"/>
  <c r="L28" i="52"/>
  <c r="G28" i="52"/>
  <c r="AJ10" i="52"/>
  <c r="AO11" i="52" s="1"/>
  <c r="AI10" i="52"/>
  <c r="AI55" i="50" s="1"/>
  <c r="AH10" i="52"/>
  <c r="AG10" i="52"/>
  <c r="AG55" i="50" s="1"/>
  <c r="AE10" i="52"/>
  <c r="AE55" i="50" s="1"/>
  <c r="AD10" i="52"/>
  <c r="AC10" i="52"/>
  <c r="AB10" i="52"/>
  <c r="Z10" i="52"/>
  <c r="Y10" i="52"/>
  <c r="X10" i="52"/>
  <c r="W10" i="52"/>
  <c r="S61" i="52"/>
  <c r="O61" i="52"/>
  <c r="K10" i="52"/>
  <c r="K55" i="50" s="1"/>
  <c r="K86" i="50" s="1"/>
  <c r="J10" i="52"/>
  <c r="J55" i="50" s="1"/>
  <c r="I10" i="52"/>
  <c r="I55" i="50" s="1"/>
  <c r="H10" i="52"/>
  <c r="H55" i="50" s="1"/>
  <c r="D10" i="52"/>
  <c r="D22" i="52" s="1"/>
  <c r="E10" i="52"/>
  <c r="E22" i="52" s="1"/>
  <c r="F10" i="52"/>
  <c r="F17" i="52" s="1"/>
  <c r="C10" i="52"/>
  <c r="C22" i="52" s="1"/>
  <c r="K21" i="52"/>
  <c r="J21" i="52"/>
  <c r="I21" i="52"/>
  <c r="H21" i="52"/>
  <c r="F21" i="52"/>
  <c r="E21" i="52"/>
  <c r="D21" i="52"/>
  <c r="K20" i="52"/>
  <c r="J20" i="52"/>
  <c r="I20" i="52"/>
  <c r="H20" i="52"/>
  <c r="L19" i="52"/>
  <c r="Q20" i="52" s="1"/>
  <c r="G19" i="52"/>
  <c r="K16" i="52"/>
  <c r="J16" i="52"/>
  <c r="I16" i="52"/>
  <c r="H16" i="52"/>
  <c r="F16" i="52"/>
  <c r="E16" i="52"/>
  <c r="D16" i="52"/>
  <c r="K15" i="52"/>
  <c r="J15" i="52"/>
  <c r="I15" i="52"/>
  <c r="H15" i="52"/>
  <c r="L14" i="52"/>
  <c r="Q15" i="52" s="1"/>
  <c r="G14" i="52"/>
  <c r="G31" i="52" s="1"/>
  <c r="AE107" i="53"/>
  <c r="AB105" i="53"/>
  <c r="Z103" i="53"/>
  <c r="Y106" i="53"/>
  <c r="K104" i="53"/>
  <c r="J104" i="53"/>
  <c r="I104" i="53"/>
  <c r="H104" i="53"/>
  <c r="D10" i="53"/>
  <c r="I11" i="53" s="1"/>
  <c r="E10" i="53"/>
  <c r="J11" i="53" s="1"/>
  <c r="F10" i="53"/>
  <c r="F56" i="53" s="1"/>
  <c r="C10" i="53"/>
  <c r="H11" i="53" s="1"/>
  <c r="F21" i="53"/>
  <c r="E21" i="53"/>
  <c r="D21" i="53"/>
  <c r="G19" i="53"/>
  <c r="L20" i="53" s="1"/>
  <c r="F16" i="53"/>
  <c r="E16" i="53"/>
  <c r="D16" i="53"/>
  <c r="G14" i="53"/>
  <c r="L15" i="53" s="1"/>
  <c r="AJ149" i="53"/>
  <c r="AI149" i="53"/>
  <c r="AH149" i="53"/>
  <c r="AG149" i="53"/>
  <c r="AE149" i="53"/>
  <c r="AD149" i="53"/>
  <c r="AC149" i="53"/>
  <c r="AB149" i="53"/>
  <c r="Z149" i="53"/>
  <c r="Y149" i="53"/>
  <c r="X149" i="53"/>
  <c r="W149" i="53"/>
  <c r="U149" i="53"/>
  <c r="T149" i="53"/>
  <c r="S149" i="53"/>
  <c r="R149" i="53"/>
  <c r="P149" i="53"/>
  <c r="O149" i="53"/>
  <c r="N149" i="53"/>
  <c r="M149" i="53"/>
  <c r="K149" i="53"/>
  <c r="J149" i="53"/>
  <c r="I149" i="53"/>
  <c r="H149" i="53"/>
  <c r="AJ146" i="53"/>
  <c r="AI146" i="53"/>
  <c r="AH146" i="53"/>
  <c r="AG146" i="53"/>
  <c r="AE146" i="53"/>
  <c r="AD146" i="53"/>
  <c r="AC146" i="53"/>
  <c r="AB146" i="53"/>
  <c r="Z146" i="53"/>
  <c r="Y146" i="53"/>
  <c r="X146" i="53"/>
  <c r="W146" i="53"/>
  <c r="U146" i="53"/>
  <c r="T146" i="53"/>
  <c r="S146" i="53"/>
  <c r="R146" i="53"/>
  <c r="P146" i="53"/>
  <c r="O146" i="53"/>
  <c r="N146" i="53"/>
  <c r="M146" i="53"/>
  <c r="K146" i="53"/>
  <c r="J146" i="53"/>
  <c r="I146" i="53"/>
  <c r="H146" i="53"/>
  <c r="AJ143" i="53"/>
  <c r="AI143" i="53"/>
  <c r="AH143" i="53"/>
  <c r="AG143" i="53"/>
  <c r="AE143" i="53"/>
  <c r="AD143" i="53"/>
  <c r="AC143" i="53"/>
  <c r="AB143" i="53"/>
  <c r="Z143" i="53"/>
  <c r="Y143" i="53"/>
  <c r="X143" i="53"/>
  <c r="W143" i="53"/>
  <c r="U143" i="53"/>
  <c r="T143" i="53"/>
  <c r="S143" i="53"/>
  <c r="R143" i="53"/>
  <c r="P143" i="53"/>
  <c r="O143" i="53"/>
  <c r="N143" i="53"/>
  <c r="M143" i="53"/>
  <c r="K143" i="53"/>
  <c r="J143" i="53"/>
  <c r="I143" i="53"/>
  <c r="H143" i="53"/>
  <c r="AJ140" i="53"/>
  <c r="AI140" i="53"/>
  <c r="AH140" i="53"/>
  <c r="AG140" i="53"/>
  <c r="AE140" i="53"/>
  <c r="AD140" i="53"/>
  <c r="AC140" i="53"/>
  <c r="AB140" i="53"/>
  <c r="Z140" i="53"/>
  <c r="Y140" i="53"/>
  <c r="X140" i="53"/>
  <c r="W140" i="53"/>
  <c r="U140" i="53"/>
  <c r="T140" i="53"/>
  <c r="S140" i="53"/>
  <c r="R140" i="53"/>
  <c r="P140" i="53"/>
  <c r="O140" i="53"/>
  <c r="N140" i="53"/>
  <c r="M140" i="53"/>
  <c r="K140" i="53"/>
  <c r="J140" i="53"/>
  <c r="I140" i="53"/>
  <c r="H140" i="53"/>
  <c r="AJ137" i="53"/>
  <c r="AI137" i="53"/>
  <c r="AI152" i="53" s="1"/>
  <c r="AI120" i="50" s="1"/>
  <c r="AH137" i="53"/>
  <c r="AG137" i="53"/>
  <c r="AE137" i="53"/>
  <c r="AD137" i="53"/>
  <c r="AD152" i="53" s="1"/>
  <c r="AD120" i="50" s="1"/>
  <c r="AC137" i="53"/>
  <c r="AB137" i="53"/>
  <c r="Z137" i="53"/>
  <c r="Y137" i="53"/>
  <c r="X137" i="53"/>
  <c r="W137" i="53"/>
  <c r="U137" i="53"/>
  <c r="T137" i="53"/>
  <c r="S137" i="53"/>
  <c r="R137" i="53"/>
  <c r="P137" i="53"/>
  <c r="O137" i="53"/>
  <c r="O152" i="53" s="1"/>
  <c r="O120" i="50" s="1"/>
  <c r="N137" i="53"/>
  <c r="M137" i="53"/>
  <c r="K137" i="53"/>
  <c r="J137" i="53"/>
  <c r="I137" i="53"/>
  <c r="H137" i="53"/>
  <c r="D137" i="53"/>
  <c r="E137" i="53"/>
  <c r="F137" i="53"/>
  <c r="D140" i="53"/>
  <c r="E140" i="53"/>
  <c r="F140" i="53"/>
  <c r="D143" i="53"/>
  <c r="E143" i="53"/>
  <c r="F143" i="53"/>
  <c r="D146" i="53"/>
  <c r="E146" i="53"/>
  <c r="F146" i="53"/>
  <c r="D149" i="53"/>
  <c r="E149" i="53"/>
  <c r="F149" i="53"/>
  <c r="C149" i="53"/>
  <c r="C146" i="53"/>
  <c r="C143" i="53"/>
  <c r="C140" i="53"/>
  <c r="C137" i="53"/>
  <c r="AY60" i="53"/>
  <c r="AX60" i="53"/>
  <c r="AW60" i="53"/>
  <c r="AV60" i="53"/>
  <c r="AY59" i="53"/>
  <c r="AW59" i="53"/>
  <c r="AT59" i="53"/>
  <c r="AZ58" i="53"/>
  <c r="Z108" i="53"/>
  <c r="U107" i="53"/>
  <c r="U106" i="53"/>
  <c r="AC105" i="53"/>
  <c r="AC109" i="53"/>
  <c r="X109" i="53"/>
  <c r="U109" i="53"/>
  <c r="AK100" i="53"/>
  <c r="AF100" i="53"/>
  <c r="AA100" i="53"/>
  <c r="V100" i="53"/>
  <c r="AK99" i="53"/>
  <c r="AF99" i="53"/>
  <c r="AA99" i="53"/>
  <c r="V99" i="53"/>
  <c r="AK98" i="53"/>
  <c r="AF98" i="53"/>
  <c r="AA98" i="53"/>
  <c r="V98" i="53"/>
  <c r="AK97" i="53"/>
  <c r="AF97" i="53"/>
  <c r="AA97" i="53"/>
  <c r="V97" i="53"/>
  <c r="AK95" i="53"/>
  <c r="AF95" i="53"/>
  <c r="AA95" i="53"/>
  <c r="V95" i="53"/>
  <c r="AE89" i="53"/>
  <c r="AD89" i="53"/>
  <c r="AC89" i="53"/>
  <c r="AB89" i="53"/>
  <c r="Z89" i="53"/>
  <c r="Y89" i="53"/>
  <c r="X89" i="53"/>
  <c r="W89" i="53"/>
  <c r="AF88" i="53"/>
  <c r="AA88" i="53"/>
  <c r="AK78" i="53"/>
  <c r="AK75" i="53"/>
  <c r="AJ63" i="53"/>
  <c r="AI63" i="53"/>
  <c r="AH63" i="53"/>
  <c r="AG63" i="53"/>
  <c r="T64" i="53"/>
  <c r="S64" i="53"/>
  <c r="R64" i="53"/>
  <c r="AJ60" i="53"/>
  <c r="AI60" i="53"/>
  <c r="AH60" i="53"/>
  <c r="AG60" i="53"/>
  <c r="AJ59" i="53"/>
  <c r="AI59" i="53"/>
  <c r="AH59" i="53"/>
  <c r="AG59" i="53"/>
  <c r="AK58" i="53"/>
  <c r="V59" i="53"/>
  <c r="AJ55" i="53"/>
  <c r="AI55" i="53"/>
  <c r="AH55" i="53"/>
  <c r="AG55" i="53"/>
  <c r="AJ54" i="53"/>
  <c r="AI54" i="53"/>
  <c r="AH54" i="53"/>
  <c r="AG54" i="53"/>
  <c r="AK53" i="53"/>
  <c r="V54" i="53"/>
  <c r="AJ50" i="53"/>
  <c r="AI50" i="53"/>
  <c r="AH50" i="53"/>
  <c r="AG50" i="53"/>
  <c r="AJ49" i="53"/>
  <c r="AI49" i="53"/>
  <c r="AH49" i="53"/>
  <c r="AG49" i="53"/>
  <c r="AK48" i="53"/>
  <c r="V49" i="53"/>
  <c r="AJ45" i="53"/>
  <c r="AI45" i="53"/>
  <c r="AH45" i="53"/>
  <c r="AG45" i="53"/>
  <c r="AJ44" i="53"/>
  <c r="AI44" i="53"/>
  <c r="AH44" i="53"/>
  <c r="AG44" i="53"/>
  <c r="AK43" i="53"/>
  <c r="V44" i="53"/>
  <c r="L100" i="53"/>
  <c r="G100" i="53"/>
  <c r="L99" i="53"/>
  <c r="G99" i="53"/>
  <c r="L98" i="53"/>
  <c r="G98" i="53"/>
  <c r="L97" i="53"/>
  <c r="G97" i="53"/>
  <c r="L95" i="53"/>
  <c r="G95" i="53"/>
  <c r="G75" i="53"/>
  <c r="F60" i="53"/>
  <c r="E60" i="53"/>
  <c r="D55" i="53"/>
  <c r="G53" i="53"/>
  <c r="L54" i="53" s="1"/>
  <c r="D50" i="53"/>
  <c r="D46" i="53"/>
  <c r="S60" i="52"/>
  <c r="R60" i="52"/>
  <c r="S59" i="52"/>
  <c r="R59" i="52"/>
  <c r="S26" i="52"/>
  <c r="Q77" i="52"/>
  <c r="P60" i="52"/>
  <c r="O60" i="52"/>
  <c r="N60" i="52"/>
  <c r="M60" i="52"/>
  <c r="P59" i="52"/>
  <c r="O59" i="52"/>
  <c r="N59" i="52"/>
  <c r="M59" i="52"/>
  <c r="P63" i="52"/>
  <c r="O63" i="52"/>
  <c r="M61" i="52"/>
  <c r="R25" i="52" l="1"/>
  <c r="P25" i="52"/>
  <c r="AP59" i="53"/>
  <c r="AO25" i="53"/>
  <c r="E17" i="52"/>
  <c r="AO64" i="53"/>
  <c r="AI26" i="53"/>
  <c r="W22" i="52"/>
  <c r="W55" i="50"/>
  <c r="AD22" i="52"/>
  <c r="AD55" i="50"/>
  <c r="C17" i="52"/>
  <c r="X22" i="52"/>
  <c r="X55" i="50"/>
  <c r="D17" i="52"/>
  <c r="F22" i="52"/>
  <c r="G36" i="52"/>
  <c r="Y22" i="52"/>
  <c r="Y55" i="50"/>
  <c r="AH22" i="52"/>
  <c r="AM11" i="52"/>
  <c r="AH55" i="50"/>
  <c r="AB22" i="52"/>
  <c r="AB55" i="50"/>
  <c r="Z22" i="52"/>
  <c r="Z55" i="50"/>
  <c r="AC17" i="52"/>
  <c r="AC55" i="50"/>
  <c r="AJ22" i="52"/>
  <c r="AJ55" i="50"/>
  <c r="L34" i="52"/>
  <c r="AI22" i="52"/>
  <c r="AN11" i="52"/>
  <c r="AN25" i="53"/>
  <c r="AN64" i="53"/>
  <c r="F38" i="53"/>
  <c r="H40" i="53" s="1"/>
  <c r="F46" i="53"/>
  <c r="BE59" i="53"/>
  <c r="AG81" i="50"/>
  <c r="AH81" i="50"/>
  <c r="AI81" i="50"/>
  <c r="AJ81" i="50"/>
  <c r="O26" i="52"/>
  <c r="P26" i="52"/>
  <c r="AW22" i="50"/>
  <c r="AF137" i="53"/>
  <c r="AF140" i="53"/>
  <c r="AF143" i="53"/>
  <c r="AF146" i="53"/>
  <c r="AF149" i="53"/>
  <c r="F51" i="53"/>
  <c r="H12" i="53"/>
  <c r="K11" i="53"/>
  <c r="K25" i="53"/>
  <c r="H26" i="53"/>
  <c r="R65" i="53"/>
  <c r="U64" i="53"/>
  <c r="R12" i="53"/>
  <c r="U11" i="53"/>
  <c r="AK137" i="53"/>
  <c r="AK140" i="53"/>
  <c r="AK143" i="53"/>
  <c r="AK146" i="53"/>
  <c r="AK149" i="53"/>
  <c r="V29" i="53"/>
  <c r="D38" i="53"/>
  <c r="I39" i="53" s="1"/>
  <c r="S25" i="53"/>
  <c r="R11" i="53"/>
  <c r="S11" i="53"/>
  <c r="R26" i="53"/>
  <c r="U25" i="53"/>
  <c r="W152" i="53"/>
  <c r="W120" i="50" s="1"/>
  <c r="AA137" i="53"/>
  <c r="AA140" i="53"/>
  <c r="AA143" i="53"/>
  <c r="AA146" i="53"/>
  <c r="AA149" i="53"/>
  <c r="T11" i="53"/>
  <c r="AJ26" i="53"/>
  <c r="AH25" i="53"/>
  <c r="AE109" i="53"/>
  <c r="AH26" i="53"/>
  <c r="G101" i="53"/>
  <c r="L137" i="53"/>
  <c r="L140" i="53"/>
  <c r="AK101" i="53"/>
  <c r="Q140" i="53"/>
  <c r="V140" i="53"/>
  <c r="D12" i="53"/>
  <c r="AA101" i="53"/>
  <c r="AF101" i="53"/>
  <c r="E152" i="53"/>
  <c r="E147" i="53" s="1"/>
  <c r="Q143" i="53"/>
  <c r="Q146" i="53"/>
  <c r="G140" i="53"/>
  <c r="F152" i="53"/>
  <c r="F138" i="53" s="1"/>
  <c r="L101" i="53"/>
  <c r="V101" i="53"/>
  <c r="G31" i="53"/>
  <c r="AK29" i="53"/>
  <c r="G36" i="53"/>
  <c r="AK34" i="53"/>
  <c r="X108" i="53"/>
  <c r="D26" i="53"/>
  <c r="C38" i="53"/>
  <c r="H39" i="53" s="1"/>
  <c r="AI25" i="53"/>
  <c r="X107" i="53"/>
  <c r="AE108" i="53"/>
  <c r="G146" i="53"/>
  <c r="AJ25" i="53"/>
  <c r="AK24" i="53"/>
  <c r="Y107" i="53"/>
  <c r="Z105" i="53"/>
  <c r="Z106" i="53"/>
  <c r="Z107" i="53"/>
  <c r="T106" i="53"/>
  <c r="AB107" i="53"/>
  <c r="Y103" i="53"/>
  <c r="T107" i="53"/>
  <c r="AC106" i="53"/>
  <c r="Y105" i="53"/>
  <c r="Y108" i="53"/>
  <c r="O25" i="52"/>
  <c r="J17" i="52"/>
  <c r="O11" i="52"/>
  <c r="K17" i="52"/>
  <c r="P11" i="52"/>
  <c r="M12" i="52"/>
  <c r="L29" i="52"/>
  <c r="Q29" i="52"/>
  <c r="H22" i="52"/>
  <c r="M11" i="52"/>
  <c r="I22" i="52"/>
  <c r="N11" i="52"/>
  <c r="V24" i="52"/>
  <c r="L24" i="52"/>
  <c r="J22" i="52"/>
  <c r="I105" i="53"/>
  <c r="AA36" i="52"/>
  <c r="AF29" i="52"/>
  <c r="AA31" i="52"/>
  <c r="AA24" i="52"/>
  <c r="AF31" i="52"/>
  <c r="AF34" i="52"/>
  <c r="AF24" i="52"/>
  <c r="AK34" i="52"/>
  <c r="AI17" i="52"/>
  <c r="AK24" i="52"/>
  <c r="AK31" i="52"/>
  <c r="AK36" i="52"/>
  <c r="AK29" i="52"/>
  <c r="AC22" i="52"/>
  <c r="AF10" i="52"/>
  <c r="Q36" i="52"/>
  <c r="I17" i="52"/>
  <c r="K22" i="52"/>
  <c r="X17" i="52"/>
  <c r="AD17" i="52"/>
  <c r="AJ17" i="52"/>
  <c r="H17" i="52"/>
  <c r="W17" i="52"/>
  <c r="AK10" i="52"/>
  <c r="L36" i="52"/>
  <c r="AK15" i="52"/>
  <c r="Y17" i="52"/>
  <c r="AE17" i="52"/>
  <c r="AK20" i="52"/>
  <c r="AE22" i="52"/>
  <c r="L31" i="52"/>
  <c r="AF15" i="52"/>
  <c r="Z17" i="52"/>
  <c r="AF20" i="52"/>
  <c r="AA15" i="52"/>
  <c r="AG17" i="52"/>
  <c r="AA20" i="52"/>
  <c r="AG22" i="52"/>
  <c r="AB17" i="52"/>
  <c r="AH17" i="52"/>
  <c r="V25" i="53"/>
  <c r="S25" i="52"/>
  <c r="M25" i="52"/>
  <c r="Q24" i="52"/>
  <c r="AK31" i="53"/>
  <c r="AK68" i="59" s="1"/>
  <c r="AK69" i="59" s="1"/>
  <c r="AB108" i="53"/>
  <c r="G143" i="53"/>
  <c r="D152" i="53"/>
  <c r="D144" i="53" s="1"/>
  <c r="F12" i="53"/>
  <c r="AB103" i="53"/>
  <c r="T105" i="53"/>
  <c r="T108" i="53"/>
  <c r="E38" i="53"/>
  <c r="J39" i="53" s="1"/>
  <c r="T109" i="53"/>
  <c r="AB109" i="53"/>
  <c r="AC103" i="53"/>
  <c r="U105" i="53"/>
  <c r="AB106" i="53"/>
  <c r="U108" i="53"/>
  <c r="G149" i="53"/>
  <c r="T103" i="53"/>
  <c r="E46" i="53"/>
  <c r="AG65" i="53"/>
  <c r="W109" i="53"/>
  <c r="AD109" i="53"/>
  <c r="U103" i="53"/>
  <c r="G137" i="53"/>
  <c r="Q34" i="52"/>
  <c r="AA34" i="52"/>
  <c r="L15" i="52"/>
  <c r="R61" i="52"/>
  <c r="AA10" i="52"/>
  <c r="AA55" i="50" s="1"/>
  <c r="L10" i="52"/>
  <c r="L55" i="50" s="1"/>
  <c r="N61" i="52"/>
  <c r="AG26" i="53"/>
  <c r="AG25" i="53"/>
  <c r="L20" i="52"/>
  <c r="AH10" i="53"/>
  <c r="AI10" i="53"/>
  <c r="AN11" i="53" s="1"/>
  <c r="AJ10" i="53"/>
  <c r="AO11" i="53" s="1"/>
  <c r="AO202" i="7" s="1"/>
  <c r="AC107" i="53"/>
  <c r="AC108" i="53"/>
  <c r="R39" i="53"/>
  <c r="W108" i="53"/>
  <c r="W107" i="53"/>
  <c r="W106" i="53"/>
  <c r="W105" i="53"/>
  <c r="W103" i="53"/>
  <c r="AA108" i="53"/>
  <c r="AD108" i="53"/>
  <c r="AD107" i="53"/>
  <c r="AD105" i="53"/>
  <c r="AD106" i="53"/>
  <c r="AD103" i="53"/>
  <c r="X106" i="53"/>
  <c r="X105" i="53"/>
  <c r="X103" i="53"/>
  <c r="AE106" i="53"/>
  <c r="AE105" i="53"/>
  <c r="AE103" i="53"/>
  <c r="Y109" i="53"/>
  <c r="Z109" i="53"/>
  <c r="C152" i="53"/>
  <c r="V143" i="53"/>
  <c r="I152" i="53"/>
  <c r="I141" i="53" s="1"/>
  <c r="P152" i="53"/>
  <c r="X152" i="53"/>
  <c r="AE152" i="53"/>
  <c r="R152" i="53"/>
  <c r="Y152" i="53"/>
  <c r="L143" i="53"/>
  <c r="Q149" i="53"/>
  <c r="K152" i="53"/>
  <c r="K147" i="53" s="1"/>
  <c r="S152" i="53"/>
  <c r="L146" i="53"/>
  <c r="M152" i="53"/>
  <c r="AB152" i="53"/>
  <c r="AB120" i="50" s="1"/>
  <c r="L149" i="53"/>
  <c r="AI150" i="53"/>
  <c r="AI147" i="53"/>
  <c r="AI144" i="53"/>
  <c r="AI141" i="53"/>
  <c r="AI138" i="53"/>
  <c r="O141" i="53"/>
  <c r="O147" i="53"/>
  <c r="O144" i="53"/>
  <c r="O138" i="53"/>
  <c r="O150" i="53"/>
  <c r="AD138" i="53"/>
  <c r="AD150" i="53"/>
  <c r="AD141" i="53"/>
  <c r="AD147" i="53"/>
  <c r="AD144" i="53"/>
  <c r="Z152" i="53"/>
  <c r="U152" i="53"/>
  <c r="V137" i="53"/>
  <c r="V146" i="53"/>
  <c r="V149" i="53"/>
  <c r="J152" i="53"/>
  <c r="J150" i="53" s="1"/>
  <c r="AH152" i="53"/>
  <c r="Q137" i="53"/>
  <c r="AC152" i="53"/>
  <c r="H152" i="53"/>
  <c r="N152" i="53"/>
  <c r="T152" i="53"/>
  <c r="AJ152" i="53"/>
  <c r="AG152" i="53"/>
  <c r="AG120" i="50" s="1"/>
  <c r="AK49" i="53"/>
  <c r="AJ65" i="53"/>
  <c r="AK59" i="53"/>
  <c r="AF89" i="53"/>
  <c r="AI65" i="53"/>
  <c r="AJ64" i="53"/>
  <c r="AF105" i="53"/>
  <c r="AG64" i="53"/>
  <c r="AA89" i="53"/>
  <c r="V64" i="53"/>
  <c r="AH65" i="53"/>
  <c r="AH64" i="53"/>
  <c r="AK44" i="53"/>
  <c r="AK54" i="53"/>
  <c r="AI64" i="53"/>
  <c r="AK63" i="53"/>
  <c r="F55" i="53"/>
  <c r="E63" i="53"/>
  <c r="J64" i="53" s="1"/>
  <c r="J107" i="53"/>
  <c r="J106" i="53"/>
  <c r="J103" i="53"/>
  <c r="J108" i="53"/>
  <c r="H108" i="53"/>
  <c r="H105" i="53"/>
  <c r="H103" i="53"/>
  <c r="H107" i="53"/>
  <c r="H106" i="53"/>
  <c r="H109" i="53"/>
  <c r="F26" i="53"/>
  <c r="K106" i="53"/>
  <c r="K108" i="53"/>
  <c r="K105" i="53"/>
  <c r="K103" i="53"/>
  <c r="K107" i="53"/>
  <c r="J105" i="53"/>
  <c r="D63" i="53"/>
  <c r="I64" i="53" s="1"/>
  <c r="D45" i="53"/>
  <c r="E45" i="53"/>
  <c r="E51" i="53"/>
  <c r="E50" i="53"/>
  <c r="C63" i="53"/>
  <c r="H64" i="53" s="1"/>
  <c r="C46" i="53"/>
  <c r="G43" i="53"/>
  <c r="L44" i="53" s="1"/>
  <c r="D107" i="53"/>
  <c r="D106" i="53"/>
  <c r="D105" i="53"/>
  <c r="D103" i="53"/>
  <c r="D108" i="53"/>
  <c r="D51" i="53"/>
  <c r="E106" i="53"/>
  <c r="E108" i="53"/>
  <c r="E105" i="53"/>
  <c r="E103" i="53"/>
  <c r="E107" i="53"/>
  <c r="E61" i="53"/>
  <c r="E12" i="53"/>
  <c r="E56" i="53"/>
  <c r="G58" i="53"/>
  <c r="L59" i="53" s="1"/>
  <c r="C61" i="53"/>
  <c r="G10" i="53"/>
  <c r="E26" i="53"/>
  <c r="C107" i="53"/>
  <c r="C106" i="53"/>
  <c r="C105" i="53"/>
  <c r="C108" i="53"/>
  <c r="C103" i="53"/>
  <c r="C56" i="53"/>
  <c r="I107" i="53"/>
  <c r="I106" i="53"/>
  <c r="I103" i="53"/>
  <c r="I108" i="53"/>
  <c r="G24" i="53"/>
  <c r="L25" i="53" s="1"/>
  <c r="F50" i="53"/>
  <c r="D60" i="53"/>
  <c r="D61" i="53"/>
  <c r="D56" i="53"/>
  <c r="F45" i="53"/>
  <c r="C51" i="53"/>
  <c r="E55" i="53"/>
  <c r="F61" i="53"/>
  <c r="F106" i="53"/>
  <c r="F108" i="53"/>
  <c r="F105" i="53"/>
  <c r="F103" i="53"/>
  <c r="F107" i="53"/>
  <c r="G48" i="53"/>
  <c r="L49" i="53" s="1"/>
  <c r="F63" i="53"/>
  <c r="G78" i="53"/>
  <c r="I109" i="53"/>
  <c r="C109" i="53"/>
  <c r="J109" i="53"/>
  <c r="D109" i="53"/>
  <c r="K109" i="53"/>
  <c r="E109" i="53"/>
  <c r="F109" i="53"/>
  <c r="R63" i="52"/>
  <c r="R38" i="52"/>
  <c r="S63" i="52"/>
  <c r="S38" i="52"/>
  <c r="P65" i="52"/>
  <c r="M38" i="52"/>
  <c r="N38" i="52"/>
  <c r="M63" i="52"/>
  <c r="M26" i="52"/>
  <c r="O38" i="52"/>
  <c r="N63" i="52"/>
  <c r="P61" i="52"/>
  <c r="N26" i="52"/>
  <c r="P38" i="52"/>
  <c r="N25" i="52"/>
  <c r="F144" i="53" l="1"/>
  <c r="AF22" i="52"/>
  <c r="AF55" i="50"/>
  <c r="AK22" i="52"/>
  <c r="AK55" i="50"/>
  <c r="AF17" i="52"/>
  <c r="K39" i="53"/>
  <c r="E150" i="53"/>
  <c r="E138" i="53"/>
  <c r="U202" i="7"/>
  <c r="AJ104" i="53"/>
  <c r="AL12" i="53"/>
  <c r="AJ10" i="60"/>
  <c r="AO11" i="60" s="1"/>
  <c r="S202" i="7"/>
  <c r="AI104" i="53"/>
  <c r="AI10" i="60"/>
  <c r="AN11" i="60" s="1"/>
  <c r="R202" i="7"/>
  <c r="AH104" i="53"/>
  <c r="AM11" i="53"/>
  <c r="AM202" i="7" s="1"/>
  <c r="AH10" i="60"/>
  <c r="T202" i="7"/>
  <c r="AK81" i="50"/>
  <c r="W144" i="53"/>
  <c r="W147" i="53"/>
  <c r="F150" i="53"/>
  <c r="F141" i="53"/>
  <c r="W150" i="53"/>
  <c r="F147" i="53"/>
  <c r="W138" i="53"/>
  <c r="W141" i="53"/>
  <c r="Y141" i="53"/>
  <c r="Y120" i="50"/>
  <c r="S147" i="53"/>
  <c r="S120" i="50"/>
  <c r="U138" i="53"/>
  <c r="U120" i="50"/>
  <c r="E141" i="53"/>
  <c r="AH144" i="53"/>
  <c r="AH120" i="50"/>
  <c r="Z141" i="53"/>
  <c r="Z120" i="50"/>
  <c r="E144" i="53"/>
  <c r="X141" i="53"/>
  <c r="X120" i="50"/>
  <c r="T144" i="53"/>
  <c r="T120" i="50"/>
  <c r="P141" i="53"/>
  <c r="P120" i="50"/>
  <c r="AC147" i="53"/>
  <c r="AC120" i="50"/>
  <c r="R147" i="53"/>
  <c r="R120" i="50"/>
  <c r="AE138" i="53"/>
  <c r="AE120" i="50"/>
  <c r="AJ144" i="53"/>
  <c r="AJ120" i="50"/>
  <c r="N144" i="53"/>
  <c r="N120" i="50"/>
  <c r="M141" i="53"/>
  <c r="M120" i="50"/>
  <c r="AX22" i="50"/>
  <c r="K64" i="53"/>
  <c r="H65" i="53"/>
  <c r="G106" i="53"/>
  <c r="L11" i="53"/>
  <c r="V11" i="53"/>
  <c r="T39" i="53"/>
  <c r="R69" i="53"/>
  <c r="U68" i="53"/>
  <c r="AG141" i="53"/>
  <c r="AK152" i="53"/>
  <c r="AK147" i="53" s="1"/>
  <c r="AB141" i="53"/>
  <c r="AF152" i="53"/>
  <c r="S39" i="53"/>
  <c r="AA152" i="53"/>
  <c r="AA138" i="53" s="1"/>
  <c r="R40" i="53"/>
  <c r="U39" i="53"/>
  <c r="L103" i="53"/>
  <c r="L104" i="53"/>
  <c r="AE150" i="53"/>
  <c r="X150" i="53"/>
  <c r="M150" i="53"/>
  <c r="AE147" i="53"/>
  <c r="AK25" i="53"/>
  <c r="AE141" i="53"/>
  <c r="AA107" i="53"/>
  <c r="M144" i="53"/>
  <c r="V105" i="53"/>
  <c r="M147" i="53"/>
  <c r="AA105" i="53"/>
  <c r="AA103" i="53"/>
  <c r="V109" i="53"/>
  <c r="V107" i="53"/>
  <c r="AJ109" i="53"/>
  <c r="AJ22" i="53"/>
  <c r="AJ17" i="53"/>
  <c r="AI11" i="53"/>
  <c r="AI22" i="53"/>
  <c r="AI17" i="53"/>
  <c r="AH22" i="53"/>
  <c r="AH17" i="53"/>
  <c r="AF103" i="53"/>
  <c r="AF106" i="53"/>
  <c r="AH103" i="53"/>
  <c r="V106" i="53"/>
  <c r="AA106" i="53"/>
  <c r="L17" i="52"/>
  <c r="Q11" i="52"/>
  <c r="AK17" i="52"/>
  <c r="L22" i="52"/>
  <c r="AA22" i="52"/>
  <c r="AA17" i="52"/>
  <c r="AB150" i="53"/>
  <c r="AH106" i="53"/>
  <c r="AE144" i="53"/>
  <c r="AA109" i="53"/>
  <c r="V108" i="53"/>
  <c r="V103" i="53"/>
  <c r="U150" i="53"/>
  <c r="AB138" i="53"/>
  <c r="D138" i="53"/>
  <c r="D147" i="53"/>
  <c r="Y144" i="53"/>
  <c r="D150" i="53"/>
  <c r="G51" i="53"/>
  <c r="M138" i="53"/>
  <c r="R150" i="53"/>
  <c r="D141" i="53"/>
  <c r="G152" i="53"/>
  <c r="R141" i="53"/>
  <c r="AI108" i="53"/>
  <c r="AI38" i="53"/>
  <c r="AN39" i="53" s="1"/>
  <c r="AH46" i="53"/>
  <c r="AH51" i="53"/>
  <c r="AH56" i="53"/>
  <c r="AH107" i="53"/>
  <c r="AH108" i="53"/>
  <c r="AH109" i="53"/>
  <c r="AH38" i="53"/>
  <c r="AJ11" i="53"/>
  <c r="AI12" i="53"/>
  <c r="AJ46" i="53"/>
  <c r="AH61" i="53"/>
  <c r="AH11" i="53"/>
  <c r="AI106" i="53"/>
  <c r="AI51" i="53"/>
  <c r="AI105" i="53"/>
  <c r="AI61" i="53"/>
  <c r="AI103" i="53"/>
  <c r="AI107" i="53"/>
  <c r="AJ12" i="53"/>
  <c r="AJ103" i="53"/>
  <c r="AJ108" i="53"/>
  <c r="AJ105" i="53"/>
  <c r="AJ106" i="53"/>
  <c r="AJ56" i="53"/>
  <c r="AJ38" i="53"/>
  <c r="AJ107" i="53"/>
  <c r="AJ51" i="53"/>
  <c r="AJ61" i="53"/>
  <c r="AI46" i="53"/>
  <c r="AH105" i="53"/>
  <c r="Q61" i="52"/>
  <c r="AI109" i="53"/>
  <c r="AI56" i="53"/>
  <c r="R68" i="53"/>
  <c r="AF109" i="53"/>
  <c r="AF107" i="53"/>
  <c r="AF108" i="53"/>
  <c r="S138" i="53"/>
  <c r="X144" i="53"/>
  <c r="S144" i="53"/>
  <c r="S141" i="53"/>
  <c r="X147" i="53"/>
  <c r="P150" i="53"/>
  <c r="X138" i="53"/>
  <c r="C150" i="53"/>
  <c r="C147" i="53"/>
  <c r="J141" i="53"/>
  <c r="Y147" i="53"/>
  <c r="J138" i="53"/>
  <c r="P147" i="53"/>
  <c r="S150" i="53"/>
  <c r="Y138" i="53"/>
  <c r="Z144" i="53"/>
  <c r="C138" i="53"/>
  <c r="U147" i="53"/>
  <c r="R138" i="53"/>
  <c r="P138" i="53"/>
  <c r="C141" i="53"/>
  <c r="AB144" i="53"/>
  <c r="Y150" i="53"/>
  <c r="R144" i="53"/>
  <c r="P144" i="53"/>
  <c r="C144" i="53"/>
  <c r="Z138" i="53"/>
  <c r="K141" i="53"/>
  <c r="AG147" i="53"/>
  <c r="I144" i="53"/>
  <c r="K150" i="53"/>
  <c r="I138" i="53"/>
  <c r="AB147" i="53"/>
  <c r="I150" i="53"/>
  <c r="I147" i="53"/>
  <c r="Z150" i="53"/>
  <c r="K144" i="53"/>
  <c r="L152" i="53"/>
  <c r="K138" i="53"/>
  <c r="AC144" i="53"/>
  <c r="U141" i="53"/>
  <c r="AH138" i="53"/>
  <c r="Z147" i="53"/>
  <c r="AJ141" i="53"/>
  <c r="AC141" i="53"/>
  <c r="H138" i="53"/>
  <c r="AC138" i="53"/>
  <c r="AH150" i="53"/>
  <c r="AJ150" i="53"/>
  <c r="AC150" i="53"/>
  <c r="J144" i="53"/>
  <c r="V152" i="53"/>
  <c r="V138" i="53" s="1"/>
  <c r="T150" i="53"/>
  <c r="H150" i="53"/>
  <c r="T138" i="53"/>
  <c r="J147" i="53"/>
  <c r="H141" i="53"/>
  <c r="AG150" i="53"/>
  <c r="H147" i="53"/>
  <c r="Q152" i="53"/>
  <c r="T147" i="53"/>
  <c r="N150" i="53"/>
  <c r="AH141" i="53"/>
  <c r="N147" i="53"/>
  <c r="U144" i="53"/>
  <c r="T141" i="53"/>
  <c r="N138" i="53"/>
  <c r="AG138" i="53"/>
  <c r="AH147" i="53"/>
  <c r="N141" i="53"/>
  <c r="AG144" i="53"/>
  <c r="H144" i="53"/>
  <c r="AJ138" i="53"/>
  <c r="AJ147" i="53"/>
  <c r="G108" i="53"/>
  <c r="G109" i="53"/>
  <c r="G107" i="53"/>
  <c r="G103" i="53"/>
  <c r="G105" i="53"/>
  <c r="G56" i="53"/>
  <c r="AK64" i="53"/>
  <c r="L106" i="53"/>
  <c r="L105" i="53"/>
  <c r="F65" i="53"/>
  <c r="L108" i="53"/>
  <c r="L109" i="53"/>
  <c r="G46" i="53"/>
  <c r="G63" i="53"/>
  <c r="L64" i="53" s="1"/>
  <c r="D65" i="53"/>
  <c r="L107" i="53"/>
  <c r="F67" i="53"/>
  <c r="F40" i="53"/>
  <c r="F41" i="53"/>
  <c r="C67" i="53"/>
  <c r="H68" i="53" s="1"/>
  <c r="C41" i="53"/>
  <c r="G38" i="53"/>
  <c r="E65" i="53"/>
  <c r="E67" i="53"/>
  <c r="J68" i="53" s="1"/>
  <c r="E40" i="53"/>
  <c r="E41" i="53"/>
  <c r="G61" i="53"/>
  <c r="D67" i="53"/>
  <c r="I68" i="53" s="1"/>
  <c r="D41" i="53"/>
  <c r="D40" i="53"/>
  <c r="S41" i="52"/>
  <c r="S214" i="7" s="1"/>
  <c r="S67" i="52"/>
  <c r="S40" i="52"/>
  <c r="S39" i="52"/>
  <c r="S65" i="52"/>
  <c r="S64" i="52"/>
  <c r="R41" i="52"/>
  <c r="R214" i="7" s="1"/>
  <c r="R67" i="52"/>
  <c r="R40" i="52"/>
  <c r="R39" i="52"/>
  <c r="R65" i="52"/>
  <c r="R64" i="52"/>
  <c r="N65" i="52"/>
  <c r="P40" i="52"/>
  <c r="P41" i="52"/>
  <c r="P214" i="7" s="1"/>
  <c r="P67" i="52"/>
  <c r="O65" i="52"/>
  <c r="Q63" i="52"/>
  <c r="N67" i="52"/>
  <c r="N41" i="52"/>
  <c r="N214" i="7" s="1"/>
  <c r="N40" i="52"/>
  <c r="O41" i="52"/>
  <c r="O214" i="7" s="1"/>
  <c r="O67" i="52"/>
  <c r="O40" i="52"/>
  <c r="Q38" i="52"/>
  <c r="M67" i="52"/>
  <c r="M41" i="52"/>
  <c r="M214" i="7" s="1"/>
  <c r="AO39" i="53" l="1"/>
  <c r="AK138" i="53"/>
  <c r="AI202" i="7"/>
  <c r="AI11" i="60"/>
  <c r="AI36" i="60"/>
  <c r="AN37" i="60" s="1"/>
  <c r="AI27" i="60"/>
  <c r="AI20" i="60"/>
  <c r="AI54" i="60"/>
  <c r="AN55" i="60" s="1"/>
  <c r="AI12" i="60"/>
  <c r="AI44" i="60"/>
  <c r="AN45" i="60" s="1"/>
  <c r="AI49" i="60"/>
  <c r="AN50" i="60" s="1"/>
  <c r="AI33" i="60"/>
  <c r="AJ11" i="60"/>
  <c r="AJ36" i="60"/>
  <c r="AO37" i="60" s="1"/>
  <c r="AJ20" i="60"/>
  <c r="AJ27" i="60"/>
  <c r="AJ54" i="60"/>
  <c r="AO55" i="60" s="1"/>
  <c r="AJ49" i="60"/>
  <c r="AO50" i="60" s="1"/>
  <c r="AJ12" i="60"/>
  <c r="AJ33" i="60"/>
  <c r="AJ44" i="60"/>
  <c r="AH202" i="7"/>
  <c r="AI67" i="53"/>
  <c r="AH41" i="53"/>
  <c r="AJ202" i="7"/>
  <c r="AH36" i="60"/>
  <c r="AH27" i="60"/>
  <c r="AH11" i="60"/>
  <c r="AH20" i="60"/>
  <c r="AH54" i="60"/>
  <c r="AH49" i="60"/>
  <c r="AH44" i="60"/>
  <c r="AH33" i="60"/>
  <c r="V202" i="7"/>
  <c r="AK120" i="50"/>
  <c r="AK141" i="53"/>
  <c r="AA147" i="53"/>
  <c r="AF120" i="50"/>
  <c r="AA120" i="50"/>
  <c r="V120" i="50"/>
  <c r="AY22" i="50"/>
  <c r="AK150" i="53"/>
  <c r="G41" i="53"/>
  <c r="L39" i="53"/>
  <c r="H69" i="53"/>
  <c r="K68" i="53"/>
  <c r="AA141" i="53"/>
  <c r="AA150" i="53"/>
  <c r="AK144" i="53"/>
  <c r="AA144" i="53"/>
  <c r="T68" i="53"/>
  <c r="V147" i="53"/>
  <c r="V150" i="53"/>
  <c r="AF141" i="53"/>
  <c r="AF144" i="53"/>
  <c r="AF147" i="53"/>
  <c r="AF150" i="53"/>
  <c r="AF138" i="53"/>
  <c r="S68" i="53"/>
  <c r="V39" i="53"/>
  <c r="V141" i="53"/>
  <c r="V144" i="53"/>
  <c r="AH39" i="53"/>
  <c r="AI39" i="53"/>
  <c r="AH67" i="53"/>
  <c r="AI40" i="53"/>
  <c r="AI41" i="53"/>
  <c r="AJ41" i="53"/>
  <c r="AJ39" i="53"/>
  <c r="AJ40" i="53"/>
  <c r="AJ67" i="53"/>
  <c r="R89" i="53"/>
  <c r="R88" i="53"/>
  <c r="C76" i="53"/>
  <c r="C70" i="53"/>
  <c r="G67" i="53"/>
  <c r="F76" i="53"/>
  <c r="F69" i="53"/>
  <c r="F70" i="53"/>
  <c r="D69" i="53"/>
  <c r="D76" i="53"/>
  <c r="D70" i="53"/>
  <c r="E69" i="53"/>
  <c r="E70" i="53"/>
  <c r="E76" i="53"/>
  <c r="R75" i="52"/>
  <c r="R69" i="52"/>
  <c r="R68" i="52"/>
  <c r="R70" i="52"/>
  <c r="S75" i="52"/>
  <c r="S69" i="52"/>
  <c r="S70" i="52"/>
  <c r="S68" i="52"/>
  <c r="P69" i="52"/>
  <c r="P70" i="52"/>
  <c r="P75" i="52"/>
  <c r="Q41" i="52"/>
  <c r="Q214" i="7" s="1"/>
  <c r="M75" i="52"/>
  <c r="M70" i="52"/>
  <c r="Q67" i="52"/>
  <c r="O69" i="52"/>
  <c r="O70" i="52"/>
  <c r="O75" i="52"/>
  <c r="N75" i="52"/>
  <c r="N69" i="52"/>
  <c r="N70" i="52"/>
  <c r="AO45" i="60" l="1"/>
  <c r="AO68" i="53"/>
  <c r="AN68" i="53"/>
  <c r="AH37" i="60"/>
  <c r="AH40" i="60"/>
  <c r="AJ50" i="60"/>
  <c r="AJ51" i="60"/>
  <c r="AI76" i="53"/>
  <c r="AI79" i="53" s="1"/>
  <c r="AH55" i="60"/>
  <c r="AJ55" i="60"/>
  <c r="AJ56" i="60"/>
  <c r="AI50" i="60"/>
  <c r="AI51" i="60"/>
  <c r="AI40" i="60"/>
  <c r="AN41" i="60" s="1"/>
  <c r="AI37" i="60"/>
  <c r="AH45" i="60"/>
  <c r="AJ46" i="60"/>
  <c r="AJ45" i="60"/>
  <c r="AH50" i="60"/>
  <c r="AI68" i="53"/>
  <c r="AI70" i="53"/>
  <c r="AI45" i="60"/>
  <c r="AI46" i="60"/>
  <c r="AJ37" i="60"/>
  <c r="AJ40" i="60"/>
  <c r="AO41" i="60" s="1"/>
  <c r="AI56" i="60"/>
  <c r="AI55" i="60"/>
  <c r="AJ76" i="53"/>
  <c r="AZ22" i="50"/>
  <c r="BA22" i="50"/>
  <c r="G70" i="53"/>
  <c r="L68" i="53"/>
  <c r="V68" i="53"/>
  <c r="AI69" i="53"/>
  <c r="AH76" i="53"/>
  <c r="AH68" i="53"/>
  <c r="AH70" i="53"/>
  <c r="AJ70" i="53"/>
  <c r="AJ68" i="53"/>
  <c r="AJ69" i="53"/>
  <c r="M89" i="53"/>
  <c r="M88" i="53"/>
  <c r="T89" i="53"/>
  <c r="T88" i="53"/>
  <c r="N89" i="53"/>
  <c r="N88" i="53"/>
  <c r="U89" i="53"/>
  <c r="U88" i="53"/>
  <c r="P88" i="53"/>
  <c r="P89" i="53"/>
  <c r="O89" i="53"/>
  <c r="O88" i="53"/>
  <c r="S89" i="53"/>
  <c r="S88" i="53"/>
  <c r="D81" i="53"/>
  <c r="D79" i="53"/>
  <c r="G76" i="53"/>
  <c r="G79" i="53" s="1"/>
  <c r="C81" i="53"/>
  <c r="C79" i="53"/>
  <c r="E81" i="53"/>
  <c r="E79" i="53"/>
  <c r="F81" i="53"/>
  <c r="F79" i="53"/>
  <c r="S80" i="52"/>
  <c r="S78" i="52"/>
  <c r="R80" i="52"/>
  <c r="R78" i="52"/>
  <c r="N78" i="52"/>
  <c r="N80" i="52"/>
  <c r="Q70" i="52"/>
  <c r="O78" i="52"/>
  <c r="O80" i="52"/>
  <c r="P78" i="52"/>
  <c r="P80" i="52"/>
  <c r="M78" i="52"/>
  <c r="Q75" i="52"/>
  <c r="Q78" i="52" s="1"/>
  <c r="M80" i="52"/>
  <c r="BB22" i="50" l="1"/>
  <c r="AI81" i="53"/>
  <c r="AI86" i="53" s="1"/>
  <c r="AI25" i="59"/>
  <c r="AI26" i="59" s="1"/>
  <c r="AJ42" i="60"/>
  <c r="AJ41" i="60"/>
  <c r="AI42" i="60"/>
  <c r="AI41" i="60"/>
  <c r="AH41" i="60"/>
  <c r="AH25" i="59"/>
  <c r="AH26" i="59" s="1"/>
  <c r="AJ25" i="59"/>
  <c r="AJ26" i="59" s="1"/>
  <c r="R10" i="51"/>
  <c r="S10" i="51"/>
  <c r="P10" i="51"/>
  <c r="O10" i="51"/>
  <c r="M10" i="51"/>
  <c r="N10" i="51"/>
  <c r="AJ79" i="53"/>
  <c r="AH79" i="53"/>
  <c r="AH81" i="53"/>
  <c r="AJ81" i="53"/>
  <c r="V88" i="53"/>
  <c r="V89" i="53"/>
  <c r="Q89" i="53"/>
  <c r="Q88" i="53"/>
  <c r="H88" i="53"/>
  <c r="H89" i="53"/>
  <c r="I89" i="53"/>
  <c r="I88" i="53"/>
  <c r="K89" i="53"/>
  <c r="K88" i="53"/>
  <c r="F89" i="53"/>
  <c r="F88" i="53"/>
  <c r="F82" i="53"/>
  <c r="E89" i="53"/>
  <c r="E82" i="53"/>
  <c r="E88" i="53"/>
  <c r="J89" i="53"/>
  <c r="J88" i="53"/>
  <c r="C82" i="53"/>
  <c r="C88" i="53"/>
  <c r="G81" i="53"/>
  <c r="C89" i="53"/>
  <c r="D82" i="53"/>
  <c r="D89" i="53"/>
  <c r="D88" i="53"/>
  <c r="Q80" i="52"/>
  <c r="AI82" i="53" l="1"/>
  <c r="BC22" i="50"/>
  <c r="AI89" i="53"/>
  <c r="AI88" i="53"/>
  <c r="AJ86" i="53"/>
  <c r="AH86" i="53"/>
  <c r="AH88" i="53"/>
  <c r="AH82" i="53"/>
  <c r="AH89" i="53"/>
  <c r="AJ82" i="53"/>
  <c r="AJ88" i="53"/>
  <c r="AJ89" i="53"/>
  <c r="G88" i="53"/>
  <c r="G89" i="53"/>
  <c r="G82" i="53"/>
  <c r="L89" i="53"/>
  <c r="L88" i="53"/>
  <c r="BD22" i="50" l="1"/>
  <c r="BE22" i="50" s="1"/>
  <c r="BF22" i="50" l="1"/>
  <c r="BG22" i="50" s="1"/>
  <c r="BH22" i="50" s="1"/>
  <c r="BI22" i="50" s="1"/>
  <c r="BK22" i="50" l="1"/>
  <c r="BL22" i="50" s="1"/>
  <c r="BM22" i="50" s="1"/>
  <c r="BN22" i="50" s="1"/>
  <c r="BO22" i="50" s="1"/>
  <c r="BJ22" i="50"/>
  <c r="S85" i="52" l="1"/>
  <c r="R85" i="52"/>
  <c r="AF84" i="52"/>
  <c r="AK72" i="52"/>
  <c r="AK84" i="52"/>
  <c r="AK77" i="52"/>
  <c r="AK74" i="52"/>
  <c r="AJ63" i="52"/>
  <c r="AO64" i="52" s="1"/>
  <c r="AI63" i="52"/>
  <c r="AN64" i="52" s="1"/>
  <c r="AH63" i="52"/>
  <c r="AM64" i="52" s="1"/>
  <c r="AG63" i="52"/>
  <c r="AJ61" i="52"/>
  <c r="AI61" i="52"/>
  <c r="AH61" i="52"/>
  <c r="AG61" i="52"/>
  <c r="AJ60" i="52"/>
  <c r="AI60" i="52"/>
  <c r="AH60" i="52"/>
  <c r="AG60" i="52"/>
  <c r="AJ59" i="52"/>
  <c r="AI59" i="52"/>
  <c r="AH59" i="52"/>
  <c r="AG59" i="52"/>
  <c r="AK58" i="52"/>
  <c r="AP59" i="52" s="1"/>
  <c r="AJ56" i="52"/>
  <c r="AI56" i="52"/>
  <c r="AH56" i="52"/>
  <c r="AG56" i="52"/>
  <c r="AJ55" i="52"/>
  <c r="AI55" i="52"/>
  <c r="AH55" i="52"/>
  <c r="AG55" i="52"/>
  <c r="AJ54" i="52"/>
  <c r="AI54" i="52"/>
  <c r="AH54" i="52"/>
  <c r="AG54" i="52"/>
  <c r="AK53" i="52"/>
  <c r="AP54" i="52" s="1"/>
  <c r="AJ51" i="52"/>
  <c r="AI51" i="52"/>
  <c r="AH51" i="52"/>
  <c r="AG51" i="52"/>
  <c r="AJ50" i="52"/>
  <c r="AI50" i="52"/>
  <c r="AH50" i="52"/>
  <c r="AG50" i="52"/>
  <c r="AJ49" i="52"/>
  <c r="AI49" i="52"/>
  <c r="AH49" i="52"/>
  <c r="AG49" i="52"/>
  <c r="AK48" i="52"/>
  <c r="AP49" i="52" s="1"/>
  <c r="AJ46" i="52"/>
  <c r="AI46" i="52"/>
  <c r="AH46" i="52"/>
  <c r="AG46" i="52"/>
  <c r="AJ45" i="52"/>
  <c r="AI45" i="52"/>
  <c r="AH45" i="52"/>
  <c r="AG45" i="52"/>
  <c r="AJ44" i="52"/>
  <c r="AI44" i="52"/>
  <c r="AH44" i="52"/>
  <c r="AG44" i="52"/>
  <c r="AK43" i="52"/>
  <c r="AP44" i="52" s="1"/>
  <c r="AJ38" i="52"/>
  <c r="AO39" i="52" s="1"/>
  <c r="AI38" i="52"/>
  <c r="AN39" i="52" s="1"/>
  <c r="AH38" i="52"/>
  <c r="AM39" i="52" s="1"/>
  <c r="AG38" i="52"/>
  <c r="AJ26" i="52"/>
  <c r="AI26" i="52"/>
  <c r="AH26" i="52"/>
  <c r="AG26" i="52"/>
  <c r="AJ25" i="52"/>
  <c r="AI25" i="52"/>
  <c r="AH25" i="52"/>
  <c r="AG25" i="52"/>
  <c r="AJ12" i="52"/>
  <c r="AI12" i="52"/>
  <c r="AH12" i="52"/>
  <c r="AG12" i="52"/>
  <c r="AJ11" i="52"/>
  <c r="AI11" i="52"/>
  <c r="AH11" i="52"/>
  <c r="AG11" i="52"/>
  <c r="AF77" i="52"/>
  <c r="AF74" i="52"/>
  <c r="AE63" i="52"/>
  <c r="AD63" i="52"/>
  <c r="AC63" i="52"/>
  <c r="AB63" i="52"/>
  <c r="AE61" i="52"/>
  <c r="AD61" i="52"/>
  <c r="AC61" i="52"/>
  <c r="AB61" i="52"/>
  <c r="AE60" i="52"/>
  <c r="AD60" i="52"/>
  <c r="AC60" i="52"/>
  <c r="AB60" i="52"/>
  <c r="AE59" i="52"/>
  <c r="AD59" i="52"/>
  <c r="AC59" i="52"/>
  <c r="AB59" i="52"/>
  <c r="AF58" i="52"/>
  <c r="AE56" i="52"/>
  <c r="AD56" i="52"/>
  <c r="AC56" i="52"/>
  <c r="AB56" i="52"/>
  <c r="AE55" i="52"/>
  <c r="AD55" i="52"/>
  <c r="AC55" i="52"/>
  <c r="AB55" i="52"/>
  <c r="AE54" i="52"/>
  <c r="AD54" i="52"/>
  <c r="AC54" i="52"/>
  <c r="AB54" i="52"/>
  <c r="AF53" i="52"/>
  <c r="AE51" i="52"/>
  <c r="AD51" i="52"/>
  <c r="AC51" i="52"/>
  <c r="AB51" i="52"/>
  <c r="AE50" i="52"/>
  <c r="AD50" i="52"/>
  <c r="AC50" i="52"/>
  <c r="AB50" i="52"/>
  <c r="AE49" i="52"/>
  <c r="AD49" i="52"/>
  <c r="AC49" i="52"/>
  <c r="AB49" i="52"/>
  <c r="AF48" i="52"/>
  <c r="AE46" i="52"/>
  <c r="AD46" i="52"/>
  <c r="AC46" i="52"/>
  <c r="AB46" i="52"/>
  <c r="AE45" i="52"/>
  <c r="AD45" i="52"/>
  <c r="AC45" i="52"/>
  <c r="AB45" i="52"/>
  <c r="AE44" i="52"/>
  <c r="AD44" i="52"/>
  <c r="AC44" i="52"/>
  <c r="AB44" i="52"/>
  <c r="AF43" i="52"/>
  <c r="AE38" i="52"/>
  <c r="AD38" i="52"/>
  <c r="AC38" i="52"/>
  <c r="AB38" i="52"/>
  <c r="AE26" i="52"/>
  <c r="AD26" i="52"/>
  <c r="AC26" i="52"/>
  <c r="AB26" i="52"/>
  <c r="AE25" i="52"/>
  <c r="AD25" i="52"/>
  <c r="AC25" i="52"/>
  <c r="AB25" i="52"/>
  <c r="AE12" i="52"/>
  <c r="AD12" i="52"/>
  <c r="AC12" i="52"/>
  <c r="AB12" i="52"/>
  <c r="AE11" i="52"/>
  <c r="AD11" i="52"/>
  <c r="AC11" i="52"/>
  <c r="AB11" i="52"/>
  <c r="AA77" i="52"/>
  <c r="V77" i="52"/>
  <c r="AA74" i="52"/>
  <c r="V74" i="52"/>
  <c r="Z63" i="52"/>
  <c r="Y63" i="52"/>
  <c r="X63" i="52"/>
  <c r="W63" i="52"/>
  <c r="U63" i="52"/>
  <c r="T63" i="52"/>
  <c r="T64" i="52" s="1"/>
  <c r="Z61" i="52"/>
  <c r="Y61" i="52"/>
  <c r="X61" i="52"/>
  <c r="W61" i="52"/>
  <c r="U61" i="52"/>
  <c r="T61" i="52"/>
  <c r="Z60" i="52"/>
  <c r="Y60" i="52"/>
  <c r="X60" i="52"/>
  <c r="W60" i="52"/>
  <c r="U60" i="52"/>
  <c r="T60" i="52"/>
  <c r="Z59" i="52"/>
  <c r="Y59" i="52"/>
  <c r="X59" i="52"/>
  <c r="W59" i="52"/>
  <c r="U59" i="52"/>
  <c r="T59" i="52"/>
  <c r="AA58" i="52"/>
  <c r="V58" i="52"/>
  <c r="Z56" i="52"/>
  <c r="Y56" i="52"/>
  <c r="X56" i="52"/>
  <c r="W56" i="52"/>
  <c r="U56" i="52"/>
  <c r="T56" i="52"/>
  <c r="Z55" i="52"/>
  <c r="Y55" i="52"/>
  <c r="X55" i="52"/>
  <c r="W55" i="52"/>
  <c r="U55" i="52"/>
  <c r="T55" i="52"/>
  <c r="Z54" i="52"/>
  <c r="Y54" i="52"/>
  <c r="X54" i="52"/>
  <c r="W54" i="52"/>
  <c r="U54" i="52"/>
  <c r="T54" i="52"/>
  <c r="AA53" i="52"/>
  <c r="V53" i="52"/>
  <c r="Z51" i="52"/>
  <c r="Y51" i="52"/>
  <c r="X51" i="52"/>
  <c r="W51" i="52"/>
  <c r="U51" i="52"/>
  <c r="T51" i="52"/>
  <c r="Z50" i="52"/>
  <c r="Y50" i="52"/>
  <c r="X50" i="52"/>
  <c r="W50" i="52"/>
  <c r="U50" i="52"/>
  <c r="T50" i="52"/>
  <c r="Z49" i="52"/>
  <c r="Y49" i="52"/>
  <c r="X49" i="52"/>
  <c r="W49" i="52"/>
  <c r="U49" i="52"/>
  <c r="T49" i="52"/>
  <c r="AA48" i="52"/>
  <c r="V48" i="52"/>
  <c r="Z46" i="52"/>
  <c r="Y46" i="52"/>
  <c r="X46" i="52"/>
  <c r="W46" i="52"/>
  <c r="U46" i="52"/>
  <c r="T46" i="52"/>
  <c r="Z45" i="52"/>
  <c r="Y45" i="52"/>
  <c r="X45" i="52"/>
  <c r="W45" i="52"/>
  <c r="U45" i="52"/>
  <c r="T45" i="52"/>
  <c r="Z44" i="52"/>
  <c r="Y44" i="52"/>
  <c r="X44" i="52"/>
  <c r="W44" i="52"/>
  <c r="U44" i="52"/>
  <c r="T44" i="52"/>
  <c r="AA43" i="52"/>
  <c r="V43" i="52"/>
  <c r="Z38" i="52"/>
  <c r="Y38" i="52"/>
  <c r="X38" i="52"/>
  <c r="X41" i="52" s="1"/>
  <c r="X214" i="7" s="1"/>
  <c r="W38" i="52"/>
  <c r="W41" i="52" s="1"/>
  <c r="W214" i="7" s="1"/>
  <c r="U38" i="52"/>
  <c r="T38" i="52"/>
  <c r="T41" i="52" s="1"/>
  <c r="T214" i="7" s="1"/>
  <c r="Z26" i="52"/>
  <c r="Y26" i="52"/>
  <c r="X26" i="52"/>
  <c r="W26" i="52"/>
  <c r="U26" i="52"/>
  <c r="T26" i="52"/>
  <c r="Z25" i="52"/>
  <c r="Y25" i="52"/>
  <c r="X25" i="52"/>
  <c r="W25" i="52"/>
  <c r="U25" i="52"/>
  <c r="T25" i="52"/>
  <c r="Z12" i="52"/>
  <c r="Y12" i="52"/>
  <c r="X12" i="52"/>
  <c r="W12" i="52"/>
  <c r="Z11" i="52"/>
  <c r="Y11" i="52"/>
  <c r="X11" i="52"/>
  <c r="W11" i="52"/>
  <c r="L77" i="52"/>
  <c r="G77" i="52"/>
  <c r="L74" i="52"/>
  <c r="G74" i="52"/>
  <c r="K63" i="52"/>
  <c r="J63" i="52"/>
  <c r="O64" i="52" s="1"/>
  <c r="I63" i="52"/>
  <c r="N64" i="52" s="1"/>
  <c r="H63" i="52"/>
  <c r="M64" i="52" s="1"/>
  <c r="F63" i="52"/>
  <c r="E63" i="52"/>
  <c r="D63" i="52"/>
  <c r="C63" i="52"/>
  <c r="K60" i="52"/>
  <c r="J60" i="52"/>
  <c r="I60" i="52"/>
  <c r="H60" i="52"/>
  <c r="F60" i="52"/>
  <c r="E60" i="52"/>
  <c r="D60" i="52"/>
  <c r="K59" i="52"/>
  <c r="J59" i="52"/>
  <c r="I59" i="52"/>
  <c r="H59" i="52"/>
  <c r="L58" i="52"/>
  <c r="Q59" i="52" s="1"/>
  <c r="G58" i="52"/>
  <c r="K55" i="52"/>
  <c r="J55" i="52"/>
  <c r="I55" i="52"/>
  <c r="H55" i="52"/>
  <c r="F55" i="52"/>
  <c r="E55" i="52"/>
  <c r="D55" i="52"/>
  <c r="K54" i="52"/>
  <c r="J54" i="52"/>
  <c r="I54" i="52"/>
  <c r="H54" i="52"/>
  <c r="L53" i="52"/>
  <c r="Q54" i="52" s="1"/>
  <c r="G53" i="52"/>
  <c r="K50" i="52"/>
  <c r="J50" i="52"/>
  <c r="I50" i="52"/>
  <c r="H50" i="52"/>
  <c r="F50" i="52"/>
  <c r="E50" i="52"/>
  <c r="D50" i="52"/>
  <c r="K49" i="52"/>
  <c r="J49" i="52"/>
  <c r="I49" i="52"/>
  <c r="H49" i="52"/>
  <c r="L48" i="52"/>
  <c r="Q49" i="52" s="1"/>
  <c r="G48" i="52"/>
  <c r="K45" i="52"/>
  <c r="J45" i="52"/>
  <c r="I45" i="52"/>
  <c r="H45" i="52"/>
  <c r="F45" i="52"/>
  <c r="E45" i="52"/>
  <c r="D45" i="52"/>
  <c r="K44" i="52"/>
  <c r="J44" i="52"/>
  <c r="I44" i="52"/>
  <c r="H44" i="52"/>
  <c r="L43" i="52"/>
  <c r="G43" i="52"/>
  <c r="D38" i="52"/>
  <c r="K26" i="52"/>
  <c r="J26" i="52"/>
  <c r="I26" i="52"/>
  <c r="H26" i="52"/>
  <c r="F26" i="52"/>
  <c r="E26" i="52"/>
  <c r="D26" i="52"/>
  <c r="K25" i="52"/>
  <c r="J25" i="52"/>
  <c r="I25" i="52"/>
  <c r="H25" i="52"/>
  <c r="Q25" i="52"/>
  <c r="G24" i="52"/>
  <c r="G25" i="52" s="1"/>
  <c r="J12" i="52"/>
  <c r="F12" i="52"/>
  <c r="I11" i="52"/>
  <c r="K46" i="52"/>
  <c r="J46" i="52"/>
  <c r="H11" i="52"/>
  <c r="E51" i="52"/>
  <c r="D56" i="52"/>
  <c r="V208" i="7" l="1"/>
  <c r="AA208" i="7"/>
  <c r="Q44" i="52"/>
  <c r="L208" i="7"/>
  <c r="AF208" i="7"/>
  <c r="AK208" i="7"/>
  <c r="E65" i="52"/>
  <c r="V46" i="52"/>
  <c r="AA49" i="52"/>
  <c r="P64" i="52"/>
  <c r="M65" i="52"/>
  <c r="Z40" i="52"/>
  <c r="AJ40" i="52"/>
  <c r="L44" i="52"/>
  <c r="U39" i="52"/>
  <c r="V49" i="52"/>
  <c r="U65" i="52"/>
  <c r="V56" i="52"/>
  <c r="AA59" i="52"/>
  <c r="AC39" i="52"/>
  <c r="AF44" i="52"/>
  <c r="X65" i="52"/>
  <c r="AA51" i="52"/>
  <c r="AA11" i="52"/>
  <c r="AK44" i="52"/>
  <c r="AE65" i="52"/>
  <c r="AI64" i="52"/>
  <c r="AD64" i="52"/>
  <c r="AE40" i="52"/>
  <c r="AC41" i="52"/>
  <c r="AC214" i="7" s="1"/>
  <c r="AF56" i="52"/>
  <c r="AK49" i="52"/>
  <c r="AB67" i="52"/>
  <c r="AB75" i="52" s="1"/>
  <c r="AB80" i="52" s="1"/>
  <c r="AF61" i="52"/>
  <c r="AF11" i="52"/>
  <c r="AF51" i="52"/>
  <c r="V63" i="52"/>
  <c r="V64" i="52" s="1"/>
  <c r="W39" i="52"/>
  <c r="W65" i="52"/>
  <c r="U67" i="52"/>
  <c r="U68" i="52" s="1"/>
  <c r="AB64" i="52"/>
  <c r="AC64" i="52"/>
  <c r="AA46" i="52"/>
  <c r="Z65" i="52"/>
  <c r="Z64" i="52"/>
  <c r="AD39" i="52"/>
  <c r="AF54" i="52"/>
  <c r="AA61" i="52"/>
  <c r="X64" i="52"/>
  <c r="Y64" i="52"/>
  <c r="AA25" i="52"/>
  <c r="Y40" i="52"/>
  <c r="AA56" i="52"/>
  <c r="AF25" i="52"/>
  <c r="AF59" i="52"/>
  <c r="Y65" i="52"/>
  <c r="AB39" i="52"/>
  <c r="AJ64" i="52"/>
  <c r="AE39" i="52"/>
  <c r="AF46" i="52"/>
  <c r="AF49" i="52"/>
  <c r="AE64" i="52"/>
  <c r="AK11" i="52"/>
  <c r="AG39" i="52"/>
  <c r="AK54" i="52"/>
  <c r="AB40" i="52"/>
  <c r="AB65" i="52"/>
  <c r="AH39" i="52"/>
  <c r="AC40" i="52"/>
  <c r="AI39" i="52"/>
  <c r="AG64" i="52"/>
  <c r="AB41" i="52"/>
  <c r="AB214" i="7" s="1"/>
  <c r="AD65" i="52"/>
  <c r="AK25" i="52"/>
  <c r="AH64" i="52"/>
  <c r="AJ39" i="52"/>
  <c r="AJ65" i="52"/>
  <c r="AI65" i="52"/>
  <c r="AH41" i="52"/>
  <c r="AH214" i="7" s="1"/>
  <c r="AK61" i="52"/>
  <c r="AK51" i="52"/>
  <c r="AK59" i="52"/>
  <c r="AK46" i="52"/>
  <c r="AH40" i="52"/>
  <c r="AG67" i="52"/>
  <c r="AG41" i="52"/>
  <c r="AG214" i="7" s="1"/>
  <c r="AG40" i="52"/>
  <c r="AK56" i="52"/>
  <c r="AI41" i="52"/>
  <c r="AI214" i="7" s="1"/>
  <c r="AJ41" i="52"/>
  <c r="AJ214" i="7" s="1"/>
  <c r="AK63" i="52"/>
  <c r="AG65" i="52"/>
  <c r="AI67" i="52"/>
  <c r="AN68" i="52" s="1"/>
  <c r="AH67" i="52"/>
  <c r="AM68" i="52" s="1"/>
  <c r="AI40" i="52"/>
  <c r="AH65" i="52"/>
  <c r="AJ67" i="52"/>
  <c r="AO68" i="52" s="1"/>
  <c r="AK38" i="52"/>
  <c r="AF38" i="52"/>
  <c r="AD41" i="52"/>
  <c r="AD214" i="7" s="1"/>
  <c r="AC67" i="52"/>
  <c r="AC75" i="52" s="1"/>
  <c r="AC80" i="52" s="1"/>
  <c r="AE41" i="52"/>
  <c r="AE214" i="7" s="1"/>
  <c r="AF63" i="52"/>
  <c r="AD67" i="52"/>
  <c r="AB70" i="52"/>
  <c r="AD40" i="52"/>
  <c r="AC65" i="52"/>
  <c r="AE67" i="52"/>
  <c r="AE75" i="52" s="1"/>
  <c r="AE80" i="52" s="1"/>
  <c r="Y41" i="52"/>
  <c r="Y214" i="7" s="1"/>
  <c r="U40" i="52"/>
  <c r="AA38" i="52"/>
  <c r="X39" i="52"/>
  <c r="W40" i="52"/>
  <c r="U41" i="52"/>
  <c r="U214" i="7" s="1"/>
  <c r="AA44" i="52"/>
  <c r="AA54" i="52"/>
  <c r="U64" i="52"/>
  <c r="X67" i="52"/>
  <c r="X75" i="52" s="1"/>
  <c r="T40" i="52"/>
  <c r="V38" i="52"/>
  <c r="Y39" i="52"/>
  <c r="X40" i="52"/>
  <c r="V44" i="52"/>
  <c r="V51" i="52"/>
  <c r="V54" i="52"/>
  <c r="V61" i="52"/>
  <c r="T65" i="52"/>
  <c r="Y67" i="52"/>
  <c r="Y75" i="52" s="1"/>
  <c r="V25" i="52"/>
  <c r="V59" i="52"/>
  <c r="Z41" i="52"/>
  <c r="Z214" i="7" s="1"/>
  <c r="W67" i="52"/>
  <c r="T39" i="52"/>
  <c r="Z39" i="52"/>
  <c r="W64" i="52"/>
  <c r="T67" i="52"/>
  <c r="Z67" i="52"/>
  <c r="AA63" i="52"/>
  <c r="J65" i="52"/>
  <c r="L54" i="52"/>
  <c r="K65" i="52"/>
  <c r="L63" i="52"/>
  <c r="Q64" i="52" s="1"/>
  <c r="H64" i="52"/>
  <c r="I65" i="52"/>
  <c r="J64" i="52"/>
  <c r="D65" i="52"/>
  <c r="I64" i="52"/>
  <c r="L25" i="52"/>
  <c r="H46" i="52"/>
  <c r="F65" i="52"/>
  <c r="K64" i="52"/>
  <c r="C56" i="52"/>
  <c r="C46" i="52"/>
  <c r="C61" i="52"/>
  <c r="C51" i="52"/>
  <c r="I56" i="52"/>
  <c r="I46" i="52"/>
  <c r="I61" i="52"/>
  <c r="I51" i="52"/>
  <c r="H12" i="52"/>
  <c r="I38" i="52"/>
  <c r="N39" i="52" s="1"/>
  <c r="K51" i="52"/>
  <c r="H65" i="52"/>
  <c r="H51" i="52"/>
  <c r="D61" i="52"/>
  <c r="D51" i="52"/>
  <c r="J61" i="52"/>
  <c r="J51" i="52"/>
  <c r="I12" i="52"/>
  <c r="C38" i="52"/>
  <c r="J38" i="52"/>
  <c r="O39" i="52" s="1"/>
  <c r="J56" i="52"/>
  <c r="H56" i="52"/>
  <c r="H38" i="52"/>
  <c r="M39" i="52" s="1"/>
  <c r="H61" i="52"/>
  <c r="K61" i="52"/>
  <c r="K56" i="52"/>
  <c r="D41" i="52"/>
  <c r="D67" i="52"/>
  <c r="K38" i="52"/>
  <c r="F61" i="52"/>
  <c r="F51" i="52"/>
  <c r="F56" i="52"/>
  <c r="F46" i="52"/>
  <c r="J11" i="52"/>
  <c r="D12" i="52"/>
  <c r="K12" i="52"/>
  <c r="E38" i="52"/>
  <c r="D46" i="52"/>
  <c r="E61" i="52"/>
  <c r="E56" i="52"/>
  <c r="G10" i="52"/>
  <c r="K11" i="52"/>
  <c r="E12" i="52"/>
  <c r="F38" i="52"/>
  <c r="E46" i="52"/>
  <c r="L49" i="52"/>
  <c r="G63" i="52"/>
  <c r="L59" i="52"/>
  <c r="AC85" i="52" l="1"/>
  <c r="AC10" i="51"/>
  <c r="AB85" i="52"/>
  <c r="AB10" i="51"/>
  <c r="G51" i="52"/>
  <c r="G22" i="52"/>
  <c r="G17" i="52"/>
  <c r="AE10" i="51"/>
  <c r="AE85" i="52"/>
  <c r="AJ75" i="52"/>
  <c r="AH75" i="52"/>
  <c r="AI75" i="52"/>
  <c r="AG75" i="52"/>
  <c r="AG78" i="52" s="1"/>
  <c r="AG36" i="53"/>
  <c r="AG10" i="53"/>
  <c r="G46" i="52"/>
  <c r="G56" i="52"/>
  <c r="P39" i="52"/>
  <c r="M40" i="52"/>
  <c r="L61" i="52"/>
  <c r="U69" i="52"/>
  <c r="T75" i="52"/>
  <c r="U70" i="52"/>
  <c r="U75" i="52"/>
  <c r="U78" i="52" s="1"/>
  <c r="AA64" i="52"/>
  <c r="AB69" i="52"/>
  <c r="Z75" i="52"/>
  <c r="AB68" i="52"/>
  <c r="W75" i="52"/>
  <c r="AF67" i="52"/>
  <c r="AF70" i="52" s="1"/>
  <c r="AD75" i="52"/>
  <c r="AD80" i="52" s="1"/>
  <c r="AF64" i="52"/>
  <c r="AK64" i="52"/>
  <c r="AG70" i="52"/>
  <c r="AG69" i="52"/>
  <c r="AG68" i="52"/>
  <c r="AK41" i="52"/>
  <c r="AK214" i="7" s="1"/>
  <c r="AK39" i="52"/>
  <c r="AJ69" i="52"/>
  <c r="AJ70" i="52"/>
  <c r="AJ68" i="52"/>
  <c r="AI70" i="52"/>
  <c r="AI68" i="52"/>
  <c r="AI69" i="52"/>
  <c r="AH69" i="52"/>
  <c r="AH70" i="52"/>
  <c r="AH68" i="52"/>
  <c r="AK67" i="52"/>
  <c r="AG80" i="52"/>
  <c r="AE70" i="52"/>
  <c r="AE68" i="52"/>
  <c r="AE69" i="52"/>
  <c r="AC70" i="52"/>
  <c r="AC68" i="52"/>
  <c r="AC69" i="52"/>
  <c r="AD70" i="52"/>
  <c r="AD69" i="52"/>
  <c r="AD68" i="52"/>
  <c r="AB78" i="52"/>
  <c r="AF39" i="52"/>
  <c r="AF41" i="52"/>
  <c r="AF214" i="7" s="1"/>
  <c r="V39" i="52"/>
  <c r="V41" i="52"/>
  <c r="V214" i="7" s="1"/>
  <c r="V67" i="52"/>
  <c r="AA39" i="52"/>
  <c r="AA41" i="52"/>
  <c r="AA214" i="7" s="1"/>
  <c r="W69" i="52"/>
  <c r="AA67" i="52"/>
  <c r="W68" i="52"/>
  <c r="W70" i="52"/>
  <c r="Y68" i="52"/>
  <c r="Y70" i="52"/>
  <c r="Y69" i="52"/>
  <c r="X68" i="52"/>
  <c r="X70" i="52"/>
  <c r="X69" i="52"/>
  <c r="Z70" i="52"/>
  <c r="Z69" i="52"/>
  <c r="Z68" i="52"/>
  <c r="T70" i="52"/>
  <c r="T68" i="52"/>
  <c r="T69" i="52"/>
  <c r="L64" i="52"/>
  <c r="L51" i="52"/>
  <c r="L46" i="52"/>
  <c r="L56" i="52"/>
  <c r="G61" i="52"/>
  <c r="J41" i="52"/>
  <c r="J214" i="7" s="1"/>
  <c r="J67" i="52"/>
  <c r="J39" i="52"/>
  <c r="J40" i="52"/>
  <c r="I40" i="52"/>
  <c r="I41" i="52"/>
  <c r="I214" i="7" s="1"/>
  <c r="I67" i="52"/>
  <c r="I39" i="52"/>
  <c r="C41" i="52"/>
  <c r="C67" i="52"/>
  <c r="D69" i="52" s="1"/>
  <c r="D40" i="52"/>
  <c r="G38" i="52"/>
  <c r="G41" i="52" s="1"/>
  <c r="E67" i="52"/>
  <c r="E40" i="52"/>
  <c r="E41" i="52"/>
  <c r="K67" i="52"/>
  <c r="K39" i="52"/>
  <c r="K40" i="52"/>
  <c r="K41" i="52"/>
  <c r="K214" i="7" s="1"/>
  <c r="F41" i="52"/>
  <c r="F67" i="52"/>
  <c r="F40" i="52"/>
  <c r="L11" i="52"/>
  <c r="D70" i="52"/>
  <c r="D75" i="52"/>
  <c r="H39" i="52"/>
  <c r="L38" i="52"/>
  <c r="Q39" i="52" s="1"/>
  <c r="H41" i="52"/>
  <c r="H214" i="7" s="1"/>
  <c r="H40" i="52"/>
  <c r="H67" i="52"/>
  <c r="AD85" i="52" l="1"/>
  <c r="AF85" i="52" s="1"/>
  <c r="AD10" i="51"/>
  <c r="AF10" i="51" s="1"/>
  <c r="AG85" i="52"/>
  <c r="AG10" i="51"/>
  <c r="AH12" i="53"/>
  <c r="AL11" i="53"/>
  <c r="AG10" i="60"/>
  <c r="AK10" i="53"/>
  <c r="AK46" i="53" s="1"/>
  <c r="AG104" i="53"/>
  <c r="AG109" i="53"/>
  <c r="AG106" i="53"/>
  <c r="AG51" i="53"/>
  <c r="AG12" i="53"/>
  <c r="AG22" i="53"/>
  <c r="AG17" i="53"/>
  <c r="AG46" i="53"/>
  <c r="AG38" i="53"/>
  <c r="AG11" i="53"/>
  <c r="AK36" i="53"/>
  <c r="AG61" i="53"/>
  <c r="AG108" i="53"/>
  <c r="AG103" i="53"/>
  <c r="AG107" i="53"/>
  <c r="AG105" i="53"/>
  <c r="AG56" i="53"/>
  <c r="AK106" i="53"/>
  <c r="J75" i="52"/>
  <c r="O68" i="52"/>
  <c r="I75" i="52"/>
  <c r="N68" i="52"/>
  <c r="K75" i="52"/>
  <c r="P68" i="52"/>
  <c r="M69" i="52"/>
  <c r="H75" i="52"/>
  <c r="M68" i="52"/>
  <c r="U80" i="52"/>
  <c r="AF68" i="52"/>
  <c r="AJ80" i="52"/>
  <c r="AJ78" i="52"/>
  <c r="AG87" i="52"/>
  <c r="AG88" i="52"/>
  <c r="AG81" i="52"/>
  <c r="AH78" i="52"/>
  <c r="AH80" i="52"/>
  <c r="AK75" i="52"/>
  <c r="AK78" i="52" s="1"/>
  <c r="AK68" i="52"/>
  <c r="AK70" i="52"/>
  <c r="AI78" i="52"/>
  <c r="AI80" i="52"/>
  <c r="AD78" i="52"/>
  <c r="AB88" i="52"/>
  <c r="AB81" i="52"/>
  <c r="AB87" i="52"/>
  <c r="AF75" i="52"/>
  <c r="AF78" i="52" s="1"/>
  <c r="AE78" i="52"/>
  <c r="AC78" i="52"/>
  <c r="V70" i="52"/>
  <c r="V68" i="52"/>
  <c r="N88" i="52"/>
  <c r="N81" i="52"/>
  <c r="N87" i="52"/>
  <c r="X80" i="52"/>
  <c r="X78" i="52"/>
  <c r="Z78" i="52"/>
  <c r="Z80" i="52"/>
  <c r="AA75" i="52"/>
  <c r="AA78" i="52" s="1"/>
  <c r="W80" i="52"/>
  <c r="W78" i="52"/>
  <c r="Y80" i="52"/>
  <c r="Y78" i="52"/>
  <c r="V75" i="52"/>
  <c r="V78" i="52" s="1"/>
  <c r="O88" i="52"/>
  <c r="O81" i="52"/>
  <c r="O87" i="52"/>
  <c r="T78" i="52"/>
  <c r="T80" i="52"/>
  <c r="AA70" i="52"/>
  <c r="AA68" i="52"/>
  <c r="D80" i="52"/>
  <c r="D78" i="52"/>
  <c r="E69" i="52"/>
  <c r="E75" i="52"/>
  <c r="E70" i="52"/>
  <c r="I70" i="52"/>
  <c r="I68" i="52"/>
  <c r="I69" i="52"/>
  <c r="H70" i="52"/>
  <c r="L67" i="52"/>
  <c r="Q68" i="52" s="1"/>
  <c r="H68" i="52"/>
  <c r="H69" i="52"/>
  <c r="C75" i="52"/>
  <c r="C70" i="52"/>
  <c r="G67" i="52"/>
  <c r="G70" i="52" s="1"/>
  <c r="K68" i="52"/>
  <c r="K69" i="52"/>
  <c r="K70" i="52"/>
  <c r="F75" i="52"/>
  <c r="F70" i="52"/>
  <c r="F69" i="52"/>
  <c r="L41" i="52"/>
  <c r="L214" i="7" s="1"/>
  <c r="L39" i="52"/>
  <c r="J68" i="52"/>
  <c r="J69" i="52"/>
  <c r="J70" i="52"/>
  <c r="AK51" i="53" l="1"/>
  <c r="AK22" i="53"/>
  <c r="AP11" i="53"/>
  <c r="AP202" i="7" s="1"/>
  <c r="AK103" i="53"/>
  <c r="W85" i="52"/>
  <c r="W10" i="51"/>
  <c r="AI85" i="52"/>
  <c r="AI10" i="51"/>
  <c r="Z85" i="52"/>
  <c r="Z10" i="51"/>
  <c r="T10" i="51"/>
  <c r="Y85" i="52"/>
  <c r="Y10" i="51"/>
  <c r="U10" i="51"/>
  <c r="X85" i="52"/>
  <c r="X10" i="51"/>
  <c r="AH85" i="52"/>
  <c r="AH10" i="51"/>
  <c r="AJ85" i="52"/>
  <c r="AJ10" i="51"/>
  <c r="AK109" i="53"/>
  <c r="AK107" i="53"/>
  <c r="AK108" i="53"/>
  <c r="AK105" i="53"/>
  <c r="AK56" i="53"/>
  <c r="AG202" i="7"/>
  <c r="AK104" i="53"/>
  <c r="AG36" i="60"/>
  <c r="AG11" i="60"/>
  <c r="AG27" i="60"/>
  <c r="AK10" i="60"/>
  <c r="AG33" i="60"/>
  <c r="AG54" i="60"/>
  <c r="AG20" i="60"/>
  <c r="AG12" i="60"/>
  <c r="AG49" i="60"/>
  <c r="AG44" i="60"/>
  <c r="AH12" i="60"/>
  <c r="AK11" i="53"/>
  <c r="AK61" i="53"/>
  <c r="AH40" i="53"/>
  <c r="AK17" i="53"/>
  <c r="AG41" i="53"/>
  <c r="AG67" i="53"/>
  <c r="T85" i="52"/>
  <c r="U85" i="52"/>
  <c r="AG39" i="53"/>
  <c r="AK38" i="53"/>
  <c r="AG40" i="53"/>
  <c r="U87" i="52"/>
  <c r="U81" i="52"/>
  <c r="U88" i="52"/>
  <c r="AK80" i="52"/>
  <c r="AF80" i="52"/>
  <c r="AH88" i="52"/>
  <c r="AH81" i="52"/>
  <c r="AH87" i="52"/>
  <c r="AI87" i="52"/>
  <c r="AI88" i="52"/>
  <c r="AI81" i="52"/>
  <c r="AJ87" i="52"/>
  <c r="AJ88" i="52"/>
  <c r="AJ81" i="52"/>
  <c r="AC87" i="52"/>
  <c r="AC88" i="52"/>
  <c r="AC81" i="52"/>
  <c r="AE87" i="52"/>
  <c r="AE88" i="52"/>
  <c r="AE81" i="52"/>
  <c r="AD87" i="52"/>
  <c r="AD88" i="52"/>
  <c r="AD81" i="52"/>
  <c r="P88" i="52"/>
  <c r="P81" i="52"/>
  <c r="P87" i="52"/>
  <c r="T88" i="52"/>
  <c r="T81" i="52"/>
  <c r="T87" i="52"/>
  <c r="Z88" i="52"/>
  <c r="Z81" i="52"/>
  <c r="Z87" i="52"/>
  <c r="M87" i="52"/>
  <c r="M88" i="52"/>
  <c r="M81" i="52"/>
  <c r="W87" i="52"/>
  <c r="AA80" i="52"/>
  <c r="W88" i="52"/>
  <c r="W81" i="52"/>
  <c r="S87" i="52"/>
  <c r="S88" i="52"/>
  <c r="S81" i="52"/>
  <c r="R87" i="52"/>
  <c r="V80" i="52"/>
  <c r="R88" i="52"/>
  <c r="R81" i="52"/>
  <c r="Y88" i="52"/>
  <c r="Y81" i="52"/>
  <c r="Y87" i="52"/>
  <c r="X87" i="52"/>
  <c r="X88" i="52"/>
  <c r="X81" i="52"/>
  <c r="K80" i="52"/>
  <c r="K78" i="52"/>
  <c r="D87" i="52"/>
  <c r="D81" i="52"/>
  <c r="D88" i="52"/>
  <c r="J80" i="52"/>
  <c r="J78" i="52"/>
  <c r="L70" i="52"/>
  <c r="L68" i="52"/>
  <c r="I78" i="52"/>
  <c r="I80" i="52"/>
  <c r="F80" i="52"/>
  <c r="F78" i="52"/>
  <c r="H80" i="52"/>
  <c r="H78" i="52"/>
  <c r="L75" i="52"/>
  <c r="L78" i="52" s="1"/>
  <c r="C78" i="52"/>
  <c r="G75" i="52"/>
  <c r="G78" i="52" s="1"/>
  <c r="C80" i="52"/>
  <c r="E80" i="52"/>
  <c r="E78" i="52"/>
  <c r="AK85" i="52" l="1"/>
  <c r="AA85" i="52"/>
  <c r="AK10" i="51"/>
  <c r="AK88" i="52"/>
  <c r="AG56" i="60"/>
  <c r="AG55" i="60"/>
  <c r="AH56" i="60"/>
  <c r="AK202" i="7"/>
  <c r="AG45" i="60"/>
  <c r="AG46" i="60"/>
  <c r="AH46" i="60"/>
  <c r="AK39" i="53"/>
  <c r="AK11" i="60"/>
  <c r="AK27" i="60"/>
  <c r="AK20" i="60"/>
  <c r="AK54" i="60"/>
  <c r="AK55" i="60" s="1"/>
  <c r="AK49" i="60"/>
  <c r="AK50" i="60" s="1"/>
  <c r="AK33" i="60"/>
  <c r="AK44" i="60"/>
  <c r="AK45" i="60" s="1"/>
  <c r="AG51" i="60"/>
  <c r="AG50" i="60"/>
  <c r="AH51" i="60"/>
  <c r="AG37" i="60"/>
  <c r="AK36" i="60"/>
  <c r="AG40" i="60"/>
  <c r="AF88" i="52"/>
  <c r="K10" i="51"/>
  <c r="J10" i="51"/>
  <c r="AK67" i="53"/>
  <c r="AG69" i="53"/>
  <c r="AG76" i="53"/>
  <c r="AG70" i="53"/>
  <c r="AG68" i="53"/>
  <c r="AH69" i="53"/>
  <c r="AK41" i="53"/>
  <c r="V85" i="52"/>
  <c r="AF87" i="52"/>
  <c r="AF81" i="52"/>
  <c r="AK87" i="52"/>
  <c r="AK81" i="52"/>
  <c r="V87" i="52"/>
  <c r="V88" i="52"/>
  <c r="V81" i="52"/>
  <c r="AA88" i="52"/>
  <c r="AA81" i="52"/>
  <c r="AA87" i="52"/>
  <c r="Q87" i="52"/>
  <c r="Q88" i="52"/>
  <c r="Q81" i="52"/>
  <c r="H88" i="52"/>
  <c r="H87" i="52"/>
  <c r="L80" i="52"/>
  <c r="H81" i="52"/>
  <c r="J87" i="52"/>
  <c r="J81" i="52"/>
  <c r="J88" i="52"/>
  <c r="F81" i="52"/>
  <c r="F88" i="52"/>
  <c r="F87" i="52"/>
  <c r="I88" i="52"/>
  <c r="I87" i="52"/>
  <c r="I81" i="52"/>
  <c r="K81" i="52"/>
  <c r="K88" i="52"/>
  <c r="K87" i="52"/>
  <c r="C88" i="52"/>
  <c r="C87" i="52"/>
  <c r="G80" i="52"/>
  <c r="C81" i="52"/>
  <c r="E81" i="52"/>
  <c r="E88" i="52"/>
  <c r="E87" i="52"/>
  <c r="AK70" i="53" l="1"/>
  <c r="AG42" i="60"/>
  <c r="AG41" i="60"/>
  <c r="AH42" i="60"/>
  <c r="AK40" i="60"/>
  <c r="AK41" i="60" s="1"/>
  <c r="AK37" i="60"/>
  <c r="AK68" i="53"/>
  <c r="AG25" i="59"/>
  <c r="AG26" i="59" s="1"/>
  <c r="AG79" i="53"/>
  <c r="AG81" i="53"/>
  <c r="AK76" i="53"/>
  <c r="L81" i="52"/>
  <c r="L88" i="52"/>
  <c r="L87" i="52"/>
  <c r="G81" i="52"/>
  <c r="G88" i="52"/>
  <c r="G87" i="52"/>
  <c r="AK71" i="53" l="1"/>
  <c r="AK76" i="59"/>
  <c r="AK77" i="59" s="1"/>
  <c r="AK79" i="53"/>
  <c r="AG86" i="53"/>
  <c r="AK86" i="53" s="1"/>
  <c r="AG89" i="53"/>
  <c r="AG88" i="53"/>
  <c r="AG82" i="53"/>
  <c r="AK81" i="53"/>
  <c r="AK82" i="53" l="1"/>
  <c r="AK89" i="53"/>
  <c r="AK88" i="53"/>
  <c r="AZ48" i="50"/>
  <c r="AU48" i="50"/>
  <c r="AZ47" i="50"/>
  <c r="AU47" i="50"/>
  <c r="AZ46" i="50"/>
  <c r="AU46" i="50"/>
  <c r="AZ45" i="50"/>
  <c r="AU45" i="50"/>
  <c r="AZ44" i="50"/>
  <c r="AU44" i="50"/>
  <c r="AT20" i="50" l="1"/>
  <c r="AT18" i="50"/>
  <c r="AT21" i="50"/>
  <c r="AV20" i="50" l="1"/>
  <c r="AU20" i="50"/>
  <c r="AU21" i="50"/>
  <c r="AV21" i="50"/>
  <c r="AV18" i="50"/>
  <c r="AU18" i="50"/>
  <c r="AW18" i="50" l="1"/>
  <c r="AW21" i="50"/>
  <c r="AW20" i="50"/>
  <c r="AX20" i="50" l="1"/>
  <c r="AX21" i="50"/>
  <c r="AX18" i="50"/>
  <c r="AJ124" i="50"/>
  <c r="AK124" i="50" s="1"/>
  <c r="AI124" i="50"/>
  <c r="AH124" i="50"/>
  <c r="AG124" i="50"/>
  <c r="AE124" i="50"/>
  <c r="AF124" i="50" s="1"/>
  <c r="AD124" i="50"/>
  <c r="AC124" i="50"/>
  <c r="AB124" i="50"/>
  <c r="Z124" i="50"/>
  <c r="AA124" i="50" s="1"/>
  <c r="Y124" i="50"/>
  <c r="X124" i="50"/>
  <c r="W124" i="50"/>
  <c r="U124" i="50"/>
  <c r="V124" i="50" s="1"/>
  <c r="T124" i="50"/>
  <c r="S124" i="50"/>
  <c r="R124" i="50"/>
  <c r="AJ119" i="50"/>
  <c r="AI119" i="50"/>
  <c r="AH119" i="50"/>
  <c r="AG119" i="50"/>
  <c r="AE119" i="50"/>
  <c r="AE121" i="50" s="1"/>
  <c r="AD119" i="50"/>
  <c r="AD121" i="50" s="1"/>
  <c r="AC119" i="50"/>
  <c r="AB119" i="50"/>
  <c r="Z119" i="50"/>
  <c r="Y119" i="50"/>
  <c r="X119" i="50"/>
  <c r="X121" i="50" s="1"/>
  <c r="W119" i="50"/>
  <c r="U119" i="50"/>
  <c r="U121" i="50" s="1"/>
  <c r="T119" i="50"/>
  <c r="T121" i="50" s="1"/>
  <c r="S119" i="50"/>
  <c r="R119" i="50"/>
  <c r="N119" i="50"/>
  <c r="N121" i="50" s="1"/>
  <c r="O119" i="50"/>
  <c r="P119" i="50"/>
  <c r="N130" i="50"/>
  <c r="N124" i="50"/>
  <c r="O124" i="50"/>
  <c r="P124" i="50"/>
  <c r="Q124" i="50" s="1"/>
  <c r="M124" i="50"/>
  <c r="M119" i="50"/>
  <c r="AW105" i="50"/>
  <c r="AX105" i="50" s="1"/>
  <c r="AY105" i="50" s="1"/>
  <c r="AX102" i="50"/>
  <c r="AY102" i="50" s="1"/>
  <c r="AJ104" i="50"/>
  <c r="AJ123" i="50" s="1"/>
  <c r="AI104" i="50"/>
  <c r="AH104" i="50"/>
  <c r="AH123" i="50" s="1"/>
  <c r="AG104" i="50"/>
  <c r="AG123" i="50" s="1"/>
  <c r="AE104" i="50"/>
  <c r="AE123" i="50" s="1"/>
  <c r="AD104" i="50"/>
  <c r="AD123" i="50" s="1"/>
  <c r="AC104" i="50"/>
  <c r="AC123" i="50" s="1"/>
  <c r="AB104" i="50"/>
  <c r="AB123" i="50" s="1"/>
  <c r="Z104" i="50"/>
  <c r="Z123" i="50" s="1"/>
  <c r="Y104" i="50"/>
  <c r="Y123" i="50" s="1"/>
  <c r="X104" i="50"/>
  <c r="X123" i="50" s="1"/>
  <c r="W104" i="50"/>
  <c r="W123" i="50" s="1"/>
  <c r="U104" i="50"/>
  <c r="U123" i="50" s="1"/>
  <c r="T104" i="50"/>
  <c r="T123" i="50" s="1"/>
  <c r="S104" i="50"/>
  <c r="S123" i="50" s="1"/>
  <c r="R104" i="50"/>
  <c r="R123" i="50" s="1"/>
  <c r="AJ101" i="50"/>
  <c r="AJ122" i="50" s="1"/>
  <c r="AI101" i="50"/>
  <c r="AI122" i="50" s="1"/>
  <c r="AH101" i="50"/>
  <c r="AH122" i="50" s="1"/>
  <c r="AG101" i="50"/>
  <c r="AG122" i="50" s="1"/>
  <c r="AE101" i="50"/>
  <c r="AE122" i="50" s="1"/>
  <c r="AD101" i="50"/>
  <c r="AD122" i="50" s="1"/>
  <c r="AC101" i="50"/>
  <c r="AC122" i="50" s="1"/>
  <c r="AB101" i="50"/>
  <c r="AB122" i="50" s="1"/>
  <c r="Z101" i="50"/>
  <c r="Z122" i="50" s="1"/>
  <c r="Y101" i="50"/>
  <c r="Y122" i="50" s="1"/>
  <c r="X101" i="50"/>
  <c r="X122" i="50" s="1"/>
  <c r="W101" i="50"/>
  <c r="W122" i="50" s="1"/>
  <c r="U101" i="50"/>
  <c r="U122" i="50" s="1"/>
  <c r="T101" i="50"/>
  <c r="T122" i="50" s="1"/>
  <c r="S101" i="50"/>
  <c r="S122" i="50" s="1"/>
  <c r="R101" i="50"/>
  <c r="R122" i="50" s="1"/>
  <c r="AJ96" i="50"/>
  <c r="AI96" i="50"/>
  <c r="AH96" i="50"/>
  <c r="AG96" i="50"/>
  <c r="AE96" i="50"/>
  <c r="AD96" i="50"/>
  <c r="AC96" i="50"/>
  <c r="AB96" i="50"/>
  <c r="Z96" i="50"/>
  <c r="Y96" i="50"/>
  <c r="X96" i="50"/>
  <c r="W96" i="50"/>
  <c r="U96" i="50"/>
  <c r="T96" i="50"/>
  <c r="S96" i="50"/>
  <c r="R96" i="50"/>
  <c r="AJ93" i="50"/>
  <c r="AI93" i="50"/>
  <c r="AH93" i="50"/>
  <c r="AG93" i="50"/>
  <c r="AE93" i="50"/>
  <c r="AD93" i="50"/>
  <c r="AC93" i="50"/>
  <c r="AB93" i="50"/>
  <c r="Z93" i="50"/>
  <c r="Y93" i="50"/>
  <c r="X93" i="50"/>
  <c r="W93" i="50"/>
  <c r="U93" i="50"/>
  <c r="T93" i="50"/>
  <c r="S93" i="50"/>
  <c r="R93" i="50"/>
  <c r="AJ90" i="50"/>
  <c r="AI90" i="50"/>
  <c r="AH90" i="50"/>
  <c r="AG90" i="50"/>
  <c r="AE90" i="50"/>
  <c r="AD90" i="50"/>
  <c r="AC90" i="50"/>
  <c r="AB90" i="50"/>
  <c r="Z90" i="50"/>
  <c r="Y90" i="50"/>
  <c r="X90" i="50"/>
  <c r="W90" i="50"/>
  <c r="U90" i="50"/>
  <c r="T90" i="50"/>
  <c r="S90" i="50"/>
  <c r="R90" i="50"/>
  <c r="AJ87" i="50"/>
  <c r="AI87" i="50"/>
  <c r="AH87" i="50"/>
  <c r="AG87" i="50"/>
  <c r="AE87" i="50"/>
  <c r="AD87" i="50"/>
  <c r="AC87" i="50"/>
  <c r="AB87" i="50"/>
  <c r="Z87" i="50"/>
  <c r="Y87" i="50"/>
  <c r="X87" i="50"/>
  <c r="W87" i="50"/>
  <c r="U87" i="50"/>
  <c r="T87" i="50"/>
  <c r="S87" i="50"/>
  <c r="R87" i="50"/>
  <c r="AJ84" i="50"/>
  <c r="AI84" i="50"/>
  <c r="AH84" i="50"/>
  <c r="AG84" i="50"/>
  <c r="AE84" i="50"/>
  <c r="AD84" i="50"/>
  <c r="AC84" i="50"/>
  <c r="AB84" i="50"/>
  <c r="Z84" i="50"/>
  <c r="Y84" i="50"/>
  <c r="X84" i="50"/>
  <c r="W84" i="50"/>
  <c r="U84" i="50"/>
  <c r="T84" i="50"/>
  <c r="S84" i="50"/>
  <c r="R84" i="50"/>
  <c r="AJ77" i="50"/>
  <c r="AI77" i="50"/>
  <c r="AH77" i="50"/>
  <c r="AG77" i="50"/>
  <c r="AE77" i="50"/>
  <c r="AD77" i="50"/>
  <c r="AC77" i="50"/>
  <c r="AB77" i="50"/>
  <c r="Z77" i="50"/>
  <c r="Y77" i="50"/>
  <c r="X77" i="50"/>
  <c r="W77" i="50"/>
  <c r="U77" i="50"/>
  <c r="T77" i="50"/>
  <c r="S77" i="50"/>
  <c r="R77" i="50"/>
  <c r="AJ74" i="50"/>
  <c r="AI74" i="50"/>
  <c r="AH74" i="50"/>
  <c r="AG74" i="50"/>
  <c r="AE74" i="50"/>
  <c r="AD74" i="50"/>
  <c r="AC74" i="50"/>
  <c r="AB74" i="50"/>
  <c r="Z74" i="50"/>
  <c r="Y74" i="50"/>
  <c r="X74" i="50"/>
  <c r="W74" i="50"/>
  <c r="U74" i="50"/>
  <c r="T74" i="50"/>
  <c r="S74" i="50"/>
  <c r="R74" i="50"/>
  <c r="AJ71" i="50"/>
  <c r="AI71" i="50"/>
  <c r="AH71" i="50"/>
  <c r="AG71" i="50"/>
  <c r="AE71" i="50"/>
  <c r="AD71" i="50"/>
  <c r="AC71" i="50"/>
  <c r="AB71" i="50"/>
  <c r="Z71" i="50"/>
  <c r="Y71" i="50"/>
  <c r="X71" i="50"/>
  <c r="W71" i="50"/>
  <c r="U71" i="50"/>
  <c r="T71" i="50"/>
  <c r="S71" i="50"/>
  <c r="R71" i="50"/>
  <c r="AJ68" i="50"/>
  <c r="AI68" i="50"/>
  <c r="AH68" i="50"/>
  <c r="AG68" i="50"/>
  <c r="AE68" i="50"/>
  <c r="AD68" i="50"/>
  <c r="AC68" i="50"/>
  <c r="AB68" i="50"/>
  <c r="Z68" i="50"/>
  <c r="Y68" i="50"/>
  <c r="X68" i="50"/>
  <c r="W68" i="50"/>
  <c r="U68" i="50"/>
  <c r="T68" i="50"/>
  <c r="S68" i="50"/>
  <c r="R68" i="50"/>
  <c r="AJ65" i="50"/>
  <c r="AI65" i="50"/>
  <c r="AH65" i="50"/>
  <c r="AG65" i="50"/>
  <c r="AE65" i="50"/>
  <c r="AD65" i="50"/>
  <c r="AC65" i="50"/>
  <c r="AB65" i="50"/>
  <c r="Z65" i="50"/>
  <c r="Y65" i="50"/>
  <c r="X65" i="50"/>
  <c r="W65" i="50"/>
  <c r="U65" i="50"/>
  <c r="T65" i="50"/>
  <c r="S65" i="50"/>
  <c r="R65" i="50"/>
  <c r="AF83" i="51"/>
  <c r="AA83" i="51"/>
  <c r="V83" i="51"/>
  <c r="Q83" i="51"/>
  <c r="L83" i="51"/>
  <c r="AK83" i="51"/>
  <c r="P104" i="50"/>
  <c r="P123" i="50" s="1"/>
  <c r="O104" i="50"/>
  <c r="O123" i="50" s="1"/>
  <c r="N104" i="50"/>
  <c r="N123" i="50" s="1"/>
  <c r="M104" i="50"/>
  <c r="M123" i="50" s="1"/>
  <c r="P101" i="50"/>
  <c r="P122" i="50" s="1"/>
  <c r="O101" i="50"/>
  <c r="O122" i="50" s="1"/>
  <c r="N101" i="50"/>
  <c r="N122" i="50" s="1"/>
  <c r="M101" i="50"/>
  <c r="M122" i="50" s="1"/>
  <c r="K104" i="50"/>
  <c r="K101" i="50"/>
  <c r="P96" i="50"/>
  <c r="O96" i="50"/>
  <c r="N96" i="50"/>
  <c r="M96" i="50"/>
  <c r="K96" i="50"/>
  <c r="P93" i="50"/>
  <c r="O93" i="50"/>
  <c r="N93" i="50"/>
  <c r="M93" i="50"/>
  <c r="K93" i="50"/>
  <c r="P90" i="50"/>
  <c r="O90" i="50"/>
  <c r="N90" i="50"/>
  <c r="M90" i="50"/>
  <c r="K90" i="50"/>
  <c r="P87" i="50"/>
  <c r="O87" i="50"/>
  <c r="N87" i="50"/>
  <c r="M87" i="50"/>
  <c r="K87" i="50"/>
  <c r="N84" i="50"/>
  <c r="O84" i="50"/>
  <c r="P84" i="50"/>
  <c r="M84" i="50"/>
  <c r="K84" i="50"/>
  <c r="P77" i="50"/>
  <c r="O77" i="50"/>
  <c r="N77" i="50"/>
  <c r="M77" i="50"/>
  <c r="K77" i="50"/>
  <c r="P74" i="50"/>
  <c r="O74" i="50"/>
  <c r="N74" i="50"/>
  <c r="M74" i="50"/>
  <c r="K74" i="50"/>
  <c r="P71" i="50"/>
  <c r="O71" i="50"/>
  <c r="N71" i="50"/>
  <c r="M71" i="50"/>
  <c r="K71" i="50"/>
  <c r="P68" i="50"/>
  <c r="O68" i="50"/>
  <c r="N68" i="50"/>
  <c r="M68" i="50"/>
  <c r="K68" i="50"/>
  <c r="P65" i="50"/>
  <c r="O65" i="50"/>
  <c r="N65" i="50"/>
  <c r="M65" i="50"/>
  <c r="K65" i="50"/>
  <c r="AD95" i="50"/>
  <c r="Z95" i="50"/>
  <c r="Y95" i="50"/>
  <c r="N95" i="50"/>
  <c r="AK55" i="51"/>
  <c r="AF55" i="51"/>
  <c r="AA55" i="51"/>
  <c r="V55" i="51"/>
  <c r="L68" i="51"/>
  <c r="N72" i="51"/>
  <c r="N73" i="51" s="1"/>
  <c r="O72" i="51"/>
  <c r="O73" i="51" s="1"/>
  <c r="P72" i="51"/>
  <c r="P73" i="51" s="1"/>
  <c r="M72" i="51"/>
  <c r="M73" i="51" s="1"/>
  <c r="I72" i="51"/>
  <c r="I73" i="51" s="1"/>
  <c r="J72" i="51"/>
  <c r="J73" i="51" s="1"/>
  <c r="K72" i="51"/>
  <c r="K73" i="51" s="1"/>
  <c r="H72" i="51"/>
  <c r="H73" i="51" s="1"/>
  <c r="M64" i="51"/>
  <c r="Q63" i="51"/>
  <c r="Q62" i="51"/>
  <c r="Q61" i="51"/>
  <c r="Q60" i="51"/>
  <c r="Q56" i="51"/>
  <c r="Q55" i="51"/>
  <c r="Q54" i="51"/>
  <c r="Q53" i="51"/>
  <c r="Q52" i="51"/>
  <c r="Q51" i="51"/>
  <c r="Q50" i="51"/>
  <c r="Q49" i="51"/>
  <c r="Q48" i="51"/>
  <c r="Q47" i="51"/>
  <c r="O64" i="51"/>
  <c r="N64" i="51"/>
  <c r="Q43" i="51"/>
  <c r="Q41" i="51"/>
  <c r="Q40" i="51"/>
  <c r="Q39" i="51"/>
  <c r="Q38" i="51"/>
  <c r="Q37" i="51"/>
  <c r="Q36" i="51"/>
  <c r="P44" i="51"/>
  <c r="O44" i="51"/>
  <c r="N44" i="51"/>
  <c r="M44" i="51"/>
  <c r="Q31" i="51"/>
  <c r="Q30" i="51"/>
  <c r="Q29" i="51"/>
  <c r="Q28" i="51"/>
  <c r="Q27" i="51"/>
  <c r="Q84" i="50" s="1"/>
  <c r="Q26" i="51"/>
  <c r="Q25" i="51"/>
  <c r="Q24" i="51"/>
  <c r="Q65" i="50" s="1"/>
  <c r="Q21" i="51"/>
  <c r="Q20" i="51"/>
  <c r="Q19" i="51"/>
  <c r="Q16" i="51"/>
  <c r="Q15" i="51"/>
  <c r="Q13" i="51"/>
  <c r="Q12" i="51"/>
  <c r="Q11" i="51"/>
  <c r="L55" i="51"/>
  <c r="J64" i="51"/>
  <c r="L50" i="51"/>
  <c r="L52" i="51"/>
  <c r="G52" i="51"/>
  <c r="G53" i="51"/>
  <c r="G54" i="51"/>
  <c r="G55" i="51"/>
  <c r="G56" i="51"/>
  <c r="G60" i="51"/>
  <c r="G61" i="51"/>
  <c r="G62" i="51"/>
  <c r="G63" i="51"/>
  <c r="L48" i="51"/>
  <c r="L49" i="51"/>
  <c r="L51" i="51"/>
  <c r="L53" i="51"/>
  <c r="L54" i="51"/>
  <c r="L56" i="51"/>
  <c r="L60" i="51"/>
  <c r="L61" i="51"/>
  <c r="L62" i="51"/>
  <c r="L63" i="51"/>
  <c r="J44" i="51"/>
  <c r="K44" i="51"/>
  <c r="L38" i="51"/>
  <c r="L40" i="51"/>
  <c r="L41" i="51"/>
  <c r="L37" i="51"/>
  <c r="L39" i="51"/>
  <c r="L43" i="51"/>
  <c r="L30" i="51"/>
  <c r="L31" i="51"/>
  <c r="I32" i="51"/>
  <c r="L20" i="51"/>
  <c r="K64" i="51"/>
  <c r="I64" i="51"/>
  <c r="H64" i="51"/>
  <c r="I44" i="51"/>
  <c r="H44" i="51"/>
  <c r="H32" i="51"/>
  <c r="G16" i="51"/>
  <c r="L16" i="51"/>
  <c r="G19" i="51"/>
  <c r="L19" i="51"/>
  <c r="G20" i="51"/>
  <c r="G21" i="51"/>
  <c r="L21" i="51"/>
  <c r="AK61" i="51"/>
  <c r="AF61" i="51"/>
  <c r="AK53" i="51"/>
  <c r="AF53" i="51"/>
  <c r="AK52" i="51"/>
  <c r="AF52" i="51"/>
  <c r="AK49" i="51"/>
  <c r="AK48" i="51"/>
  <c r="AK47" i="51"/>
  <c r="AF49" i="51"/>
  <c r="AF48" i="51"/>
  <c r="AF47" i="51"/>
  <c r="AA61" i="51"/>
  <c r="AA53" i="51"/>
  <c r="AA52" i="51"/>
  <c r="AA48" i="51"/>
  <c r="V48" i="51"/>
  <c r="V61" i="51"/>
  <c r="V52" i="51"/>
  <c r="Q48" i="50"/>
  <c r="Q47" i="50"/>
  <c r="Q46" i="50"/>
  <c r="Q45" i="50"/>
  <c r="Q38" i="50"/>
  <c r="Q37" i="50"/>
  <c r="Q36" i="50"/>
  <c r="Q35" i="50"/>
  <c r="Q31" i="50"/>
  <c r="Q30" i="50"/>
  <c r="Q29" i="50"/>
  <c r="Q24" i="50"/>
  <c r="Q76" i="50" s="1"/>
  <c r="Q23" i="50"/>
  <c r="Q22" i="50"/>
  <c r="Q21" i="50"/>
  <c r="Q20" i="50"/>
  <c r="Q19" i="50"/>
  <c r="Q18" i="50"/>
  <c r="Q15" i="50"/>
  <c r="Q14" i="50"/>
  <c r="Q67" i="50" s="1"/>
  <c r="Q13" i="50"/>
  <c r="Q12" i="50"/>
  <c r="Q11" i="50"/>
  <c r="N16" i="50"/>
  <c r="L38" i="50"/>
  <c r="AA11" i="50"/>
  <c r="V11" i="50"/>
  <c r="L11" i="50"/>
  <c r="I16" i="50"/>
  <c r="Q104" i="50" l="1"/>
  <c r="Q105" i="50" s="1"/>
  <c r="Q95" i="50"/>
  <c r="Q92" i="50"/>
  <c r="Q86" i="50"/>
  <c r="H67" i="51"/>
  <c r="H69" i="51" s="1"/>
  <c r="H75" i="51" s="1"/>
  <c r="I67" i="51"/>
  <c r="I25" i="50"/>
  <c r="AY18" i="50"/>
  <c r="AY21" i="50"/>
  <c r="AY20" i="50"/>
  <c r="O32" i="51"/>
  <c r="O76" i="50"/>
  <c r="O95" i="50"/>
  <c r="U92" i="50"/>
  <c r="U95" i="50"/>
  <c r="AG92" i="50"/>
  <c r="AG95" i="50"/>
  <c r="P76" i="50"/>
  <c r="P95" i="50"/>
  <c r="AB89" i="50"/>
  <c r="AB95" i="50"/>
  <c r="AH95" i="50"/>
  <c r="P32" i="51"/>
  <c r="J32" i="51"/>
  <c r="K95" i="50"/>
  <c r="W92" i="50"/>
  <c r="W95" i="50"/>
  <c r="AC89" i="50"/>
  <c r="AC95" i="50"/>
  <c r="AI95" i="50"/>
  <c r="R73" i="50"/>
  <c r="R95" i="50"/>
  <c r="X73" i="50"/>
  <c r="X95" i="50"/>
  <c r="AJ73" i="50"/>
  <c r="AJ95" i="50"/>
  <c r="M92" i="50"/>
  <c r="M95" i="50"/>
  <c r="S89" i="50"/>
  <c r="S95" i="50"/>
  <c r="AE92" i="50"/>
  <c r="AE95" i="50"/>
  <c r="K32" i="51"/>
  <c r="N32" i="51"/>
  <c r="T89" i="50"/>
  <c r="T95" i="50"/>
  <c r="U126" i="50"/>
  <c r="AD127" i="50"/>
  <c r="X127" i="50"/>
  <c r="AE127" i="50"/>
  <c r="T126" i="50"/>
  <c r="N126" i="50"/>
  <c r="O130" i="50"/>
  <c r="V122" i="50"/>
  <c r="AA122" i="50"/>
  <c r="AF123" i="50"/>
  <c r="Q119" i="50"/>
  <c r="Q10" i="51"/>
  <c r="Q122" i="50"/>
  <c r="N131" i="50"/>
  <c r="N127" i="50"/>
  <c r="U127" i="50"/>
  <c r="AD126" i="50"/>
  <c r="T127" i="50"/>
  <c r="X126" i="50"/>
  <c r="AE126" i="50"/>
  <c r="Q120" i="50"/>
  <c r="P121" i="50"/>
  <c r="R121" i="50"/>
  <c r="Y121" i="50"/>
  <c r="AG121" i="50"/>
  <c r="O121" i="50"/>
  <c r="S121" i="50"/>
  <c r="Z121" i="50"/>
  <c r="AF122" i="50"/>
  <c r="AK122" i="50"/>
  <c r="AA123" i="50"/>
  <c r="Q123" i="50"/>
  <c r="V123" i="50"/>
  <c r="M70" i="50"/>
  <c r="AK119" i="50"/>
  <c r="K102" i="50"/>
  <c r="M121" i="50"/>
  <c r="Y67" i="50"/>
  <c r="AC105" i="50"/>
  <c r="AI105" i="50"/>
  <c r="AE67" i="50"/>
  <c r="T102" i="50"/>
  <c r="P89" i="50"/>
  <c r="AI121" i="50"/>
  <c r="AC121" i="50"/>
  <c r="AI123" i="50"/>
  <c r="AK123" i="50" s="1"/>
  <c r="AF119" i="50"/>
  <c r="AB121" i="50"/>
  <c r="AH121" i="50"/>
  <c r="AA119" i="50"/>
  <c r="W121" i="50"/>
  <c r="V119" i="50"/>
  <c r="AJ121" i="50"/>
  <c r="N92" i="50"/>
  <c r="S86" i="50"/>
  <c r="U89" i="50"/>
  <c r="Y92" i="50"/>
  <c r="U102" i="50"/>
  <c r="AG102" i="50"/>
  <c r="K73" i="50"/>
  <c r="P92" i="50"/>
  <c r="O102" i="50"/>
  <c r="AH67" i="50"/>
  <c r="Y70" i="50"/>
  <c r="AB86" i="50"/>
  <c r="AE89" i="50"/>
  <c r="AH92" i="50"/>
  <c r="K76" i="50"/>
  <c r="AI67" i="50"/>
  <c r="AC70" i="50"/>
  <c r="S73" i="50"/>
  <c r="U76" i="50"/>
  <c r="AH105" i="50"/>
  <c r="Q73" i="50"/>
  <c r="Q70" i="50"/>
  <c r="Q96" i="50"/>
  <c r="O73" i="50"/>
  <c r="M105" i="50"/>
  <c r="AH70" i="50"/>
  <c r="AB73" i="50"/>
  <c r="AE76" i="50"/>
  <c r="Z102" i="50"/>
  <c r="Q89" i="50"/>
  <c r="M76" i="50"/>
  <c r="M89" i="50"/>
  <c r="K92" i="50"/>
  <c r="K105" i="50"/>
  <c r="U67" i="50"/>
  <c r="AB105" i="50"/>
  <c r="M67" i="50"/>
  <c r="P73" i="50"/>
  <c r="M86" i="50"/>
  <c r="N89" i="50"/>
  <c r="O92" i="50"/>
  <c r="P102" i="50"/>
  <c r="W67" i="50"/>
  <c r="AG67" i="50"/>
  <c r="Z70" i="50"/>
  <c r="AI70" i="50"/>
  <c r="T73" i="50"/>
  <c r="AC73" i="50"/>
  <c r="W76" i="50"/>
  <c r="AG76" i="50"/>
  <c r="T86" i="50"/>
  <c r="AC86" i="50"/>
  <c r="W89" i="50"/>
  <c r="AG89" i="50"/>
  <c r="Z92" i="50"/>
  <c r="AI92" i="50"/>
  <c r="S105" i="50"/>
  <c r="Y105" i="50"/>
  <c r="AE105" i="50"/>
  <c r="N67" i="50"/>
  <c r="N70" i="50"/>
  <c r="N86" i="50"/>
  <c r="O89" i="50"/>
  <c r="S70" i="50"/>
  <c r="AB70" i="50"/>
  <c r="U73" i="50"/>
  <c r="AE73" i="50"/>
  <c r="Y76" i="50"/>
  <c r="AH76" i="50"/>
  <c r="U86" i="50"/>
  <c r="AE86" i="50"/>
  <c r="Y89" i="50"/>
  <c r="AH89" i="50"/>
  <c r="S92" i="50"/>
  <c r="AB92" i="50"/>
  <c r="AB102" i="50"/>
  <c r="AH102" i="50"/>
  <c r="T105" i="50"/>
  <c r="Z105" i="50"/>
  <c r="O67" i="50"/>
  <c r="O70" i="50"/>
  <c r="N76" i="50"/>
  <c r="O86" i="50"/>
  <c r="N105" i="50"/>
  <c r="Z67" i="50"/>
  <c r="T70" i="50"/>
  <c r="W73" i="50"/>
  <c r="AG73" i="50"/>
  <c r="Z76" i="50"/>
  <c r="AI76" i="50"/>
  <c r="W86" i="50"/>
  <c r="AG86" i="50"/>
  <c r="Z89" i="50"/>
  <c r="AI89" i="50"/>
  <c r="T92" i="50"/>
  <c r="AC92" i="50"/>
  <c r="W102" i="50"/>
  <c r="AC102" i="50"/>
  <c r="AI102" i="50"/>
  <c r="U105" i="50"/>
  <c r="AG105" i="50"/>
  <c r="W105" i="50"/>
  <c r="P67" i="50"/>
  <c r="K70" i="50"/>
  <c r="P70" i="50"/>
  <c r="M73" i="50"/>
  <c r="P86" i="50"/>
  <c r="K89" i="50"/>
  <c r="M102" i="50"/>
  <c r="O105" i="50"/>
  <c r="S67" i="50"/>
  <c r="AB67" i="50"/>
  <c r="U70" i="50"/>
  <c r="AE70" i="50"/>
  <c r="Y73" i="50"/>
  <c r="AH73" i="50"/>
  <c r="S76" i="50"/>
  <c r="AB76" i="50"/>
  <c r="Y86" i="50"/>
  <c r="AH86" i="50"/>
  <c r="Q90" i="50"/>
  <c r="K67" i="50"/>
  <c r="N73" i="50"/>
  <c r="N102" i="50"/>
  <c r="P105" i="50"/>
  <c r="T67" i="50"/>
  <c r="AC67" i="50"/>
  <c r="W70" i="50"/>
  <c r="AG70" i="50"/>
  <c r="Z73" i="50"/>
  <c r="AI73" i="50"/>
  <c r="T76" i="50"/>
  <c r="AC76" i="50"/>
  <c r="Z86" i="50"/>
  <c r="AI86" i="50"/>
  <c r="S102" i="50"/>
  <c r="Y102" i="50"/>
  <c r="AE102" i="50"/>
  <c r="R70" i="50"/>
  <c r="X70" i="50"/>
  <c r="AD70" i="50"/>
  <c r="AJ70" i="50"/>
  <c r="R102" i="50"/>
  <c r="X102" i="50"/>
  <c r="AD102" i="50"/>
  <c r="AJ102" i="50"/>
  <c r="Q71" i="50"/>
  <c r="R92" i="50"/>
  <c r="X92" i="50"/>
  <c r="AD92" i="50"/>
  <c r="AJ92" i="50"/>
  <c r="Q77" i="50"/>
  <c r="R67" i="50"/>
  <c r="X67" i="50"/>
  <c r="AD67" i="50"/>
  <c r="AJ67" i="50"/>
  <c r="R76" i="50"/>
  <c r="X76" i="50"/>
  <c r="AD76" i="50"/>
  <c r="AJ76" i="50"/>
  <c r="R105" i="50"/>
  <c r="X105" i="50"/>
  <c r="AD105" i="50"/>
  <c r="AJ105" i="50"/>
  <c r="R86" i="50"/>
  <c r="X86" i="50"/>
  <c r="AD86" i="50"/>
  <c r="AJ86" i="50"/>
  <c r="R89" i="50"/>
  <c r="X89" i="50"/>
  <c r="AD89" i="50"/>
  <c r="AJ89" i="50"/>
  <c r="AD73" i="50"/>
  <c r="M32" i="51"/>
  <c r="Q68" i="50"/>
  <c r="Q74" i="50"/>
  <c r="Q87" i="50"/>
  <c r="Q93" i="50"/>
  <c r="Q44" i="51"/>
  <c r="Q35" i="51"/>
  <c r="Q14" i="51"/>
  <c r="P64" i="51"/>
  <c r="Q64" i="51" s="1"/>
  <c r="L10" i="51"/>
  <c r="H16" i="50"/>
  <c r="I32" i="50"/>
  <c r="S49" i="50"/>
  <c r="H49" i="50"/>
  <c r="R32" i="50"/>
  <c r="N25" i="50"/>
  <c r="O49" i="50"/>
  <c r="K32" i="50"/>
  <c r="J32" i="50"/>
  <c r="K49" i="50"/>
  <c r="O16" i="50"/>
  <c r="P49" i="50"/>
  <c r="R16" i="50"/>
  <c r="J16" i="50"/>
  <c r="J49" i="50"/>
  <c r="P16" i="50"/>
  <c r="M32" i="50"/>
  <c r="S16" i="50"/>
  <c r="R49" i="50"/>
  <c r="I49" i="50"/>
  <c r="N32" i="50"/>
  <c r="N49" i="50"/>
  <c r="O32" i="50"/>
  <c r="M49" i="50"/>
  <c r="S32" i="50"/>
  <c r="M16" i="50"/>
  <c r="P32" i="50"/>
  <c r="P39" i="50" s="1"/>
  <c r="Q10" i="50"/>
  <c r="Q28" i="50"/>
  <c r="Q44" i="50"/>
  <c r="H32" i="50"/>
  <c r="K16" i="50"/>
  <c r="I68" i="51" l="1"/>
  <c r="Q71" i="51"/>
  <c r="I69" i="51"/>
  <c r="J68" i="51" s="1"/>
  <c r="H39" i="50"/>
  <c r="S39" i="50"/>
  <c r="O39" i="50"/>
  <c r="N39" i="50"/>
  <c r="J39" i="50"/>
  <c r="I39" i="50"/>
  <c r="K39" i="50"/>
  <c r="M39" i="50"/>
  <c r="R39" i="50"/>
  <c r="K98" i="50"/>
  <c r="K99" i="50" s="1"/>
  <c r="V121" i="50"/>
  <c r="Q32" i="50"/>
  <c r="Q101" i="50"/>
  <c r="Q102" i="50" s="1"/>
  <c r="R25" i="50"/>
  <c r="S25" i="50"/>
  <c r="O25" i="50"/>
  <c r="P25" i="50"/>
  <c r="K25" i="50"/>
  <c r="H25" i="50"/>
  <c r="Q16" i="50"/>
  <c r="M25" i="50"/>
  <c r="J25" i="50"/>
  <c r="BA20" i="50"/>
  <c r="AZ20" i="50"/>
  <c r="AZ21" i="50"/>
  <c r="BA21" i="50"/>
  <c r="AZ18" i="50"/>
  <c r="BA18" i="50"/>
  <c r="K67" i="51"/>
  <c r="J67" i="51"/>
  <c r="P98" i="50"/>
  <c r="P99" i="50" s="1"/>
  <c r="N98" i="50"/>
  <c r="N99" i="50" s="1"/>
  <c r="O98" i="50"/>
  <c r="O99" i="50" s="1"/>
  <c r="I50" i="50"/>
  <c r="J50" i="50"/>
  <c r="Q49" i="50"/>
  <c r="P130" i="50"/>
  <c r="Q121" i="50"/>
  <c r="AF121" i="50"/>
  <c r="AB127" i="50"/>
  <c r="AB126" i="50"/>
  <c r="AI127" i="50"/>
  <c r="AI126" i="50"/>
  <c r="Z127" i="50"/>
  <c r="Z126" i="50"/>
  <c r="AJ127" i="50"/>
  <c r="AJ126" i="50"/>
  <c r="S127" i="50"/>
  <c r="S126" i="50"/>
  <c r="O126" i="50"/>
  <c r="O127" i="50"/>
  <c r="AG127" i="50"/>
  <c r="AG126" i="50"/>
  <c r="AA121" i="50"/>
  <c r="W127" i="50"/>
  <c r="W126" i="50"/>
  <c r="Y127" i="50"/>
  <c r="Y126" i="50"/>
  <c r="O131" i="50"/>
  <c r="AC127" i="50"/>
  <c r="AC126" i="50"/>
  <c r="R126" i="50"/>
  <c r="R127" i="50"/>
  <c r="AK121" i="50"/>
  <c r="AH127" i="50"/>
  <c r="AH126" i="50"/>
  <c r="P126" i="50"/>
  <c r="P127" i="50"/>
  <c r="Q32" i="51"/>
  <c r="M98" i="50"/>
  <c r="M99" i="50" s="1"/>
  <c r="H50" i="50"/>
  <c r="O50" i="50"/>
  <c r="S50" i="50"/>
  <c r="M50" i="50"/>
  <c r="K50" i="50"/>
  <c r="P50" i="50"/>
  <c r="R50" i="50"/>
  <c r="N50" i="50"/>
  <c r="I75" i="51" l="1"/>
  <c r="BB21" i="50"/>
  <c r="BB18" i="50"/>
  <c r="BB20" i="50"/>
  <c r="Q39" i="50"/>
  <c r="Q25" i="50"/>
  <c r="J69" i="51"/>
  <c r="Q98" i="50"/>
  <c r="Q99" i="50" s="1"/>
  <c r="Q50" i="50"/>
  <c r="P131" i="50"/>
  <c r="R130" i="50"/>
  <c r="Q130" i="50"/>
  <c r="AP43" i="50"/>
  <c r="BC21" i="50" l="1"/>
  <c r="BC20" i="50"/>
  <c r="BC18" i="50"/>
  <c r="J75" i="51"/>
  <c r="K68" i="51"/>
  <c r="K69" i="51" s="1"/>
  <c r="M68" i="51" s="1"/>
  <c r="R131" i="50"/>
  <c r="Q131" i="50"/>
  <c r="S130" i="50"/>
  <c r="BD21" i="50" l="1"/>
  <c r="BD18" i="50"/>
  <c r="BD20" i="50"/>
  <c r="S131" i="50"/>
  <c r="T130" i="50"/>
  <c r="T131" i="50" l="1"/>
  <c r="U131" i="50" s="1"/>
  <c r="BE20" i="50"/>
  <c r="BF20" i="50"/>
  <c r="BG20" i="50" s="1"/>
  <c r="BH20" i="50" s="1"/>
  <c r="BI20" i="50" s="1"/>
  <c r="BF18" i="50"/>
  <c r="BG18" i="50" s="1"/>
  <c r="BH18" i="50" s="1"/>
  <c r="BI18" i="50" s="1"/>
  <c r="BE18" i="50"/>
  <c r="BE21" i="50"/>
  <c r="BF21" i="50"/>
  <c r="BG21" i="50" s="1"/>
  <c r="BH21" i="50" s="1"/>
  <c r="BI21" i="50" s="1"/>
  <c r="AT12" i="50"/>
  <c r="AT43" i="50"/>
  <c r="U130" i="50"/>
  <c r="BJ18" i="50" l="1"/>
  <c r="BK18" i="50"/>
  <c r="BL18" i="50" s="1"/>
  <c r="BM18" i="50" s="1"/>
  <c r="BN18" i="50" s="1"/>
  <c r="BO18" i="50" s="1"/>
  <c r="BJ21" i="50"/>
  <c r="BK21" i="50"/>
  <c r="BL21" i="50" s="1"/>
  <c r="BM21" i="50" s="1"/>
  <c r="BN21" i="50" s="1"/>
  <c r="BO21" i="50" s="1"/>
  <c r="BJ20" i="50"/>
  <c r="BK20" i="50"/>
  <c r="BL20" i="50" s="1"/>
  <c r="BM20" i="50" s="1"/>
  <c r="BN20" i="50" s="1"/>
  <c r="BO20" i="50" s="1"/>
  <c r="AT156" i="53"/>
  <c r="AU156" i="53" s="1"/>
  <c r="AV12" i="50"/>
  <c r="AU12" i="50"/>
  <c r="AU43" i="50"/>
  <c r="AV43" i="50"/>
  <c r="V131" i="50"/>
  <c r="W131" i="50"/>
  <c r="V130" i="50"/>
  <c r="W130" i="50"/>
  <c r="AW12" i="50" l="1"/>
  <c r="AV156" i="53"/>
  <c r="AW43" i="50"/>
  <c r="X130" i="50"/>
  <c r="X131" i="50"/>
  <c r="AX12" i="50" l="1"/>
  <c r="AW156" i="53"/>
  <c r="AX43" i="50"/>
  <c r="Y131" i="50"/>
  <c r="Y130" i="50"/>
  <c r="AY12" i="50" l="1"/>
  <c r="AX156" i="53"/>
  <c r="AY43" i="50"/>
  <c r="Z130" i="50"/>
  <c r="Z131" i="50"/>
  <c r="AZ12" i="50" l="1"/>
  <c r="AY156" i="53"/>
  <c r="AZ156" i="53" s="1"/>
  <c r="BA12" i="50"/>
  <c r="BA43" i="50"/>
  <c r="AZ43" i="50"/>
  <c r="AB131" i="50"/>
  <c r="AA131" i="50"/>
  <c r="AB130" i="50"/>
  <c r="AA130" i="50"/>
  <c r="BB43" i="50" l="1"/>
  <c r="BB12" i="50"/>
  <c r="BA156" i="53"/>
  <c r="AC130" i="50"/>
  <c r="AC131" i="50"/>
  <c r="BC43" i="50" l="1"/>
  <c r="BB156" i="53"/>
  <c r="BC12" i="50"/>
  <c r="AD131" i="50"/>
  <c r="AD130" i="50"/>
  <c r="BD43" i="50" l="1"/>
  <c r="BC156" i="53"/>
  <c r="BD12" i="50"/>
  <c r="AE130" i="50"/>
  <c r="AE131" i="50"/>
  <c r="BE43" i="50" l="1"/>
  <c r="BF43" i="50"/>
  <c r="BG43" i="50" s="1"/>
  <c r="BH43" i="50" s="1"/>
  <c r="BI43" i="50" s="1"/>
  <c r="BD156" i="53"/>
  <c r="BE156" i="53" s="1"/>
  <c r="BF12" i="50"/>
  <c r="BE12" i="50"/>
  <c r="AF131" i="50"/>
  <c r="AG131" i="50"/>
  <c r="AG130" i="50"/>
  <c r="AF130" i="50"/>
  <c r="BJ43" i="50" l="1"/>
  <c r="BK43" i="50"/>
  <c r="BL43" i="50" s="1"/>
  <c r="BM43" i="50" s="1"/>
  <c r="BN43" i="50" s="1"/>
  <c r="BO43" i="50" s="1"/>
  <c r="BG12" i="50"/>
  <c r="BF156" i="53"/>
  <c r="AH130" i="50"/>
  <c r="AH131" i="50"/>
  <c r="BG156" i="53" l="1"/>
  <c r="BH12" i="50"/>
  <c r="AI131" i="50"/>
  <c r="AI130" i="50"/>
  <c r="BH156" i="53" l="1"/>
  <c r="BI12" i="50"/>
  <c r="BK12" i="50" s="1"/>
  <c r="AJ130" i="50"/>
  <c r="AL130" i="50" s="1"/>
  <c r="AM130" i="50" s="1"/>
  <c r="AN130" i="50" s="1"/>
  <c r="AO130" i="50" s="1"/>
  <c r="AJ131" i="50"/>
  <c r="AP130" i="50" l="1"/>
  <c r="AQ130" i="50"/>
  <c r="AR130" i="50" s="1"/>
  <c r="BK156" i="53"/>
  <c r="BL12" i="50"/>
  <c r="BI156" i="53"/>
  <c r="BJ156" i="53" s="1"/>
  <c r="BJ12" i="50"/>
  <c r="AK131" i="50"/>
  <c r="AK130" i="50"/>
  <c r="BL156" i="53" l="1"/>
  <c r="BM12" i="50"/>
  <c r="BM156" i="53" l="1"/>
  <c r="BN12" i="50"/>
  <c r="BN156" i="53" l="1"/>
  <c r="BO156" i="53" s="1"/>
  <c r="BO12" i="50"/>
  <c r="V63" i="51"/>
  <c r="V53" i="51"/>
  <c r="U64" i="51"/>
  <c r="T64" i="51"/>
  <c r="S64" i="51"/>
  <c r="R64" i="51"/>
  <c r="U44" i="51"/>
  <c r="T44" i="51"/>
  <c r="S44" i="51"/>
  <c r="R44" i="51"/>
  <c r="V31" i="51"/>
  <c r="V16" i="51"/>
  <c r="V19" i="51"/>
  <c r="V20" i="51"/>
  <c r="V21" i="51"/>
  <c r="AJ80" i="51"/>
  <c r="AI80" i="51"/>
  <c r="AH80" i="51"/>
  <c r="AG80" i="51"/>
  <c r="AE80" i="51"/>
  <c r="AD80" i="51"/>
  <c r="AC80" i="51"/>
  <c r="AB80" i="51"/>
  <c r="Z80" i="51"/>
  <c r="Y80" i="51"/>
  <c r="X80" i="51"/>
  <c r="W80" i="51"/>
  <c r="U80" i="51"/>
  <c r="T80" i="51"/>
  <c r="S80" i="51"/>
  <c r="R80" i="51"/>
  <c r="P80" i="51"/>
  <c r="O80" i="51"/>
  <c r="N80" i="51"/>
  <c r="M80" i="51"/>
  <c r="K80" i="51"/>
  <c r="J80" i="51"/>
  <c r="I80" i="51"/>
  <c r="H80" i="51"/>
  <c r="AJ79" i="51"/>
  <c r="AI79" i="51"/>
  <c r="AH79" i="51"/>
  <c r="AG79" i="51"/>
  <c r="AE79" i="51"/>
  <c r="AD79" i="51"/>
  <c r="AC79" i="51"/>
  <c r="AB79" i="51"/>
  <c r="Z79" i="51"/>
  <c r="Y79" i="51"/>
  <c r="X79" i="51"/>
  <c r="W79" i="51"/>
  <c r="U79" i="51"/>
  <c r="T79" i="51"/>
  <c r="S79" i="51"/>
  <c r="R79" i="51"/>
  <c r="P79" i="51"/>
  <c r="O79" i="51"/>
  <c r="N79" i="51"/>
  <c r="M79" i="51"/>
  <c r="K79" i="51"/>
  <c r="J79" i="51"/>
  <c r="I79" i="51"/>
  <c r="H79" i="51"/>
  <c r="J78" i="51"/>
  <c r="I78" i="51"/>
  <c r="H78" i="51"/>
  <c r="F80" i="51"/>
  <c r="E80" i="51"/>
  <c r="D80" i="51"/>
  <c r="C80" i="51"/>
  <c r="G51" i="51"/>
  <c r="G50" i="51"/>
  <c r="G49" i="51"/>
  <c r="G47" i="51"/>
  <c r="AA49" i="51"/>
  <c r="V49" i="51"/>
  <c r="V51" i="51"/>
  <c r="AA51" i="51"/>
  <c r="Z64" i="51"/>
  <c r="Y64" i="51"/>
  <c r="X64" i="51"/>
  <c r="W64" i="51"/>
  <c r="Z44" i="51"/>
  <c r="Y44" i="51"/>
  <c r="X44" i="51"/>
  <c r="W44" i="51"/>
  <c r="V30" i="51"/>
  <c r="V37" i="51"/>
  <c r="V38" i="51"/>
  <c r="V39" i="51"/>
  <c r="V40" i="51"/>
  <c r="V41" i="51"/>
  <c r="V43" i="51"/>
  <c r="AA37" i="51"/>
  <c r="AA38" i="51"/>
  <c r="AA39" i="51"/>
  <c r="AA40" i="51"/>
  <c r="AA41" i="51"/>
  <c r="AA43" i="51"/>
  <c r="AE64" i="51"/>
  <c r="AD64" i="51"/>
  <c r="AC64" i="51"/>
  <c r="AB64" i="51"/>
  <c r="AE44" i="51"/>
  <c r="AD44" i="51"/>
  <c r="AC44" i="51"/>
  <c r="AB44" i="51"/>
  <c r="AA30" i="51"/>
  <c r="AA31" i="51"/>
  <c r="AF16" i="51"/>
  <c r="AF19" i="51"/>
  <c r="AF20" i="51"/>
  <c r="AF21" i="51"/>
  <c r="AF15" i="51"/>
  <c r="AA16" i="51"/>
  <c r="AA19" i="51"/>
  <c r="AA20" i="51"/>
  <c r="AA21" i="51"/>
  <c r="AI64" i="51"/>
  <c r="AH64" i="51"/>
  <c r="AG64" i="51"/>
  <c r="AJ64" i="51"/>
  <c r="AJ44" i="51"/>
  <c r="AI44" i="51"/>
  <c r="AH44" i="51"/>
  <c r="AG44" i="51"/>
  <c r="AK20" i="51"/>
  <c r="AK21" i="51"/>
  <c r="AK19" i="51"/>
  <c r="AK16" i="51"/>
  <c r="AK63" i="51"/>
  <c r="AF63" i="51"/>
  <c r="AF51" i="51"/>
  <c r="AK51" i="51"/>
  <c r="AF37" i="51"/>
  <c r="AF38" i="51"/>
  <c r="AF39" i="51"/>
  <c r="AF40" i="51"/>
  <c r="AF41" i="51"/>
  <c r="AF43" i="51"/>
  <c r="AK37" i="51"/>
  <c r="AK38" i="51"/>
  <c r="AK39" i="51"/>
  <c r="AK40" i="51"/>
  <c r="AK41" i="51"/>
  <c r="AK43" i="51"/>
  <c r="AK30" i="51"/>
  <c r="AK31" i="51"/>
  <c r="AF30" i="51"/>
  <c r="AF31" i="51"/>
  <c r="AJ49" i="50"/>
  <c r="AI49" i="50"/>
  <c r="AH49" i="50"/>
  <c r="AG49" i="50"/>
  <c r="AE49" i="50"/>
  <c r="AD49" i="50"/>
  <c r="AC49" i="50"/>
  <c r="AB49" i="50"/>
  <c r="Z49" i="50"/>
  <c r="Y49" i="50"/>
  <c r="X49" i="50"/>
  <c r="W49" i="50"/>
  <c r="U49" i="50"/>
  <c r="T49" i="50"/>
  <c r="V48" i="50"/>
  <c r="V47" i="50"/>
  <c r="V46" i="50"/>
  <c r="V45" i="50"/>
  <c r="V44" i="50"/>
  <c r="V42" i="50"/>
  <c r="V37" i="50"/>
  <c r="V36" i="50"/>
  <c r="V35" i="50"/>
  <c r="U32" i="50"/>
  <c r="T32" i="50"/>
  <c r="V31" i="50"/>
  <c r="V30" i="50"/>
  <c r="V29" i="50"/>
  <c r="V28" i="50"/>
  <c r="V24" i="50"/>
  <c r="V23" i="50"/>
  <c r="V22" i="50"/>
  <c r="V21" i="50"/>
  <c r="V20" i="50"/>
  <c r="V19" i="50"/>
  <c r="V18" i="50"/>
  <c r="U16" i="50"/>
  <c r="T16" i="50"/>
  <c r="V15" i="50"/>
  <c r="V14" i="50"/>
  <c r="V13" i="50"/>
  <c r="V12" i="50"/>
  <c r="V10" i="50"/>
  <c r="AA48" i="50"/>
  <c r="AA47" i="50"/>
  <c r="AA46" i="50"/>
  <c r="AA45" i="50"/>
  <c r="AA44" i="50"/>
  <c r="AA42" i="50"/>
  <c r="AA37" i="50"/>
  <c r="AA36" i="50"/>
  <c r="AA35" i="50"/>
  <c r="Z32" i="50"/>
  <c r="Y32" i="50"/>
  <c r="X32" i="50"/>
  <c r="W32" i="50"/>
  <c r="AA31" i="50"/>
  <c r="AA30" i="50"/>
  <c r="AA29" i="50"/>
  <c r="AA28" i="50"/>
  <c r="AA24" i="50"/>
  <c r="AA23" i="50"/>
  <c r="AA22" i="50"/>
  <c r="AA21" i="50"/>
  <c r="AA20" i="50"/>
  <c r="AA19" i="50"/>
  <c r="AA18" i="50"/>
  <c r="Z16" i="50"/>
  <c r="Y16" i="50"/>
  <c r="X16" i="50"/>
  <c r="W16" i="50"/>
  <c r="AA15" i="50"/>
  <c r="AA14" i="50"/>
  <c r="AA13" i="50"/>
  <c r="AA12" i="50"/>
  <c r="AA10" i="50"/>
  <c r="AF43" i="50"/>
  <c r="AF42" i="50"/>
  <c r="AE32" i="50"/>
  <c r="AE39" i="50" s="1"/>
  <c r="AD32" i="50"/>
  <c r="AC32" i="50"/>
  <c r="AB32" i="50"/>
  <c r="AE16" i="50"/>
  <c r="AD16" i="50"/>
  <c r="AC16" i="50"/>
  <c r="AB16" i="50"/>
  <c r="AK43" i="50"/>
  <c r="AK42" i="50"/>
  <c r="AK29" i="50"/>
  <c r="G23" i="50"/>
  <c r="L23" i="50"/>
  <c r="AF23" i="50"/>
  <c r="AK23" i="50"/>
  <c r="AA71" i="51" l="1"/>
  <c r="V71" i="51"/>
  <c r="AC39" i="50"/>
  <c r="AD39" i="50"/>
  <c r="W39" i="50"/>
  <c r="AB39" i="50"/>
  <c r="X39" i="50"/>
  <c r="T39" i="50"/>
  <c r="Y39" i="50"/>
  <c r="U39" i="50"/>
  <c r="Z39" i="50"/>
  <c r="AF32" i="50"/>
  <c r="V95" i="50"/>
  <c r="AA95" i="50"/>
  <c r="AC25" i="50"/>
  <c r="AD25" i="50"/>
  <c r="X25" i="50"/>
  <c r="AF16" i="50"/>
  <c r="Y25" i="50"/>
  <c r="V16" i="50"/>
  <c r="W25" i="50"/>
  <c r="AB25" i="50"/>
  <c r="AA16" i="50"/>
  <c r="T25" i="50"/>
  <c r="U32" i="51"/>
  <c r="AE32" i="51"/>
  <c r="R32" i="51"/>
  <c r="AJ32" i="51"/>
  <c r="AG32" i="51"/>
  <c r="X32" i="51"/>
  <c r="AH32" i="51"/>
  <c r="AC32" i="51"/>
  <c r="Y32" i="51"/>
  <c r="S32" i="51"/>
  <c r="W32" i="51"/>
  <c r="AB32" i="51"/>
  <c r="AI32" i="51"/>
  <c r="AD32" i="51"/>
  <c r="Z32" i="51"/>
  <c r="T32" i="51"/>
  <c r="AA49" i="50"/>
  <c r="V49" i="50"/>
  <c r="AK49" i="50"/>
  <c r="Y50" i="50"/>
  <c r="AF49" i="50"/>
  <c r="AA70" i="50"/>
  <c r="AA89" i="50"/>
  <c r="AA67" i="50"/>
  <c r="AA76" i="50"/>
  <c r="V70" i="50"/>
  <c r="AK70" i="50"/>
  <c r="AA73" i="50"/>
  <c r="V76" i="50"/>
  <c r="AA86" i="50"/>
  <c r="AK86" i="50"/>
  <c r="AA92" i="50"/>
  <c r="V67" i="50"/>
  <c r="V86" i="50"/>
  <c r="AF70" i="50"/>
  <c r="V73" i="50"/>
  <c r="V92" i="50"/>
  <c r="V89" i="50"/>
  <c r="AF79" i="51"/>
  <c r="AF80" i="51"/>
  <c r="L70" i="50"/>
  <c r="Q79" i="51"/>
  <c r="G80" i="51"/>
  <c r="I81" i="51"/>
  <c r="J81" i="51"/>
  <c r="AK80" i="51"/>
  <c r="L79" i="51"/>
  <c r="AA79" i="51"/>
  <c r="Q80" i="51"/>
  <c r="L80" i="51"/>
  <c r="AA80" i="51"/>
  <c r="V80" i="51"/>
  <c r="Z50" i="50"/>
  <c r="T50" i="50"/>
  <c r="V79" i="51"/>
  <c r="AK79" i="51"/>
  <c r="H81" i="51"/>
  <c r="U50" i="50"/>
  <c r="W50" i="50"/>
  <c r="AC50" i="50"/>
  <c r="X50" i="50"/>
  <c r="S52" i="50"/>
  <c r="R52" i="50"/>
  <c r="V32" i="50"/>
  <c r="U25" i="50"/>
  <c r="AA32" i="50"/>
  <c r="Z25" i="50"/>
  <c r="AE50" i="50"/>
  <c r="AE25" i="50"/>
  <c r="AD50" i="50"/>
  <c r="AB50" i="50"/>
  <c r="AJ78" i="51" l="1"/>
  <c r="AJ81" i="51" s="1"/>
  <c r="AJ82" i="51" s="1"/>
  <c r="AJ203" i="7" s="1"/>
  <c r="AJ204" i="7" s="1"/>
  <c r="AH98" i="50"/>
  <c r="AH99" i="50" s="1"/>
  <c r="AG78" i="51"/>
  <c r="AG81" i="51" s="1"/>
  <c r="AG82" i="51" s="1"/>
  <c r="AG203" i="7" s="1"/>
  <c r="AG204" i="7" s="1"/>
  <c r="Y78" i="51"/>
  <c r="Y81" i="51" s="1"/>
  <c r="Y82" i="51" s="1"/>
  <c r="Y203" i="7" s="1"/>
  <c r="Y204" i="7" s="1"/>
  <c r="X78" i="51"/>
  <c r="X81" i="51" s="1"/>
  <c r="X84" i="51" s="1"/>
  <c r="X113" i="50" s="1"/>
  <c r="V39" i="50"/>
  <c r="AA39" i="50"/>
  <c r="AI98" i="50"/>
  <c r="AI99" i="50" s="1"/>
  <c r="AI78" i="51"/>
  <c r="AI81" i="51" s="1"/>
  <c r="AI82" i="51" s="1"/>
  <c r="AI203" i="7" s="1"/>
  <c r="AI204" i="7" s="1"/>
  <c r="AJ98" i="50"/>
  <c r="AJ99" i="50" s="1"/>
  <c r="AH78" i="51"/>
  <c r="AH81" i="51" s="1"/>
  <c r="AH82" i="51" s="1"/>
  <c r="AH203" i="7" s="1"/>
  <c r="AH204" i="7" s="1"/>
  <c r="AD98" i="50"/>
  <c r="AD99" i="50" s="1"/>
  <c r="Y98" i="50"/>
  <c r="Y99" i="50" s="1"/>
  <c r="AE78" i="51"/>
  <c r="AE81" i="51" s="1"/>
  <c r="AE82" i="51" s="1"/>
  <c r="AE203" i="7" s="1"/>
  <c r="AE204" i="7" s="1"/>
  <c r="H84" i="51"/>
  <c r="H85" i="51" s="1"/>
  <c r="H82" i="51"/>
  <c r="I84" i="51"/>
  <c r="I85" i="51" s="1"/>
  <c r="I82" i="51"/>
  <c r="AG98" i="50"/>
  <c r="AG99" i="50" s="1"/>
  <c r="AE98" i="50"/>
  <c r="AE99" i="50" s="1"/>
  <c r="AF25" i="50"/>
  <c r="AA25" i="50"/>
  <c r="X98" i="50"/>
  <c r="X99" i="50" s="1"/>
  <c r="AB98" i="50"/>
  <c r="AB99" i="50" s="1"/>
  <c r="AD78" i="51"/>
  <c r="AD81" i="51" s="1"/>
  <c r="AB78" i="51"/>
  <c r="AB81" i="51" s="1"/>
  <c r="AB82" i="51" s="1"/>
  <c r="AB203" i="7" s="1"/>
  <c r="AB204" i="7" s="1"/>
  <c r="J84" i="51"/>
  <c r="J85" i="51" s="1"/>
  <c r="J82" i="51"/>
  <c r="R98" i="50"/>
  <c r="R99" i="50" s="1"/>
  <c r="Z98" i="50"/>
  <c r="Z99" i="50" s="1"/>
  <c r="AC98" i="50"/>
  <c r="AC99" i="50" s="1"/>
  <c r="W98" i="50"/>
  <c r="W99" i="50" s="1"/>
  <c r="Z78" i="51"/>
  <c r="Z81" i="51" s="1"/>
  <c r="AC78" i="51"/>
  <c r="AC81" i="51" s="1"/>
  <c r="AC82" i="51" s="1"/>
  <c r="AC203" i="7" s="1"/>
  <c r="AC204" i="7" s="1"/>
  <c r="W78" i="51"/>
  <c r="T98" i="50"/>
  <c r="T99" i="50" s="1"/>
  <c r="S98" i="50"/>
  <c r="S99" i="50" s="1"/>
  <c r="U98" i="50"/>
  <c r="U99" i="50" s="1"/>
  <c r="T52" i="50"/>
  <c r="AA50" i="50"/>
  <c r="AF50" i="50"/>
  <c r="V50" i="50"/>
  <c r="AJ84" i="51"/>
  <c r="AJ107" i="50"/>
  <c r="U52" i="50"/>
  <c r="V25" i="50"/>
  <c r="X107" i="50" l="1"/>
  <c r="X111" i="50" s="1"/>
  <c r="AH84" i="51"/>
  <c r="AG107" i="50"/>
  <c r="AG111" i="50" s="1"/>
  <c r="AJ111" i="50"/>
  <c r="AG84" i="51"/>
  <c r="AG113" i="50" s="1"/>
  <c r="Y107" i="50"/>
  <c r="Y111" i="50" s="1"/>
  <c r="X82" i="51"/>
  <c r="X203" i="7" s="1"/>
  <c r="X204" i="7" s="1"/>
  <c r="Y84" i="51"/>
  <c r="Y85" i="51" s="1"/>
  <c r="AE84" i="51"/>
  <c r="AE113" i="50" s="1"/>
  <c r="X114" i="50"/>
  <c r="X85" i="51"/>
  <c r="AK78" i="51"/>
  <c r="AI84" i="51"/>
  <c r="AI85" i="51" s="1"/>
  <c r="AI107" i="50"/>
  <c r="AC107" i="50"/>
  <c r="AE107" i="50"/>
  <c r="AK81" i="51"/>
  <c r="AK107" i="50" s="1"/>
  <c r="AJ109" i="50" s="1"/>
  <c r="AH107" i="50"/>
  <c r="AD82" i="51"/>
  <c r="AD203" i="7" s="1"/>
  <c r="AD204" i="7" s="1"/>
  <c r="AD84" i="51"/>
  <c r="AD113" i="50" s="1"/>
  <c r="AB107" i="50"/>
  <c r="AC84" i="51"/>
  <c r="AF81" i="51"/>
  <c r="AF107" i="50" s="1"/>
  <c r="AF111" i="50" s="1"/>
  <c r="AB84" i="51"/>
  <c r="AB85" i="51" s="1"/>
  <c r="AG108" i="50"/>
  <c r="AG110" i="50" s="1"/>
  <c r="AJ108" i="50"/>
  <c r="V52" i="50"/>
  <c r="AF78" i="51"/>
  <c r="AH113" i="50"/>
  <c r="AH85" i="51"/>
  <c r="W81" i="51"/>
  <c r="AA78" i="51"/>
  <c r="Z82" i="51"/>
  <c r="Z203" i="7" s="1"/>
  <c r="Z204" i="7" s="1"/>
  <c r="Z107" i="50"/>
  <c r="Z111" i="50" s="1"/>
  <c r="Z84" i="51"/>
  <c r="AJ113" i="50"/>
  <c r="AJ85" i="51"/>
  <c r="AD107" i="50"/>
  <c r="Y113" i="50" l="1"/>
  <c r="Y108" i="50"/>
  <c r="X108" i="50"/>
  <c r="AG109" i="50"/>
  <c r="AI109" i="50"/>
  <c r="AG85" i="51"/>
  <c r="AH109" i="50"/>
  <c r="AD111" i="50"/>
  <c r="AD109" i="50"/>
  <c r="AE109" i="50"/>
  <c r="AB109" i="50"/>
  <c r="AC109" i="50"/>
  <c r="AK84" i="51"/>
  <c r="AK113" i="50" s="1"/>
  <c r="AJ115" i="50" s="1"/>
  <c r="AE85" i="51"/>
  <c r="AI113" i="50"/>
  <c r="AK108" i="50"/>
  <c r="AK111" i="50"/>
  <c r="AE108" i="50"/>
  <c r="AE111" i="50"/>
  <c r="AC108" i="50"/>
  <c r="AC111" i="50"/>
  <c r="AH108" i="50"/>
  <c r="AH110" i="50" s="1"/>
  <c r="AH111" i="50"/>
  <c r="AB108" i="50"/>
  <c r="AB111" i="50"/>
  <c r="AI108" i="50"/>
  <c r="AI110" i="50" s="1"/>
  <c r="AI111" i="50"/>
  <c r="AE114" i="50"/>
  <c r="AJ114" i="50"/>
  <c r="Y114" i="50"/>
  <c r="AH114" i="50"/>
  <c r="AG114" i="50"/>
  <c r="AD114" i="50"/>
  <c r="AK82" i="51"/>
  <c r="AK203" i="7" s="1"/>
  <c r="AK204" i="7" s="1"/>
  <c r="AB113" i="50"/>
  <c r="AD85" i="51"/>
  <c r="AF84" i="51"/>
  <c r="AC85" i="51"/>
  <c r="AC113" i="50"/>
  <c r="AF108" i="50"/>
  <c r="AF82" i="51"/>
  <c r="AF203" i="7" s="1"/>
  <c r="AF204" i="7" s="1"/>
  <c r="AD108" i="50"/>
  <c r="Z108" i="50"/>
  <c r="W107" i="50"/>
  <c r="W111" i="50" s="1"/>
  <c r="W82" i="51"/>
  <c r="W203" i="7" s="1"/>
  <c r="W204" i="7" s="1"/>
  <c r="AA81" i="51"/>
  <c r="W84" i="51"/>
  <c r="Z113" i="50"/>
  <c r="Z85" i="51"/>
  <c r="AK85" i="51"/>
  <c r="AJ32" i="50"/>
  <c r="AJ39" i="50" s="1"/>
  <c r="AI32" i="50"/>
  <c r="AH32" i="50"/>
  <c r="AG32" i="50"/>
  <c r="AH16" i="50"/>
  <c r="AI16" i="50"/>
  <c r="AJ16" i="50"/>
  <c r="AG16" i="50"/>
  <c r="AZ65" i="51"/>
  <c r="AU65" i="51"/>
  <c r="AK65" i="51"/>
  <c r="AF65" i="51"/>
  <c r="AA65" i="51"/>
  <c r="V65" i="51"/>
  <c r="AK62" i="51"/>
  <c r="AF62" i="51"/>
  <c r="AA62" i="51"/>
  <c r="V62" i="51"/>
  <c r="AK60" i="51"/>
  <c r="AF60" i="51"/>
  <c r="AA60" i="51"/>
  <c r="V60" i="51"/>
  <c r="AK56" i="51"/>
  <c r="AF56" i="51"/>
  <c r="AA56" i="51"/>
  <c r="V56" i="51"/>
  <c r="AK54" i="51"/>
  <c r="AF54" i="51"/>
  <c r="AA54" i="51"/>
  <c r="V54" i="51"/>
  <c r="AK50" i="51"/>
  <c r="AF50" i="51"/>
  <c r="AA50" i="51"/>
  <c r="V50" i="51"/>
  <c r="AA47" i="51"/>
  <c r="V47" i="51"/>
  <c r="AK36" i="51"/>
  <c r="AF36" i="51"/>
  <c r="AA36" i="51"/>
  <c r="V36" i="51"/>
  <c r="AK35" i="51"/>
  <c r="AF35" i="51"/>
  <c r="AA35" i="51"/>
  <c r="V35" i="51"/>
  <c r="AJ67" i="51"/>
  <c r="AC67" i="51"/>
  <c r="U78" i="51"/>
  <c r="U81" i="51" s="1"/>
  <c r="U82" i="51" s="1"/>
  <c r="U203" i="7" s="1"/>
  <c r="U204" i="7" s="1"/>
  <c r="T78" i="51"/>
  <c r="T81" i="51" s="1"/>
  <c r="T82" i="51" s="1"/>
  <c r="T203" i="7" s="1"/>
  <c r="T204" i="7" s="1"/>
  <c r="S78" i="51"/>
  <c r="S81" i="51" s="1"/>
  <c r="S82" i="51" s="1"/>
  <c r="S203" i="7" s="1"/>
  <c r="S204" i="7" s="1"/>
  <c r="R78" i="51"/>
  <c r="AK29" i="51"/>
  <c r="AF29" i="51"/>
  <c r="AA29" i="51"/>
  <c r="V29" i="51"/>
  <c r="AK28" i="51"/>
  <c r="AF28" i="51"/>
  <c r="AA28" i="51"/>
  <c r="V28" i="51"/>
  <c r="AK27" i="51"/>
  <c r="AK84" i="50" s="1"/>
  <c r="AF27" i="51"/>
  <c r="AF84" i="50" s="1"/>
  <c r="AA27" i="51"/>
  <c r="AA84" i="50" s="1"/>
  <c r="V27" i="51"/>
  <c r="V84" i="50" s="1"/>
  <c r="AK26" i="51"/>
  <c r="AF26" i="51"/>
  <c r="AA26" i="51"/>
  <c r="V26" i="51"/>
  <c r="AK25" i="51"/>
  <c r="AF25" i="51"/>
  <c r="AA25" i="51"/>
  <c r="V25" i="51"/>
  <c r="AK24" i="51"/>
  <c r="AF24" i="51"/>
  <c r="AA24" i="51"/>
  <c r="V24" i="51"/>
  <c r="AK15" i="51"/>
  <c r="AA15" i="51"/>
  <c r="V15" i="51"/>
  <c r="AK14" i="51"/>
  <c r="AF14" i="51"/>
  <c r="AA14" i="51"/>
  <c r="V14" i="51"/>
  <c r="AK13" i="51"/>
  <c r="AF13" i="51"/>
  <c r="AA13" i="51"/>
  <c r="V13" i="51"/>
  <c r="AK12" i="51"/>
  <c r="AF12" i="51"/>
  <c r="AA12" i="51"/>
  <c r="V12" i="51"/>
  <c r="AK11" i="51"/>
  <c r="AF11" i="51"/>
  <c r="AA11" i="51"/>
  <c r="V11" i="51"/>
  <c r="AA10" i="51"/>
  <c r="V10" i="51"/>
  <c r="F79" i="51"/>
  <c r="E79" i="51"/>
  <c r="D79" i="51"/>
  <c r="C79" i="51"/>
  <c r="E78" i="51"/>
  <c r="D78" i="51"/>
  <c r="C78" i="51"/>
  <c r="Q68" i="51"/>
  <c r="E67" i="51"/>
  <c r="D67" i="51"/>
  <c r="C67" i="51"/>
  <c r="C69" i="51" s="1"/>
  <c r="Q72" i="51"/>
  <c r="Q73" i="51" s="1"/>
  <c r="L72" i="51"/>
  <c r="G72" i="51"/>
  <c r="Q65" i="51"/>
  <c r="L65" i="51"/>
  <c r="G65" i="51"/>
  <c r="L64" i="51"/>
  <c r="G64" i="51"/>
  <c r="F64" i="51"/>
  <c r="L47" i="51"/>
  <c r="L44" i="51"/>
  <c r="F44" i="51"/>
  <c r="G44" i="51" s="1"/>
  <c r="G39" i="51"/>
  <c r="L36" i="51"/>
  <c r="G36" i="51"/>
  <c r="L35" i="51"/>
  <c r="G35" i="51"/>
  <c r="O78" i="51"/>
  <c r="O81" i="51" s="1"/>
  <c r="O82" i="51" s="1"/>
  <c r="F32" i="51"/>
  <c r="F78" i="51" s="1"/>
  <c r="L29" i="51"/>
  <c r="G29" i="51"/>
  <c r="L28" i="51"/>
  <c r="G28" i="51"/>
  <c r="L27" i="51"/>
  <c r="L84" i="50" s="1"/>
  <c r="G27" i="51"/>
  <c r="L26" i="51"/>
  <c r="G26" i="51"/>
  <c r="L25" i="51"/>
  <c r="G25" i="51"/>
  <c r="L24" i="51"/>
  <c r="G24" i="51"/>
  <c r="L15" i="51"/>
  <c r="G15" i="51"/>
  <c r="L14" i="51"/>
  <c r="G14" i="51"/>
  <c r="L13" i="51"/>
  <c r="G13" i="51"/>
  <c r="L12" i="51"/>
  <c r="G12" i="51"/>
  <c r="L11" i="51"/>
  <c r="G11" i="51"/>
  <c r="P78" i="51"/>
  <c r="P81" i="51" s="1"/>
  <c r="P82" i="51" s="1"/>
  <c r="N78" i="51"/>
  <c r="N81" i="51" s="1"/>
  <c r="N82" i="51" s="1"/>
  <c r="M78" i="51"/>
  <c r="K78" i="51"/>
  <c r="L49" i="50"/>
  <c r="AP48" i="50"/>
  <c r="AK48" i="50"/>
  <c r="AF48" i="50"/>
  <c r="L48" i="50"/>
  <c r="AP47" i="50"/>
  <c r="AK47" i="50"/>
  <c r="AF47" i="50"/>
  <c r="L47" i="50"/>
  <c r="AP46" i="50"/>
  <c r="AK46" i="50"/>
  <c r="AF46" i="50"/>
  <c r="L46" i="50"/>
  <c r="AP45" i="50"/>
  <c r="AK45" i="50"/>
  <c r="AF45" i="50"/>
  <c r="L45" i="50"/>
  <c r="AP44" i="50"/>
  <c r="AK44" i="50"/>
  <c r="AF44" i="50"/>
  <c r="L44" i="50"/>
  <c r="AK37" i="50"/>
  <c r="AF37" i="50"/>
  <c r="L37" i="50"/>
  <c r="AP36" i="50"/>
  <c r="AK36" i="50"/>
  <c r="AF36" i="50"/>
  <c r="L36" i="50"/>
  <c r="AK35" i="50"/>
  <c r="AF35" i="50"/>
  <c r="L35" i="50"/>
  <c r="L32" i="50"/>
  <c r="AP31" i="50"/>
  <c r="AK31" i="50"/>
  <c r="AF31" i="50"/>
  <c r="L31" i="50"/>
  <c r="AK30" i="50"/>
  <c r="AF30" i="50"/>
  <c r="L30" i="50"/>
  <c r="AF29" i="50"/>
  <c r="L29" i="50"/>
  <c r="AK28" i="50"/>
  <c r="AF28" i="50"/>
  <c r="L28" i="50"/>
  <c r="AK24" i="50"/>
  <c r="AF24" i="50"/>
  <c r="L24" i="50"/>
  <c r="AP22" i="50"/>
  <c r="AK22" i="50"/>
  <c r="AF22" i="50"/>
  <c r="L22" i="50"/>
  <c r="AP21" i="50"/>
  <c r="AK21" i="50"/>
  <c r="AF21" i="50"/>
  <c r="L21" i="50"/>
  <c r="AP20" i="50"/>
  <c r="AK20" i="50"/>
  <c r="AF20" i="50"/>
  <c r="L20" i="50"/>
  <c r="AK19" i="50"/>
  <c r="AF19" i="50"/>
  <c r="L19" i="50"/>
  <c r="AP18" i="50"/>
  <c r="AK18" i="50"/>
  <c r="AF18" i="50"/>
  <c r="L18" i="50"/>
  <c r="L16" i="50"/>
  <c r="AK15" i="50"/>
  <c r="AF15" i="50"/>
  <c r="L15" i="50"/>
  <c r="AK14" i="50"/>
  <c r="AF14" i="50"/>
  <c r="L14" i="50"/>
  <c r="AK13" i="50"/>
  <c r="AF13" i="50"/>
  <c r="L13" i="50"/>
  <c r="AP12" i="50"/>
  <c r="AK12" i="50"/>
  <c r="AF12" i="50"/>
  <c r="L12" i="50"/>
  <c r="AK10" i="50"/>
  <c r="AF10" i="50"/>
  <c r="L10" i="50"/>
  <c r="AK57" i="50"/>
  <c r="AF57" i="50"/>
  <c r="AA57" i="50"/>
  <c r="V57" i="50"/>
  <c r="Q57" i="50"/>
  <c r="L57" i="50"/>
  <c r="G57" i="50"/>
  <c r="Z56" i="50"/>
  <c r="Z58" i="50" s="1"/>
  <c r="Y56" i="50"/>
  <c r="Y58" i="50" s="1"/>
  <c r="X56" i="50"/>
  <c r="X58" i="50" s="1"/>
  <c r="W56" i="50"/>
  <c r="W58" i="50" s="1"/>
  <c r="U56" i="50"/>
  <c r="U58" i="50" s="1"/>
  <c r="S56" i="50"/>
  <c r="S58" i="50" s="1"/>
  <c r="R56" i="50"/>
  <c r="R58" i="50" s="1"/>
  <c r="P56" i="50"/>
  <c r="P58" i="50" s="1"/>
  <c r="O56" i="50"/>
  <c r="O58" i="50" s="1"/>
  <c r="N56" i="50"/>
  <c r="N58" i="50" s="1"/>
  <c r="M56" i="50"/>
  <c r="M58" i="50" s="1"/>
  <c r="K56" i="50"/>
  <c r="K58" i="50" s="1"/>
  <c r="J56" i="50"/>
  <c r="J58" i="50" s="1"/>
  <c r="I56" i="50"/>
  <c r="I58" i="50" s="1"/>
  <c r="H56" i="50"/>
  <c r="H58" i="50" s="1"/>
  <c r="F56" i="50"/>
  <c r="F58" i="50" s="1"/>
  <c r="E52" i="50"/>
  <c r="D52" i="50"/>
  <c r="C52" i="50"/>
  <c r="F49" i="50"/>
  <c r="G49" i="50" s="1"/>
  <c r="G48" i="50"/>
  <c r="G47" i="50"/>
  <c r="G46" i="50"/>
  <c r="G45" i="50"/>
  <c r="G44" i="50"/>
  <c r="G37" i="50"/>
  <c r="G36" i="50"/>
  <c r="G35" i="50"/>
  <c r="F32" i="50"/>
  <c r="G32" i="50" s="1"/>
  <c r="G31" i="50"/>
  <c r="G30" i="50"/>
  <c r="G29" i="50"/>
  <c r="G28" i="50"/>
  <c r="G24" i="50"/>
  <c r="G22" i="50"/>
  <c r="G21" i="50"/>
  <c r="G20" i="50"/>
  <c r="G19" i="50"/>
  <c r="G18" i="50"/>
  <c r="F16" i="50"/>
  <c r="G15" i="50"/>
  <c r="G14" i="50"/>
  <c r="G13" i="50"/>
  <c r="G12" i="50"/>
  <c r="G10" i="50"/>
  <c r="AI115" i="50" l="1"/>
  <c r="AG115" i="50"/>
  <c r="AH115" i="50"/>
  <c r="AI114" i="50"/>
  <c r="AF85" i="51"/>
  <c r="AK114" i="50"/>
  <c r="Z114" i="50"/>
  <c r="AC114" i="50"/>
  <c r="AB114" i="50"/>
  <c r="AK110" i="50"/>
  <c r="L71" i="51"/>
  <c r="L73" i="51" s="1"/>
  <c r="AF71" i="51"/>
  <c r="AK71" i="51"/>
  <c r="AF39" i="50"/>
  <c r="V104" i="50"/>
  <c r="V105" i="50" s="1"/>
  <c r="AA104" i="50"/>
  <c r="AA105" i="50" s="1"/>
  <c r="AF104" i="50"/>
  <c r="AF105" i="50" s="1"/>
  <c r="L104" i="50"/>
  <c r="L105" i="50" s="1"/>
  <c r="AK104" i="50"/>
  <c r="AK105" i="50" s="1"/>
  <c r="AF113" i="50"/>
  <c r="AB115" i="50" s="1"/>
  <c r="AG39" i="50"/>
  <c r="AH39" i="50"/>
  <c r="AI39" i="50"/>
  <c r="G39" i="50"/>
  <c r="L39" i="50"/>
  <c r="AF95" i="50"/>
  <c r="AK95" i="50"/>
  <c r="AJ50" i="50"/>
  <c r="L95" i="50"/>
  <c r="AK65" i="50"/>
  <c r="L65" i="50"/>
  <c r="V65" i="50"/>
  <c r="V101" i="50"/>
  <c r="V102" i="50" s="1"/>
  <c r="AK101" i="50"/>
  <c r="AK102" i="50" s="1"/>
  <c r="W108" i="50"/>
  <c r="L101" i="50"/>
  <c r="L102" i="50" s="1"/>
  <c r="AA65" i="50"/>
  <c r="AA101" i="50"/>
  <c r="AA102" i="50" s="1"/>
  <c r="AF65" i="50"/>
  <c r="AF101" i="50"/>
  <c r="AF102" i="50" s="1"/>
  <c r="AK84" i="59"/>
  <c r="AH25" i="50"/>
  <c r="AG25" i="50"/>
  <c r="AI25" i="50"/>
  <c r="AJ25" i="50"/>
  <c r="W85" i="51"/>
  <c r="W113" i="50"/>
  <c r="AA84" i="51"/>
  <c r="AA107" i="50"/>
  <c r="AA82" i="51"/>
  <c r="AA203" i="7" s="1"/>
  <c r="AA204" i="7" s="1"/>
  <c r="AA74" i="50"/>
  <c r="AA77" i="50"/>
  <c r="AA68" i="50"/>
  <c r="AA71" i="50"/>
  <c r="V93" i="50"/>
  <c r="V96" i="50"/>
  <c r="S84" i="51"/>
  <c r="S107" i="50"/>
  <c r="S111" i="50" s="1"/>
  <c r="V87" i="50"/>
  <c r="V90" i="50"/>
  <c r="AA93" i="50"/>
  <c r="AA96" i="50"/>
  <c r="T84" i="51"/>
  <c r="T107" i="50"/>
  <c r="T111" i="50" s="1"/>
  <c r="V71" i="50"/>
  <c r="V68" i="50"/>
  <c r="AA87" i="50"/>
  <c r="AA90" i="50"/>
  <c r="U84" i="51"/>
  <c r="U107" i="50"/>
  <c r="U111" i="50" s="1"/>
  <c r="V77" i="50"/>
  <c r="V74" i="50"/>
  <c r="AK96" i="50"/>
  <c r="AF67" i="50"/>
  <c r="AF68" i="50"/>
  <c r="AF71" i="50"/>
  <c r="AF74" i="50"/>
  <c r="AF73" i="50"/>
  <c r="AF93" i="50"/>
  <c r="AF92" i="50"/>
  <c r="AK67" i="50"/>
  <c r="AK68" i="50"/>
  <c r="AK71" i="50"/>
  <c r="AK73" i="50"/>
  <c r="AK74" i="50"/>
  <c r="AF76" i="50"/>
  <c r="AF77" i="50"/>
  <c r="AF87" i="50"/>
  <c r="AF86" i="50"/>
  <c r="AK93" i="50"/>
  <c r="AK92" i="50"/>
  <c r="AF96" i="50"/>
  <c r="AF89" i="50"/>
  <c r="AF90" i="50"/>
  <c r="AK76" i="50"/>
  <c r="AK77" i="50"/>
  <c r="AK89" i="50"/>
  <c r="AK90" i="50"/>
  <c r="AK87" i="50"/>
  <c r="N107" i="50"/>
  <c r="N84" i="51"/>
  <c r="P107" i="50"/>
  <c r="P84" i="51"/>
  <c r="O107" i="50"/>
  <c r="O84" i="51"/>
  <c r="L77" i="50"/>
  <c r="L76" i="50"/>
  <c r="L93" i="50"/>
  <c r="L92" i="50"/>
  <c r="L86" i="50"/>
  <c r="L87" i="50"/>
  <c r="L68" i="50"/>
  <c r="L67" i="50"/>
  <c r="L71" i="50"/>
  <c r="L74" i="50"/>
  <c r="L73" i="50"/>
  <c r="L96" i="50"/>
  <c r="L90" i="50"/>
  <c r="L89" i="50"/>
  <c r="D81" i="51"/>
  <c r="E81" i="51"/>
  <c r="G79" i="51"/>
  <c r="L78" i="51"/>
  <c r="K81" i="51"/>
  <c r="C81" i="51"/>
  <c r="G78" i="51"/>
  <c r="Q78" i="51"/>
  <c r="M81" i="51"/>
  <c r="R81" i="51"/>
  <c r="V78" i="51"/>
  <c r="F81" i="51"/>
  <c r="T67" i="51"/>
  <c r="AK64" i="51"/>
  <c r="Z67" i="51"/>
  <c r="V44" i="51"/>
  <c r="AA64" i="51"/>
  <c r="R67" i="51"/>
  <c r="Y67" i="51"/>
  <c r="AH67" i="51"/>
  <c r="W67" i="51"/>
  <c r="AD67" i="51"/>
  <c r="X67" i="51"/>
  <c r="AE67" i="51"/>
  <c r="AI67" i="51"/>
  <c r="AK44" i="51"/>
  <c r="AF44" i="51"/>
  <c r="S67" i="51"/>
  <c r="AA44" i="51"/>
  <c r="U67" i="51"/>
  <c r="AF64" i="51"/>
  <c r="AG50" i="50"/>
  <c r="V56" i="50"/>
  <c r="V58" i="50" s="1"/>
  <c r="AH50" i="50"/>
  <c r="L50" i="50"/>
  <c r="AI50" i="50"/>
  <c r="L25" i="50"/>
  <c r="AK32" i="51"/>
  <c r="V64" i="51"/>
  <c r="AG67" i="51"/>
  <c r="AF32" i="51"/>
  <c r="AB67" i="51"/>
  <c r="AA32" i="51"/>
  <c r="AZ64" i="51"/>
  <c r="V32" i="51"/>
  <c r="F67" i="51"/>
  <c r="M67" i="51"/>
  <c r="O67" i="51"/>
  <c r="N67" i="51"/>
  <c r="L32" i="51"/>
  <c r="K75" i="51"/>
  <c r="D68" i="51"/>
  <c r="D69" i="51" s="1"/>
  <c r="P67" i="51"/>
  <c r="G10" i="51"/>
  <c r="G32" i="51" s="1"/>
  <c r="AK16" i="50"/>
  <c r="AK32" i="50"/>
  <c r="L56" i="50"/>
  <c r="L58" i="50" s="1"/>
  <c r="AD56" i="50"/>
  <c r="AD58" i="50" s="1"/>
  <c r="X52" i="50"/>
  <c r="G56" i="50"/>
  <c r="G58" i="50" s="1"/>
  <c r="H52" i="50"/>
  <c r="Y52" i="50"/>
  <c r="N52" i="50"/>
  <c r="I52" i="50"/>
  <c r="W52" i="50"/>
  <c r="AK56" i="50"/>
  <c r="AK58" i="50" s="1"/>
  <c r="T56" i="50"/>
  <c r="T58" i="50" s="1"/>
  <c r="J52" i="50"/>
  <c r="O52" i="50"/>
  <c r="Q56" i="50"/>
  <c r="Q58" i="50" s="1"/>
  <c r="F25" i="50"/>
  <c r="G16" i="50"/>
  <c r="M52" i="50"/>
  <c r="AE56" i="50"/>
  <c r="AE58" i="50" s="1"/>
  <c r="AA56" i="50"/>
  <c r="AA58" i="50" s="1"/>
  <c r="AB56" i="50"/>
  <c r="AB58" i="50" s="1"/>
  <c r="AC56" i="50"/>
  <c r="AC58" i="50" s="1"/>
  <c r="F50" i="50"/>
  <c r="G50" i="50" s="1"/>
  <c r="AF84" i="59" l="1"/>
  <c r="AK85" i="59" s="1"/>
  <c r="W109" i="50"/>
  <c r="AA111" i="50"/>
  <c r="O108" i="50"/>
  <c r="AE115" i="50"/>
  <c r="AD115" i="50"/>
  <c r="P108" i="50"/>
  <c r="N108" i="50"/>
  <c r="U108" i="50"/>
  <c r="T108" i="50"/>
  <c r="S108" i="50"/>
  <c r="X109" i="50"/>
  <c r="Z109" i="50"/>
  <c r="Y109" i="50"/>
  <c r="AC115" i="50"/>
  <c r="AF114" i="50"/>
  <c r="AK116" i="50" s="1"/>
  <c r="W114" i="50"/>
  <c r="AK50" i="50"/>
  <c r="AK39" i="50"/>
  <c r="AA108" i="50"/>
  <c r="AK25" i="50"/>
  <c r="M69" i="51"/>
  <c r="M75" i="51" s="1"/>
  <c r="AF98" i="50"/>
  <c r="AF99" i="50" s="1"/>
  <c r="N113" i="50"/>
  <c r="N85" i="51"/>
  <c r="V98" i="50"/>
  <c r="V99" i="50" s="1"/>
  <c r="K84" i="51"/>
  <c r="K85" i="51" s="1"/>
  <c r="K82" i="51"/>
  <c r="AK98" i="50"/>
  <c r="AK99" i="50" s="1"/>
  <c r="R107" i="50"/>
  <c r="R111" i="50" s="1"/>
  <c r="R82" i="51"/>
  <c r="R203" i="7" s="1"/>
  <c r="R204" i="7" s="1"/>
  <c r="O113" i="50"/>
  <c r="O85" i="51"/>
  <c r="AA113" i="50"/>
  <c r="W115" i="50" s="1"/>
  <c r="AA85" i="51"/>
  <c r="AA98" i="50"/>
  <c r="AA99" i="50" s="1"/>
  <c r="M84" i="51"/>
  <c r="M82" i="51"/>
  <c r="U113" i="50"/>
  <c r="U85" i="51"/>
  <c r="T113" i="50"/>
  <c r="T85" i="51"/>
  <c r="S113" i="50"/>
  <c r="S85" i="51"/>
  <c r="P113" i="50"/>
  <c r="P85" i="51"/>
  <c r="V81" i="51"/>
  <c r="R84" i="51"/>
  <c r="R85" i="51" s="1"/>
  <c r="Q81" i="51"/>
  <c r="M107" i="50"/>
  <c r="L81" i="51"/>
  <c r="K107" i="50"/>
  <c r="K108" i="50" s="1"/>
  <c r="L98" i="50"/>
  <c r="L99" i="50" s="1"/>
  <c r="L67" i="51"/>
  <c r="L52" i="50"/>
  <c r="G81" i="51"/>
  <c r="AA67" i="51"/>
  <c r="AK67" i="51"/>
  <c r="V67" i="51"/>
  <c r="AF67" i="51"/>
  <c r="K52" i="50"/>
  <c r="G67" i="51"/>
  <c r="E68" i="51"/>
  <c r="E69" i="51" s="1"/>
  <c r="Q67" i="51"/>
  <c r="AG56" i="50"/>
  <c r="AG58" i="50" s="1"/>
  <c r="AJ56" i="50"/>
  <c r="AJ58" i="50" s="1"/>
  <c r="AI56" i="50"/>
  <c r="AI58" i="50" s="1"/>
  <c r="AH56" i="50"/>
  <c r="AH58" i="50" s="1"/>
  <c r="AF56" i="50"/>
  <c r="AF58" i="50" s="1"/>
  <c r="AA52" i="50"/>
  <c r="Z52" i="50"/>
  <c r="G25" i="50"/>
  <c r="G52" i="50" s="1"/>
  <c r="F52" i="50"/>
  <c r="P52" i="50"/>
  <c r="Q52" i="50"/>
  <c r="T114" i="50" l="1"/>
  <c r="R108" i="50"/>
  <c r="N114" i="50"/>
  <c r="X115" i="50"/>
  <c r="Y115" i="50"/>
  <c r="Z115" i="50"/>
  <c r="M108" i="50"/>
  <c r="P114" i="50"/>
  <c r="U114" i="50"/>
  <c r="S114" i="50"/>
  <c r="O114" i="50"/>
  <c r="AA114" i="50"/>
  <c r="AF116" i="50" s="1"/>
  <c r="AF110" i="50"/>
  <c r="AA84" i="59"/>
  <c r="AF85" i="59" s="1"/>
  <c r="K113" i="50"/>
  <c r="K114" i="50" s="1"/>
  <c r="L84" i="51"/>
  <c r="L85" i="51" s="1"/>
  <c r="N68" i="51"/>
  <c r="N69" i="51" s="1"/>
  <c r="N75" i="51" s="1"/>
  <c r="M113" i="50"/>
  <c r="M85" i="51"/>
  <c r="L107" i="50"/>
  <c r="L108" i="50" s="1"/>
  <c r="L82" i="51"/>
  <c r="Q69" i="51"/>
  <c r="Q75" i="51" s="1"/>
  <c r="Q107" i="50"/>
  <c r="M109" i="50" s="1"/>
  <c r="Q82" i="51"/>
  <c r="L69" i="51"/>
  <c r="L75" i="51" s="1"/>
  <c r="V107" i="50"/>
  <c r="V82" i="51"/>
  <c r="V203" i="7" s="1"/>
  <c r="V204" i="7" s="1"/>
  <c r="Q84" i="51"/>
  <c r="V84" i="51"/>
  <c r="R113" i="50"/>
  <c r="F68" i="51"/>
  <c r="AC52" i="50"/>
  <c r="R109" i="50" l="1"/>
  <c r="V111" i="50"/>
  <c r="R114" i="50"/>
  <c r="Q108" i="50"/>
  <c r="Q110" i="50" s="1"/>
  <c r="P109" i="50"/>
  <c r="O109" i="50"/>
  <c r="N109" i="50"/>
  <c r="M114" i="50"/>
  <c r="V108" i="50"/>
  <c r="T109" i="50"/>
  <c r="S109" i="50"/>
  <c r="U109" i="50"/>
  <c r="L113" i="50"/>
  <c r="L114" i="50" s="1"/>
  <c r="O68" i="51"/>
  <c r="O69" i="51" s="1"/>
  <c r="O75" i="51" s="1"/>
  <c r="V113" i="50"/>
  <c r="V85" i="51"/>
  <c r="Q113" i="50"/>
  <c r="Q85" i="51"/>
  <c r="G68" i="51"/>
  <c r="G69" i="51" s="1"/>
  <c r="F69" i="51"/>
  <c r="AB52" i="50"/>
  <c r="AD52" i="50"/>
  <c r="V110" i="50" l="1"/>
  <c r="AA110" i="50"/>
  <c r="V114" i="50"/>
  <c r="T115" i="50"/>
  <c r="U115" i="50"/>
  <c r="S115" i="50"/>
  <c r="Q114" i="50"/>
  <c r="P115" i="50"/>
  <c r="O115" i="50"/>
  <c r="N115" i="50"/>
  <c r="M115" i="50"/>
  <c r="R115" i="50"/>
  <c r="Q116" i="50"/>
  <c r="P68" i="51"/>
  <c r="P69" i="51" s="1"/>
  <c r="P75" i="51" s="1"/>
  <c r="V84" i="59"/>
  <c r="AA85" i="59" s="1"/>
  <c r="V116" i="50" l="1"/>
  <c r="AA116" i="50"/>
  <c r="R68" i="51"/>
  <c r="R69" i="51" s="1"/>
  <c r="AF52" i="50"/>
  <c r="AE52" i="50"/>
  <c r="V68" i="51" l="1"/>
  <c r="V69" i="51" s="1"/>
  <c r="S68" i="51"/>
  <c r="S69" i="51" s="1"/>
  <c r="R72" i="51"/>
  <c r="R73" i="51" s="1"/>
  <c r="AG52" i="50"/>
  <c r="R75" i="51" l="1"/>
  <c r="S72" i="51"/>
  <c r="S73" i="51" s="1"/>
  <c r="T68" i="51"/>
  <c r="T69" i="51" s="1"/>
  <c r="AH52" i="50"/>
  <c r="S75" i="51" l="1"/>
  <c r="T72" i="51"/>
  <c r="T73" i="51" s="1"/>
  <c r="U68" i="51"/>
  <c r="U69" i="51" s="1"/>
  <c r="AI52" i="50"/>
  <c r="T75" i="51" l="1"/>
  <c r="W68" i="51"/>
  <c r="U72" i="51"/>
  <c r="U73" i="51" s="1"/>
  <c r="V72" i="51" l="1"/>
  <c r="V73" i="51" s="1"/>
  <c r="U75" i="51"/>
  <c r="AA68" i="51"/>
  <c r="AA69" i="51" s="1"/>
  <c r="W69" i="51"/>
  <c r="V75" i="51" l="1"/>
  <c r="X68" i="51"/>
  <c r="X69" i="51" s="1"/>
  <c r="W72" i="51"/>
  <c r="W73" i="51" s="1"/>
  <c r="W75" i="51" l="1"/>
  <c r="X72" i="51"/>
  <c r="X73" i="51" s="1"/>
  <c r="Y68" i="51"/>
  <c r="Y69" i="51" s="1"/>
  <c r="AJ52" i="50"/>
  <c r="AK52" i="50"/>
  <c r="X75" i="51" l="1"/>
  <c r="Y72" i="51"/>
  <c r="Y73" i="51" s="1"/>
  <c r="Z68" i="51"/>
  <c r="Z69" i="51" s="1"/>
  <c r="Y75" i="51" l="1"/>
  <c r="Z72" i="51"/>
  <c r="Z73" i="51" s="1"/>
  <c r="AB68" i="51"/>
  <c r="AA72" i="51" l="1"/>
  <c r="AA73" i="51" s="1"/>
  <c r="Z75" i="51"/>
  <c r="AF68" i="51"/>
  <c r="AF69" i="51" s="1"/>
  <c r="AB69" i="51"/>
  <c r="AA75" i="51" l="1"/>
  <c r="AB72" i="51"/>
  <c r="AB73" i="51" s="1"/>
  <c r="AC68" i="51"/>
  <c r="AC69" i="51" s="1"/>
  <c r="AB75" i="51" l="1"/>
  <c r="AC72" i="51"/>
  <c r="AC73" i="51" s="1"/>
  <c r="AD68" i="51"/>
  <c r="AD69" i="51" s="1"/>
  <c r="AC75" i="51" l="1"/>
  <c r="AD72" i="51"/>
  <c r="AD73" i="51" s="1"/>
  <c r="AE68" i="51"/>
  <c r="AE69" i="51" s="1"/>
  <c r="AD75" i="51" l="1"/>
  <c r="AE72" i="51"/>
  <c r="AE73" i="51" s="1"/>
  <c r="AG68" i="51"/>
  <c r="AF72" i="51" l="1"/>
  <c r="AF73" i="51" s="1"/>
  <c r="AE75" i="51"/>
  <c r="AK68" i="51"/>
  <c r="AK69" i="51" s="1"/>
  <c r="AG69" i="51"/>
  <c r="AF75" i="51" l="1"/>
  <c r="AG72" i="51"/>
  <c r="AG73" i="51" s="1"/>
  <c r="AH68" i="51"/>
  <c r="AH69" i="51" s="1"/>
  <c r="AG75" i="51" l="1"/>
  <c r="AH72" i="51"/>
  <c r="AH73" i="51" s="1"/>
  <c r="AI68" i="51"/>
  <c r="AI69" i="51" s="1"/>
  <c r="AH75" i="51" l="1"/>
  <c r="AJ68" i="51"/>
  <c r="AJ69" i="51" s="1"/>
  <c r="AL68" i="51" s="1"/>
  <c r="AP68" i="51" s="1"/>
  <c r="AI72" i="51"/>
  <c r="AI73" i="51" s="1"/>
  <c r="AI75" i="51" l="1"/>
  <c r="AJ72" i="51"/>
  <c r="AJ73" i="51" s="1"/>
  <c r="AK72" i="51" l="1"/>
  <c r="AK73" i="51" s="1"/>
  <c r="AJ75" i="51"/>
  <c r="AK75" i="51" l="1"/>
  <c r="H33" i="49" l="1"/>
  <c r="H38" i="49"/>
  <c r="H47" i="49" l="1"/>
  <c r="H52" i="49"/>
  <c r="AJ167" i="7" l="1"/>
  <c r="AK167" i="7" s="1"/>
  <c r="AJ166" i="7"/>
  <c r="AJ165" i="7"/>
  <c r="AJ164" i="7"/>
  <c r="AJ163" i="7"/>
  <c r="AK162" i="7"/>
  <c r="AP164" i="7" s="1"/>
  <c r="AJ160" i="7"/>
  <c r="AK145" i="7"/>
  <c r="AK138" i="7"/>
  <c r="AK131" i="7"/>
  <c r="AK124" i="7"/>
  <c r="AK117" i="7"/>
  <c r="AK114" i="7"/>
  <c r="AK103" i="7"/>
  <c r="AJ143" i="7"/>
  <c r="AJ142" i="7"/>
  <c r="AJ141" i="7"/>
  <c r="AJ140" i="7"/>
  <c r="AJ139" i="7"/>
  <c r="AJ136" i="7"/>
  <c r="AJ135" i="7"/>
  <c r="AJ134" i="7"/>
  <c r="AJ133" i="7"/>
  <c r="AJ132" i="7"/>
  <c r="AJ129" i="7"/>
  <c r="AJ128" i="7"/>
  <c r="AJ127" i="7"/>
  <c r="AJ126" i="7"/>
  <c r="AJ125" i="7"/>
  <c r="AJ122" i="7"/>
  <c r="AJ121" i="7"/>
  <c r="AJ120" i="7"/>
  <c r="AJ119" i="7"/>
  <c r="AJ118" i="7"/>
  <c r="AJ108" i="7"/>
  <c r="AO110" i="7" s="1"/>
  <c r="AJ106" i="7"/>
  <c r="AJ105" i="7"/>
  <c r="AJ104" i="7"/>
  <c r="AJ82" i="7"/>
  <c r="AO84" i="7" s="1"/>
  <c r="AQ87" i="7" s="1"/>
  <c r="AJ79" i="7"/>
  <c r="AJ78" i="7"/>
  <c r="AJ77" i="7"/>
  <c r="AJ72" i="7"/>
  <c r="AJ71" i="7"/>
  <c r="AJ70" i="7"/>
  <c r="AL73" i="7" s="1"/>
  <c r="AP73" i="7" s="1"/>
  <c r="AJ69" i="7"/>
  <c r="AJ58" i="7"/>
  <c r="AJ57" i="7"/>
  <c r="AJ56" i="7"/>
  <c r="AP139" i="7" l="1"/>
  <c r="AP141" i="7"/>
  <c r="AP120" i="7"/>
  <c r="AP118" i="7"/>
  <c r="AP134" i="7"/>
  <c r="AP132" i="7"/>
  <c r="AP104" i="7"/>
  <c r="AP105" i="7"/>
  <c r="AP146" i="7"/>
  <c r="AP148" i="7"/>
  <c r="AP127" i="7"/>
  <c r="AP125" i="7"/>
  <c r="AL109" i="7"/>
  <c r="AL111" i="7"/>
  <c r="AL83" i="7"/>
  <c r="AL85" i="7"/>
  <c r="AJ198" i="7"/>
  <c r="AJ193" i="7"/>
  <c r="AK122" i="7"/>
  <c r="AK129" i="7"/>
  <c r="AK136" i="7"/>
  <c r="AK143" i="7"/>
  <c r="AJ86" i="7"/>
  <c r="AK108" i="7"/>
  <c r="AJ96" i="7"/>
  <c r="AO98" i="7" s="1"/>
  <c r="AJ60" i="7"/>
  <c r="AO61" i="7" s="1"/>
  <c r="AJ64" i="7"/>
  <c r="AO65" i="7" s="1"/>
  <c r="AJ11" i="7"/>
  <c r="AP110" i="7" l="1"/>
  <c r="AL13" i="7"/>
  <c r="AO12" i="7"/>
  <c r="AL99" i="7"/>
  <c r="AL97" i="7"/>
  <c r="AK193" i="7"/>
  <c r="AK198" i="7"/>
  <c r="AJ157" i="7"/>
  <c r="AJ152" i="7"/>
  <c r="AO153" i="7" s="1"/>
  <c r="AJ100" i="7"/>
  <c r="AJ54" i="7"/>
  <c r="AL154" i="7" l="1"/>
  <c r="AL159" i="7"/>
  <c r="AO158" i="7"/>
  <c r="BG87" i="7" l="1"/>
  <c r="BH87" i="7" s="1"/>
  <c r="AI145" i="7" l="1"/>
  <c r="AH145" i="7"/>
  <c r="AG145" i="7"/>
  <c r="AI142" i="7"/>
  <c r="AH142" i="7"/>
  <c r="AG142" i="7"/>
  <c r="AI141" i="7"/>
  <c r="AH141" i="7"/>
  <c r="AG141" i="7"/>
  <c r="AI140" i="7"/>
  <c r="AH140" i="7"/>
  <c r="AG140" i="7"/>
  <c r="AI139" i="7"/>
  <c r="AH139" i="7"/>
  <c r="AG139" i="7"/>
  <c r="AI135" i="7"/>
  <c r="AH135" i="7"/>
  <c r="AG135" i="7"/>
  <c r="AI134" i="7"/>
  <c r="AH134" i="7"/>
  <c r="AG134" i="7"/>
  <c r="AI133" i="7"/>
  <c r="AH133" i="7"/>
  <c r="AG133" i="7"/>
  <c r="AI132" i="7"/>
  <c r="AH132" i="7"/>
  <c r="AG132" i="7"/>
  <c r="AI128" i="7"/>
  <c r="AH128" i="7"/>
  <c r="AG128" i="7"/>
  <c r="AI127" i="7"/>
  <c r="AH127" i="7"/>
  <c r="AG127" i="7"/>
  <c r="AI126" i="7"/>
  <c r="AH126" i="7"/>
  <c r="AG126" i="7"/>
  <c r="AI125" i="7"/>
  <c r="AH125" i="7"/>
  <c r="AG125" i="7"/>
  <c r="AI121" i="7"/>
  <c r="AH121" i="7"/>
  <c r="AG121" i="7"/>
  <c r="AI120" i="7"/>
  <c r="AH120" i="7"/>
  <c r="AG120" i="7"/>
  <c r="AI119" i="7"/>
  <c r="AH119" i="7"/>
  <c r="AG119" i="7"/>
  <c r="AI118" i="7"/>
  <c r="AH118" i="7"/>
  <c r="AG118" i="7"/>
  <c r="AE142" i="7"/>
  <c r="AD142" i="7"/>
  <c r="AC142" i="7"/>
  <c r="AB142" i="7"/>
  <c r="AE141" i="7"/>
  <c r="AD141" i="7"/>
  <c r="AC141" i="7"/>
  <c r="AB141" i="7"/>
  <c r="AE140" i="7"/>
  <c r="AD140" i="7"/>
  <c r="AC140" i="7"/>
  <c r="AB140" i="7"/>
  <c r="AE139" i="7"/>
  <c r="AD139" i="7"/>
  <c r="AC139" i="7"/>
  <c r="AB139" i="7"/>
  <c r="AE135" i="7"/>
  <c r="AD135" i="7"/>
  <c r="AC135" i="7"/>
  <c r="AB135" i="7"/>
  <c r="AE134" i="7"/>
  <c r="AD134" i="7"/>
  <c r="AC134" i="7"/>
  <c r="AB134" i="7"/>
  <c r="AE133" i="7"/>
  <c r="AD133" i="7"/>
  <c r="AC133" i="7"/>
  <c r="AB133" i="7"/>
  <c r="AE132" i="7"/>
  <c r="AD132" i="7"/>
  <c r="AC132" i="7"/>
  <c r="AB132" i="7"/>
  <c r="AE128" i="7"/>
  <c r="AD128" i="7"/>
  <c r="AC128" i="7"/>
  <c r="AB128" i="7"/>
  <c r="AE127" i="7"/>
  <c r="AD127" i="7"/>
  <c r="AC127" i="7"/>
  <c r="AB127" i="7"/>
  <c r="AE126" i="7"/>
  <c r="AD126" i="7"/>
  <c r="AC126" i="7"/>
  <c r="AB126" i="7"/>
  <c r="AE125" i="7"/>
  <c r="AD125" i="7"/>
  <c r="AC125" i="7"/>
  <c r="AB125" i="7"/>
  <c r="AF138" i="7"/>
  <c r="AF131" i="7"/>
  <c r="AF124" i="7"/>
  <c r="AF117" i="7"/>
  <c r="AC145" i="7"/>
  <c r="AD145" i="7"/>
  <c r="AE145" i="7"/>
  <c r="AB145" i="7"/>
  <c r="AD121" i="7"/>
  <c r="AE121" i="7"/>
  <c r="AC121" i="7"/>
  <c r="AB121" i="7"/>
  <c r="AC120" i="7"/>
  <c r="AD120" i="7"/>
  <c r="AE120" i="7"/>
  <c r="AB120" i="7"/>
  <c r="AD119" i="7"/>
  <c r="AE119" i="7"/>
  <c r="AC119" i="7"/>
  <c r="AB119" i="7"/>
  <c r="AE118" i="7"/>
  <c r="AC118" i="7"/>
  <c r="AD118" i="7"/>
  <c r="AB118" i="7"/>
  <c r="AB122" i="7" l="1"/>
  <c r="AD143" i="7"/>
  <c r="AC136" i="7"/>
  <c r="AN148" i="7"/>
  <c r="AN146" i="7"/>
  <c r="AM146" i="7"/>
  <c r="AM148" i="7"/>
  <c r="AJ148" i="7"/>
  <c r="AJ146" i="7"/>
  <c r="AL146" i="7"/>
  <c r="AL148" i="7"/>
  <c r="AI136" i="7"/>
  <c r="AJ147" i="7"/>
  <c r="AJ149" i="7"/>
  <c r="AG146" i="7"/>
  <c r="AF118" i="7"/>
  <c r="AK118" i="7"/>
  <c r="AK120" i="7"/>
  <c r="AF132" i="7"/>
  <c r="AK132" i="7"/>
  <c r="AK134" i="7"/>
  <c r="AB129" i="7"/>
  <c r="AF125" i="7"/>
  <c r="AK125" i="7"/>
  <c r="AK127" i="7"/>
  <c r="AF139" i="7"/>
  <c r="AK141" i="7"/>
  <c r="AK139" i="7"/>
  <c r="AC129" i="7"/>
  <c r="AF120" i="7"/>
  <c r="AB143" i="7"/>
  <c r="AC146" i="7"/>
  <c r="AH148" i="7"/>
  <c r="AC143" i="7"/>
  <c r="AC122" i="7"/>
  <c r="AB136" i="7"/>
  <c r="AC148" i="7"/>
  <c r="AH136" i="7"/>
  <c r="AG136" i="7"/>
  <c r="AI143" i="7"/>
  <c r="AI129" i="7"/>
  <c r="AH129" i="7"/>
  <c r="AH143" i="7"/>
  <c r="AG143" i="7"/>
  <c r="AG129" i="7"/>
  <c r="AE136" i="7"/>
  <c r="AF127" i="7"/>
  <c r="AE129" i="7"/>
  <c r="AE143" i="7"/>
  <c r="AD136" i="7"/>
  <c r="AD129" i="7"/>
  <c r="AB146" i="7"/>
  <c r="AB149" i="7"/>
  <c r="AB148" i="7"/>
  <c r="AC149" i="7"/>
  <c r="AC147" i="7"/>
  <c r="AF134" i="7"/>
  <c r="AF141" i="7"/>
  <c r="AB147" i="7"/>
  <c r="AH146" i="7"/>
  <c r="AH147" i="7"/>
  <c r="AI147" i="7"/>
  <c r="AF145" i="7"/>
  <c r="AG147" i="7"/>
  <c r="AE146" i="7"/>
  <c r="AE148" i="7"/>
  <c r="AE122" i="7"/>
  <c r="AI148" i="7"/>
  <c r="AD148" i="7"/>
  <c r="AD146" i="7"/>
  <c r="AE147" i="7"/>
  <c r="AD122" i="7"/>
  <c r="AI146" i="7"/>
  <c r="AD149" i="7"/>
  <c r="AE149" i="7"/>
  <c r="AD147" i="7"/>
  <c r="AG122" i="7"/>
  <c r="AG149" i="7"/>
  <c r="AH122" i="7"/>
  <c r="AG148" i="7"/>
  <c r="AH149" i="7"/>
  <c r="AI122" i="7"/>
  <c r="AI149" i="7"/>
  <c r="AK148" i="7" l="1"/>
  <c r="AK146" i="7"/>
  <c r="AF136" i="7"/>
  <c r="AF143" i="7"/>
  <c r="AF129" i="7"/>
  <c r="AF122" i="7"/>
  <c r="AF148" i="7"/>
  <c r="AF146" i="7"/>
  <c r="AI82" i="7" l="1"/>
  <c r="AN84" i="7" s="1"/>
  <c r="AO87" i="7" s="1"/>
  <c r="AI78" i="7"/>
  <c r="AH78" i="7"/>
  <c r="AG78" i="7"/>
  <c r="AE78" i="7"/>
  <c r="AB78" i="7"/>
  <c r="AI86" i="7" l="1"/>
  <c r="AJ83" i="7"/>
  <c r="AJ85" i="7"/>
  <c r="AI167" i="7" l="1"/>
  <c r="AI166" i="7"/>
  <c r="AI165" i="7"/>
  <c r="AI164" i="7"/>
  <c r="AI163" i="7"/>
  <c r="AI160" i="7"/>
  <c r="AI108" i="7"/>
  <c r="AI106" i="7"/>
  <c r="AI105" i="7"/>
  <c r="AI104" i="7"/>
  <c r="AI79" i="7"/>
  <c r="AI77" i="7"/>
  <c r="AI72" i="7"/>
  <c r="AI71" i="7"/>
  <c r="AI70" i="7"/>
  <c r="AJ73" i="7" s="1"/>
  <c r="AI69" i="7"/>
  <c r="AI58" i="7"/>
  <c r="AI57" i="7"/>
  <c r="AI56" i="7"/>
  <c r="AN110" i="7" l="1"/>
  <c r="AJ111" i="7"/>
  <c r="AJ109" i="7"/>
  <c r="AJ53" i="7"/>
  <c r="AI60" i="7" l="1"/>
  <c r="AJ62" i="7" s="1"/>
  <c r="AI198" i="7"/>
  <c r="AI193" i="7"/>
  <c r="AI11" i="7"/>
  <c r="AI152" i="7" s="1"/>
  <c r="AJ154" i="7" s="1"/>
  <c r="AI64" i="7"/>
  <c r="AJ66" i="7" s="1"/>
  <c r="AJ16" i="7"/>
  <c r="AJ18" i="7"/>
  <c r="AI96" i="7"/>
  <c r="AJ99" i="7" s="1"/>
  <c r="AJ27" i="7"/>
  <c r="AJ13" i="7" l="1"/>
  <c r="AJ97" i="7"/>
  <c r="AI54" i="7"/>
  <c r="AI100" i="7"/>
  <c r="AI157" i="7"/>
  <c r="AJ159" i="7" s="1"/>
  <c r="AG172" i="7"/>
  <c r="AG171" i="7"/>
  <c r="AG170" i="7"/>
  <c r="AI115" i="7"/>
  <c r="AJ115" i="7"/>
  <c r="AH172" i="7"/>
  <c r="AH171" i="7"/>
  <c r="AH170" i="7"/>
  <c r="AH115" i="7"/>
  <c r="AG115" i="7"/>
  <c r="AD115" i="7"/>
  <c r="AE115" i="7"/>
  <c r="AC115" i="7"/>
  <c r="AH72" i="7"/>
  <c r="AG57" i="7" l="1"/>
  <c r="AH82" i="7"/>
  <c r="AM84" i="7" s="1"/>
  <c r="AN87" i="7" s="1"/>
  <c r="AH108" i="7"/>
  <c r="AH104" i="7"/>
  <c r="AH105" i="7"/>
  <c r="B28" i="7"/>
  <c r="AM110" i="7" l="1"/>
  <c r="AI83" i="7"/>
  <c r="AI85" i="7"/>
  <c r="AI111" i="7"/>
  <c r="AI109" i="7"/>
  <c r="AH167" i="7"/>
  <c r="AH166" i="7"/>
  <c r="AH165" i="7"/>
  <c r="AH164" i="7"/>
  <c r="AH163" i="7"/>
  <c r="AH160" i="7"/>
  <c r="AH106" i="7"/>
  <c r="AH86" i="7"/>
  <c r="AH79" i="7"/>
  <c r="AH71" i="7"/>
  <c r="AH70" i="7"/>
  <c r="AI73" i="7" s="1"/>
  <c r="AH69" i="7"/>
  <c r="AH58" i="7"/>
  <c r="AH57" i="7"/>
  <c r="AH56" i="7"/>
  <c r="AI53" i="7" l="1"/>
  <c r="AI16" i="7" l="1"/>
  <c r="AH198" i="7"/>
  <c r="AH193" i="7"/>
  <c r="AI18" i="7"/>
  <c r="AH96" i="7"/>
  <c r="AH64" i="7"/>
  <c r="AH60" i="7"/>
  <c r="AI27" i="7"/>
  <c r="AH11" i="7"/>
  <c r="AI97" i="7" l="1"/>
  <c r="AM98" i="7"/>
  <c r="AI66" i="7"/>
  <c r="AM65" i="7"/>
  <c r="AH152" i="7"/>
  <c r="AM12" i="7"/>
  <c r="AI62" i="7"/>
  <c r="AM61" i="7"/>
  <c r="AI99" i="7"/>
  <c r="AH100" i="7"/>
  <c r="AI13" i="7"/>
  <c r="AH157" i="7"/>
  <c r="AH54" i="7"/>
  <c r="AI159" i="7" l="1"/>
  <c r="AM158" i="7"/>
  <c r="AI154" i="7"/>
  <c r="AM153" i="7"/>
  <c r="AD70" i="7" l="1"/>
  <c r="AG163" i="7" l="1"/>
  <c r="AG167" i="7"/>
  <c r="AG166" i="7"/>
  <c r="AG165" i="7"/>
  <c r="AG164" i="7"/>
  <c r="AG160" i="7"/>
  <c r="AG108" i="7"/>
  <c r="AG106" i="7"/>
  <c r="AG105" i="7"/>
  <c r="AG104" i="7"/>
  <c r="AG82" i="7"/>
  <c r="AL84" i="7" s="1"/>
  <c r="AM87" i="7" s="1"/>
  <c r="AG79" i="7"/>
  <c r="AG77" i="7"/>
  <c r="AG72" i="7"/>
  <c r="AG71" i="7"/>
  <c r="AG70" i="7"/>
  <c r="AH73" i="7" s="1"/>
  <c r="AG69" i="7"/>
  <c r="AL110" i="7" l="1"/>
  <c r="AH27" i="7"/>
  <c r="AM28" i="7" s="1"/>
  <c r="AH111" i="7"/>
  <c r="AH109" i="7"/>
  <c r="AG86" i="7"/>
  <c r="AH85" i="7"/>
  <c r="AH83" i="7"/>
  <c r="AH16" i="7"/>
  <c r="AH18" i="7"/>
  <c r="AG198" i="7" l="1"/>
  <c r="AG193" i="7"/>
  <c r="AH53" i="7"/>
  <c r="AJ94" i="7" l="1"/>
  <c r="AJ93" i="7" s="1"/>
  <c r="AJ90" i="7" s="1"/>
  <c r="AL92" i="7" s="1"/>
  <c r="AF103" i="7" l="1"/>
  <c r="AF114" i="7"/>
  <c r="AF162" i="7"/>
  <c r="AK164" i="7" s="1"/>
  <c r="AF169" i="7"/>
  <c r="AK105" i="7" l="1"/>
  <c r="AK104" i="7"/>
  <c r="AE172" i="7" l="1"/>
  <c r="AF172" i="7" s="1"/>
  <c r="AE171" i="7"/>
  <c r="AE170" i="7"/>
  <c r="AE167" i="7"/>
  <c r="AF167" i="7" s="1"/>
  <c r="AE166" i="7"/>
  <c r="AE165" i="7"/>
  <c r="AE164" i="7"/>
  <c r="AE163" i="7"/>
  <c r="AE160" i="7"/>
  <c r="AE108" i="7"/>
  <c r="AE106" i="7"/>
  <c r="AE105" i="7"/>
  <c r="AE104" i="7"/>
  <c r="AE82" i="7"/>
  <c r="AJ84" i="7" s="1"/>
  <c r="AL87" i="7" s="1"/>
  <c r="AP87" i="7" s="1"/>
  <c r="AE79" i="7"/>
  <c r="AE77" i="7"/>
  <c r="AE72" i="7"/>
  <c r="AE71" i="7"/>
  <c r="AE70" i="7"/>
  <c r="AG73" i="7" s="1"/>
  <c r="AE69" i="7"/>
  <c r="AE58" i="7"/>
  <c r="AE57" i="7"/>
  <c r="AE56" i="7"/>
  <c r="AJ110" i="7" l="1"/>
  <c r="AG83" i="7"/>
  <c r="AG85" i="7"/>
  <c r="AF108" i="7"/>
  <c r="AG111" i="7"/>
  <c r="AG109" i="7"/>
  <c r="AE86" i="7"/>
  <c r="AE64" i="7"/>
  <c r="AJ65" i="7" s="1"/>
  <c r="AK110" i="7" l="1"/>
  <c r="AJ17" i="7"/>
  <c r="AE198" i="7"/>
  <c r="AE193" i="7"/>
  <c r="AG18" i="7"/>
  <c r="AG16" i="7"/>
  <c r="AG27" i="7"/>
  <c r="AL28" i="7" s="1"/>
  <c r="AE96" i="7"/>
  <c r="AJ98" i="7" s="1"/>
  <c r="AE60" i="7"/>
  <c r="AJ61" i="7" s="1"/>
  <c r="AI94" i="7"/>
  <c r="AI93" i="7" s="1"/>
  <c r="AI90" i="7" s="1"/>
  <c r="AJ92" i="7" s="1"/>
  <c r="AG53" i="7"/>
  <c r="AJ52" i="7"/>
  <c r="AE11" i="7"/>
  <c r="AF193" i="7" l="1"/>
  <c r="AJ194" i="7"/>
  <c r="AF198" i="7"/>
  <c r="AJ199" i="7"/>
  <c r="AE19" i="7"/>
  <c r="AE152" i="7"/>
  <c r="AJ153" i="7" s="1"/>
  <c r="AE54" i="7"/>
  <c r="AJ12" i="7"/>
  <c r="AE100" i="7"/>
  <c r="AE157" i="7"/>
  <c r="AJ158" i="7" s="1"/>
  <c r="BG52" i="7"/>
  <c r="BH52" i="7" s="1"/>
  <c r="BI52" i="7" s="1"/>
  <c r="BB87" i="7"/>
  <c r="BC87" i="7" s="1"/>
  <c r="BD87" i="7" s="1"/>
  <c r="BB52" i="7"/>
  <c r="BC52" i="7" s="1"/>
  <c r="AW87" i="7"/>
  <c r="AC94" i="7"/>
  <c r="AD82" i="7"/>
  <c r="AI84" i="7" s="1"/>
  <c r="AJ87" i="7" s="1"/>
  <c r="AC82" i="7"/>
  <c r="AH84" i="7" s="1"/>
  <c r="AB82" i="7"/>
  <c r="Z82" i="7"/>
  <c r="Y82" i="7"/>
  <c r="Y86" i="7" s="1"/>
  <c r="X82" i="7"/>
  <c r="W82" i="7"/>
  <c r="W86" i="7" s="1"/>
  <c r="U82" i="7"/>
  <c r="T82" i="7"/>
  <c r="T86" i="7" s="1"/>
  <c r="S82" i="7"/>
  <c r="S86" i="7" s="1"/>
  <c r="R82" i="7"/>
  <c r="P82" i="7"/>
  <c r="O82" i="7"/>
  <c r="N82" i="7"/>
  <c r="N86" i="7" s="1"/>
  <c r="M82" i="7"/>
  <c r="M84" i="7" s="1"/>
  <c r="K82" i="7"/>
  <c r="K84" i="7" s="1"/>
  <c r="J82" i="7"/>
  <c r="J85" i="7" s="1"/>
  <c r="AD171" i="7"/>
  <c r="AC171" i="7"/>
  <c r="AB171" i="7"/>
  <c r="AC170" i="7"/>
  <c r="AC172" i="7"/>
  <c r="AD172" i="7"/>
  <c r="AD170" i="7"/>
  <c r="AD79" i="7"/>
  <c r="AD77" i="7"/>
  <c r="R172" i="7"/>
  <c r="AD167" i="7"/>
  <c r="AC167" i="7"/>
  <c r="AB167" i="7"/>
  <c r="Z167" i="7"/>
  <c r="AA167" i="7" s="1"/>
  <c r="Y167" i="7"/>
  <c r="X167" i="7"/>
  <c r="W167" i="7"/>
  <c r="S167" i="7"/>
  <c r="T167" i="7"/>
  <c r="U167" i="7"/>
  <c r="V167" i="7" s="1"/>
  <c r="R167" i="7"/>
  <c r="AD166" i="7"/>
  <c r="AC166" i="7"/>
  <c r="AB166" i="7"/>
  <c r="Z166" i="7"/>
  <c r="Y166" i="7"/>
  <c r="X166" i="7"/>
  <c r="W166" i="7"/>
  <c r="U166" i="7"/>
  <c r="T166" i="7"/>
  <c r="S166" i="7"/>
  <c r="R166" i="7"/>
  <c r="P166" i="7"/>
  <c r="O166" i="7"/>
  <c r="N166" i="7"/>
  <c r="M166" i="7"/>
  <c r="K166" i="7"/>
  <c r="AD165" i="7"/>
  <c r="AC165" i="7"/>
  <c r="AB165" i="7"/>
  <c r="Z165" i="7"/>
  <c r="Y165" i="7"/>
  <c r="X165" i="7"/>
  <c r="W165" i="7"/>
  <c r="U165" i="7"/>
  <c r="T165" i="7"/>
  <c r="S165" i="7"/>
  <c r="R165" i="7"/>
  <c r="P165" i="7"/>
  <c r="O165" i="7"/>
  <c r="N165" i="7"/>
  <c r="M165" i="7"/>
  <c r="K165" i="7"/>
  <c r="J165" i="7"/>
  <c r="AD164" i="7"/>
  <c r="AC164" i="7"/>
  <c r="AB164" i="7"/>
  <c r="Z164" i="7"/>
  <c r="Y164" i="7"/>
  <c r="X164" i="7"/>
  <c r="W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V162" i="7"/>
  <c r="V164" i="7" s="1"/>
  <c r="AA162" i="7"/>
  <c r="AF164" i="7" s="1"/>
  <c r="AD163" i="7"/>
  <c r="AC163" i="7"/>
  <c r="AB163" i="7"/>
  <c r="Z163" i="7"/>
  <c r="Y163" i="7"/>
  <c r="X163" i="7"/>
  <c r="W163" i="7"/>
  <c r="U163" i="7"/>
  <c r="T163" i="7"/>
  <c r="S163" i="7"/>
  <c r="AB172" i="7"/>
  <c r="Z172" i="7"/>
  <c r="AA172" i="7" s="1"/>
  <c r="Y172" i="7"/>
  <c r="X172" i="7"/>
  <c r="W172" i="7"/>
  <c r="U172" i="7"/>
  <c r="V172" i="7" s="1"/>
  <c r="T172" i="7"/>
  <c r="S172" i="7"/>
  <c r="AB79" i="7"/>
  <c r="Z79" i="7"/>
  <c r="Y79" i="7"/>
  <c r="X79" i="7"/>
  <c r="W79" i="7"/>
  <c r="T79" i="7"/>
  <c r="U79" i="7"/>
  <c r="S79" i="7"/>
  <c r="R79" i="7"/>
  <c r="AA169" i="7"/>
  <c r="AF170" i="7" s="1"/>
  <c r="V169" i="7"/>
  <c r="V170" i="7" s="1"/>
  <c r="Z171" i="7"/>
  <c r="Y171" i="7"/>
  <c r="X171" i="7"/>
  <c r="W171" i="7"/>
  <c r="U171" i="7"/>
  <c r="T171" i="7"/>
  <c r="S171" i="7"/>
  <c r="R171" i="7"/>
  <c r="AB170" i="7"/>
  <c r="Z170" i="7"/>
  <c r="Y170" i="7"/>
  <c r="X170" i="7"/>
  <c r="W170" i="7"/>
  <c r="U170" i="7"/>
  <c r="T170" i="7"/>
  <c r="S170" i="7"/>
  <c r="R170" i="7"/>
  <c r="V76" i="7"/>
  <c r="V77" i="7" s="1"/>
  <c r="AA76" i="7"/>
  <c r="Z78" i="7"/>
  <c r="Y78" i="7"/>
  <c r="X78" i="7"/>
  <c r="W78" i="7"/>
  <c r="U78" i="7"/>
  <c r="T78" i="7"/>
  <c r="S78" i="7"/>
  <c r="R78" i="7"/>
  <c r="P78" i="7"/>
  <c r="O78" i="7"/>
  <c r="N78" i="7"/>
  <c r="M78" i="7"/>
  <c r="K78" i="7"/>
  <c r="J78" i="7"/>
  <c r="AB77" i="7"/>
  <c r="Z77" i="7"/>
  <c r="Y77" i="7"/>
  <c r="X77" i="7"/>
  <c r="W77" i="7"/>
  <c r="U77" i="7"/>
  <c r="T77" i="7"/>
  <c r="S77" i="7"/>
  <c r="R77" i="7"/>
  <c r="Q77" i="7"/>
  <c r="P77" i="7"/>
  <c r="O77" i="7"/>
  <c r="N77" i="7"/>
  <c r="M77" i="7"/>
  <c r="L77" i="7"/>
  <c r="K77" i="7"/>
  <c r="J77" i="7"/>
  <c r="AB177" i="7"/>
  <c r="Y177" i="7"/>
  <c r="Z177" i="7"/>
  <c r="X177" i="7"/>
  <c r="W177" i="7"/>
  <c r="T177" i="7"/>
  <c r="U177" i="7"/>
  <c r="S177" i="7"/>
  <c r="AB176" i="7"/>
  <c r="X176" i="7"/>
  <c r="Y176" i="7"/>
  <c r="Z176" i="7"/>
  <c r="W176" i="7"/>
  <c r="AA175" i="7"/>
  <c r="V175" i="7"/>
  <c r="AK199" i="7" l="1"/>
  <c r="AK194" i="7"/>
  <c r="AI87" i="7"/>
  <c r="AB86" i="7"/>
  <c r="AG84" i="7"/>
  <c r="AH87" i="7" s="1"/>
  <c r="AE85" i="7"/>
  <c r="AE83" i="7"/>
  <c r="Z86" i="7"/>
  <c r="AE84" i="7"/>
  <c r="R84" i="7"/>
  <c r="BJ87" i="7"/>
  <c r="BE87" i="7"/>
  <c r="BD52" i="7"/>
  <c r="AX87" i="7"/>
  <c r="AY87" i="7" s="1"/>
  <c r="AZ73" i="7"/>
  <c r="AF68" i="7"/>
  <c r="P83" i="7"/>
  <c r="AF76" i="7"/>
  <c r="T84" i="7"/>
  <c r="P84" i="7"/>
  <c r="X83" i="7"/>
  <c r="J84" i="7"/>
  <c r="K86" i="7"/>
  <c r="X85" i="7"/>
  <c r="M86" i="7"/>
  <c r="U83" i="7"/>
  <c r="P85" i="7"/>
  <c r="AB84" i="7"/>
  <c r="AD85" i="7"/>
  <c r="AC84" i="7"/>
  <c r="K83" i="7"/>
  <c r="N84" i="7"/>
  <c r="P86" i="7"/>
  <c r="AC85" i="7"/>
  <c r="AC86" i="7"/>
  <c r="AD84" i="7"/>
  <c r="O84" i="7"/>
  <c r="N85" i="7"/>
  <c r="U86" i="7"/>
  <c r="O83" i="7"/>
  <c r="Y83" i="7"/>
  <c r="U84" i="7"/>
  <c r="Y85" i="7"/>
  <c r="O86" i="7"/>
  <c r="AD83" i="7"/>
  <c r="W84" i="7"/>
  <c r="AD86" i="7"/>
  <c r="X84" i="7"/>
  <c r="S85" i="7"/>
  <c r="X86" i="7"/>
  <c r="S83" i="7"/>
  <c r="U85" i="7"/>
  <c r="R86" i="7"/>
  <c r="R85" i="7"/>
  <c r="AB85" i="7"/>
  <c r="R83" i="7"/>
  <c r="W83" i="7"/>
  <c r="W85" i="7"/>
  <c r="M85" i="7"/>
  <c r="AC83" i="7"/>
  <c r="O85" i="7"/>
  <c r="Z83" i="7"/>
  <c r="M83" i="7"/>
  <c r="T83" i="7"/>
  <c r="AB83" i="7"/>
  <c r="Y84" i="7"/>
  <c r="K85" i="7"/>
  <c r="Z85" i="7"/>
  <c r="N83" i="7"/>
  <c r="S84" i="7"/>
  <c r="Z84" i="7"/>
  <c r="T85" i="7"/>
  <c r="AA77" i="7"/>
  <c r="AA164" i="7"/>
  <c r="AA170" i="7"/>
  <c r="AA176" i="7"/>
  <c r="AG87" i="7" l="1"/>
  <c r="S87" i="7"/>
  <c r="R87" i="7"/>
  <c r="AE87" i="7"/>
  <c r="Z87" i="7"/>
  <c r="U87" i="7"/>
  <c r="AC87" i="7"/>
  <c r="W87" i="7"/>
  <c r="BE73" i="7"/>
  <c r="BJ73" i="7"/>
  <c r="AD87" i="7"/>
  <c r="AB87" i="7"/>
  <c r="Y87" i="7"/>
  <c r="X87" i="7"/>
  <c r="T87" i="7"/>
  <c r="AZ87" i="7"/>
  <c r="AF82" i="7"/>
  <c r="AF77" i="7"/>
  <c r="AK87" i="7" l="1"/>
  <c r="V87" i="7"/>
  <c r="AA87" i="7"/>
  <c r="AF87" i="7"/>
  <c r="AF55" i="7"/>
  <c r="AF72" i="7" l="1"/>
  <c r="AF166" i="7"/>
  <c r="AF86" i="7"/>
  <c r="AK76" i="7" l="1"/>
  <c r="AK82" i="7" l="1"/>
  <c r="AK77" i="7"/>
  <c r="AP84" i="7" l="1"/>
  <c r="AP83" i="7"/>
  <c r="AO88" i="7" s="1"/>
  <c r="AK84" i="7"/>
  <c r="AK83" i="7"/>
  <c r="AJ88" i="7" l="1"/>
  <c r="AI88" i="7"/>
  <c r="AH88" i="7"/>
  <c r="AG88" i="7"/>
  <c r="AD69" i="7" l="1"/>
  <c r="AE73" i="7"/>
  <c r="AD71" i="7"/>
  <c r="AD72" i="7"/>
  <c r="AD56" i="7"/>
  <c r="AD57" i="7"/>
  <c r="AD58" i="7"/>
  <c r="AE16" i="7" l="1"/>
  <c r="AE18" i="7"/>
  <c r="AD60" i="7"/>
  <c r="AD64" i="7"/>
  <c r="AA114" i="7"/>
  <c r="AD96" i="7" l="1"/>
  <c r="AI98" i="7" s="1"/>
  <c r="AD198" i="7"/>
  <c r="AD193" i="7"/>
  <c r="AE62" i="7"/>
  <c r="AI61" i="7"/>
  <c r="AE66" i="7"/>
  <c r="AI65" i="7"/>
  <c r="AE53" i="7"/>
  <c r="AI52" i="7"/>
  <c r="AI210" i="7"/>
  <c r="AI17" i="7"/>
  <c r="AH173" i="7"/>
  <c r="AE27" i="7"/>
  <c r="AJ28" i="7" s="1"/>
  <c r="AE97" i="7" l="1"/>
  <c r="AE99" i="7"/>
  <c r="AI194" i="7"/>
  <c r="AI199" i="7"/>
  <c r="AD160" i="7" l="1"/>
  <c r="AD108" i="7"/>
  <c r="AD104" i="7"/>
  <c r="AD105" i="7"/>
  <c r="AD106" i="7"/>
  <c r="AI110" i="7" l="1"/>
  <c r="AE111" i="7"/>
  <c r="AE109" i="7"/>
  <c r="AC160" i="7" l="1"/>
  <c r="AC108" i="7"/>
  <c r="AC106" i="7"/>
  <c r="AC105" i="7"/>
  <c r="AC104" i="7"/>
  <c r="AC72" i="7"/>
  <c r="AC71" i="7"/>
  <c r="AC70" i="7"/>
  <c r="AC69" i="7"/>
  <c r="AC58" i="7"/>
  <c r="AC57" i="7"/>
  <c r="AC56" i="7"/>
  <c r="AH110" i="7" l="1"/>
  <c r="AD73" i="7"/>
  <c r="AD109" i="7"/>
  <c r="AD111" i="7"/>
  <c r="L19" i="14"/>
  <c r="Q19" i="14" s="1"/>
  <c r="V19" i="14" s="1"/>
  <c r="AA19" i="14" s="1"/>
  <c r="AF19" i="14" s="1"/>
  <c r="AK19" i="14" s="1"/>
  <c r="AC193" i="7" l="1"/>
  <c r="AC198" i="7"/>
  <c r="AD16" i="7"/>
  <c r="AC64" i="7"/>
  <c r="AH65" i="7" s="1"/>
  <c r="AC96" i="7"/>
  <c r="AD97" i="7" s="1"/>
  <c r="AD18" i="7"/>
  <c r="AC60" i="7"/>
  <c r="AH61" i="7" s="1"/>
  <c r="AG173" i="7"/>
  <c r="AD27" i="7"/>
  <c r="AI28" i="7" s="1"/>
  <c r="AD53" i="7"/>
  <c r="AH52" i="7"/>
  <c r="AH17" i="7"/>
  <c r="AH210" i="7"/>
  <c r="AC11" i="7"/>
  <c r="AC152" i="7" s="1"/>
  <c r="AH153" i="7" s="1"/>
  <c r="AP19" i="14"/>
  <c r="AU19" i="14" s="1"/>
  <c r="AA68" i="7"/>
  <c r="AA103" i="7"/>
  <c r="AH199" i="7" l="1"/>
  <c r="AH194" i="7"/>
  <c r="AZ19" i="14"/>
  <c r="BE19" i="14" s="1"/>
  <c r="BJ19" i="14" s="1"/>
  <c r="BO19" i="14" s="1"/>
  <c r="BT19" i="14" s="1"/>
  <c r="BY19" i="14" s="1"/>
  <c r="CD19" i="14" s="1"/>
  <c r="CI19" i="14" s="1"/>
  <c r="CN19" i="14" s="1"/>
  <c r="CS19" i="14" s="1"/>
  <c r="CX19" i="14" s="1"/>
  <c r="AD99" i="7"/>
  <c r="AH98" i="7"/>
  <c r="AD66" i="7"/>
  <c r="AD62" i="7"/>
  <c r="AC54" i="7"/>
  <c r="AH12" i="7"/>
  <c r="AC157" i="7"/>
  <c r="AH158" i="7" s="1"/>
  <c r="AF104" i="7"/>
  <c r="AF105" i="7"/>
  <c r="AC100" i="7"/>
  <c r="AC19" i="7"/>
  <c r="AF69" i="7"/>
  <c r="AF70" i="7"/>
  <c r="AE74" i="7" l="1"/>
  <c r="AD74" i="7"/>
  <c r="AC74" i="7"/>
  <c r="AA55" i="7" l="1"/>
  <c r="AA82" i="7" l="1"/>
  <c r="AF57" i="7"/>
  <c r="AA166" i="7"/>
  <c r="AA72" i="7"/>
  <c r="AF83" i="7" l="1"/>
  <c r="AF84" i="7"/>
  <c r="AA86" i="7"/>
  <c r="AC88" i="7" l="1"/>
  <c r="AB88" i="7"/>
  <c r="AD88" i="7"/>
  <c r="AE88" i="7"/>
  <c r="AB160" i="7"/>
  <c r="AB108" i="7"/>
  <c r="AB106" i="7"/>
  <c r="AB105" i="7"/>
  <c r="AB104" i="7"/>
  <c r="AB72" i="7"/>
  <c r="AB71" i="7"/>
  <c r="AB70" i="7"/>
  <c r="AB69" i="7"/>
  <c r="AB74" i="7" s="1"/>
  <c r="AB58" i="7"/>
  <c r="AB57" i="7"/>
  <c r="AB56" i="7"/>
  <c r="AF56" i="7" s="1"/>
  <c r="AG110" i="7" l="1"/>
  <c r="AC73" i="7"/>
  <c r="AC111" i="7"/>
  <c r="AC109" i="7"/>
  <c r="AB198" i="7" l="1"/>
  <c r="AB193" i="7"/>
  <c r="AC27" i="7"/>
  <c r="AC53" i="7"/>
  <c r="AG52" i="7"/>
  <c r="AG17" i="7"/>
  <c r="AE173" i="7"/>
  <c r="AF173" i="7" s="1"/>
  <c r="AB96" i="7"/>
  <c r="AC97" i="7" s="1"/>
  <c r="AB60" i="7"/>
  <c r="AB64" i="7"/>
  <c r="AB11" i="7"/>
  <c r="AB157" i="7" s="1"/>
  <c r="AC16" i="7"/>
  <c r="AC18" i="7"/>
  <c r="AG194" i="7" l="1"/>
  <c r="AG199" i="7"/>
  <c r="AH28" i="7"/>
  <c r="AC159" i="7"/>
  <c r="AE94" i="7"/>
  <c r="AE93" i="7" s="1"/>
  <c r="AE90" i="7" s="1"/>
  <c r="AJ91" i="7" s="1"/>
  <c r="AC99" i="7"/>
  <c r="AC66" i="7"/>
  <c r="AC62" i="7"/>
  <c r="AB100" i="7"/>
  <c r="AB19" i="7"/>
  <c r="AC13" i="7"/>
  <c r="AB54" i="7"/>
  <c r="AB152" i="7"/>
  <c r="AC154" i="7" l="1"/>
  <c r="Z160" i="7" l="1"/>
  <c r="Z108" i="7"/>
  <c r="Z106" i="7"/>
  <c r="Z105" i="7"/>
  <c r="Z104" i="7"/>
  <c r="Z72" i="7"/>
  <c r="Z71" i="7"/>
  <c r="Z70" i="7"/>
  <c r="Z69" i="7"/>
  <c r="Z58" i="7"/>
  <c r="Z57" i="7"/>
  <c r="Z56" i="7"/>
  <c r="AE110" i="7" l="1"/>
  <c r="AB73" i="7"/>
  <c r="AF73" i="7" s="1"/>
  <c r="AA108" i="7"/>
  <c r="AB111" i="7"/>
  <c r="AB109" i="7"/>
  <c r="AF110" i="7" l="1"/>
  <c r="Y108" i="7"/>
  <c r="Y110" i="7" l="1"/>
  <c r="AD110" i="7"/>
  <c r="Z109" i="7"/>
  <c r="Z111" i="7"/>
  <c r="Y160" i="7" l="1"/>
  <c r="Y106" i="7"/>
  <c r="Y105" i="7"/>
  <c r="Y104" i="7"/>
  <c r="Y72" i="7"/>
  <c r="Y71" i="7"/>
  <c r="Y70" i="7"/>
  <c r="Y69" i="7"/>
  <c r="Y58" i="7"/>
  <c r="Y57" i="7"/>
  <c r="Y56" i="7"/>
  <c r="Z73" i="7" l="1"/>
  <c r="AD52" i="7"/>
  <c r="Y198" i="7" l="1"/>
  <c r="Y193" i="7"/>
  <c r="Y96" i="7"/>
  <c r="AD98" i="7" s="1"/>
  <c r="AD17" i="7"/>
  <c r="AD210" i="7"/>
  <c r="Y60" i="7"/>
  <c r="AD61" i="7" s="1"/>
  <c r="Y11" i="7"/>
  <c r="Y157" i="7" s="1"/>
  <c r="Y64" i="7"/>
  <c r="AD65" i="7" s="1"/>
  <c r="AD194" i="7" l="1"/>
  <c r="AD199" i="7"/>
  <c r="Y100" i="7"/>
  <c r="Y54" i="7"/>
  <c r="Y19" i="7"/>
  <c r="Y152" i="7"/>
  <c r="X160" i="7" l="1"/>
  <c r="W160" i="7"/>
  <c r="X108" i="7"/>
  <c r="AC110" i="7" l="1"/>
  <c r="X110" i="7"/>
  <c r="Y109" i="7"/>
  <c r="Y111" i="7"/>
  <c r="X106" i="7" l="1"/>
  <c r="X105" i="7"/>
  <c r="X104" i="7"/>
  <c r="X72" i="7"/>
  <c r="X71" i="7"/>
  <c r="X70" i="7"/>
  <c r="X69" i="7"/>
  <c r="X58" i="7"/>
  <c r="X57" i="7"/>
  <c r="X56" i="7"/>
  <c r="Y73" i="7" l="1"/>
  <c r="W108" i="7" l="1"/>
  <c r="AB110" i="7" l="1"/>
  <c r="W110" i="7"/>
  <c r="X111" i="7"/>
  <c r="X109" i="7"/>
  <c r="V114" i="7" l="1"/>
  <c r="V103" i="7"/>
  <c r="V68" i="7"/>
  <c r="V55" i="7"/>
  <c r="W106" i="7"/>
  <c r="W105" i="7"/>
  <c r="W104" i="7"/>
  <c r="W72" i="7"/>
  <c r="W71" i="7"/>
  <c r="W70" i="7"/>
  <c r="W69" i="7"/>
  <c r="W58" i="7"/>
  <c r="W57" i="7"/>
  <c r="W56" i="7"/>
  <c r="AA56" i="7" s="1"/>
  <c r="AA69" i="7" l="1"/>
  <c r="X73" i="7"/>
  <c r="V166" i="7"/>
  <c r="V82" i="7"/>
  <c r="AA104" i="7"/>
  <c r="AA105" i="7"/>
  <c r="V72" i="7"/>
  <c r="AA57" i="7"/>
  <c r="AA70" i="7"/>
  <c r="AB52" i="7"/>
  <c r="Z74" i="7" l="1"/>
  <c r="Y74" i="7"/>
  <c r="X74" i="7"/>
  <c r="W74" i="7"/>
  <c r="W198" i="7"/>
  <c r="W193" i="7"/>
  <c r="W96" i="7"/>
  <c r="AB98" i="7" s="1"/>
  <c r="AA83" i="7"/>
  <c r="V86" i="7"/>
  <c r="AA84" i="7"/>
  <c r="AB210" i="7"/>
  <c r="W60" i="7"/>
  <c r="AB61" i="7" s="1"/>
  <c r="AB17" i="7"/>
  <c r="W11" i="7"/>
  <c r="W64" i="7"/>
  <c r="AB65" i="7" s="1"/>
  <c r="W88" i="7" l="1"/>
  <c r="X88" i="7"/>
  <c r="Y88" i="7"/>
  <c r="Z88" i="7"/>
  <c r="AB194" i="7"/>
  <c r="AB199" i="7"/>
  <c r="W100" i="7"/>
  <c r="AB12" i="7"/>
  <c r="W152" i="7"/>
  <c r="W157" i="7"/>
  <c r="W54" i="7"/>
  <c r="W19" i="7"/>
  <c r="W158" i="7" l="1"/>
  <c r="AB158" i="7"/>
  <c r="W153" i="7"/>
  <c r="AB153" i="7"/>
  <c r="U108" i="7" l="1"/>
  <c r="U160" i="7"/>
  <c r="U106" i="7"/>
  <c r="U105" i="7"/>
  <c r="U104" i="7"/>
  <c r="U72" i="7"/>
  <c r="U71" i="7"/>
  <c r="U70" i="7"/>
  <c r="U69" i="7"/>
  <c r="U58" i="7"/>
  <c r="U57" i="7"/>
  <c r="U56" i="7"/>
  <c r="W73" i="7" l="1"/>
  <c r="AA73" i="7" s="1"/>
  <c r="Z110" i="7"/>
  <c r="U110" i="7"/>
  <c r="V108" i="7"/>
  <c r="U111" i="7"/>
  <c r="W111" i="7"/>
  <c r="W109" i="7"/>
  <c r="W53" i="7"/>
  <c r="U198" i="7" l="1"/>
  <c r="U193" i="7"/>
  <c r="W27" i="7"/>
  <c r="U96" i="7"/>
  <c r="W97" i="7" s="1"/>
  <c r="AA110" i="7"/>
  <c r="V110" i="7"/>
  <c r="U60" i="7"/>
  <c r="W62" i="7" s="1"/>
  <c r="W18" i="7"/>
  <c r="W16" i="7"/>
  <c r="U64" i="7"/>
  <c r="W66" i="7" s="1"/>
  <c r="U11" i="7"/>
  <c r="W99" i="7" l="1"/>
  <c r="U100" i="7"/>
  <c r="W13" i="7"/>
  <c r="U19" i="7"/>
  <c r="U157" i="7"/>
  <c r="W159" i="7" s="1"/>
  <c r="U152" i="7"/>
  <c r="W154" i="7" s="1"/>
  <c r="U54" i="7"/>
  <c r="P160" i="7" l="1"/>
  <c r="O160" i="7"/>
  <c r="T160" i="7"/>
  <c r="T106" i="7" l="1"/>
  <c r="T105" i="7"/>
  <c r="T104" i="7"/>
  <c r="T72" i="7"/>
  <c r="T71" i="7"/>
  <c r="T70" i="7"/>
  <c r="T69" i="7"/>
  <c r="T58" i="7"/>
  <c r="T57" i="7"/>
  <c r="T56" i="7"/>
  <c r="U73" i="7" l="1"/>
  <c r="T198" i="7" l="1"/>
  <c r="T193" i="7"/>
  <c r="U27" i="7"/>
  <c r="T96" i="7"/>
  <c r="U99" i="7" s="1"/>
  <c r="Y210" i="7"/>
  <c r="Y17" i="7"/>
  <c r="U53" i="7"/>
  <c r="Y52" i="7"/>
  <c r="T60" i="7"/>
  <c r="T64" i="7"/>
  <c r="T11" i="7"/>
  <c r="U16" i="7"/>
  <c r="U18" i="7"/>
  <c r="T100" i="7" l="1"/>
  <c r="Y194" i="7"/>
  <c r="Y199" i="7"/>
  <c r="Y98" i="7"/>
  <c r="U97" i="7"/>
  <c r="Y12" i="7"/>
  <c r="U62" i="7"/>
  <c r="Y61" i="7"/>
  <c r="T19" i="7"/>
  <c r="U66" i="7"/>
  <c r="Y65" i="7"/>
  <c r="T54" i="7"/>
  <c r="U13" i="7"/>
  <c r="T152" i="7"/>
  <c r="Y153" i="7" s="1"/>
  <c r="T157" i="7"/>
  <c r="Y158" i="7" s="1"/>
  <c r="U159" i="7" l="1"/>
  <c r="U154" i="7"/>
  <c r="AW216" i="7" l="1"/>
  <c r="AX216" i="7" s="1"/>
  <c r="AY216" i="7" s="1"/>
  <c r="AZ216" i="7" s="1"/>
  <c r="AW215" i="7"/>
  <c r="AX215" i="7" s="1"/>
  <c r="AY215" i="7" s="1"/>
  <c r="AR216" i="7"/>
  <c r="AR215" i="7"/>
  <c r="AS215" i="7" s="1"/>
  <c r="AM216" i="7"/>
  <c r="AM215" i="7"/>
  <c r="AN215" i="7" s="1"/>
  <c r="AO215" i="7" s="1"/>
  <c r="AP215" i="7" s="1"/>
  <c r="AH216" i="7"/>
  <c r="AI216" i="7" s="1"/>
  <c r="AJ216" i="7" s="1"/>
  <c r="AK216" i="7" s="1"/>
  <c r="AH215" i="7"/>
  <c r="AD216" i="7"/>
  <c r="AE216" i="7" s="1"/>
  <c r="AF216" i="7" s="1"/>
  <c r="X216" i="7"/>
  <c r="Y216" i="7" s="1"/>
  <c r="S216" i="7"/>
  <c r="T216" i="7" s="1"/>
  <c r="N216" i="7"/>
  <c r="O216" i="7" s="1"/>
  <c r="P216" i="7" s="1"/>
  <c r="Q216" i="7" s="1"/>
  <c r="I216" i="7"/>
  <c r="J216" i="7" s="1"/>
  <c r="K216" i="7" s="1"/>
  <c r="L216" i="7" s="1"/>
  <c r="X215" i="7"/>
  <c r="Y215" i="7" s="1"/>
  <c r="S215" i="7"/>
  <c r="T215" i="7" s="1"/>
  <c r="N215" i="7"/>
  <c r="O215" i="7" s="1"/>
  <c r="P215" i="7" s="1"/>
  <c r="Q215" i="7" s="1"/>
  <c r="I215" i="7"/>
  <c r="J215" i="7" s="1"/>
  <c r="K215" i="7" s="1"/>
  <c r="L215" i="7" s="1"/>
  <c r="AS216" i="7" l="1"/>
  <c r="AT216" i="7" s="1"/>
  <c r="AU216" i="7" s="1"/>
  <c r="AN216" i="7"/>
  <c r="AO216" i="7" s="1"/>
  <c r="AP216" i="7" s="1"/>
  <c r="T217" i="7"/>
  <c r="Z215" i="7"/>
  <c r="AA215" i="7" s="1"/>
  <c r="U216" i="7"/>
  <c r="V216" i="7" s="1"/>
  <c r="Z216" i="7"/>
  <c r="AA216" i="7" s="1"/>
  <c r="U215" i="7"/>
  <c r="AZ215" i="7"/>
  <c r="AI215" i="7"/>
  <c r="AD215" i="7"/>
  <c r="U217" i="7" l="1"/>
  <c r="V215" i="7"/>
  <c r="AT215" i="7"/>
  <c r="AJ215" i="7"/>
  <c r="AE215" i="7"/>
  <c r="L209" i="7" l="1"/>
  <c r="K209" i="7"/>
  <c r="N209" i="7"/>
  <c r="M209" i="7"/>
  <c r="P209" i="7"/>
  <c r="O209" i="7"/>
  <c r="U209" i="7"/>
  <c r="S209" i="7"/>
  <c r="R209" i="7"/>
  <c r="Q209" i="7"/>
  <c r="T209" i="7"/>
  <c r="AU215" i="7"/>
  <c r="AK215" i="7"/>
  <c r="AF215" i="7"/>
  <c r="K72" i="7" l="1"/>
  <c r="K71" i="7"/>
  <c r="K70" i="7"/>
  <c r="K69" i="7"/>
  <c r="J71" i="7"/>
  <c r="J70" i="7"/>
  <c r="L68" i="7"/>
  <c r="L70" i="7" s="1"/>
  <c r="S157" i="7" l="1"/>
  <c r="S159" i="7" s="1"/>
  <c r="S152" i="7"/>
  <c r="V152" i="7" l="1"/>
  <c r="V153" i="7" s="1"/>
  <c r="T154" i="7"/>
  <c r="S153" i="7"/>
  <c r="S154" i="7"/>
  <c r="T159" i="7"/>
  <c r="V157" i="7"/>
  <c r="V158" i="7" s="1"/>
  <c r="S158" i="7"/>
  <c r="S72" i="7"/>
  <c r="R72" i="7"/>
  <c r="P72" i="7"/>
  <c r="O72" i="7"/>
  <c r="N72" i="7"/>
  <c r="M72" i="7"/>
  <c r="S69" i="7" l="1"/>
  <c r="R69" i="7"/>
  <c r="P69" i="7"/>
  <c r="O69" i="7"/>
  <c r="N69" i="7"/>
  <c r="M69" i="7"/>
  <c r="Q69" i="7" l="1"/>
  <c r="P74" i="7" s="1"/>
  <c r="T53" i="7"/>
  <c r="O74" i="7" l="1"/>
  <c r="N74" i="7"/>
  <c r="M74" i="7"/>
  <c r="S198" i="7"/>
  <c r="S193" i="7"/>
  <c r="T27" i="7"/>
  <c r="S96" i="7"/>
  <c r="T99" i="7" s="1"/>
  <c r="W80" i="7"/>
  <c r="W94" i="7" s="1"/>
  <c r="W93" i="7" s="1"/>
  <c r="W90" i="7" s="1"/>
  <c r="W173" i="7"/>
  <c r="T18" i="7"/>
  <c r="T16" i="7"/>
  <c r="S11" i="7"/>
  <c r="S64" i="7"/>
  <c r="T66" i="7" s="1"/>
  <c r="S100" i="7" l="1"/>
  <c r="T97" i="7"/>
  <c r="T13" i="7"/>
  <c r="S54" i="7"/>
  <c r="S160" i="7"/>
  <c r="S19" i="7"/>
  <c r="S155" i="7"/>
  <c r="S217" i="7" l="1"/>
  <c r="S56" i="7" l="1"/>
  <c r="R56" i="7"/>
  <c r="O56" i="7"/>
  <c r="P56" i="7"/>
  <c r="N56" i="7"/>
  <c r="M56" i="7"/>
  <c r="K56" i="7"/>
  <c r="V56" i="7" l="1"/>
  <c r="Q56" i="7"/>
  <c r="J52" i="7" l="1"/>
  <c r="I52" i="7"/>
  <c r="H52" i="7"/>
  <c r="H53" i="7"/>
  <c r="K27" i="7" l="1"/>
  <c r="J27" i="7"/>
  <c r="I27" i="7"/>
  <c r="I17" i="7"/>
  <c r="I96" i="7"/>
  <c r="K17" i="7"/>
  <c r="K96" i="7"/>
  <c r="H17" i="7"/>
  <c r="H96" i="7"/>
  <c r="J17" i="7"/>
  <c r="J96" i="7"/>
  <c r="L17" i="7"/>
  <c r="L96" i="7"/>
  <c r="H18" i="7"/>
  <c r="K60" i="7"/>
  <c r="K62" i="7" s="1"/>
  <c r="K11" i="7"/>
  <c r="K54" i="7" s="1"/>
  <c r="K16" i="7"/>
  <c r="I18" i="7"/>
  <c r="K18" i="7"/>
  <c r="J53" i="7"/>
  <c r="H11" i="7"/>
  <c r="H54" i="7" s="1"/>
  <c r="J18" i="7"/>
  <c r="J11" i="7"/>
  <c r="J54" i="7" s="1"/>
  <c r="L16" i="7"/>
  <c r="I16" i="7"/>
  <c r="L11" i="7"/>
  <c r="L12" i="7" s="1"/>
  <c r="I11" i="7"/>
  <c r="I54" i="7" s="1"/>
  <c r="L52" i="7"/>
  <c r="J16" i="7"/>
  <c r="K52" i="7"/>
  <c r="K53" i="7"/>
  <c r="I53" i="7"/>
  <c r="H101" i="7" l="1"/>
  <c r="K101" i="7"/>
  <c r="J101" i="7"/>
  <c r="I101" i="7"/>
  <c r="H100" i="7"/>
  <c r="H99" i="7"/>
  <c r="H98" i="7"/>
  <c r="L98" i="7"/>
  <c r="L100" i="7"/>
  <c r="K97" i="7"/>
  <c r="K100" i="7"/>
  <c r="K99" i="7"/>
  <c r="K98" i="7"/>
  <c r="H12" i="7"/>
  <c r="J100" i="7"/>
  <c r="J98" i="7"/>
  <c r="J97" i="7"/>
  <c r="J99" i="7"/>
  <c r="I99" i="7"/>
  <c r="I100" i="7"/>
  <c r="I98" i="7"/>
  <c r="I97" i="7"/>
  <c r="J19" i="7"/>
  <c r="K61" i="7"/>
  <c r="K12" i="7"/>
  <c r="K19" i="7"/>
  <c r="J12" i="7"/>
  <c r="I19" i="7"/>
  <c r="J13" i="7"/>
  <c r="I12" i="7"/>
  <c r="I13" i="7"/>
  <c r="H19" i="7"/>
  <c r="H13" i="7"/>
  <c r="K13" i="7"/>
  <c r="L97" i="7" l="1"/>
  <c r="K104" i="7" l="1"/>
  <c r="M104" i="7"/>
  <c r="S104" i="7"/>
  <c r="R104" i="7"/>
  <c r="P104" i="7"/>
  <c r="O104" i="7"/>
  <c r="N104" i="7"/>
  <c r="R158" i="7" l="1"/>
  <c r="R153" i="7"/>
  <c r="L158" i="7"/>
  <c r="L153" i="7"/>
  <c r="Q158" i="7"/>
  <c r="Q153" i="7"/>
  <c r="Q114" i="7"/>
  <c r="L114" i="7"/>
  <c r="S106" i="7"/>
  <c r="R106" i="7"/>
  <c r="P106" i="7"/>
  <c r="O106" i="7"/>
  <c r="N106" i="7"/>
  <c r="M106" i="7"/>
  <c r="K106" i="7"/>
  <c r="J106" i="7"/>
  <c r="S105" i="7"/>
  <c r="R105" i="7"/>
  <c r="P105" i="7"/>
  <c r="O105" i="7"/>
  <c r="N105" i="7"/>
  <c r="M105" i="7"/>
  <c r="K105" i="7"/>
  <c r="J105" i="7"/>
  <c r="Q103" i="7"/>
  <c r="L103" i="7"/>
  <c r="AW52" i="7"/>
  <c r="AX52" i="7" s="1"/>
  <c r="AY52" i="7" s="1"/>
  <c r="L55" i="7"/>
  <c r="K58" i="7"/>
  <c r="J58" i="7"/>
  <c r="K57" i="7"/>
  <c r="J57" i="7"/>
  <c r="S71" i="7"/>
  <c r="R71" i="7"/>
  <c r="P71" i="7"/>
  <c r="O71" i="7"/>
  <c r="N71" i="7"/>
  <c r="M71" i="7"/>
  <c r="S70" i="7"/>
  <c r="R70" i="7"/>
  <c r="P70" i="7"/>
  <c r="O70" i="7"/>
  <c r="N70" i="7"/>
  <c r="M70" i="7"/>
  <c r="Q68" i="7"/>
  <c r="V69" i="7" s="1"/>
  <c r="S58" i="7"/>
  <c r="R58" i="7"/>
  <c r="S57" i="7"/>
  <c r="R57" i="7"/>
  <c r="P58" i="7"/>
  <c r="O58" i="7"/>
  <c r="N58" i="7"/>
  <c r="M58" i="7"/>
  <c r="P57" i="7"/>
  <c r="O57" i="7"/>
  <c r="N57" i="7"/>
  <c r="M57" i="7"/>
  <c r="Q55" i="7"/>
  <c r="L105" i="7" l="1"/>
  <c r="U74" i="7"/>
  <c r="T74" i="7"/>
  <c r="R74" i="7"/>
  <c r="S74" i="7"/>
  <c r="L82" i="7"/>
  <c r="L84" i="7" s="1"/>
  <c r="S73" i="7"/>
  <c r="T73" i="7"/>
  <c r="R73" i="7"/>
  <c r="Q166" i="7"/>
  <c r="Q82" i="7"/>
  <c r="V57" i="7"/>
  <c r="V105" i="7"/>
  <c r="V104" i="7"/>
  <c r="Q70" i="7"/>
  <c r="V70" i="7"/>
  <c r="Q72" i="7"/>
  <c r="L57" i="7"/>
  <c r="Q104" i="7"/>
  <c r="Q57" i="7"/>
  <c r="Q105" i="7"/>
  <c r="V73" i="7" l="1"/>
  <c r="Q83" i="7"/>
  <c r="V83" i="7"/>
  <c r="Q84" i="7"/>
  <c r="Q86" i="7"/>
  <c r="V84" i="7"/>
  <c r="T88" i="7" l="1"/>
  <c r="U88" i="7"/>
  <c r="S88" i="7"/>
  <c r="R88" i="7"/>
  <c r="M88" i="7"/>
  <c r="P88" i="7"/>
  <c r="O88" i="7"/>
  <c r="N88" i="7"/>
  <c r="G15" i="14"/>
  <c r="F15" i="14"/>
  <c r="E15" i="14"/>
  <c r="D15" i="14"/>
  <c r="DU13" i="14"/>
  <c r="DT13" i="14"/>
  <c r="DS13" i="14"/>
  <c r="DR13" i="14"/>
  <c r="DQ13" i="14"/>
  <c r="DP13" i="14"/>
  <c r="DO13" i="14"/>
  <c r="DN13" i="14"/>
  <c r="DM13" i="14"/>
  <c r="DL13" i="14"/>
  <c r="DK13" i="14"/>
  <c r="DJ13" i="14"/>
  <c r="DI13" i="14"/>
  <c r="DH13" i="14"/>
  <c r="DG13" i="14"/>
  <c r="DF13" i="14"/>
  <c r="DE13" i="14"/>
  <c r="DD13" i="14"/>
  <c r="DC13" i="14"/>
  <c r="DB13" i="14"/>
  <c r="DA13" i="14"/>
  <c r="CZ13" i="14"/>
  <c r="CZ4" i="14" s="1"/>
  <c r="CX13" i="14"/>
  <c r="CW13" i="14"/>
  <c r="CV13" i="14"/>
  <c r="CU13" i="14"/>
  <c r="CT13" i="14"/>
  <c r="CS13" i="14"/>
  <c r="CR13" i="14"/>
  <c r="CQ13" i="14"/>
  <c r="CP13" i="14"/>
  <c r="CO13" i="14"/>
  <c r="CN13" i="14"/>
  <c r="CM13" i="14"/>
  <c r="CL13" i="14"/>
  <c r="CK13" i="14"/>
  <c r="CJ13" i="14"/>
  <c r="CI13" i="14"/>
  <c r="CH13" i="14"/>
  <c r="CG13" i="14"/>
  <c r="CF13" i="14"/>
  <c r="CE13" i="14"/>
  <c r="CD13" i="14"/>
  <c r="CC13" i="14"/>
  <c r="CB13" i="14"/>
  <c r="CA13" i="14"/>
  <c r="BZ13" i="14"/>
  <c r="BY13" i="14"/>
  <c r="BX13" i="14"/>
  <c r="BW13" i="14"/>
  <c r="BV13" i="14"/>
  <c r="BU13" i="14"/>
  <c r="BT13" i="14"/>
  <c r="BS13" i="14"/>
  <c r="BR13" i="14"/>
  <c r="BQ13" i="14"/>
  <c r="BP13" i="14"/>
  <c r="BO13" i="14"/>
  <c r="BN13" i="14"/>
  <c r="BM13" i="14"/>
  <c r="BL13" i="14"/>
  <c r="BK13" i="14"/>
  <c r="BJ13" i="14"/>
  <c r="BI13" i="14"/>
  <c r="BH13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DA11" i="14"/>
  <c r="DA15" i="14" s="1"/>
  <c r="D11" i="14"/>
  <c r="D5" i="14" s="1"/>
  <c r="E8" i="49" s="1"/>
  <c r="CZ5" i="14"/>
  <c r="C5" i="14"/>
  <c r="D8" i="49" s="1"/>
  <c r="DA4" i="14" l="1"/>
  <c r="DA5" i="14"/>
  <c r="U52" i="7"/>
  <c r="S52" i="7"/>
  <c r="R52" i="7"/>
  <c r="T52" i="7"/>
  <c r="M53" i="7"/>
  <c r="M52" i="7"/>
  <c r="D14" i="14"/>
  <c r="E11" i="14"/>
  <c r="DB11" i="14"/>
  <c r="DA14" i="14"/>
  <c r="N193" i="7" l="1"/>
  <c r="N198" i="7"/>
  <c r="S199" i="7" s="1"/>
  <c r="M27" i="7"/>
  <c r="M198" i="7"/>
  <c r="M193" i="7"/>
  <c r="P193" i="7"/>
  <c r="P198" i="7"/>
  <c r="U199" i="7" s="1"/>
  <c r="R198" i="7"/>
  <c r="R193" i="7"/>
  <c r="O198" i="7"/>
  <c r="T199" i="7" s="1"/>
  <c r="O193" i="7"/>
  <c r="P27" i="7"/>
  <c r="U28" i="7" s="1"/>
  <c r="R27" i="7"/>
  <c r="S27" i="7"/>
  <c r="N27" i="7"/>
  <c r="N28" i="7" s="1"/>
  <c r="O27" i="7"/>
  <c r="M16" i="7"/>
  <c r="R96" i="7"/>
  <c r="S99" i="7" s="1"/>
  <c r="P96" i="7"/>
  <c r="U98" i="7" s="1"/>
  <c r="N96" i="7"/>
  <c r="N98" i="7" s="1"/>
  <c r="O96" i="7"/>
  <c r="O98" i="7" s="1"/>
  <c r="M210" i="7"/>
  <c r="M96" i="7"/>
  <c r="S173" i="7"/>
  <c r="R173" i="7"/>
  <c r="U173" i="7"/>
  <c r="T173" i="7"/>
  <c r="R80" i="7"/>
  <c r="S80" i="7"/>
  <c r="U80" i="7"/>
  <c r="T80" i="7"/>
  <c r="N210" i="7"/>
  <c r="S210" i="7"/>
  <c r="P210" i="7"/>
  <c r="U210" i="7"/>
  <c r="T17" i="7"/>
  <c r="O210" i="7"/>
  <c r="T210" i="7"/>
  <c r="R53" i="7"/>
  <c r="W17" i="7"/>
  <c r="R210" i="7"/>
  <c r="W210" i="7"/>
  <c r="O52" i="7"/>
  <c r="N52" i="7"/>
  <c r="O53" i="7"/>
  <c r="N53" i="7"/>
  <c r="P52" i="7"/>
  <c r="P53" i="7"/>
  <c r="S53" i="7"/>
  <c r="W52" i="7"/>
  <c r="P16" i="7"/>
  <c r="U17" i="7"/>
  <c r="N16" i="7"/>
  <c r="S17" i="7"/>
  <c r="R16" i="7"/>
  <c r="S18" i="7"/>
  <c r="S16" i="7"/>
  <c r="O16" i="7"/>
  <c r="N11" i="7"/>
  <c r="N64" i="7"/>
  <c r="N17" i="7"/>
  <c r="N18" i="7"/>
  <c r="N60" i="7"/>
  <c r="M11" i="7"/>
  <c r="M64" i="7"/>
  <c r="M18" i="7"/>
  <c r="M60" i="7"/>
  <c r="M17" i="7"/>
  <c r="O60" i="7"/>
  <c r="T61" i="7" s="1"/>
  <c r="O11" i="7"/>
  <c r="O18" i="7"/>
  <c r="O17" i="7"/>
  <c r="O64" i="7"/>
  <c r="T65" i="7" s="1"/>
  <c r="R11" i="7"/>
  <c r="R60" i="7"/>
  <c r="W61" i="7" s="1"/>
  <c r="R64" i="7"/>
  <c r="W65" i="7" s="1"/>
  <c r="R18" i="7"/>
  <c r="R17" i="7"/>
  <c r="P64" i="7"/>
  <c r="P11" i="7"/>
  <c r="P18" i="7"/>
  <c r="P17" i="7"/>
  <c r="P60" i="7"/>
  <c r="U61" i="7" s="1"/>
  <c r="DB15" i="14"/>
  <c r="DC11" i="14"/>
  <c r="DB4" i="14"/>
  <c r="DB14" i="14"/>
  <c r="DB5" i="14"/>
  <c r="E14" i="14"/>
  <c r="F11" i="14"/>
  <c r="E5" i="14"/>
  <c r="F8" i="49" s="1"/>
  <c r="P100" i="7" l="1"/>
  <c r="T194" i="7"/>
  <c r="U194" i="7"/>
  <c r="S194" i="7"/>
  <c r="O100" i="7"/>
  <c r="R194" i="7"/>
  <c r="W194" i="7"/>
  <c r="R199" i="7"/>
  <c r="W199" i="7"/>
  <c r="P28" i="7"/>
  <c r="P97" i="7"/>
  <c r="P98" i="7"/>
  <c r="P99" i="7"/>
  <c r="T98" i="7"/>
  <c r="W98" i="7"/>
  <c r="S97" i="7"/>
  <c r="R99" i="7"/>
  <c r="O97" i="7"/>
  <c r="R97" i="7"/>
  <c r="S28" i="7"/>
  <c r="N100" i="7"/>
  <c r="S98" i="7"/>
  <c r="R28" i="7"/>
  <c r="V27" i="7"/>
  <c r="W28" i="7"/>
  <c r="R100" i="7"/>
  <c r="O99" i="7"/>
  <c r="O28" i="7"/>
  <c r="T28" i="7"/>
  <c r="Q27" i="7"/>
  <c r="M100" i="7"/>
  <c r="M99" i="7"/>
  <c r="M98" i="7"/>
  <c r="Q64" i="7"/>
  <c r="Q65" i="7" s="1"/>
  <c r="Q96" i="7"/>
  <c r="N97" i="7"/>
  <c r="R98" i="7"/>
  <c r="N99" i="7"/>
  <c r="S94" i="7"/>
  <c r="S93" i="7" s="1"/>
  <c r="S90" i="7" s="1"/>
  <c r="R94" i="7"/>
  <c r="R93" i="7" s="1"/>
  <c r="R90" i="7" s="1"/>
  <c r="T94" i="7"/>
  <c r="T93" i="7" s="1"/>
  <c r="T90" i="7" s="1"/>
  <c r="V80" i="7"/>
  <c r="U94" i="7"/>
  <c r="V94" i="7" s="1"/>
  <c r="R211" i="7"/>
  <c r="W12" i="7"/>
  <c r="P65" i="7"/>
  <c r="U65" i="7"/>
  <c r="O19" i="7"/>
  <c r="O157" i="7"/>
  <c r="O152" i="7"/>
  <c r="T12" i="7"/>
  <c r="T211" i="7"/>
  <c r="O211" i="7"/>
  <c r="M19" i="7"/>
  <c r="M211" i="7"/>
  <c r="P19" i="7"/>
  <c r="U211" i="7"/>
  <c r="U12" i="7"/>
  <c r="P152" i="7"/>
  <c r="P157" i="7"/>
  <c r="N211" i="7"/>
  <c r="S211" i="7"/>
  <c r="V52" i="7"/>
  <c r="R19" i="7"/>
  <c r="S13" i="7"/>
  <c r="N19" i="7"/>
  <c r="S12" i="7"/>
  <c r="Q11" i="7"/>
  <c r="Q19" i="7" s="1"/>
  <c r="Q17" i="7"/>
  <c r="Q16" i="7"/>
  <c r="Q60" i="7"/>
  <c r="Q61" i="7" s="1"/>
  <c r="R66" i="7"/>
  <c r="R65" i="7"/>
  <c r="O12" i="7"/>
  <c r="O13" i="7"/>
  <c r="O54" i="7"/>
  <c r="S60" i="7"/>
  <c r="T62" i="7" s="1"/>
  <c r="R61" i="7"/>
  <c r="R62" i="7"/>
  <c r="P66" i="7"/>
  <c r="O65" i="7"/>
  <c r="O61" i="7"/>
  <c r="O62" i="7"/>
  <c r="M65" i="7"/>
  <c r="M66" i="7"/>
  <c r="P62" i="7"/>
  <c r="P61" i="7"/>
  <c r="R12" i="7"/>
  <c r="R155" i="7"/>
  <c r="R160" i="7"/>
  <c r="R13" i="7"/>
  <c r="R54" i="7"/>
  <c r="M61" i="7"/>
  <c r="M62" i="7"/>
  <c r="M13" i="7"/>
  <c r="M12" i="7"/>
  <c r="M54" i="7"/>
  <c r="O66" i="7"/>
  <c r="N66" i="7"/>
  <c r="N65" i="7"/>
  <c r="P12" i="7"/>
  <c r="P13" i="7"/>
  <c r="P54" i="7"/>
  <c r="N62" i="7"/>
  <c r="N61" i="7"/>
  <c r="N13" i="7"/>
  <c r="N12" i="7"/>
  <c r="N54" i="7"/>
  <c r="R217" i="7"/>
  <c r="F14" i="14"/>
  <c r="F5" i="14"/>
  <c r="G8" i="49" s="1"/>
  <c r="H11" i="14"/>
  <c r="G11" i="14"/>
  <c r="DC15" i="14"/>
  <c r="DC14" i="14"/>
  <c r="DD11" i="14"/>
  <c r="DC5" i="14"/>
  <c r="DC4" i="14"/>
  <c r="S92" i="7" l="1"/>
  <c r="U218" i="7"/>
  <c r="V97" i="7"/>
  <c r="Q97" i="7"/>
  <c r="V28" i="7"/>
  <c r="N101" i="7"/>
  <c r="O101" i="7"/>
  <c r="P101" i="7"/>
  <c r="U93" i="7"/>
  <c r="U90" i="7" s="1"/>
  <c r="U92" i="7" s="1"/>
  <c r="M101" i="7"/>
  <c r="V96" i="7"/>
  <c r="Q98" i="7"/>
  <c r="Q100" i="7"/>
  <c r="T92" i="7"/>
  <c r="T91" i="7"/>
  <c r="R91" i="7"/>
  <c r="R92" i="7"/>
  <c r="W91" i="7"/>
  <c r="S91" i="7"/>
  <c r="Q160" i="7"/>
  <c r="Q155" i="7"/>
  <c r="Q54" i="7"/>
  <c r="R218" i="7"/>
  <c r="V11" i="7"/>
  <c r="V60" i="7"/>
  <c r="V61" i="7" s="1"/>
  <c r="V64" i="7"/>
  <c r="V65" i="7" s="1"/>
  <c r="S218" i="7"/>
  <c r="P153" i="7"/>
  <c r="U153" i="7"/>
  <c r="P154" i="7"/>
  <c r="R154" i="7"/>
  <c r="O154" i="7"/>
  <c r="O153" i="7"/>
  <c r="T153" i="7"/>
  <c r="Q210" i="7"/>
  <c r="Q211" i="7" s="1"/>
  <c r="P211" i="7"/>
  <c r="T158" i="7"/>
  <c r="O158" i="7"/>
  <c r="O159" i="7"/>
  <c r="P158" i="7"/>
  <c r="U158" i="7"/>
  <c r="P159" i="7"/>
  <c r="R159" i="7"/>
  <c r="T218" i="7"/>
  <c r="V210" i="7"/>
  <c r="V17" i="7"/>
  <c r="V16" i="7"/>
  <c r="O217" i="7"/>
  <c r="O218" i="7" s="1"/>
  <c r="S62" i="7"/>
  <c r="S61" i="7"/>
  <c r="S65" i="7"/>
  <c r="S66" i="7"/>
  <c r="P217" i="7"/>
  <c r="N217" i="7"/>
  <c r="N218" i="7" s="1"/>
  <c r="M217" i="7"/>
  <c r="M218" i="7" s="1"/>
  <c r="DD15" i="14"/>
  <c r="DD14" i="14"/>
  <c r="DE11" i="14"/>
  <c r="DD5" i="14"/>
  <c r="DD4" i="14"/>
  <c r="H14" i="14"/>
  <c r="I11" i="14"/>
  <c r="H5" i="14"/>
  <c r="I8" i="49" s="1"/>
  <c r="G5" i="14"/>
  <c r="H8" i="49" s="1"/>
  <c r="E4" i="14"/>
  <c r="F7" i="49" s="1"/>
  <c r="C4" i="14"/>
  <c r="D7" i="49" s="1"/>
  <c r="F4" i="14"/>
  <c r="G7" i="49" s="1"/>
  <c r="G4" i="14"/>
  <c r="H7" i="49" s="1"/>
  <c r="C3" i="14"/>
  <c r="D6" i="49" s="1"/>
  <c r="D4" i="14"/>
  <c r="E7" i="49" s="1"/>
  <c r="E9" i="49" l="1"/>
  <c r="M9" i="49"/>
  <c r="F9" i="49"/>
  <c r="G9" i="49"/>
  <c r="D9" i="49"/>
  <c r="V90" i="7"/>
  <c r="V91" i="7" s="1"/>
  <c r="U91" i="7"/>
  <c r="W92" i="7"/>
  <c r="U101" i="7"/>
  <c r="T101" i="7"/>
  <c r="S101" i="7"/>
  <c r="R101" i="7"/>
  <c r="V100" i="7"/>
  <c r="V98" i="7"/>
  <c r="V19" i="7"/>
  <c r="V54" i="7"/>
  <c r="V12" i="7"/>
  <c r="V160" i="7"/>
  <c r="V155" i="7"/>
  <c r="P218" i="7"/>
  <c r="AD11" i="7"/>
  <c r="Q217" i="7"/>
  <c r="Q218" i="7" s="1"/>
  <c r="I14" i="14"/>
  <c r="J11" i="14"/>
  <c r="I5" i="14"/>
  <c r="J8" i="49" s="1"/>
  <c r="DE15" i="14"/>
  <c r="DE14" i="14"/>
  <c r="DF11" i="14"/>
  <c r="DE4" i="14"/>
  <c r="DE5" i="14"/>
  <c r="AQ20" i="52" l="1"/>
  <c r="AL20" i="52"/>
  <c r="AL21" i="52"/>
  <c r="AE13" i="7"/>
  <c r="AI12" i="7"/>
  <c r="AD54" i="7"/>
  <c r="AD100" i="7"/>
  <c r="AD19" i="7"/>
  <c r="AD152" i="7"/>
  <c r="AI153" i="7" s="1"/>
  <c r="AD157" i="7"/>
  <c r="AI158" i="7" s="1"/>
  <c r="AV51" i="7"/>
  <c r="AD12" i="7"/>
  <c r="DF14" i="14"/>
  <c r="DF4" i="14"/>
  <c r="DF15" i="14"/>
  <c r="DG11" i="14"/>
  <c r="DF5" i="14"/>
  <c r="J14" i="14"/>
  <c r="J5" i="14"/>
  <c r="K8" i="49" s="1"/>
  <c r="K11" i="14"/>
  <c r="G33" i="49" l="1"/>
  <c r="E52" i="49"/>
  <c r="F33" i="49"/>
  <c r="D38" i="49"/>
  <c r="F38" i="49"/>
  <c r="M21" i="49"/>
  <c r="M47" i="49"/>
  <c r="M50" i="49"/>
  <c r="M104" i="49"/>
  <c r="M105" i="49" s="1"/>
  <c r="M63" i="49"/>
  <c r="M64" i="49" s="1"/>
  <c r="M96" i="49"/>
  <c r="M36" i="49"/>
  <c r="M112" i="49"/>
  <c r="M113" i="49" s="1"/>
  <c r="M33" i="49"/>
  <c r="M17" i="49"/>
  <c r="M82" i="49"/>
  <c r="M73" i="49"/>
  <c r="M88" i="49"/>
  <c r="M13" i="49"/>
  <c r="M78" i="49"/>
  <c r="M25" i="49"/>
  <c r="M59" i="49"/>
  <c r="M70" i="49"/>
  <c r="M31" i="49"/>
  <c r="M117" i="49"/>
  <c r="M108" i="49"/>
  <c r="M109" i="49" s="1"/>
  <c r="M86" i="49"/>
  <c r="M38" i="49"/>
  <c r="BA51" i="7"/>
  <c r="BF51" i="7" s="1"/>
  <c r="BK51" i="7" s="1"/>
  <c r="BK19" i="52" s="1"/>
  <c r="AV19" i="52"/>
  <c r="AE159" i="7"/>
  <c r="AF157" i="7"/>
  <c r="AE154" i="7"/>
  <c r="AF152" i="7"/>
  <c r="AD159" i="7"/>
  <c r="AD158" i="7"/>
  <c r="AD154" i="7"/>
  <c r="AD153" i="7"/>
  <c r="K14" i="14"/>
  <c r="K5" i="14"/>
  <c r="L8" i="49" s="1"/>
  <c r="M11" i="14"/>
  <c r="L11" i="14"/>
  <c r="DG15" i="14"/>
  <c r="DG14" i="14"/>
  <c r="DH11" i="14"/>
  <c r="DG5" i="14"/>
  <c r="DG4" i="14"/>
  <c r="G47" i="49" l="1"/>
  <c r="F52" i="49"/>
  <c r="M68" i="49"/>
  <c r="M45" i="49"/>
  <c r="M92" i="49"/>
  <c r="M100" i="49"/>
  <c r="BK19" i="53"/>
  <c r="E47" i="49"/>
  <c r="G38" i="49"/>
  <c r="G52" i="49"/>
  <c r="F47" i="49"/>
  <c r="D47" i="49"/>
  <c r="E33" i="49"/>
  <c r="M54" i="49"/>
  <c r="M55" i="49" s="1"/>
  <c r="E38" i="49"/>
  <c r="D52" i="49"/>
  <c r="D33" i="49"/>
  <c r="M41" i="49"/>
  <c r="M61" i="49"/>
  <c r="M52" i="49"/>
  <c r="M124" i="49"/>
  <c r="M125" i="49" s="1"/>
  <c r="M120" i="49"/>
  <c r="M121" i="49" s="1"/>
  <c r="BF19" i="52"/>
  <c r="BK20" i="52" s="1"/>
  <c r="AV20" i="52"/>
  <c r="AV19" i="53"/>
  <c r="BA19" i="52"/>
  <c r="Y217" i="7"/>
  <c r="L14" i="14"/>
  <c r="I4" i="14"/>
  <c r="J7" i="49" s="1"/>
  <c r="H3" i="14"/>
  <c r="I6" i="49" s="1"/>
  <c r="K4" i="14"/>
  <c r="L7" i="49" s="1"/>
  <c r="J4" i="14"/>
  <c r="K7" i="49" s="1"/>
  <c r="L5" i="14"/>
  <c r="M8" i="49" s="1"/>
  <c r="L4" i="14"/>
  <c r="M7" i="49" s="1"/>
  <c r="H4" i="14"/>
  <c r="I7" i="49" s="1"/>
  <c r="DH15" i="14"/>
  <c r="DH14" i="14"/>
  <c r="DI11" i="14"/>
  <c r="DH5" i="14"/>
  <c r="DH4" i="14"/>
  <c r="M14" i="14"/>
  <c r="N11" i="14"/>
  <c r="M5" i="14"/>
  <c r="C8" i="60" s="1"/>
  <c r="BK33" i="53" l="1"/>
  <c r="R9" i="49"/>
  <c r="K9" i="49"/>
  <c r="L9" i="49"/>
  <c r="J9" i="49"/>
  <c r="I9" i="49"/>
  <c r="C8" i="59"/>
  <c r="C8" i="54"/>
  <c r="C8" i="53"/>
  <c r="C8" i="52"/>
  <c r="C8" i="50"/>
  <c r="C8" i="51"/>
  <c r="N8" i="49"/>
  <c r="BA19" i="53"/>
  <c r="BA20" i="52"/>
  <c r="AV33" i="53"/>
  <c r="AV20" i="53"/>
  <c r="BF20" i="52"/>
  <c r="BF19" i="53"/>
  <c r="BK20" i="53" s="1"/>
  <c r="C9" i="7"/>
  <c r="V217" i="7"/>
  <c r="N14" i="14"/>
  <c r="N5" i="14"/>
  <c r="D8" i="60" s="1"/>
  <c r="O11" i="14"/>
  <c r="DI15" i="14"/>
  <c r="DI14" i="14"/>
  <c r="DJ11" i="14"/>
  <c r="DI4" i="14"/>
  <c r="DI5" i="14"/>
  <c r="K15" i="14"/>
  <c r="J15" i="14"/>
  <c r="I15" i="14"/>
  <c r="H15" i="14"/>
  <c r="L15" i="14"/>
  <c r="C90" i="59" l="1"/>
  <c r="D31" i="59"/>
  <c r="D8" i="59"/>
  <c r="D8" i="54"/>
  <c r="D8" i="53"/>
  <c r="D8" i="52"/>
  <c r="D8" i="51"/>
  <c r="D8" i="50"/>
  <c r="O8" i="49"/>
  <c r="BA20" i="53"/>
  <c r="BA33" i="53"/>
  <c r="BF20" i="53"/>
  <c r="BF33" i="53"/>
  <c r="BK34" i="53" s="1"/>
  <c r="D9" i="7"/>
  <c r="V209" i="7"/>
  <c r="V211" i="7" s="1"/>
  <c r="DJ4" i="14"/>
  <c r="DJ15" i="14"/>
  <c r="DK11" i="14"/>
  <c r="DJ5" i="14"/>
  <c r="DJ14" i="14"/>
  <c r="O14" i="14"/>
  <c r="O5" i="14"/>
  <c r="E8" i="60" s="1"/>
  <c r="P11" i="14"/>
  <c r="I69" i="49" l="1"/>
  <c r="L41" i="49"/>
  <c r="I104" i="49"/>
  <c r="J22" i="49"/>
  <c r="L78" i="49"/>
  <c r="J78" i="49"/>
  <c r="L45" i="49"/>
  <c r="J38" i="49"/>
  <c r="I18" i="49"/>
  <c r="I73" i="49"/>
  <c r="K118" i="49"/>
  <c r="L83" i="49"/>
  <c r="I46" i="49"/>
  <c r="I78" i="49"/>
  <c r="I118" i="49"/>
  <c r="J112" i="49"/>
  <c r="I25" i="49"/>
  <c r="I14" i="49"/>
  <c r="L50" i="49"/>
  <c r="L17" i="49"/>
  <c r="J68" i="49"/>
  <c r="I63" i="49"/>
  <c r="I61" i="49"/>
  <c r="L21" i="49"/>
  <c r="K17" i="49"/>
  <c r="L117" i="49"/>
  <c r="I87" i="49"/>
  <c r="J50" i="49"/>
  <c r="K92" i="49"/>
  <c r="J17" i="49"/>
  <c r="R108" i="49"/>
  <c r="R109" i="49" s="1"/>
  <c r="K96" i="49"/>
  <c r="L25" i="49"/>
  <c r="K86" i="49"/>
  <c r="K59" i="49"/>
  <c r="R82" i="49"/>
  <c r="K38" i="49"/>
  <c r="K73" i="49"/>
  <c r="K100" i="49"/>
  <c r="R96" i="49"/>
  <c r="L14" i="49"/>
  <c r="K78" i="49"/>
  <c r="R21" i="49"/>
  <c r="R25" i="49"/>
  <c r="R61" i="49"/>
  <c r="K45" i="49"/>
  <c r="L68" i="49"/>
  <c r="J33" i="49"/>
  <c r="J70" i="49"/>
  <c r="I32" i="49"/>
  <c r="J25" i="49"/>
  <c r="L86" i="49"/>
  <c r="I112" i="49"/>
  <c r="L73" i="49"/>
  <c r="L92" i="49"/>
  <c r="K82" i="49"/>
  <c r="I41" i="49"/>
  <c r="L96" i="49"/>
  <c r="K50" i="49"/>
  <c r="R50" i="49"/>
  <c r="R68" i="49"/>
  <c r="R73" i="49"/>
  <c r="R13" i="49"/>
  <c r="R78" i="49"/>
  <c r="R88" i="49"/>
  <c r="R52" i="49"/>
  <c r="R17" i="49"/>
  <c r="R45" i="49"/>
  <c r="R86" i="49"/>
  <c r="R104" i="49"/>
  <c r="R105" i="49" s="1"/>
  <c r="R92" i="49"/>
  <c r="I31" i="49"/>
  <c r="R31" i="49"/>
  <c r="R33" i="49"/>
  <c r="R70" i="49"/>
  <c r="J86" i="49"/>
  <c r="D90" i="59"/>
  <c r="E31" i="59"/>
  <c r="R100" i="49"/>
  <c r="R112" i="49"/>
  <c r="R113" i="49" s="1"/>
  <c r="I42" i="49"/>
  <c r="I60" i="49"/>
  <c r="E8" i="59"/>
  <c r="E8" i="54"/>
  <c r="E8" i="53"/>
  <c r="E8" i="52"/>
  <c r="E8" i="50"/>
  <c r="E8" i="51"/>
  <c r="P8" i="49"/>
  <c r="R41" i="49"/>
  <c r="J100" i="49"/>
  <c r="I51" i="49"/>
  <c r="BF34" i="53"/>
  <c r="BA34" i="53"/>
  <c r="E9" i="7"/>
  <c r="V218" i="7"/>
  <c r="R11" i="14"/>
  <c r="Q11" i="14"/>
  <c r="P14" i="14"/>
  <c r="P5" i="14"/>
  <c r="F8" i="60" s="1"/>
  <c r="DK15" i="14"/>
  <c r="DK14" i="14"/>
  <c r="DL11" i="14"/>
  <c r="DK5" i="14"/>
  <c r="DK4" i="14"/>
  <c r="I124" i="49" l="1"/>
  <c r="I38" i="49"/>
  <c r="J74" i="49"/>
  <c r="I108" i="49"/>
  <c r="J117" i="49"/>
  <c r="I59" i="49"/>
  <c r="I54" i="49"/>
  <c r="I52" i="49"/>
  <c r="I26" i="49"/>
  <c r="I50" i="49"/>
  <c r="I93" i="49"/>
  <c r="I17" i="49"/>
  <c r="I21" i="49"/>
  <c r="I92" i="49"/>
  <c r="J87" i="49"/>
  <c r="K69" i="49"/>
  <c r="L22" i="49"/>
  <c r="J97" i="49"/>
  <c r="K26" i="49"/>
  <c r="J14" i="49"/>
  <c r="I37" i="49"/>
  <c r="L112" i="49"/>
  <c r="L120" i="49" s="1"/>
  <c r="L121" i="49" s="1"/>
  <c r="K52" i="49"/>
  <c r="I13" i="49"/>
  <c r="I36" i="49"/>
  <c r="K13" i="49"/>
  <c r="R117" i="49"/>
  <c r="J21" i="49"/>
  <c r="R54" i="49"/>
  <c r="R55" i="49" s="1"/>
  <c r="R59" i="49"/>
  <c r="L61" i="49"/>
  <c r="L74" i="49"/>
  <c r="R63" i="49"/>
  <c r="R64" i="49" s="1"/>
  <c r="J63" i="49"/>
  <c r="J64" i="49" s="1"/>
  <c r="I33" i="49"/>
  <c r="J31" i="49"/>
  <c r="J101" i="49"/>
  <c r="I45" i="49"/>
  <c r="J32" i="49"/>
  <c r="I22" i="49"/>
  <c r="I47" i="49"/>
  <c r="J51" i="49"/>
  <c r="K61" i="49"/>
  <c r="J83" i="49"/>
  <c r="J104" i="49"/>
  <c r="J105" i="49" s="1"/>
  <c r="I117" i="49"/>
  <c r="L52" i="49"/>
  <c r="K42" i="49"/>
  <c r="I88" i="49"/>
  <c r="L70" i="49"/>
  <c r="K41" i="49"/>
  <c r="J118" i="49"/>
  <c r="L63" i="49"/>
  <c r="L64" i="49" s="1"/>
  <c r="L108" i="49"/>
  <c r="L109" i="49" s="1"/>
  <c r="L59" i="49"/>
  <c r="K14" i="49"/>
  <c r="J73" i="49"/>
  <c r="I100" i="49"/>
  <c r="L82" i="49"/>
  <c r="L54" i="49"/>
  <c r="L55" i="49" s="1"/>
  <c r="J92" i="49"/>
  <c r="K74" i="49"/>
  <c r="J60" i="49"/>
  <c r="I68" i="49"/>
  <c r="J69" i="49"/>
  <c r="J59" i="49"/>
  <c r="K25" i="49"/>
  <c r="L79" i="49"/>
  <c r="J46" i="49"/>
  <c r="I86" i="49"/>
  <c r="J96" i="49"/>
  <c r="J13" i="49"/>
  <c r="L88" i="49"/>
  <c r="I70" i="49"/>
  <c r="I101" i="49"/>
  <c r="L32" i="49"/>
  <c r="K37" i="49"/>
  <c r="K47" i="49"/>
  <c r="K54" i="49"/>
  <c r="K55" i="49" s="1"/>
  <c r="K31" i="49"/>
  <c r="K68" i="49"/>
  <c r="K101" i="49"/>
  <c r="L37" i="49"/>
  <c r="L31" i="49"/>
  <c r="K46" i="49"/>
  <c r="L51" i="49"/>
  <c r="J61" i="49"/>
  <c r="L46" i="49"/>
  <c r="L33" i="49"/>
  <c r="K117" i="49"/>
  <c r="K18" i="49"/>
  <c r="L93" i="49"/>
  <c r="K60" i="49"/>
  <c r="K108" i="49"/>
  <c r="K112" i="49"/>
  <c r="K120" i="49" s="1"/>
  <c r="K121" i="49" s="1"/>
  <c r="K88" i="49"/>
  <c r="J41" i="49"/>
  <c r="L97" i="49"/>
  <c r="L47" i="49"/>
  <c r="J108" i="49"/>
  <c r="J109" i="49" s="1"/>
  <c r="L104" i="49"/>
  <c r="L124" i="49" s="1"/>
  <c r="L26" i="49"/>
  <c r="K32" i="49"/>
  <c r="L18" i="49"/>
  <c r="L118" i="49"/>
  <c r="L42" i="49"/>
  <c r="K87" i="49"/>
  <c r="L100" i="49"/>
  <c r="J42" i="49"/>
  <c r="I97" i="49"/>
  <c r="J47" i="49"/>
  <c r="L87" i="49"/>
  <c r="K33" i="49"/>
  <c r="J88" i="49"/>
  <c r="J82" i="49"/>
  <c r="L36" i="49"/>
  <c r="J54" i="49"/>
  <c r="J56" i="49" s="1"/>
  <c r="K79" i="49"/>
  <c r="K63" i="49"/>
  <c r="K64" i="49" s="1"/>
  <c r="J45" i="49"/>
  <c r="L38" i="49"/>
  <c r="K83" i="49"/>
  <c r="J36" i="49"/>
  <c r="L69" i="49"/>
  <c r="J37" i="49"/>
  <c r="K36" i="49"/>
  <c r="K70" i="49"/>
  <c r="L60" i="49"/>
  <c r="I83" i="49"/>
  <c r="J93" i="49"/>
  <c r="J26" i="49"/>
  <c r="R38" i="49"/>
  <c r="I74" i="49"/>
  <c r="K51" i="49"/>
  <c r="I82" i="49"/>
  <c r="R36" i="49"/>
  <c r="L13" i="49"/>
  <c r="K21" i="49"/>
  <c r="J79" i="49"/>
  <c r="I79" i="49"/>
  <c r="K97" i="49"/>
  <c r="K93" i="49"/>
  <c r="K22" i="49"/>
  <c r="J18" i="49"/>
  <c r="K104" i="49"/>
  <c r="K124" i="49" s="1"/>
  <c r="I96" i="49"/>
  <c r="J52" i="49"/>
  <c r="L101" i="49"/>
  <c r="R47" i="49"/>
  <c r="R120" i="49"/>
  <c r="R121" i="49" s="1"/>
  <c r="I109" i="49"/>
  <c r="I110" i="49"/>
  <c r="E90" i="59"/>
  <c r="F31" i="59"/>
  <c r="I65" i="49"/>
  <c r="I64" i="49"/>
  <c r="I56" i="49"/>
  <c r="I55" i="49"/>
  <c r="J120" i="49"/>
  <c r="J113" i="49"/>
  <c r="J114" i="49"/>
  <c r="I126" i="49"/>
  <c r="I125" i="49"/>
  <c r="I120" i="49"/>
  <c r="I113" i="49"/>
  <c r="I114" i="49"/>
  <c r="F8" i="59"/>
  <c r="F8" i="54"/>
  <c r="F8" i="53"/>
  <c r="F8" i="52"/>
  <c r="F8" i="51"/>
  <c r="F8" i="50"/>
  <c r="Q8" i="49"/>
  <c r="R124" i="49"/>
  <c r="R125" i="49" s="1"/>
  <c r="I106" i="49"/>
  <c r="I105" i="49"/>
  <c r="F9" i="7"/>
  <c r="DL15" i="14"/>
  <c r="DL14" i="14"/>
  <c r="DM11" i="14"/>
  <c r="DL5" i="14"/>
  <c r="DL4" i="14"/>
  <c r="Q14" i="14"/>
  <c r="Q4" i="14"/>
  <c r="G7" i="60" s="1"/>
  <c r="M4" i="14"/>
  <c r="C7" i="60" s="1"/>
  <c r="M3" i="14"/>
  <c r="C6" i="60" s="1"/>
  <c r="P4" i="14"/>
  <c r="F7" i="60" s="1"/>
  <c r="Q5" i="14"/>
  <c r="G8" i="60" s="1"/>
  <c r="O4" i="14"/>
  <c r="E7" i="60" s="1"/>
  <c r="N4" i="14"/>
  <c r="D7" i="60" s="1"/>
  <c r="R14" i="14"/>
  <c r="R5" i="14"/>
  <c r="H8" i="60" s="1"/>
  <c r="S11" i="14"/>
  <c r="J65" i="49" l="1"/>
  <c r="L113" i="49"/>
  <c r="J106" i="49"/>
  <c r="J124" i="49"/>
  <c r="J126" i="49" s="1"/>
  <c r="L65" i="49"/>
  <c r="K114" i="49"/>
  <c r="K113" i="49"/>
  <c r="L114" i="49"/>
  <c r="L110" i="49"/>
  <c r="K109" i="49"/>
  <c r="L105" i="49"/>
  <c r="K110" i="49"/>
  <c r="J110" i="49"/>
  <c r="L56" i="49"/>
  <c r="L106" i="49"/>
  <c r="K56" i="49"/>
  <c r="K65" i="49"/>
  <c r="K105" i="49"/>
  <c r="J55" i="49"/>
  <c r="K106" i="49"/>
  <c r="C7" i="59"/>
  <c r="C7" i="54"/>
  <c r="C7" i="53"/>
  <c r="C7" i="52"/>
  <c r="C7" i="50"/>
  <c r="C7" i="51"/>
  <c r="N7" i="49"/>
  <c r="J121" i="49"/>
  <c r="J122" i="49"/>
  <c r="K125" i="49"/>
  <c r="F90" i="59"/>
  <c r="H31" i="59"/>
  <c r="G8" i="59"/>
  <c r="G8" i="54"/>
  <c r="G8" i="53"/>
  <c r="G8" i="52"/>
  <c r="G8" i="51"/>
  <c r="G8" i="50"/>
  <c r="R8" i="49"/>
  <c r="J125" i="49"/>
  <c r="K122" i="49"/>
  <c r="G7" i="59"/>
  <c r="G7" i="54"/>
  <c r="G7" i="53"/>
  <c r="G7" i="52"/>
  <c r="G7" i="50"/>
  <c r="G7" i="51"/>
  <c r="R7" i="49"/>
  <c r="I122" i="49"/>
  <c r="I121" i="49"/>
  <c r="L125" i="49"/>
  <c r="L126" i="49"/>
  <c r="F7" i="59"/>
  <c r="F7" i="54"/>
  <c r="F7" i="53"/>
  <c r="F7" i="52"/>
  <c r="F7" i="51"/>
  <c r="F7" i="50"/>
  <c r="Q7" i="49"/>
  <c r="D7" i="59"/>
  <c r="D7" i="54"/>
  <c r="D7" i="53"/>
  <c r="D7" i="52"/>
  <c r="D7" i="50"/>
  <c r="D7" i="51"/>
  <c r="O7" i="49"/>
  <c r="E7" i="59"/>
  <c r="E7" i="54"/>
  <c r="E7" i="53"/>
  <c r="E7" i="52"/>
  <c r="E7" i="51"/>
  <c r="E7" i="50"/>
  <c r="P7" i="49"/>
  <c r="H8" i="59"/>
  <c r="H8" i="54"/>
  <c r="H8" i="53"/>
  <c r="H8" i="52"/>
  <c r="H8" i="51"/>
  <c r="H8" i="50"/>
  <c r="S8" i="49"/>
  <c r="C6" i="59"/>
  <c r="C6" i="54"/>
  <c r="C6" i="53"/>
  <c r="C6" i="52"/>
  <c r="C6" i="51"/>
  <c r="C6" i="50"/>
  <c r="N6" i="49"/>
  <c r="L122" i="49"/>
  <c r="H9" i="7"/>
  <c r="G9" i="7"/>
  <c r="G8" i="7"/>
  <c r="F8" i="7"/>
  <c r="D8" i="7"/>
  <c r="C7" i="7"/>
  <c r="E8" i="7"/>
  <c r="C8" i="7"/>
  <c r="DM15" i="14"/>
  <c r="DM14" i="14"/>
  <c r="DN11" i="14"/>
  <c r="DM4" i="14"/>
  <c r="DM5" i="14"/>
  <c r="O15" i="14"/>
  <c r="N15" i="14"/>
  <c r="Q15" i="14"/>
  <c r="M15" i="14"/>
  <c r="P15" i="14"/>
  <c r="S14" i="14"/>
  <c r="T11" i="14"/>
  <c r="S5" i="14"/>
  <c r="I8" i="60" s="1"/>
  <c r="K126" i="49" l="1"/>
  <c r="H62" i="50"/>
  <c r="G89" i="59"/>
  <c r="G30" i="59"/>
  <c r="H30" i="59"/>
  <c r="F89" i="59"/>
  <c r="I8" i="59"/>
  <c r="I8" i="54"/>
  <c r="I8" i="53"/>
  <c r="I8" i="52"/>
  <c r="I8" i="51"/>
  <c r="I8" i="50"/>
  <c r="I62" i="50" s="1"/>
  <c r="T8" i="49"/>
  <c r="D89" i="59"/>
  <c r="E30" i="59"/>
  <c r="C88" i="59"/>
  <c r="C29" i="59"/>
  <c r="H90" i="59"/>
  <c r="I31" i="59"/>
  <c r="P9" i="49"/>
  <c r="Q9" i="49"/>
  <c r="O9" i="49"/>
  <c r="W9" i="49"/>
  <c r="N9" i="49"/>
  <c r="G31" i="59"/>
  <c r="G90" i="59"/>
  <c r="F30" i="59"/>
  <c r="E89" i="59"/>
  <c r="C89" i="59"/>
  <c r="D30" i="59"/>
  <c r="I9" i="7"/>
  <c r="T14" i="14"/>
  <c r="T5" i="14"/>
  <c r="J8" i="60" s="1"/>
  <c r="U11" i="14"/>
  <c r="DN4" i="14"/>
  <c r="DN15" i="14"/>
  <c r="DO11" i="14"/>
  <c r="DN14" i="14"/>
  <c r="DN5" i="14"/>
  <c r="J31" i="59" l="1"/>
  <c r="I90" i="59"/>
  <c r="J8" i="59"/>
  <c r="J8" i="54"/>
  <c r="J8" i="53"/>
  <c r="J8" i="52"/>
  <c r="J8" i="50"/>
  <c r="J62" i="50" s="1"/>
  <c r="J8" i="51"/>
  <c r="U8" i="49"/>
  <c r="J9" i="7"/>
  <c r="U14" i="14"/>
  <c r="V11" i="14"/>
  <c r="W11" i="14"/>
  <c r="U5" i="14"/>
  <c r="K8" i="60" s="1"/>
  <c r="DO15" i="14"/>
  <c r="DO14" i="14"/>
  <c r="DP11" i="14"/>
  <c r="DO5" i="14"/>
  <c r="DO4" i="14"/>
  <c r="P26" i="49" l="1"/>
  <c r="W112" i="49"/>
  <c r="W113" i="49" s="1"/>
  <c r="W25" i="49"/>
  <c r="N101" i="49"/>
  <c r="N13" i="49"/>
  <c r="W59" i="49"/>
  <c r="N42" i="49"/>
  <c r="N18" i="49"/>
  <c r="W92" i="49"/>
  <c r="N21" i="49"/>
  <c r="W50" i="49"/>
  <c r="W41" i="49"/>
  <c r="N117" i="49"/>
  <c r="N46" i="49"/>
  <c r="W78" i="49"/>
  <c r="N26" i="49"/>
  <c r="N83" i="49"/>
  <c r="N51" i="49"/>
  <c r="W117" i="49"/>
  <c r="W47" i="49"/>
  <c r="N104" i="49"/>
  <c r="O82" i="49"/>
  <c r="P60" i="49"/>
  <c r="O31" i="49"/>
  <c r="O52" i="49"/>
  <c r="Q21" i="49"/>
  <c r="P78" i="49"/>
  <c r="N78" i="49"/>
  <c r="Q82" i="49"/>
  <c r="Q112" i="49"/>
  <c r="O96" i="49"/>
  <c r="P31" i="49"/>
  <c r="O21" i="49"/>
  <c r="P41" i="49"/>
  <c r="Q13" i="49"/>
  <c r="Q108" i="49"/>
  <c r="N33" i="49"/>
  <c r="P50" i="49"/>
  <c r="O108" i="49"/>
  <c r="Q92" i="49"/>
  <c r="P21" i="49"/>
  <c r="Q68" i="49"/>
  <c r="P46" i="49"/>
  <c r="P68" i="49"/>
  <c r="Q97" i="49"/>
  <c r="O50" i="49"/>
  <c r="W17" i="49"/>
  <c r="P52" i="49"/>
  <c r="N73" i="49"/>
  <c r="N36" i="49"/>
  <c r="Q36" i="49"/>
  <c r="Q73" i="49"/>
  <c r="P17" i="49"/>
  <c r="Q47" i="49"/>
  <c r="P47" i="49"/>
  <c r="O17" i="49"/>
  <c r="W82" i="49"/>
  <c r="W13" i="49"/>
  <c r="P86" i="49"/>
  <c r="W21" i="49"/>
  <c r="W96" i="49"/>
  <c r="W68" i="49"/>
  <c r="O78" i="49"/>
  <c r="W73" i="49"/>
  <c r="Q50" i="49"/>
  <c r="K31" i="59"/>
  <c r="J90" i="59"/>
  <c r="W104" i="49"/>
  <c r="W105" i="49" s="1"/>
  <c r="Q86" i="49"/>
  <c r="Q87" i="49"/>
  <c r="Q78" i="49"/>
  <c r="Q117" i="49"/>
  <c r="Q118" i="49"/>
  <c r="O73" i="49"/>
  <c r="W31" i="49"/>
  <c r="K8" i="59"/>
  <c r="K8" i="54"/>
  <c r="K8" i="53"/>
  <c r="K8" i="52"/>
  <c r="K8" i="50"/>
  <c r="K8" i="51"/>
  <c r="V8" i="49"/>
  <c r="Q17" i="49"/>
  <c r="Q18" i="49"/>
  <c r="O42" i="49"/>
  <c r="O41" i="49"/>
  <c r="O79" i="49"/>
  <c r="W52" i="49"/>
  <c r="W36" i="49"/>
  <c r="W100" i="49"/>
  <c r="N97" i="49"/>
  <c r="N96" i="49"/>
  <c r="P117" i="49"/>
  <c r="K9" i="7"/>
  <c r="DP15" i="14"/>
  <c r="DP14" i="14"/>
  <c r="DQ11" i="14"/>
  <c r="DP5" i="14"/>
  <c r="DP4" i="14"/>
  <c r="W14" i="14"/>
  <c r="X11" i="14"/>
  <c r="W5" i="14"/>
  <c r="M8" i="60" s="1"/>
  <c r="V14" i="14"/>
  <c r="V5" i="14"/>
  <c r="L8" i="60" s="1"/>
  <c r="U4" i="14"/>
  <c r="K7" i="60" s="1"/>
  <c r="S4" i="14"/>
  <c r="I7" i="60" s="1"/>
  <c r="R4" i="14"/>
  <c r="H7" i="60" s="1"/>
  <c r="R3" i="14"/>
  <c r="H6" i="60" s="1"/>
  <c r="T4" i="14"/>
  <c r="J7" i="60" s="1"/>
  <c r="V4" i="14"/>
  <c r="L7" i="60" s="1"/>
  <c r="W38" i="49" l="1"/>
  <c r="N25" i="49"/>
  <c r="W70" i="49"/>
  <c r="O26" i="49"/>
  <c r="N61" i="49"/>
  <c r="W88" i="49"/>
  <c r="N14" i="49"/>
  <c r="W54" i="49"/>
  <c r="W55" i="49" s="1"/>
  <c r="W45" i="49"/>
  <c r="W33" i="49"/>
  <c r="N59" i="49"/>
  <c r="N60" i="49"/>
  <c r="O59" i="49"/>
  <c r="O117" i="49"/>
  <c r="N50" i="49"/>
  <c r="N17" i="49"/>
  <c r="Q79" i="49"/>
  <c r="P14" i="49"/>
  <c r="O87" i="49"/>
  <c r="P69" i="49"/>
  <c r="P96" i="49"/>
  <c r="Q70" i="49"/>
  <c r="O112" i="49"/>
  <c r="O120" i="49" s="1"/>
  <c r="O121" i="49" s="1"/>
  <c r="P36" i="49"/>
  <c r="O104" i="49"/>
  <c r="O124" i="49" s="1"/>
  <c r="O125" i="49" s="1"/>
  <c r="N87" i="49"/>
  <c r="Q100" i="49"/>
  <c r="N93" i="49"/>
  <c r="Q41" i="49"/>
  <c r="N86" i="49"/>
  <c r="Q61" i="49"/>
  <c r="N32" i="49"/>
  <c r="O14" i="49"/>
  <c r="Q38" i="49"/>
  <c r="N92" i="49"/>
  <c r="Q88" i="49"/>
  <c r="O51" i="49"/>
  <c r="N112" i="49"/>
  <c r="N120" i="49" s="1"/>
  <c r="N122" i="49" s="1"/>
  <c r="N31" i="49"/>
  <c r="O13" i="49"/>
  <c r="Q96" i="49"/>
  <c r="Q69" i="49"/>
  <c r="O61" i="49"/>
  <c r="N63" i="49"/>
  <c r="N65" i="49" s="1"/>
  <c r="Q74" i="49"/>
  <c r="Q26" i="49"/>
  <c r="O46" i="49"/>
  <c r="Q22" i="49"/>
  <c r="P51" i="49"/>
  <c r="P118" i="49"/>
  <c r="N88" i="49"/>
  <c r="O88" i="49"/>
  <c r="O25" i="49"/>
  <c r="Q45" i="49"/>
  <c r="P13" i="49"/>
  <c r="Q54" i="49"/>
  <c r="Q55" i="49" s="1"/>
  <c r="N100" i="49"/>
  <c r="Q51" i="49"/>
  <c r="Q63" i="49"/>
  <c r="Q64" i="49" s="1"/>
  <c r="N118" i="49"/>
  <c r="P100" i="49"/>
  <c r="P83" i="49"/>
  <c r="Q93" i="49"/>
  <c r="O118" i="49"/>
  <c r="O37" i="49"/>
  <c r="P74" i="49"/>
  <c r="Q60" i="49"/>
  <c r="P38" i="49"/>
  <c r="O45" i="49"/>
  <c r="P59" i="49"/>
  <c r="P45" i="49"/>
  <c r="P82" i="49"/>
  <c r="O74" i="49"/>
  <c r="P97" i="49"/>
  <c r="O63" i="49"/>
  <c r="O64" i="49" s="1"/>
  <c r="N38" i="49"/>
  <c r="N82" i="49"/>
  <c r="P42" i="49"/>
  <c r="O54" i="49"/>
  <c r="O55" i="49" s="1"/>
  <c r="Q83" i="49"/>
  <c r="O70" i="49"/>
  <c r="Q52" i="49"/>
  <c r="P73" i="49"/>
  <c r="O100" i="49"/>
  <c r="O38" i="49"/>
  <c r="Q14" i="49"/>
  <c r="O60" i="49"/>
  <c r="Q32" i="49"/>
  <c r="P70" i="49"/>
  <c r="N37" i="49"/>
  <c r="P61" i="49"/>
  <c r="N45" i="49"/>
  <c r="N74" i="49"/>
  <c r="Q59" i="49"/>
  <c r="N108" i="49"/>
  <c r="N110" i="49" s="1"/>
  <c r="Q42" i="49"/>
  <c r="P54" i="49"/>
  <c r="P108" i="49"/>
  <c r="P109" i="49" s="1"/>
  <c r="Q46" i="49"/>
  <c r="O68" i="49"/>
  <c r="Q37" i="49"/>
  <c r="O101" i="49"/>
  <c r="O36" i="49"/>
  <c r="O97" i="49"/>
  <c r="Q33" i="49"/>
  <c r="P25" i="49"/>
  <c r="P101" i="49"/>
  <c r="Q31" i="49"/>
  <c r="P37" i="49"/>
  <c r="P79" i="49"/>
  <c r="O69" i="49"/>
  <c r="P18" i="49"/>
  <c r="P112" i="49"/>
  <c r="P113" i="49" s="1"/>
  <c r="O47" i="49"/>
  <c r="O92" i="49"/>
  <c r="W61" i="49"/>
  <c r="O83" i="49"/>
  <c r="P63" i="49"/>
  <c r="P22" i="49"/>
  <c r="N41" i="49"/>
  <c r="O32" i="49"/>
  <c r="O93" i="49"/>
  <c r="N22" i="49"/>
  <c r="W63" i="49"/>
  <c r="W64" i="49" s="1"/>
  <c r="P88" i="49"/>
  <c r="O18" i="49"/>
  <c r="O33" i="49"/>
  <c r="P87" i="49"/>
  <c r="O22" i="49"/>
  <c r="P93" i="49"/>
  <c r="N68" i="49"/>
  <c r="O86" i="49"/>
  <c r="W108" i="49"/>
  <c r="W109" i="49" s="1"/>
  <c r="N70" i="49"/>
  <c r="N69" i="49"/>
  <c r="Q101" i="49"/>
  <c r="N79" i="49"/>
  <c r="Q25" i="49"/>
  <c r="P33" i="49"/>
  <c r="N52" i="49"/>
  <c r="P104" i="49"/>
  <c r="P124" i="49" s="1"/>
  <c r="N47" i="49"/>
  <c r="P32" i="49"/>
  <c r="P92" i="49"/>
  <c r="W86" i="49"/>
  <c r="N54" i="49"/>
  <c r="N55" i="49" s="1"/>
  <c r="Q104" i="49"/>
  <c r="Q105" i="49" s="1"/>
  <c r="W120" i="49"/>
  <c r="W121" i="49" s="1"/>
  <c r="H7" i="59"/>
  <c r="H7" i="54"/>
  <c r="H7" i="53"/>
  <c r="H7" i="52"/>
  <c r="H7" i="50"/>
  <c r="H7" i="51"/>
  <c r="S7" i="49"/>
  <c r="K90" i="59"/>
  <c r="M31" i="59"/>
  <c r="Q113" i="49"/>
  <c r="Q120" i="49"/>
  <c r="K7" i="59"/>
  <c r="K7" i="54"/>
  <c r="K7" i="53"/>
  <c r="K7" i="52"/>
  <c r="K7" i="51"/>
  <c r="K7" i="50"/>
  <c r="V7" i="49"/>
  <c r="O109" i="49"/>
  <c r="H6" i="59"/>
  <c r="H6" i="54"/>
  <c r="H6" i="53"/>
  <c r="H6" i="52"/>
  <c r="H6" i="51"/>
  <c r="H6" i="50"/>
  <c r="S6" i="49"/>
  <c r="L7" i="59"/>
  <c r="L7" i="54"/>
  <c r="L7" i="53"/>
  <c r="L7" i="52"/>
  <c r="L7" i="50"/>
  <c r="L7" i="51"/>
  <c r="W7" i="49"/>
  <c r="L8" i="59"/>
  <c r="L8" i="54"/>
  <c r="L8" i="53"/>
  <c r="L8" i="52"/>
  <c r="L8" i="51"/>
  <c r="L8" i="50"/>
  <c r="W8" i="49"/>
  <c r="K80" i="50"/>
  <c r="K79" i="50" s="1"/>
  <c r="K62" i="50"/>
  <c r="K61" i="50" s="1"/>
  <c r="M8" i="59"/>
  <c r="M8" i="54"/>
  <c r="M8" i="53"/>
  <c r="M8" i="52"/>
  <c r="M8" i="51"/>
  <c r="M8" i="50"/>
  <c r="X8" i="49"/>
  <c r="N106" i="49"/>
  <c r="N105" i="49"/>
  <c r="I7" i="59"/>
  <c r="I7" i="54"/>
  <c r="I7" i="53"/>
  <c r="I7" i="52"/>
  <c r="I7" i="50"/>
  <c r="I7" i="51"/>
  <c r="T7" i="49"/>
  <c r="J7" i="59"/>
  <c r="J7" i="54"/>
  <c r="J7" i="53"/>
  <c r="J7" i="52"/>
  <c r="J7" i="50"/>
  <c r="J7" i="51"/>
  <c r="U7" i="49"/>
  <c r="Q109" i="49"/>
  <c r="W124" i="49"/>
  <c r="N124" i="49"/>
  <c r="L9" i="7"/>
  <c r="M9" i="7"/>
  <c r="L8" i="7"/>
  <c r="I8" i="7"/>
  <c r="J8" i="7"/>
  <c r="K8" i="7"/>
  <c r="H7" i="7"/>
  <c r="H8" i="7"/>
  <c r="Y11" i="14"/>
  <c r="X14" i="14"/>
  <c r="X5" i="14"/>
  <c r="N8" i="60" s="1"/>
  <c r="DQ15" i="14"/>
  <c r="DQ14" i="14"/>
  <c r="DR11" i="14"/>
  <c r="DQ4" i="14"/>
  <c r="DQ5" i="14"/>
  <c r="S15" i="14"/>
  <c r="V15" i="14"/>
  <c r="R15" i="14"/>
  <c r="U15" i="14"/>
  <c r="T15" i="14"/>
  <c r="O105" i="49" l="1"/>
  <c r="O106" i="49"/>
  <c r="O113" i="49"/>
  <c r="N121" i="49"/>
  <c r="Q110" i="49"/>
  <c r="O122" i="49"/>
  <c r="O65" i="49"/>
  <c r="N114" i="49"/>
  <c r="O114" i="49"/>
  <c r="N64" i="49"/>
  <c r="N113" i="49"/>
  <c r="P65" i="49"/>
  <c r="P110" i="49"/>
  <c r="Q106" i="49"/>
  <c r="P56" i="49"/>
  <c r="P106" i="49"/>
  <c r="Q124" i="49"/>
  <c r="Q126" i="49" s="1"/>
  <c r="P105" i="49"/>
  <c r="N56" i="49"/>
  <c r="P120" i="49"/>
  <c r="Q122" i="49" s="1"/>
  <c r="N109" i="49"/>
  <c r="Q56" i="49"/>
  <c r="Q65" i="49"/>
  <c r="P64" i="49"/>
  <c r="P114" i="49"/>
  <c r="P55" i="49"/>
  <c r="O110" i="49"/>
  <c r="Q114" i="49"/>
  <c r="O56" i="49"/>
  <c r="L62" i="50"/>
  <c r="L61" i="50" s="1"/>
  <c r="L80" i="50"/>
  <c r="L79" i="50" s="1"/>
  <c r="M30" i="59"/>
  <c r="K89" i="59"/>
  <c r="P126" i="49"/>
  <c r="P125" i="49"/>
  <c r="N8" i="59"/>
  <c r="N8" i="54"/>
  <c r="N8" i="53"/>
  <c r="N8" i="52"/>
  <c r="N8" i="51"/>
  <c r="N8" i="50"/>
  <c r="Y8" i="49"/>
  <c r="Q121" i="49"/>
  <c r="K64" i="50"/>
  <c r="K63" i="50"/>
  <c r="L89" i="59"/>
  <c r="L30" i="59"/>
  <c r="O126" i="49"/>
  <c r="N125" i="49"/>
  <c r="N126" i="49"/>
  <c r="K30" i="59"/>
  <c r="J89" i="59"/>
  <c r="N31" i="59"/>
  <c r="M90" i="59"/>
  <c r="K82" i="50"/>
  <c r="K83" i="50"/>
  <c r="H29" i="59"/>
  <c r="H88" i="59"/>
  <c r="W125" i="49"/>
  <c r="I89" i="59"/>
  <c r="J30" i="59"/>
  <c r="M80" i="50"/>
  <c r="M79" i="50" s="1"/>
  <c r="M62" i="50"/>
  <c r="M61" i="50" s="1"/>
  <c r="U9" i="49"/>
  <c r="S9" i="49"/>
  <c r="T9" i="49"/>
  <c r="AB9" i="49"/>
  <c r="V9" i="49"/>
  <c r="L31" i="59"/>
  <c r="L90" i="59"/>
  <c r="H89" i="59"/>
  <c r="I30" i="59"/>
  <c r="N9" i="7"/>
  <c r="DR15" i="14"/>
  <c r="DS11" i="14"/>
  <c r="DR4" i="14"/>
  <c r="DR14" i="14"/>
  <c r="DR5" i="14"/>
  <c r="Y14" i="14"/>
  <c r="Z11" i="14"/>
  <c r="Y5" i="14"/>
  <c r="O8" i="60" s="1"/>
  <c r="Q125" i="49" l="1"/>
  <c r="P121" i="49"/>
  <c r="P122" i="49"/>
  <c r="M63" i="50"/>
  <c r="M64" i="50"/>
  <c r="N62" i="50"/>
  <c r="N61" i="50" s="1"/>
  <c r="N80" i="50"/>
  <c r="N79" i="50" s="1"/>
  <c r="M83" i="50"/>
  <c r="M82" i="50"/>
  <c r="O8" i="59"/>
  <c r="O8" i="54"/>
  <c r="O8" i="53"/>
  <c r="O8" i="52"/>
  <c r="O8" i="51"/>
  <c r="O8" i="50"/>
  <c r="Z8" i="49"/>
  <c r="L82" i="50"/>
  <c r="L83" i="50"/>
  <c r="O31" i="59"/>
  <c r="N90" i="59"/>
  <c r="L63" i="50"/>
  <c r="L64" i="50"/>
  <c r="O9" i="7"/>
  <c r="AB11" i="14"/>
  <c r="Z14" i="14"/>
  <c r="Z5" i="14"/>
  <c r="P8" i="60" s="1"/>
  <c r="AA11" i="14"/>
  <c r="DS15" i="14"/>
  <c r="DS14" i="14"/>
  <c r="DT11" i="14"/>
  <c r="DS5" i="14"/>
  <c r="DS4" i="14"/>
  <c r="V18" i="49" l="1"/>
  <c r="U52" i="49"/>
  <c r="V88" i="49"/>
  <c r="V17" i="49"/>
  <c r="V32" i="49"/>
  <c r="V78" i="49"/>
  <c r="T73" i="49"/>
  <c r="S61" i="49"/>
  <c r="T117" i="49"/>
  <c r="U54" i="49"/>
  <c r="S70" i="49"/>
  <c r="U92" i="49"/>
  <c r="T59" i="49"/>
  <c r="S21" i="49"/>
  <c r="S25" i="49"/>
  <c r="T82" i="49"/>
  <c r="U86" i="49"/>
  <c r="U51" i="49"/>
  <c r="S78" i="49"/>
  <c r="T14" i="49"/>
  <c r="T78" i="49"/>
  <c r="T100" i="49"/>
  <c r="S117" i="49"/>
  <c r="T17" i="49"/>
  <c r="T45" i="49"/>
  <c r="V82" i="49"/>
  <c r="S17" i="49"/>
  <c r="V73" i="49"/>
  <c r="V38" i="49"/>
  <c r="V59" i="49"/>
  <c r="S101" i="49"/>
  <c r="T32" i="49"/>
  <c r="U69" i="49"/>
  <c r="AB63" i="49"/>
  <c r="AB64" i="49" s="1"/>
  <c r="S46" i="49"/>
  <c r="S83" i="49"/>
  <c r="AB73" i="49"/>
  <c r="V68" i="49"/>
  <c r="S50" i="49"/>
  <c r="AB13" i="49"/>
  <c r="AB54" i="49"/>
  <c r="AB55" i="49" s="1"/>
  <c r="U96" i="49"/>
  <c r="AB45" i="49"/>
  <c r="S97" i="49"/>
  <c r="S87" i="49"/>
  <c r="V117" i="49"/>
  <c r="T36" i="49"/>
  <c r="V45" i="49"/>
  <c r="U100" i="49"/>
  <c r="V25" i="49"/>
  <c r="V50" i="49"/>
  <c r="AB112" i="49"/>
  <c r="AB113" i="49" s="1"/>
  <c r="AB78" i="49"/>
  <c r="AB17" i="49"/>
  <c r="AB82" i="49"/>
  <c r="AB21" i="49"/>
  <c r="AB50" i="49"/>
  <c r="AB88" i="49"/>
  <c r="AB25" i="49"/>
  <c r="AB59" i="49"/>
  <c r="AB104" i="49"/>
  <c r="AB105" i="49" s="1"/>
  <c r="AB96" i="49"/>
  <c r="N83" i="50"/>
  <c r="N82" i="50"/>
  <c r="AB117" i="49"/>
  <c r="N64" i="50"/>
  <c r="N63" i="50"/>
  <c r="T21" i="49"/>
  <c r="S45" i="49"/>
  <c r="P8" i="59"/>
  <c r="P8" i="54"/>
  <c r="P8" i="53"/>
  <c r="P8" i="52"/>
  <c r="P8" i="50"/>
  <c r="P8" i="51"/>
  <c r="AA8" i="49"/>
  <c r="T97" i="49"/>
  <c r="P31" i="59"/>
  <c r="O90" i="59"/>
  <c r="U31" i="49"/>
  <c r="U68" i="49"/>
  <c r="S63" i="49"/>
  <c r="S104" i="49"/>
  <c r="S93" i="49"/>
  <c r="S92" i="49"/>
  <c r="AB52" i="49"/>
  <c r="AB36" i="49"/>
  <c r="O62" i="50"/>
  <c r="O61" i="50" s="1"/>
  <c r="O80" i="50"/>
  <c r="O79" i="50" s="1"/>
  <c r="V36" i="49"/>
  <c r="S38" i="49"/>
  <c r="S37" i="49"/>
  <c r="S36" i="49"/>
  <c r="S74" i="49"/>
  <c r="S73" i="49"/>
  <c r="AB31" i="49"/>
  <c r="AB70" i="49"/>
  <c r="V13" i="49"/>
  <c r="V41" i="49"/>
  <c r="S13" i="49"/>
  <c r="S14" i="49"/>
  <c r="P9" i="7"/>
  <c r="AA14" i="14"/>
  <c r="AA5" i="14"/>
  <c r="Q8" i="60" s="1"/>
  <c r="Y4" i="14"/>
  <c r="O7" i="60" s="1"/>
  <c r="Z4" i="14"/>
  <c r="P7" i="60" s="1"/>
  <c r="W3" i="14"/>
  <c r="M6" i="60" s="1"/>
  <c r="X4" i="14"/>
  <c r="N7" i="60" s="1"/>
  <c r="AA4" i="14"/>
  <c r="Q7" i="60" s="1"/>
  <c r="W4" i="14"/>
  <c r="M7" i="60" s="1"/>
  <c r="DT15" i="14"/>
  <c r="DT14" i="14"/>
  <c r="DU11" i="14"/>
  <c r="DT5" i="14"/>
  <c r="DT4" i="14"/>
  <c r="AB14" i="14"/>
  <c r="AC11" i="14"/>
  <c r="AB5" i="14"/>
  <c r="R8" i="60" s="1"/>
  <c r="T46" i="49" l="1"/>
  <c r="T50" i="49"/>
  <c r="U22" i="49"/>
  <c r="T18" i="49"/>
  <c r="U26" i="49"/>
  <c r="T108" i="49"/>
  <c r="U118" i="49"/>
  <c r="S42" i="49"/>
  <c r="U46" i="49"/>
  <c r="S33" i="49"/>
  <c r="S41" i="49"/>
  <c r="U25" i="49"/>
  <c r="S32" i="49"/>
  <c r="U41" i="49"/>
  <c r="S31" i="49"/>
  <c r="T42" i="49"/>
  <c r="V47" i="49"/>
  <c r="U42" i="49"/>
  <c r="V61" i="49"/>
  <c r="AB108" i="49"/>
  <c r="AB109" i="49" s="1"/>
  <c r="AB41" i="49"/>
  <c r="S69" i="49"/>
  <c r="AB33" i="49"/>
  <c r="AB38" i="49"/>
  <c r="U21" i="49"/>
  <c r="S60" i="49"/>
  <c r="V69" i="49"/>
  <c r="V14" i="49"/>
  <c r="AB47" i="49"/>
  <c r="AB68" i="49"/>
  <c r="U79" i="49"/>
  <c r="T79" i="49"/>
  <c r="T25" i="49"/>
  <c r="S79" i="49"/>
  <c r="S100" i="49"/>
  <c r="V70" i="49"/>
  <c r="S96" i="49"/>
  <c r="U45" i="49"/>
  <c r="U17" i="49"/>
  <c r="V37" i="49"/>
  <c r="T112" i="49"/>
  <c r="T113" i="49" s="1"/>
  <c r="V101" i="49"/>
  <c r="V97" i="49"/>
  <c r="U101" i="49"/>
  <c r="V100" i="49"/>
  <c r="S82" i="49"/>
  <c r="U36" i="49"/>
  <c r="V54" i="49"/>
  <c r="V56" i="49" s="1"/>
  <c r="U112" i="49"/>
  <c r="V42" i="49"/>
  <c r="S118" i="49"/>
  <c r="U108" i="49"/>
  <c r="U109" i="49" s="1"/>
  <c r="T101" i="49"/>
  <c r="V63" i="49"/>
  <c r="V64" i="49" s="1"/>
  <c r="U13" i="49"/>
  <c r="V96" i="49"/>
  <c r="V83" i="49"/>
  <c r="U97" i="49"/>
  <c r="U93" i="49"/>
  <c r="S108" i="49"/>
  <c r="T110" i="49" s="1"/>
  <c r="V108" i="49"/>
  <c r="V109" i="49" s="1"/>
  <c r="S112" i="49"/>
  <c r="S113" i="49" s="1"/>
  <c r="V112" i="49"/>
  <c r="V120" i="49" s="1"/>
  <c r="V121" i="49" s="1"/>
  <c r="U32" i="49"/>
  <c r="S18" i="49"/>
  <c r="T68" i="49"/>
  <c r="V118" i="49"/>
  <c r="T22" i="49"/>
  <c r="V22" i="49"/>
  <c r="V33" i="49"/>
  <c r="U82" i="49"/>
  <c r="T41" i="49"/>
  <c r="S86" i="49"/>
  <c r="V86" i="49"/>
  <c r="T61" i="49"/>
  <c r="U117" i="49"/>
  <c r="T120" i="49"/>
  <c r="T121" i="49" s="1"/>
  <c r="S59" i="49"/>
  <c r="S88" i="49"/>
  <c r="T83" i="49"/>
  <c r="T88" i="49"/>
  <c r="S54" i="49"/>
  <c r="S55" i="49" s="1"/>
  <c r="U18" i="49"/>
  <c r="T96" i="49"/>
  <c r="V93" i="49"/>
  <c r="T33" i="49"/>
  <c r="T54" i="49"/>
  <c r="T55" i="49" s="1"/>
  <c r="V46" i="49"/>
  <c r="U63" i="49"/>
  <c r="U64" i="49" s="1"/>
  <c r="T60" i="49"/>
  <c r="T86" i="49"/>
  <c r="V74" i="49"/>
  <c r="U60" i="49"/>
  <c r="T87" i="49"/>
  <c r="U87" i="49"/>
  <c r="U83" i="49"/>
  <c r="V104" i="49"/>
  <c r="V124" i="49" s="1"/>
  <c r="V125" i="49" s="1"/>
  <c r="V92" i="49"/>
  <c r="T37" i="49"/>
  <c r="U14" i="49"/>
  <c r="V52" i="49"/>
  <c r="U74" i="49"/>
  <c r="T52" i="49"/>
  <c r="S52" i="49"/>
  <c r="V51" i="49"/>
  <c r="T93" i="49"/>
  <c r="U88" i="49"/>
  <c r="V79" i="49"/>
  <c r="T51" i="49"/>
  <c r="U78" i="49"/>
  <c r="T13" i="49"/>
  <c r="U73" i="49"/>
  <c r="AB100" i="49"/>
  <c r="S26" i="49"/>
  <c r="S47" i="49"/>
  <c r="T92" i="49"/>
  <c r="T26" i="49"/>
  <c r="U70" i="49"/>
  <c r="U37" i="49"/>
  <c r="V26" i="49"/>
  <c r="U104" i="49"/>
  <c r="U124" i="49" s="1"/>
  <c r="V126" i="49" s="1"/>
  <c r="T104" i="49"/>
  <c r="T124" i="49" s="1"/>
  <c r="T125" i="49" s="1"/>
  <c r="T74" i="49"/>
  <c r="T118" i="49"/>
  <c r="U47" i="49"/>
  <c r="S51" i="49"/>
  <c r="AB92" i="49"/>
  <c r="T38" i="49"/>
  <c r="T47" i="49"/>
  <c r="T31" i="49"/>
  <c r="V87" i="49"/>
  <c r="T63" i="49"/>
  <c r="AB61" i="49"/>
  <c r="V31" i="49"/>
  <c r="AB86" i="49"/>
  <c r="U33" i="49"/>
  <c r="V60" i="49"/>
  <c r="T70" i="49"/>
  <c r="U59" i="49"/>
  <c r="S68" i="49"/>
  <c r="U38" i="49"/>
  <c r="T69" i="49"/>
  <c r="U50" i="49"/>
  <c r="S22" i="49"/>
  <c r="U61" i="49"/>
  <c r="V21" i="49"/>
  <c r="S65" i="49"/>
  <c r="S64" i="49"/>
  <c r="AB124" i="49"/>
  <c r="AB125" i="49" s="1"/>
  <c r="M7" i="59"/>
  <c r="M7" i="54"/>
  <c r="M7" i="53"/>
  <c r="M7" i="52"/>
  <c r="M7" i="50"/>
  <c r="M7" i="51"/>
  <c r="X7" i="49"/>
  <c r="Q8" i="59"/>
  <c r="Q8" i="54"/>
  <c r="Q8" i="53"/>
  <c r="Q8" i="52"/>
  <c r="Q8" i="50"/>
  <c r="Q8" i="51"/>
  <c r="AB8" i="49"/>
  <c r="O63" i="50"/>
  <c r="O64" i="50"/>
  <c r="O82" i="50"/>
  <c r="O83" i="50"/>
  <c r="S105" i="49"/>
  <c r="S106" i="49"/>
  <c r="R31" i="59"/>
  <c r="P90" i="59"/>
  <c r="Q7" i="59"/>
  <c r="Q7" i="54"/>
  <c r="Q7" i="53"/>
  <c r="Q7" i="52"/>
  <c r="Q7" i="51"/>
  <c r="Q7" i="50"/>
  <c r="AB7" i="49"/>
  <c r="N7" i="59"/>
  <c r="N7" i="54"/>
  <c r="N7" i="53"/>
  <c r="N7" i="52"/>
  <c r="N7" i="50"/>
  <c r="N7" i="51"/>
  <c r="Y7" i="49"/>
  <c r="M6" i="59"/>
  <c r="M6" i="54"/>
  <c r="M6" i="53"/>
  <c r="M6" i="52"/>
  <c r="M6" i="50"/>
  <c r="M6" i="51"/>
  <c r="X6" i="49"/>
  <c r="O7" i="59"/>
  <c r="O7" i="54"/>
  <c r="O7" i="53"/>
  <c r="O7" i="52"/>
  <c r="O7" i="51"/>
  <c r="O7" i="50"/>
  <c r="Z7" i="49"/>
  <c r="R8" i="59"/>
  <c r="R8" i="54"/>
  <c r="R8" i="53"/>
  <c r="R8" i="52"/>
  <c r="R8" i="51"/>
  <c r="R8" i="50"/>
  <c r="AC8" i="49"/>
  <c r="P7" i="59"/>
  <c r="P7" i="54"/>
  <c r="P7" i="53"/>
  <c r="P7" i="52"/>
  <c r="P7" i="51"/>
  <c r="P7" i="50"/>
  <c r="AA7" i="49"/>
  <c r="S124" i="49"/>
  <c r="U55" i="49"/>
  <c r="T109" i="49"/>
  <c r="P62" i="50"/>
  <c r="P61" i="50" s="1"/>
  <c r="P80" i="50"/>
  <c r="P79" i="50" s="1"/>
  <c r="AB120" i="49"/>
  <c r="AB121" i="49" s="1"/>
  <c r="Q9" i="7"/>
  <c r="R9" i="7"/>
  <c r="M7" i="7"/>
  <c r="Q8" i="7"/>
  <c r="N8" i="7"/>
  <c r="M8" i="7"/>
  <c r="P8" i="7"/>
  <c r="O8" i="7"/>
  <c r="AC14" i="14"/>
  <c r="AD11" i="14"/>
  <c r="AC5" i="14"/>
  <c r="S8" i="60" s="1"/>
  <c r="DU15" i="14"/>
  <c r="DU14" i="14"/>
  <c r="DU4" i="14"/>
  <c r="DU5" i="14"/>
  <c r="AA15" i="14"/>
  <c r="W15" i="14"/>
  <c r="Z15" i="14"/>
  <c r="Y15" i="14"/>
  <c r="X15" i="14"/>
  <c r="S120" i="49" l="1"/>
  <c r="U110" i="49"/>
  <c r="T114" i="49"/>
  <c r="U114" i="49"/>
  <c r="T122" i="49"/>
  <c r="S110" i="49"/>
  <c r="S109" i="49"/>
  <c r="V55" i="49"/>
  <c r="U113" i="49"/>
  <c r="V110" i="49"/>
  <c r="U120" i="49"/>
  <c r="V122" i="49" s="1"/>
  <c r="V106" i="49"/>
  <c r="V114" i="49"/>
  <c r="V113" i="49"/>
  <c r="S114" i="49"/>
  <c r="U65" i="49"/>
  <c r="S56" i="49"/>
  <c r="V65" i="49"/>
  <c r="T56" i="49"/>
  <c r="U56" i="49"/>
  <c r="T64" i="49"/>
  <c r="V105" i="49"/>
  <c r="U105" i="49"/>
  <c r="T65" i="49"/>
  <c r="U125" i="49"/>
  <c r="U126" i="49"/>
  <c r="T126" i="49"/>
  <c r="T105" i="49"/>
  <c r="U106" i="49"/>
  <c r="T106" i="49"/>
  <c r="M89" i="59"/>
  <c r="N30" i="59"/>
  <c r="M88" i="59"/>
  <c r="M29" i="59"/>
  <c r="Q62" i="50"/>
  <c r="Q61" i="50" s="1"/>
  <c r="Q80" i="50"/>
  <c r="Q79" i="50" s="1"/>
  <c r="N89" i="59"/>
  <c r="O30" i="59"/>
  <c r="R30" i="59"/>
  <c r="P89" i="59"/>
  <c r="S126" i="49"/>
  <c r="S125" i="49"/>
  <c r="P83" i="50"/>
  <c r="P82" i="50"/>
  <c r="S31" i="59"/>
  <c r="R90" i="59"/>
  <c r="S122" i="49"/>
  <c r="S121" i="49"/>
  <c r="S8" i="59"/>
  <c r="S8" i="54"/>
  <c r="S8" i="53"/>
  <c r="S8" i="52"/>
  <c r="S8" i="51"/>
  <c r="S8" i="50"/>
  <c r="AD8" i="49"/>
  <c r="P63" i="50"/>
  <c r="P64" i="50"/>
  <c r="R80" i="50"/>
  <c r="R79" i="50" s="1"/>
  <c r="R62" i="50"/>
  <c r="R61" i="50" s="1"/>
  <c r="O89" i="59"/>
  <c r="P30" i="59"/>
  <c r="Q30" i="59"/>
  <c r="Q89" i="59"/>
  <c r="AG9" i="49"/>
  <c r="X9" i="49"/>
  <c r="Y9" i="49"/>
  <c r="Z9" i="49"/>
  <c r="AA9" i="49"/>
  <c r="Q90" i="59"/>
  <c r="Q31" i="59"/>
  <c r="S9" i="7"/>
  <c r="AD14" i="14"/>
  <c r="AE11" i="14"/>
  <c r="AD5" i="14"/>
  <c r="T8" i="60" s="1"/>
  <c r="U122" i="49" l="1"/>
  <c r="U121" i="49"/>
  <c r="R83" i="50"/>
  <c r="R82" i="50"/>
  <c r="Q83" i="50"/>
  <c r="Q82" i="50"/>
  <c r="T8" i="59"/>
  <c r="T8" i="54"/>
  <c r="T8" i="53"/>
  <c r="T8" i="52"/>
  <c r="T8" i="51"/>
  <c r="T8" i="50"/>
  <c r="AE8" i="49"/>
  <c r="Q64" i="50"/>
  <c r="Q63" i="50"/>
  <c r="T31" i="59"/>
  <c r="S90" i="59"/>
  <c r="S80" i="50"/>
  <c r="S79" i="50" s="1"/>
  <c r="S62" i="50"/>
  <c r="S61" i="50" s="1"/>
  <c r="R63" i="50"/>
  <c r="R64" i="50"/>
  <c r="T9" i="7"/>
  <c r="AE14" i="14"/>
  <c r="AF11" i="14"/>
  <c r="AG11" i="14"/>
  <c r="AG5" i="14" s="1"/>
  <c r="W8" i="60" s="1"/>
  <c r="AE5" i="14"/>
  <c r="U8" i="60" s="1"/>
  <c r="Y45" i="49" l="1"/>
  <c r="Y13" i="49"/>
  <c r="X42" i="49"/>
  <c r="AA68" i="49"/>
  <c r="Z92" i="49"/>
  <c r="Z83" i="49"/>
  <c r="Z41" i="49"/>
  <c r="AA87" i="49"/>
  <c r="AA79" i="49"/>
  <c r="Z68" i="49"/>
  <c r="Y96" i="49"/>
  <c r="Z31" i="49"/>
  <c r="Y59" i="49"/>
  <c r="Y37" i="49"/>
  <c r="Z13" i="49"/>
  <c r="Z101" i="49"/>
  <c r="Z22" i="49"/>
  <c r="X22" i="49"/>
  <c r="Y83" i="49"/>
  <c r="X87" i="49"/>
  <c r="X26" i="49"/>
  <c r="AA97" i="49"/>
  <c r="X92" i="49"/>
  <c r="Z51" i="49"/>
  <c r="Y60" i="49"/>
  <c r="Z25" i="49"/>
  <c r="X31" i="49"/>
  <c r="AA41" i="49"/>
  <c r="Y17" i="49"/>
  <c r="AG112" i="49"/>
  <c r="AG113" i="49" s="1"/>
  <c r="Y92" i="49"/>
  <c r="Z17" i="49"/>
  <c r="AA73" i="49"/>
  <c r="X97" i="49"/>
  <c r="AG21" i="49"/>
  <c r="AA17" i="49"/>
  <c r="AA82" i="49"/>
  <c r="Y118" i="49"/>
  <c r="X74" i="49"/>
  <c r="X112" i="49"/>
  <c r="Y86" i="49"/>
  <c r="AG54" i="49"/>
  <c r="AG55" i="49" s="1"/>
  <c r="AA50" i="49"/>
  <c r="X14" i="49"/>
  <c r="AA86" i="49"/>
  <c r="X36" i="49"/>
  <c r="Z59" i="49"/>
  <c r="AG17" i="49"/>
  <c r="AG45" i="49"/>
  <c r="AG82" i="49"/>
  <c r="Z36" i="49"/>
  <c r="AG50" i="49"/>
  <c r="X78" i="49"/>
  <c r="AA100" i="49"/>
  <c r="AG104" i="49"/>
  <c r="AG105" i="49" s="1"/>
  <c r="AA13" i="49"/>
  <c r="AG47" i="49"/>
  <c r="AG68" i="49"/>
  <c r="AG96" i="49"/>
  <c r="AA45" i="49"/>
  <c r="AG73" i="49"/>
  <c r="Y78" i="49"/>
  <c r="AG13" i="49"/>
  <c r="AG88" i="49"/>
  <c r="AG78" i="49"/>
  <c r="Y82" i="49"/>
  <c r="AA25" i="49"/>
  <c r="U31" i="59"/>
  <c r="T90" i="59"/>
  <c r="X101" i="49"/>
  <c r="T62" i="50"/>
  <c r="T61" i="50" s="1"/>
  <c r="T80" i="50"/>
  <c r="T79" i="50" s="1"/>
  <c r="AG86" i="49"/>
  <c r="W8" i="59"/>
  <c r="W8" i="54"/>
  <c r="W8" i="53"/>
  <c r="W8" i="52"/>
  <c r="W8" i="50"/>
  <c r="W8" i="51"/>
  <c r="AH8" i="49"/>
  <c r="X37" i="49"/>
  <c r="X13" i="49"/>
  <c r="X118" i="49"/>
  <c r="X117" i="49"/>
  <c r="AA38" i="49"/>
  <c r="AA36" i="49"/>
  <c r="AA37" i="49"/>
  <c r="AG27" i="49"/>
  <c r="AG25" i="49"/>
  <c r="AG92" i="49"/>
  <c r="X18" i="49"/>
  <c r="X17" i="49"/>
  <c r="X45" i="49"/>
  <c r="X46" i="49"/>
  <c r="S64" i="50"/>
  <c r="S63" i="50"/>
  <c r="AA78" i="49"/>
  <c r="AG33" i="49"/>
  <c r="AG70" i="49"/>
  <c r="AA92" i="49"/>
  <c r="S83" i="50"/>
  <c r="S82" i="50"/>
  <c r="AG52" i="49"/>
  <c r="AG36" i="49"/>
  <c r="AG38" i="49"/>
  <c r="AG100" i="49"/>
  <c r="U8" i="59"/>
  <c r="U8" i="54"/>
  <c r="U8" i="53"/>
  <c r="U8" i="52"/>
  <c r="U8" i="51"/>
  <c r="U8" i="50"/>
  <c r="AF8" i="49"/>
  <c r="Y79" i="49"/>
  <c r="AA21" i="49"/>
  <c r="AG41" i="49"/>
  <c r="AG117" i="49"/>
  <c r="AG108" i="49"/>
  <c r="AG109" i="49" s="1"/>
  <c r="W9" i="7"/>
  <c r="U9" i="7"/>
  <c r="AC4" i="14"/>
  <c r="S7" i="60" s="1"/>
  <c r="AF14" i="14"/>
  <c r="AE4" i="14"/>
  <c r="U7" i="60" s="1"/>
  <c r="AD4" i="14"/>
  <c r="T7" i="60" s="1"/>
  <c r="AB3" i="14"/>
  <c r="R6" i="60" s="1"/>
  <c r="AB4" i="14"/>
  <c r="R7" i="60" s="1"/>
  <c r="AF5" i="14"/>
  <c r="V8" i="60" s="1"/>
  <c r="AF4" i="14"/>
  <c r="V7" i="60" s="1"/>
  <c r="AG14" i="14"/>
  <c r="AH11" i="14"/>
  <c r="Z86" i="49" l="1"/>
  <c r="Y14" i="49"/>
  <c r="Z47" i="49"/>
  <c r="X21" i="49"/>
  <c r="Y63" i="49"/>
  <c r="Y64" i="49" s="1"/>
  <c r="Z32" i="49"/>
  <c r="AA46" i="49"/>
  <c r="Z70" i="49"/>
  <c r="Z96" i="49"/>
  <c r="Z88" i="49"/>
  <c r="Z97" i="49"/>
  <c r="Y31" i="49"/>
  <c r="AA14" i="49"/>
  <c r="X38" i="49"/>
  <c r="AA104" i="49"/>
  <c r="AA124" i="49" s="1"/>
  <c r="AA125" i="49" s="1"/>
  <c r="X32" i="49"/>
  <c r="X41" i="49"/>
  <c r="Z118" i="49"/>
  <c r="X61" i="49"/>
  <c r="AA93" i="49"/>
  <c r="Y68" i="49"/>
  <c r="Z69" i="49"/>
  <c r="Y21" i="49"/>
  <c r="Y112" i="49"/>
  <c r="Y120" i="49" s="1"/>
  <c r="X70" i="49"/>
  <c r="AA52" i="49"/>
  <c r="X52" i="49"/>
  <c r="Y100" i="49"/>
  <c r="Y22" i="49"/>
  <c r="X60" i="49"/>
  <c r="AG63" i="49"/>
  <c r="AG64" i="49" s="1"/>
  <c r="X96" i="49"/>
  <c r="Y97" i="49"/>
  <c r="Z117" i="49"/>
  <c r="Y117" i="49"/>
  <c r="Z93" i="49"/>
  <c r="Y46" i="49"/>
  <c r="Y47" i="49"/>
  <c r="AA96" i="49"/>
  <c r="Z87" i="49"/>
  <c r="Y88" i="49"/>
  <c r="AA54" i="49"/>
  <c r="AA55" i="49" s="1"/>
  <c r="Y101" i="49"/>
  <c r="X100" i="49"/>
  <c r="AA33" i="49"/>
  <c r="Z104" i="49"/>
  <c r="Z124" i="49" s="1"/>
  <c r="AA126" i="49" s="1"/>
  <c r="Z112" i="49"/>
  <c r="Z113" i="49" s="1"/>
  <c r="AG120" i="49"/>
  <c r="AG121" i="49" s="1"/>
  <c r="Y52" i="49"/>
  <c r="AA118" i="49"/>
  <c r="Z18" i="49"/>
  <c r="Y74" i="49"/>
  <c r="Y108" i="49"/>
  <c r="AA31" i="49"/>
  <c r="AA74" i="49"/>
  <c r="AA83" i="49"/>
  <c r="Y41" i="49"/>
  <c r="AA59" i="49"/>
  <c r="X63" i="49"/>
  <c r="X64" i="49" s="1"/>
  <c r="Y73" i="49"/>
  <c r="Z26" i="49"/>
  <c r="AA22" i="49"/>
  <c r="Z63" i="49"/>
  <c r="Z64" i="49" s="1"/>
  <c r="X104" i="49"/>
  <c r="X105" i="49" s="1"/>
  <c r="X59" i="49"/>
  <c r="AA18" i="49"/>
  <c r="Z50" i="49"/>
  <c r="X86" i="49"/>
  <c r="Y69" i="49"/>
  <c r="Y18" i="49"/>
  <c r="Z100" i="49"/>
  <c r="Y33" i="49"/>
  <c r="Y36" i="49"/>
  <c r="AA61" i="49"/>
  <c r="Z60" i="49"/>
  <c r="X68" i="49"/>
  <c r="Z54" i="49"/>
  <c r="Z55" i="49" s="1"/>
  <c r="Z82" i="49"/>
  <c r="X69" i="49"/>
  <c r="AA88" i="49"/>
  <c r="Y54" i="49"/>
  <c r="Y55" i="49" s="1"/>
  <c r="X25" i="49"/>
  <c r="X33" i="49"/>
  <c r="Z21" i="49"/>
  <c r="Y38" i="49"/>
  <c r="X88" i="49"/>
  <c r="Y32" i="49"/>
  <c r="Y61" i="49"/>
  <c r="Y87" i="49"/>
  <c r="AA117" i="49"/>
  <c r="AA32" i="49"/>
  <c r="Z61" i="49"/>
  <c r="X93" i="49"/>
  <c r="Y42" i="49"/>
  <c r="X50" i="49"/>
  <c r="AA51" i="49"/>
  <c r="X83" i="49"/>
  <c r="X54" i="49"/>
  <c r="X55" i="49" s="1"/>
  <c r="AA70" i="49"/>
  <c r="AG61" i="49"/>
  <c r="Z79" i="49"/>
  <c r="X108" i="49"/>
  <c r="X109" i="49" s="1"/>
  <c r="AA26" i="49"/>
  <c r="X82" i="49"/>
  <c r="AA47" i="49"/>
  <c r="X73" i="49"/>
  <c r="Z46" i="49"/>
  <c r="Y25" i="49"/>
  <c r="Z73" i="49"/>
  <c r="AA60" i="49"/>
  <c r="Y93" i="49"/>
  <c r="Z14" i="49"/>
  <c r="Y51" i="49"/>
  <c r="Z108" i="49"/>
  <c r="Z109" i="49" s="1"/>
  <c r="Y26" i="49"/>
  <c r="Z74" i="49"/>
  <c r="AG31" i="49"/>
  <c r="Z37" i="49"/>
  <c r="Z33" i="49"/>
  <c r="AA108" i="49"/>
  <c r="AA109" i="49" s="1"/>
  <c r="Z45" i="49"/>
  <c r="Y70" i="49"/>
  <c r="X47" i="49"/>
  <c r="AA63" i="49"/>
  <c r="AA64" i="49" s="1"/>
  <c r="AG59" i="49"/>
  <c r="AA101" i="49"/>
  <c r="Z42" i="49"/>
  <c r="Y104" i="49"/>
  <c r="Y124" i="49" s="1"/>
  <c r="X79" i="49"/>
  <c r="Z38" i="49"/>
  <c r="X51" i="49"/>
  <c r="AA42" i="49"/>
  <c r="AA112" i="49"/>
  <c r="AA113" i="49" s="1"/>
  <c r="Z78" i="49"/>
  <c r="AA69" i="49"/>
  <c r="Z52" i="49"/>
  <c r="Y50" i="49"/>
  <c r="AG124" i="49"/>
  <c r="AG125" i="49" s="1"/>
  <c r="R6" i="59"/>
  <c r="R6" i="54"/>
  <c r="R6" i="53"/>
  <c r="R6" i="52"/>
  <c r="R6" i="50"/>
  <c r="R6" i="51"/>
  <c r="AC6" i="49"/>
  <c r="T7" i="59"/>
  <c r="T7" i="54"/>
  <c r="T7" i="53"/>
  <c r="T7" i="52"/>
  <c r="T7" i="50"/>
  <c r="T7" i="51"/>
  <c r="AE7" i="49"/>
  <c r="W90" i="59"/>
  <c r="X31" i="59"/>
  <c r="X120" i="49"/>
  <c r="X114" i="49"/>
  <c r="X113" i="49"/>
  <c r="U7" i="59"/>
  <c r="U7" i="54"/>
  <c r="U7" i="53"/>
  <c r="U7" i="52"/>
  <c r="U7" i="51"/>
  <c r="U7" i="50"/>
  <c r="AF7" i="49"/>
  <c r="S7" i="59"/>
  <c r="S7" i="54"/>
  <c r="S7" i="53"/>
  <c r="S7" i="52"/>
  <c r="S7" i="50"/>
  <c r="S7" i="51"/>
  <c r="AD7" i="49"/>
  <c r="T82" i="50"/>
  <c r="T83" i="50"/>
  <c r="U90" i="59"/>
  <c r="W31" i="59"/>
  <c r="V7" i="59"/>
  <c r="V7" i="54"/>
  <c r="V7" i="53"/>
  <c r="V7" i="52"/>
  <c r="V7" i="51"/>
  <c r="V7" i="50"/>
  <c r="AG7" i="49"/>
  <c r="U80" i="50"/>
  <c r="U79" i="50" s="1"/>
  <c r="U62" i="50"/>
  <c r="U61" i="50" s="1"/>
  <c r="V8" i="59"/>
  <c r="V8" i="54"/>
  <c r="W39" i="54" s="1"/>
  <c r="V8" i="53"/>
  <c r="V8" i="52"/>
  <c r="V8" i="50"/>
  <c r="W62" i="50" s="1"/>
  <c r="W61" i="50" s="1"/>
  <c r="V8" i="51"/>
  <c r="AG8" i="49"/>
  <c r="R7" i="59"/>
  <c r="R7" i="54"/>
  <c r="R7" i="53"/>
  <c r="R7" i="52"/>
  <c r="R7" i="51"/>
  <c r="R7" i="50"/>
  <c r="AC7" i="49"/>
  <c r="T64" i="50"/>
  <c r="T63" i="50"/>
  <c r="V9" i="7"/>
  <c r="R8" i="7"/>
  <c r="V8" i="7"/>
  <c r="T8" i="7"/>
  <c r="R7" i="7"/>
  <c r="S8" i="7"/>
  <c r="U8" i="7"/>
  <c r="AH14" i="14"/>
  <c r="AH5" i="14"/>
  <c r="X8" i="60" s="1"/>
  <c r="AI11" i="14"/>
  <c r="AE15" i="14"/>
  <c r="AD15" i="14"/>
  <c r="AC15" i="14"/>
  <c r="AF15" i="14"/>
  <c r="AB15" i="14"/>
  <c r="AA105" i="49" l="1"/>
  <c r="Y114" i="49"/>
  <c r="Y113" i="49"/>
  <c r="Z120" i="49"/>
  <c r="Z121" i="49" s="1"/>
  <c r="Z114" i="49"/>
  <c r="X106" i="49"/>
  <c r="Z105" i="49"/>
  <c r="Z126" i="49"/>
  <c r="Z125" i="49"/>
  <c r="AA106" i="49"/>
  <c r="AA56" i="49"/>
  <c r="Y110" i="49"/>
  <c r="AA120" i="49"/>
  <c r="Y109" i="49"/>
  <c r="AA114" i="49"/>
  <c r="X124" i="49"/>
  <c r="Y126" i="49" s="1"/>
  <c r="Y105" i="49"/>
  <c r="X56" i="49"/>
  <c r="Z65" i="49"/>
  <c r="X65" i="49"/>
  <c r="Z110" i="49"/>
  <c r="Y65" i="49"/>
  <c r="X110" i="49"/>
  <c r="AA110" i="49"/>
  <c r="Y106" i="49"/>
  <c r="Y125" i="49"/>
  <c r="Z106" i="49"/>
  <c r="Z56" i="49"/>
  <c r="Y56" i="49"/>
  <c r="AA65" i="49"/>
  <c r="W80" i="50"/>
  <c r="W79" i="50" s="1"/>
  <c r="W82" i="50" s="1"/>
  <c r="X8" i="59"/>
  <c r="X8" i="54"/>
  <c r="X39" i="54" s="1"/>
  <c r="X8" i="53"/>
  <c r="X8" i="52"/>
  <c r="X8" i="50"/>
  <c r="X8" i="51"/>
  <c r="AI8" i="49"/>
  <c r="V30" i="59"/>
  <c r="V89" i="59"/>
  <c r="T30" i="59"/>
  <c r="S89" i="59"/>
  <c r="X122" i="49"/>
  <c r="X121" i="49"/>
  <c r="Y122" i="49"/>
  <c r="Y121" i="49"/>
  <c r="U89" i="59"/>
  <c r="W30" i="59"/>
  <c r="R29" i="59"/>
  <c r="R88" i="59"/>
  <c r="S30" i="59"/>
  <c r="R89" i="59"/>
  <c r="W64" i="50"/>
  <c r="W63" i="50"/>
  <c r="T89" i="59"/>
  <c r="U30" i="59"/>
  <c r="AF9" i="49"/>
  <c r="AL9" i="49"/>
  <c r="AE9" i="49"/>
  <c r="AD9" i="49"/>
  <c r="AC9" i="49"/>
  <c r="V31" i="59"/>
  <c r="V90" i="59"/>
  <c r="U63" i="50"/>
  <c r="U64" i="50"/>
  <c r="V80" i="50"/>
  <c r="V79" i="50" s="1"/>
  <c r="V62" i="50"/>
  <c r="V61" i="50" s="1"/>
  <c r="U82" i="50"/>
  <c r="U83" i="50"/>
  <c r="X9" i="7"/>
  <c r="AI14" i="14"/>
  <c r="AJ11" i="14"/>
  <c r="AI5" i="14"/>
  <c r="Y8" i="60" s="1"/>
  <c r="Z122" i="49" l="1"/>
  <c r="AA122" i="49"/>
  <c r="AA121" i="49"/>
  <c r="X125" i="49"/>
  <c r="X126" i="49"/>
  <c r="W83" i="50"/>
  <c r="X62" i="50"/>
  <c r="X61" i="50" s="1"/>
  <c r="X80" i="50"/>
  <c r="X79" i="50" s="1"/>
  <c r="Y8" i="59"/>
  <c r="Y8" i="54"/>
  <c r="Y39" i="54" s="1"/>
  <c r="Y8" i="53"/>
  <c r="Y8" i="52"/>
  <c r="Y8" i="51"/>
  <c r="Y8" i="50"/>
  <c r="AJ8" i="49"/>
  <c r="V63" i="50"/>
  <c r="V64" i="50"/>
  <c r="V82" i="50"/>
  <c r="V83" i="50"/>
  <c r="Y31" i="59"/>
  <c r="X90" i="59"/>
  <c r="Y9" i="7"/>
  <c r="AL11" i="14"/>
  <c r="AJ14" i="14"/>
  <c r="AJ5" i="14"/>
  <c r="Z8" i="60" s="1"/>
  <c r="AK11" i="14"/>
  <c r="AG4" i="14" s="1"/>
  <c r="W7" i="60" s="1"/>
  <c r="AF92" i="49" l="1"/>
  <c r="AL73" i="49"/>
  <c r="AC70" i="49"/>
  <c r="AL52" i="49"/>
  <c r="AL45" i="49"/>
  <c r="AC86" i="49"/>
  <c r="AC38" i="49"/>
  <c r="AL82" i="49"/>
  <c r="AL117" i="49"/>
  <c r="AL78" i="49"/>
  <c r="AE108" i="49"/>
  <c r="AL104" i="49"/>
  <c r="AL100" i="49"/>
  <c r="AE36" i="49"/>
  <c r="AD117" i="49"/>
  <c r="AD17" i="49"/>
  <c r="AD50" i="49"/>
  <c r="AD100" i="49"/>
  <c r="AE25" i="49"/>
  <c r="AD86" i="49"/>
  <c r="AE50" i="49"/>
  <c r="AE59" i="49"/>
  <c r="AD82" i="49"/>
  <c r="AE86" i="49"/>
  <c r="AE93" i="49"/>
  <c r="AE73" i="49"/>
  <c r="AD31" i="49"/>
  <c r="AD42" i="49"/>
  <c r="AE68" i="49"/>
  <c r="AD59" i="49"/>
  <c r="AF112" i="49"/>
  <c r="AF96" i="49"/>
  <c r="AF59" i="49"/>
  <c r="AF22" i="49"/>
  <c r="AD36" i="49"/>
  <c r="AC21" i="49"/>
  <c r="AC93" i="49"/>
  <c r="AL61" i="49"/>
  <c r="AL96" i="49"/>
  <c r="AE82" i="49"/>
  <c r="AC14" i="49"/>
  <c r="AC108" i="49"/>
  <c r="AC18" i="49"/>
  <c r="AF87" i="49"/>
  <c r="AD13" i="49"/>
  <c r="AF73" i="49"/>
  <c r="AC26" i="49"/>
  <c r="AL21" i="49"/>
  <c r="AC82" i="49"/>
  <c r="AF45" i="49"/>
  <c r="AF79" i="49"/>
  <c r="AC74" i="49"/>
  <c r="AE13" i="49"/>
  <c r="AF18" i="49"/>
  <c r="AD118" i="49"/>
  <c r="AF17" i="49"/>
  <c r="AD73" i="49"/>
  <c r="AD25" i="49"/>
  <c r="AD78" i="49"/>
  <c r="AC100" i="49"/>
  <c r="AF31" i="49"/>
  <c r="AC45" i="49"/>
  <c r="AF36" i="49"/>
  <c r="AC50" i="49"/>
  <c r="AE46" i="49"/>
  <c r="AC78" i="49"/>
  <c r="AL17" i="49"/>
  <c r="AL50" i="49"/>
  <c r="AL13" i="49"/>
  <c r="W7" i="59"/>
  <c r="W7" i="54"/>
  <c r="W7" i="53"/>
  <c r="W7" i="52"/>
  <c r="W7" i="51"/>
  <c r="W7" i="50"/>
  <c r="AH7" i="49"/>
  <c r="Z8" i="59"/>
  <c r="Z8" i="54"/>
  <c r="Z39" i="54" s="1"/>
  <c r="Z8" i="53"/>
  <c r="Z8" i="52"/>
  <c r="Z8" i="51"/>
  <c r="Z8" i="50"/>
  <c r="AK8" i="49"/>
  <c r="AF13" i="49"/>
  <c r="AF78" i="49"/>
  <c r="AF117" i="49"/>
  <c r="AL88" i="49"/>
  <c r="AL86" i="49"/>
  <c r="AE45" i="49"/>
  <c r="AD104" i="49"/>
  <c r="AL63" i="49"/>
  <c r="AL64" i="49" s="1"/>
  <c r="AL59" i="49"/>
  <c r="AE21" i="49"/>
  <c r="X83" i="50"/>
  <c r="X82" i="50"/>
  <c r="AD97" i="49"/>
  <c r="AD96" i="49"/>
  <c r="AC61" i="49"/>
  <c r="AC60" i="49"/>
  <c r="AC59" i="49"/>
  <c r="AF21" i="49"/>
  <c r="AF50" i="49"/>
  <c r="AF51" i="49"/>
  <c r="AL68" i="49"/>
  <c r="AL70" i="49"/>
  <c r="X64" i="50"/>
  <c r="X63" i="50"/>
  <c r="AC33" i="49"/>
  <c r="AC32" i="49"/>
  <c r="AC31" i="49"/>
  <c r="AC97" i="49"/>
  <c r="AC96" i="49"/>
  <c r="AF63" i="49"/>
  <c r="Z31" i="59"/>
  <c r="Y90" i="59"/>
  <c r="AE31" i="49"/>
  <c r="AD14" i="49"/>
  <c r="AC37" i="49"/>
  <c r="AC112" i="49"/>
  <c r="AC120" i="49" s="1"/>
  <c r="Y62" i="50"/>
  <c r="Y61" i="50" s="1"/>
  <c r="Y80" i="50"/>
  <c r="Y79" i="50" s="1"/>
  <c r="AL54" i="49"/>
  <c r="AL55" i="49" s="1"/>
  <c r="AL41" i="49"/>
  <c r="AC41" i="49"/>
  <c r="AC54" i="49"/>
  <c r="AC42" i="49"/>
  <c r="AC118" i="49"/>
  <c r="Z9" i="7"/>
  <c r="AK14" i="14"/>
  <c r="AK4" i="14"/>
  <c r="AA7" i="60" s="1"/>
  <c r="AK5" i="14"/>
  <c r="AA8" i="60" s="1"/>
  <c r="AJ4" i="14"/>
  <c r="Z7" i="60" s="1"/>
  <c r="AG3" i="14"/>
  <c r="W6" i="60" s="1"/>
  <c r="AH4" i="14"/>
  <c r="X7" i="60" s="1"/>
  <c r="AI4" i="14"/>
  <c r="Y7" i="60" s="1"/>
  <c r="AL14" i="14"/>
  <c r="AM11" i="14"/>
  <c r="AL5" i="14"/>
  <c r="AB8" i="60" s="1"/>
  <c r="AL108" i="49" l="1"/>
  <c r="AL109" i="49" s="1"/>
  <c r="AL38" i="49"/>
  <c r="AL36" i="49"/>
  <c r="AD101" i="49"/>
  <c r="AL47" i="49"/>
  <c r="AD63" i="49"/>
  <c r="AD64" i="49" s="1"/>
  <c r="AD112" i="49"/>
  <c r="AD113" i="49" s="1"/>
  <c r="AD54" i="49"/>
  <c r="AE33" i="49"/>
  <c r="AD61" i="49"/>
  <c r="AE112" i="49"/>
  <c r="AF114" i="49" s="1"/>
  <c r="AE70" i="49"/>
  <c r="AE101" i="49"/>
  <c r="AC36" i="49"/>
  <c r="AE117" i="49"/>
  <c r="AE100" i="49"/>
  <c r="AC88" i="49"/>
  <c r="AL31" i="49"/>
  <c r="AE42" i="49"/>
  <c r="AL33" i="49"/>
  <c r="AE97" i="49"/>
  <c r="AD33" i="49"/>
  <c r="AD32" i="49"/>
  <c r="AE96" i="49"/>
  <c r="AC69" i="49"/>
  <c r="AC104" i="49"/>
  <c r="AC105" i="49" s="1"/>
  <c r="AD68" i="49"/>
  <c r="AD37" i="49"/>
  <c r="AF32" i="49"/>
  <c r="AD22" i="49"/>
  <c r="AL27" i="49"/>
  <c r="AE60" i="49"/>
  <c r="AD93" i="49"/>
  <c r="AE51" i="49"/>
  <c r="AL112" i="49"/>
  <c r="AL113" i="49" s="1"/>
  <c r="AE22" i="49"/>
  <c r="AL25" i="49"/>
  <c r="AD21" i="49"/>
  <c r="AD18" i="49"/>
  <c r="AE104" i="49"/>
  <c r="AE124" i="49" s="1"/>
  <c r="AE125" i="49" s="1"/>
  <c r="AE88" i="49"/>
  <c r="AL92" i="49"/>
  <c r="AC13" i="49"/>
  <c r="AE32" i="49"/>
  <c r="AE87" i="49"/>
  <c r="AC17" i="49"/>
  <c r="AF101" i="49"/>
  <c r="AD74" i="49"/>
  <c r="AE92" i="49"/>
  <c r="AD92" i="49"/>
  <c r="AF14" i="49"/>
  <c r="AF83" i="49"/>
  <c r="AE78" i="49"/>
  <c r="AC73" i="49"/>
  <c r="AC25" i="49"/>
  <c r="AE14" i="49"/>
  <c r="AC63" i="49"/>
  <c r="AC65" i="49" s="1"/>
  <c r="AC87" i="49"/>
  <c r="AD87" i="49"/>
  <c r="AE41" i="49"/>
  <c r="AF42" i="49"/>
  <c r="AC117" i="49"/>
  <c r="AD45" i="49"/>
  <c r="AE52" i="49"/>
  <c r="AD41" i="49"/>
  <c r="AD69" i="49"/>
  <c r="AF70" i="49"/>
  <c r="AD47" i="49"/>
  <c r="AF27" i="49"/>
  <c r="AD46" i="49"/>
  <c r="AF97" i="49"/>
  <c r="AF38" i="49"/>
  <c r="AF33" i="49"/>
  <c r="AD108" i="49"/>
  <c r="AD109" i="49" s="1"/>
  <c r="AE63" i="49"/>
  <c r="AE64" i="49" s="1"/>
  <c r="AE18" i="49"/>
  <c r="AF47" i="49"/>
  <c r="AE69" i="49"/>
  <c r="AF93" i="49"/>
  <c r="AF60" i="49"/>
  <c r="AE26" i="49"/>
  <c r="AF82" i="49"/>
  <c r="AD26" i="49"/>
  <c r="AE17" i="49"/>
  <c r="AE79" i="49"/>
  <c r="AF74" i="49"/>
  <c r="AF52" i="49"/>
  <c r="AF69" i="49"/>
  <c r="AD79" i="49"/>
  <c r="AF26" i="49"/>
  <c r="AC79" i="49"/>
  <c r="AE38" i="49"/>
  <c r="AF68" i="49"/>
  <c r="AC101" i="49"/>
  <c r="AF104" i="49"/>
  <c r="AF124" i="49" s="1"/>
  <c r="AF25" i="49"/>
  <c r="AC68" i="49"/>
  <c r="AD52" i="49"/>
  <c r="AE61" i="49"/>
  <c r="AF88" i="49"/>
  <c r="AC92" i="49"/>
  <c r="AF46" i="49"/>
  <c r="AD60" i="49"/>
  <c r="AE83" i="49"/>
  <c r="AF54" i="49"/>
  <c r="AF55" i="49" s="1"/>
  <c r="AC47" i="49"/>
  <c r="AE54" i="49"/>
  <c r="AE56" i="49" s="1"/>
  <c r="AF37" i="49"/>
  <c r="AE74" i="49"/>
  <c r="AF61" i="49"/>
  <c r="AD38" i="49"/>
  <c r="AF120" i="49"/>
  <c r="AF121" i="49" s="1"/>
  <c r="AE37" i="49"/>
  <c r="AF86" i="49"/>
  <c r="AF41" i="49"/>
  <c r="AC46" i="49"/>
  <c r="AD124" i="49"/>
  <c r="AD70" i="49"/>
  <c r="AC22" i="49"/>
  <c r="AF108" i="49"/>
  <c r="AF110" i="49" s="1"/>
  <c r="AC52" i="49"/>
  <c r="AF118" i="49"/>
  <c r="AE47" i="49"/>
  <c r="AC51" i="49"/>
  <c r="AD51" i="49"/>
  <c r="AD83" i="49"/>
  <c r="AC83" i="49"/>
  <c r="AE118" i="49"/>
  <c r="AF100" i="49"/>
  <c r="AD88" i="49"/>
  <c r="Z7" i="59"/>
  <c r="Z7" i="54"/>
  <c r="Z7" i="53"/>
  <c r="Z7" i="52"/>
  <c r="Z7" i="50"/>
  <c r="Z7" i="51"/>
  <c r="AK7" i="49"/>
  <c r="AA8" i="59"/>
  <c r="AA8" i="54"/>
  <c r="AA39" i="54" s="1"/>
  <c r="Z40" i="54" s="1"/>
  <c r="AA8" i="53"/>
  <c r="AA8" i="52"/>
  <c r="AA8" i="51"/>
  <c r="AA8" i="50"/>
  <c r="AL8" i="49"/>
  <c r="AC56" i="49"/>
  <c r="AC55" i="49"/>
  <c r="Y83" i="50"/>
  <c r="Y82" i="50"/>
  <c r="AD114" i="49"/>
  <c r="Z80" i="50"/>
  <c r="Z79" i="50" s="1"/>
  <c r="Z62" i="50"/>
  <c r="Z61" i="50" s="1"/>
  <c r="AA7" i="59"/>
  <c r="AA7" i="54"/>
  <c r="AA7" i="53"/>
  <c r="AA7" i="52"/>
  <c r="AA7" i="51"/>
  <c r="AA7" i="50"/>
  <c r="AL7" i="49"/>
  <c r="AC110" i="49"/>
  <c r="AC109" i="49"/>
  <c r="Y63" i="50"/>
  <c r="Y64" i="50"/>
  <c r="AC114" i="49"/>
  <c r="AC113" i="49"/>
  <c r="AD105" i="49"/>
  <c r="AD106" i="49"/>
  <c r="Y7" i="59"/>
  <c r="Y7" i="54"/>
  <c r="Y7" i="53"/>
  <c r="Y7" i="52"/>
  <c r="Y7" i="50"/>
  <c r="Y7" i="51"/>
  <c r="AJ7" i="49"/>
  <c r="AF113" i="49"/>
  <c r="X7" i="59"/>
  <c r="X7" i="54"/>
  <c r="X7" i="53"/>
  <c r="X7" i="52"/>
  <c r="X7" i="51"/>
  <c r="X7" i="50"/>
  <c r="AI7" i="49"/>
  <c r="AD55" i="49"/>
  <c r="AD56" i="49"/>
  <c r="AF64" i="49"/>
  <c r="AC106" i="49"/>
  <c r="AE109" i="49"/>
  <c r="W6" i="59"/>
  <c r="W6" i="54"/>
  <c r="W6" i="53"/>
  <c r="W6" i="52"/>
  <c r="W6" i="50"/>
  <c r="W6" i="51"/>
  <c r="AH6" i="49"/>
  <c r="AC121" i="49"/>
  <c r="AC122" i="49"/>
  <c r="AB8" i="59"/>
  <c r="AB8" i="54"/>
  <c r="AB8" i="53"/>
  <c r="AB8" i="52"/>
  <c r="AB8" i="50"/>
  <c r="AB8" i="51"/>
  <c r="AM8" i="49"/>
  <c r="AL124" i="49"/>
  <c r="AL125" i="49" s="1"/>
  <c r="AL105" i="49"/>
  <c r="Z90" i="59"/>
  <c r="AB31" i="59"/>
  <c r="X30" i="59"/>
  <c r="W89" i="59"/>
  <c r="AA9" i="7"/>
  <c r="AB9" i="7"/>
  <c r="Y8" i="7"/>
  <c r="AA8" i="7"/>
  <c r="Z8" i="7"/>
  <c r="X8" i="7"/>
  <c r="W8" i="7"/>
  <c r="W7" i="7"/>
  <c r="AM14" i="14"/>
  <c r="AN11" i="14"/>
  <c r="AM5" i="14"/>
  <c r="AC8" i="60" s="1"/>
  <c r="AI15" i="14"/>
  <c r="AH15" i="14"/>
  <c r="AK15" i="14"/>
  <c r="AG15" i="14"/>
  <c r="AJ15" i="14"/>
  <c r="AE120" i="49" l="1"/>
  <c r="AE113" i="49"/>
  <c r="AD120" i="49"/>
  <c r="AD122" i="49" s="1"/>
  <c r="AE114" i="49"/>
  <c r="AB39" i="54"/>
  <c r="AC124" i="49"/>
  <c r="AD126" i="49" s="1"/>
  <c r="AL120" i="49"/>
  <c r="AL121" i="49" s="1"/>
  <c r="AF65" i="49"/>
  <c r="AE105" i="49"/>
  <c r="AE65" i="49"/>
  <c r="AE106" i="49"/>
  <c r="AE126" i="49"/>
  <c r="W40" i="54"/>
  <c r="X40" i="54"/>
  <c r="Y40" i="54"/>
  <c r="AD65" i="49"/>
  <c r="AC64" i="49"/>
  <c r="AE110" i="49"/>
  <c r="AD110" i="49"/>
  <c r="AF106" i="49"/>
  <c r="AF122" i="49"/>
  <c r="AF109" i="49"/>
  <c r="AE55" i="49"/>
  <c r="AD121" i="49"/>
  <c r="AF56" i="49"/>
  <c r="AF105" i="49"/>
  <c r="AD125" i="49"/>
  <c r="Y89" i="59"/>
  <c r="Z30" i="59"/>
  <c r="Z82" i="50"/>
  <c r="Z83" i="50"/>
  <c r="W88" i="59"/>
  <c r="W29" i="59"/>
  <c r="AF126" i="49"/>
  <c r="AF125" i="49"/>
  <c r="AE121" i="49"/>
  <c r="AI9" i="49"/>
  <c r="AJ9" i="49"/>
  <c r="AQ9" i="49"/>
  <c r="AH9" i="49"/>
  <c r="AK9" i="49"/>
  <c r="AA90" i="59"/>
  <c r="AA31" i="59"/>
  <c r="AC8" i="59"/>
  <c r="AC8" i="54"/>
  <c r="AC39" i="54" s="1"/>
  <c r="AC8" i="53"/>
  <c r="AC8" i="52"/>
  <c r="AC8" i="50"/>
  <c r="AC8" i="51"/>
  <c r="AN8" i="49"/>
  <c r="AB90" i="59"/>
  <c r="AC31" i="59"/>
  <c r="AA62" i="50"/>
  <c r="AA61" i="50" s="1"/>
  <c r="AA80" i="50"/>
  <c r="AA79" i="50" s="1"/>
  <c r="Z89" i="59"/>
  <c r="AB30" i="59"/>
  <c r="AA89" i="59"/>
  <c r="AA30" i="59"/>
  <c r="AB62" i="50"/>
  <c r="AB61" i="50" s="1"/>
  <c r="AB80" i="50"/>
  <c r="AB79" i="50" s="1"/>
  <c r="X89" i="59"/>
  <c r="Y30" i="59"/>
  <c r="Z64" i="50"/>
  <c r="Z63" i="50"/>
  <c r="AC9" i="7"/>
  <c r="AO11" i="14"/>
  <c r="AN14" i="14"/>
  <c r="AN5" i="14"/>
  <c r="AD8" i="60" s="1"/>
  <c r="AC126" i="49" l="1"/>
  <c r="AC125" i="49"/>
  <c r="AE122" i="49"/>
  <c r="AD8" i="59"/>
  <c r="AD8" i="54"/>
  <c r="AD39" i="54" s="1"/>
  <c r="AD8" i="53"/>
  <c r="AD8" i="52"/>
  <c r="AD8" i="51"/>
  <c r="AD8" i="50"/>
  <c r="AO8" i="49"/>
  <c r="AB63" i="50"/>
  <c r="AB64" i="50"/>
  <c r="AA83" i="50"/>
  <c r="AA82" i="50"/>
  <c r="AC80" i="50"/>
  <c r="AC79" i="50" s="1"/>
  <c r="AC62" i="50"/>
  <c r="AC61" i="50" s="1"/>
  <c r="AA64" i="50"/>
  <c r="AA63" i="50"/>
  <c r="AB82" i="50"/>
  <c r="AB83" i="50"/>
  <c r="AC90" i="59"/>
  <c r="AD31" i="59"/>
  <c r="AD9" i="7"/>
  <c r="AO14" i="14"/>
  <c r="AP11" i="14"/>
  <c r="AQ11" i="14"/>
  <c r="AO5" i="14"/>
  <c r="AE8" i="60" s="1"/>
  <c r="AI52" i="49" l="1"/>
  <c r="AI70" i="49"/>
  <c r="AI96" i="49"/>
  <c r="AJ78" i="49"/>
  <c r="AJ26" i="49"/>
  <c r="AJ117" i="49"/>
  <c r="AJ45" i="49"/>
  <c r="AH14" i="49"/>
  <c r="AH63" i="49"/>
  <c r="AH61" i="49"/>
  <c r="AH21" i="49"/>
  <c r="AI18" i="49"/>
  <c r="AI83" i="49"/>
  <c r="AH96" i="49"/>
  <c r="AH52" i="49"/>
  <c r="AI112" i="49"/>
  <c r="AH86" i="49"/>
  <c r="AK47" i="49"/>
  <c r="AJ83" i="49"/>
  <c r="AI100" i="49"/>
  <c r="AK21" i="49"/>
  <c r="AJ112" i="49"/>
  <c r="AI59" i="49"/>
  <c r="AK63" i="49"/>
  <c r="AK64" i="49" s="1"/>
  <c r="AJ25" i="49"/>
  <c r="AH73" i="49"/>
  <c r="AK25" i="49"/>
  <c r="AK68" i="49"/>
  <c r="AK74" i="49"/>
  <c r="AJ93" i="49"/>
  <c r="AQ13" i="49"/>
  <c r="AQ108" i="49"/>
  <c r="AQ109" i="49" s="1"/>
  <c r="AJ68" i="49"/>
  <c r="AJ96" i="49"/>
  <c r="AH26" i="49"/>
  <c r="AK86" i="49"/>
  <c r="AQ17" i="49"/>
  <c r="AI78" i="49"/>
  <c r="AK37" i="49"/>
  <c r="AQ70" i="49"/>
  <c r="AK41" i="49"/>
  <c r="AQ21" i="49"/>
  <c r="AJ13" i="49"/>
  <c r="AI27" i="49"/>
  <c r="AH47" i="49"/>
  <c r="AI33" i="49"/>
  <c r="AQ27" i="49"/>
  <c r="AQ61" i="49"/>
  <c r="AQ104" i="49"/>
  <c r="AJ22" i="49"/>
  <c r="AJ17" i="49"/>
  <c r="AH93" i="49"/>
  <c r="AH45" i="49"/>
  <c r="AH31" i="49"/>
  <c r="AJ14" i="49"/>
  <c r="AH41" i="49"/>
  <c r="AH78" i="49"/>
  <c r="AQ82" i="49"/>
  <c r="AQ50" i="49"/>
  <c r="AQ86" i="49"/>
  <c r="AQ59" i="49"/>
  <c r="AQ96" i="49"/>
  <c r="AQ45" i="49"/>
  <c r="AQ73" i="49"/>
  <c r="AQ78" i="49"/>
  <c r="AK13" i="49"/>
  <c r="AK78" i="49"/>
  <c r="AI73" i="49"/>
  <c r="AJ50" i="49"/>
  <c r="AJ86" i="49"/>
  <c r="AQ92" i="49"/>
  <c r="AK100" i="49"/>
  <c r="AJ59" i="49"/>
  <c r="AQ31" i="49"/>
  <c r="AQ33" i="49"/>
  <c r="AH59" i="49"/>
  <c r="AH60" i="49"/>
  <c r="AK87" i="49"/>
  <c r="AI17" i="49"/>
  <c r="AI45" i="49"/>
  <c r="AI82" i="49"/>
  <c r="AJ118" i="49"/>
  <c r="AH13" i="49"/>
  <c r="AD62" i="50"/>
  <c r="AD61" i="50" s="1"/>
  <c r="AD80" i="50"/>
  <c r="AD79" i="50" s="1"/>
  <c r="AE8" i="59"/>
  <c r="AE8" i="54"/>
  <c r="AE39" i="54" s="1"/>
  <c r="AE8" i="53"/>
  <c r="AE8" i="52"/>
  <c r="AE8" i="51"/>
  <c r="AE8" i="50"/>
  <c r="AP8" i="49"/>
  <c r="AQ36" i="49"/>
  <c r="AQ38" i="49"/>
  <c r="AQ52" i="49"/>
  <c r="AQ112" i="49"/>
  <c r="AQ100" i="49"/>
  <c r="AH68" i="49"/>
  <c r="AK26" i="49"/>
  <c r="AK92" i="49"/>
  <c r="AK93" i="49"/>
  <c r="AC64" i="50"/>
  <c r="AC63" i="50"/>
  <c r="AI21" i="49"/>
  <c r="AQ54" i="49"/>
  <c r="AQ55" i="49" s="1"/>
  <c r="AQ41" i="49"/>
  <c r="AQ117" i="49"/>
  <c r="AH74" i="49"/>
  <c r="AK96" i="49"/>
  <c r="AC82" i="50"/>
  <c r="AC83" i="50"/>
  <c r="AI25" i="49"/>
  <c r="AI60" i="49"/>
  <c r="AE31" i="59"/>
  <c r="AD90" i="59"/>
  <c r="AE9" i="7"/>
  <c r="AP14" i="14"/>
  <c r="AO4" i="14"/>
  <c r="AE7" i="60" s="1"/>
  <c r="AP5" i="14"/>
  <c r="AF8" i="60" s="1"/>
  <c r="AP4" i="14"/>
  <c r="AF7" i="60" s="1"/>
  <c r="AL4" i="14"/>
  <c r="AN4" i="14"/>
  <c r="AD7" i="60" s="1"/>
  <c r="AM4" i="14"/>
  <c r="AC7" i="60" s="1"/>
  <c r="AL3" i="14"/>
  <c r="AB6" i="60" s="1"/>
  <c r="AQ14" i="14"/>
  <c r="AR11" i="14"/>
  <c r="AQ5" i="14"/>
  <c r="AG8" i="60" s="1"/>
  <c r="AK118" i="49" l="1"/>
  <c r="AI87" i="49"/>
  <c r="AH70" i="49"/>
  <c r="AH50" i="49"/>
  <c r="AH97" i="49"/>
  <c r="AH101" i="49"/>
  <c r="AH51" i="49"/>
  <c r="AH18" i="49"/>
  <c r="AH112" i="49"/>
  <c r="AI114" i="49" s="1"/>
  <c r="AI51" i="49"/>
  <c r="AH69" i="49"/>
  <c r="AJ82" i="49"/>
  <c r="AK83" i="49"/>
  <c r="AH25" i="49"/>
  <c r="AQ25" i="49"/>
  <c r="AK117" i="49"/>
  <c r="AK14" i="49"/>
  <c r="AK22" i="49"/>
  <c r="AQ68" i="49"/>
  <c r="AJ27" i="49"/>
  <c r="AI54" i="49"/>
  <c r="AI55" i="49" s="1"/>
  <c r="AI38" i="49"/>
  <c r="AJ63" i="49"/>
  <c r="AK65" i="49" s="1"/>
  <c r="AK18" i="49"/>
  <c r="AK73" i="49"/>
  <c r="AI31" i="49"/>
  <c r="AI108" i="49"/>
  <c r="AI109" i="49" s="1"/>
  <c r="AK52" i="49"/>
  <c r="AI41" i="49"/>
  <c r="AI36" i="49"/>
  <c r="AK17" i="49"/>
  <c r="AK69" i="49"/>
  <c r="AK36" i="49"/>
  <c r="AI74" i="49"/>
  <c r="AJ47" i="49"/>
  <c r="AJ46" i="49"/>
  <c r="AK60" i="49"/>
  <c r="AK45" i="49"/>
  <c r="AJ97" i="49"/>
  <c r="AK31" i="49"/>
  <c r="AJ74" i="49"/>
  <c r="AK33" i="49"/>
  <c r="AJ73" i="49"/>
  <c r="AK104" i="49"/>
  <c r="AK105" i="49" s="1"/>
  <c r="AK82" i="49"/>
  <c r="AK59" i="49"/>
  <c r="AI117" i="49"/>
  <c r="AK46" i="49"/>
  <c r="AH17" i="49"/>
  <c r="AH100" i="49"/>
  <c r="AJ92" i="49"/>
  <c r="AJ18" i="49"/>
  <c r="AI86" i="49"/>
  <c r="AJ38" i="49"/>
  <c r="AJ33" i="49"/>
  <c r="AJ88" i="49"/>
  <c r="AJ41" i="49"/>
  <c r="AJ104" i="49"/>
  <c r="AJ124" i="49" s="1"/>
  <c r="AJ125" i="49" s="1"/>
  <c r="AI97" i="49"/>
  <c r="AK42" i="49"/>
  <c r="AH36" i="49"/>
  <c r="AI88" i="49"/>
  <c r="AJ61" i="49"/>
  <c r="AI104" i="49"/>
  <c r="AI26" i="49"/>
  <c r="AH38" i="49"/>
  <c r="AJ37" i="49"/>
  <c r="AI46" i="49"/>
  <c r="AJ60" i="49"/>
  <c r="AJ54" i="49"/>
  <c r="AJ55" i="49" s="1"/>
  <c r="AI42" i="49"/>
  <c r="AH88" i="49"/>
  <c r="AH54" i="49"/>
  <c r="AH37" i="49"/>
  <c r="AJ100" i="49"/>
  <c r="AJ36" i="49"/>
  <c r="AI50" i="49"/>
  <c r="AH33" i="49"/>
  <c r="AJ70" i="49"/>
  <c r="AH104" i="49"/>
  <c r="AH124" i="49" s="1"/>
  <c r="AH125" i="49" s="1"/>
  <c r="AK112" i="49"/>
  <c r="AK114" i="49" s="1"/>
  <c r="AH87" i="49"/>
  <c r="AJ51" i="49"/>
  <c r="AH42" i="49"/>
  <c r="AH46" i="49"/>
  <c r="AH83" i="49"/>
  <c r="AH108" i="49"/>
  <c r="AI110" i="49" s="1"/>
  <c r="AK97" i="49"/>
  <c r="AI37" i="49"/>
  <c r="AI61" i="49"/>
  <c r="AJ101" i="49"/>
  <c r="AJ52" i="49"/>
  <c r="AH32" i="49"/>
  <c r="AJ31" i="49"/>
  <c r="AJ108" i="49"/>
  <c r="AJ109" i="49" s="1"/>
  <c r="AH92" i="49"/>
  <c r="AH27" i="49"/>
  <c r="AK101" i="49"/>
  <c r="AI32" i="49"/>
  <c r="AH79" i="49"/>
  <c r="AI92" i="49"/>
  <c r="AJ42" i="49"/>
  <c r="AB7" i="60"/>
  <c r="AI93" i="49"/>
  <c r="AK32" i="49"/>
  <c r="AQ88" i="49"/>
  <c r="AH118" i="49"/>
  <c r="AJ32" i="49"/>
  <c r="AK88" i="49"/>
  <c r="AH117" i="49"/>
  <c r="AI118" i="49"/>
  <c r="AK54" i="49"/>
  <c r="AK55" i="49" s="1"/>
  <c r="AJ87" i="49"/>
  <c r="AJ69" i="49"/>
  <c r="AK70" i="49"/>
  <c r="AK61" i="49"/>
  <c r="AK51" i="49"/>
  <c r="AQ47" i="49"/>
  <c r="AI13" i="49"/>
  <c r="AJ21" i="49"/>
  <c r="AK38" i="49"/>
  <c r="AI68" i="49"/>
  <c r="AI47" i="49"/>
  <c r="AK27" i="49"/>
  <c r="AK50" i="49"/>
  <c r="AI14" i="49"/>
  <c r="AH22" i="49"/>
  <c r="AI69" i="49"/>
  <c r="AI63" i="49"/>
  <c r="AI64" i="49" s="1"/>
  <c r="AI22" i="49"/>
  <c r="AI79" i="49"/>
  <c r="AK108" i="49"/>
  <c r="AK109" i="49" s="1"/>
  <c r="AJ79" i="49"/>
  <c r="AQ63" i="49"/>
  <c r="AQ64" i="49" s="1"/>
  <c r="AI101" i="49"/>
  <c r="AK79" i="49"/>
  <c r="AH82" i="49"/>
  <c r="AF7" i="59"/>
  <c r="AF7" i="54"/>
  <c r="AF7" i="53"/>
  <c r="AF7" i="52"/>
  <c r="AF7" i="50"/>
  <c r="AF7" i="51"/>
  <c r="AQ7" i="49"/>
  <c r="AF8" i="59"/>
  <c r="AF8" i="54"/>
  <c r="AF39" i="54" s="1"/>
  <c r="AE40" i="54" s="1"/>
  <c r="AF8" i="53"/>
  <c r="AF8" i="52"/>
  <c r="AF8" i="51"/>
  <c r="AF8" i="50"/>
  <c r="AQ8" i="49"/>
  <c r="AD7" i="59"/>
  <c r="AD7" i="54"/>
  <c r="AD7" i="53"/>
  <c r="AD7" i="52"/>
  <c r="AD7" i="51"/>
  <c r="AD7" i="50"/>
  <c r="AO7" i="49"/>
  <c r="AH120" i="49"/>
  <c r="AH113" i="49"/>
  <c r="AH114" i="49"/>
  <c r="AI120" i="49"/>
  <c r="AI113" i="49"/>
  <c r="AB7" i="59"/>
  <c r="AB7" i="54"/>
  <c r="AB7" i="53"/>
  <c r="AB7" i="52"/>
  <c r="AB7" i="51"/>
  <c r="AB7" i="50"/>
  <c r="AM7" i="49"/>
  <c r="AG8" i="59"/>
  <c r="AG8" i="54"/>
  <c r="AG8" i="53"/>
  <c r="AG8" i="52"/>
  <c r="AG8" i="50"/>
  <c r="AG8" i="51"/>
  <c r="AR8" i="49"/>
  <c r="AJ120" i="49"/>
  <c r="AJ113" i="49"/>
  <c r="AJ114" i="49"/>
  <c r="AQ120" i="49"/>
  <c r="AQ121" i="49" s="1"/>
  <c r="AQ113" i="49"/>
  <c r="AG31" i="59"/>
  <c r="AE90" i="59"/>
  <c r="AB6" i="59"/>
  <c r="AB6" i="54"/>
  <c r="AB6" i="53"/>
  <c r="AB6" i="52"/>
  <c r="AB6" i="51"/>
  <c r="AB6" i="50"/>
  <c r="AM6" i="49"/>
  <c r="AE62" i="50"/>
  <c r="AE61" i="50" s="1"/>
  <c r="AE80" i="50"/>
  <c r="AE79" i="50" s="1"/>
  <c r="AD82" i="50"/>
  <c r="AD83" i="50"/>
  <c r="AH65" i="49"/>
  <c r="AH64" i="49"/>
  <c r="AQ124" i="49"/>
  <c r="AQ125" i="49" s="1"/>
  <c r="AQ105" i="49"/>
  <c r="AE7" i="59"/>
  <c r="AE7" i="54"/>
  <c r="AE7" i="53"/>
  <c r="AE7" i="52"/>
  <c r="AE7" i="50"/>
  <c r="AE7" i="51"/>
  <c r="AP7" i="49"/>
  <c r="AC7" i="59"/>
  <c r="AC7" i="54"/>
  <c r="AC7" i="53"/>
  <c r="AC7" i="52"/>
  <c r="AC7" i="51"/>
  <c r="AC7" i="50"/>
  <c r="AN7" i="49"/>
  <c r="AD64" i="50"/>
  <c r="AD63" i="50"/>
  <c r="AF9" i="7"/>
  <c r="AG9" i="7"/>
  <c r="AF8" i="7"/>
  <c r="AB8" i="7"/>
  <c r="AB7" i="7"/>
  <c r="AC8" i="7"/>
  <c r="AD8" i="7"/>
  <c r="AE8" i="7"/>
  <c r="AR14" i="14"/>
  <c r="AS11" i="14"/>
  <c r="AR5" i="14"/>
  <c r="AH8" i="60" s="1"/>
  <c r="AM15" i="14"/>
  <c r="AP15" i="14"/>
  <c r="AL15" i="14"/>
  <c r="AO15" i="14"/>
  <c r="AN15" i="14"/>
  <c r="AJ64" i="49" l="1"/>
  <c r="AG39" i="54"/>
  <c r="AI56" i="49"/>
  <c r="AJ110" i="49"/>
  <c r="AD40" i="54"/>
  <c r="AB40" i="54"/>
  <c r="AC40" i="54"/>
  <c r="AH55" i="49"/>
  <c r="AH56" i="49"/>
  <c r="AK124" i="49"/>
  <c r="AK125" i="49" s="1"/>
  <c r="AK110" i="49"/>
  <c r="AH105" i="49"/>
  <c r="AJ105" i="49"/>
  <c r="AH126" i="49"/>
  <c r="AJ56" i="49"/>
  <c r="AI106" i="49"/>
  <c r="AK113" i="49"/>
  <c r="AK106" i="49"/>
  <c r="AI105" i="49"/>
  <c r="AJ65" i="49"/>
  <c r="AH106" i="49"/>
  <c r="AK120" i="49"/>
  <c r="AK122" i="49" s="1"/>
  <c r="AH110" i="49"/>
  <c r="AI124" i="49"/>
  <c r="AI126" i="49" s="1"/>
  <c r="AK56" i="49"/>
  <c r="AJ106" i="49"/>
  <c r="AH109" i="49"/>
  <c r="AI65" i="49"/>
  <c r="AJ122" i="49"/>
  <c r="AJ121" i="49"/>
  <c r="AI122" i="49"/>
  <c r="AI121" i="49"/>
  <c r="AF80" i="50"/>
  <c r="AF79" i="50" s="1"/>
  <c r="AF62" i="50"/>
  <c r="AF61" i="50" s="1"/>
  <c r="AF30" i="59"/>
  <c r="AF89" i="59"/>
  <c r="AH31" i="59"/>
  <c r="AG90" i="59"/>
  <c r="AD30" i="59"/>
  <c r="AC89" i="59"/>
  <c r="AE83" i="50"/>
  <c r="AE82" i="50"/>
  <c r="AE89" i="59"/>
  <c r="AG30" i="59"/>
  <c r="AE64" i="50"/>
  <c r="AE63" i="50"/>
  <c r="AG80" i="50"/>
  <c r="AG79" i="50" s="1"/>
  <c r="AG62" i="50"/>
  <c r="AG61" i="50" s="1"/>
  <c r="AC30" i="59"/>
  <c r="AB89" i="59"/>
  <c r="AH122" i="49"/>
  <c r="AH121" i="49"/>
  <c r="AB29" i="59"/>
  <c r="AB88" i="59"/>
  <c r="AE30" i="59"/>
  <c r="AD89" i="59"/>
  <c r="AH8" i="59"/>
  <c r="AH8" i="54"/>
  <c r="AH39" i="54" s="1"/>
  <c r="AH8" i="53"/>
  <c r="AH8" i="52"/>
  <c r="AH8" i="50"/>
  <c r="AH8" i="51"/>
  <c r="AS8" i="49"/>
  <c r="AM9" i="49"/>
  <c r="AP9" i="49"/>
  <c r="AO9" i="49"/>
  <c r="AN9" i="49"/>
  <c r="AV9" i="49"/>
  <c r="AF31" i="59"/>
  <c r="AF90" i="59"/>
  <c r="AH9" i="7"/>
  <c r="AS14" i="14"/>
  <c r="AT11" i="14"/>
  <c r="AS5" i="14"/>
  <c r="AI8" i="60" s="1"/>
  <c r="AK126" i="49" l="1"/>
  <c r="AJ126" i="49"/>
  <c r="AK121" i="49"/>
  <c r="AI125" i="49"/>
  <c r="AG83" i="50"/>
  <c r="AG82" i="50"/>
  <c r="AH90" i="59"/>
  <c r="AI31" i="59"/>
  <c r="AH80" i="50"/>
  <c r="AH79" i="50" s="1"/>
  <c r="AH62" i="50"/>
  <c r="AH61" i="50" s="1"/>
  <c r="AF63" i="50"/>
  <c r="AF64" i="50"/>
  <c r="AI8" i="59"/>
  <c r="AI8" i="54"/>
  <c r="AI39" i="54" s="1"/>
  <c r="AI8" i="53"/>
  <c r="AI8" i="52"/>
  <c r="AI8" i="50"/>
  <c r="AI8" i="51"/>
  <c r="AT8" i="49"/>
  <c r="AG63" i="50"/>
  <c r="AG64" i="50"/>
  <c r="AF82" i="50"/>
  <c r="AF83" i="50"/>
  <c r="AI9" i="7"/>
  <c r="AV11" i="14"/>
  <c r="AT14" i="14"/>
  <c r="AU11" i="14"/>
  <c r="AT5" i="14"/>
  <c r="AJ8" i="60" s="1"/>
  <c r="AP17" i="49" l="1"/>
  <c r="AP47" i="49"/>
  <c r="AO117" i="49"/>
  <c r="AP27" i="49"/>
  <c r="AN78" i="49"/>
  <c r="AO83" i="49"/>
  <c r="AN100" i="49"/>
  <c r="AP73" i="49"/>
  <c r="AP100" i="49"/>
  <c r="AP78" i="49"/>
  <c r="AN60" i="49"/>
  <c r="AN45" i="49"/>
  <c r="AN38" i="49"/>
  <c r="AP117" i="49"/>
  <c r="AO87" i="49"/>
  <c r="AM112" i="49"/>
  <c r="AM22" i="49"/>
  <c r="AO13" i="49"/>
  <c r="AP33" i="49"/>
  <c r="AN31" i="49"/>
  <c r="AM46" i="49"/>
  <c r="AM93" i="49"/>
  <c r="AM74" i="49"/>
  <c r="AV45" i="49"/>
  <c r="AV21" i="49"/>
  <c r="AN96" i="49"/>
  <c r="AV61" i="49"/>
  <c r="AV96" i="49"/>
  <c r="AP82" i="49"/>
  <c r="AP86" i="49"/>
  <c r="AV73" i="49"/>
  <c r="AM50" i="49"/>
  <c r="AM86" i="49"/>
  <c r="AM97" i="49"/>
  <c r="AV88" i="49"/>
  <c r="AV108" i="49"/>
  <c r="AP60" i="49"/>
  <c r="AM69" i="49"/>
  <c r="AN18" i="49"/>
  <c r="AO17" i="49"/>
  <c r="AM73" i="49"/>
  <c r="AN68" i="49"/>
  <c r="AO68" i="49"/>
  <c r="AM79" i="49"/>
  <c r="AN14" i="49"/>
  <c r="AO45" i="49"/>
  <c r="AV17" i="49"/>
  <c r="AV82" i="49"/>
  <c r="AV50" i="49"/>
  <c r="AM118" i="49"/>
  <c r="AV92" i="49"/>
  <c r="AV70" i="49"/>
  <c r="AN21" i="49"/>
  <c r="AV52" i="49"/>
  <c r="AM18" i="49"/>
  <c r="AP21" i="49"/>
  <c r="AV13" i="49"/>
  <c r="AV78" i="49"/>
  <c r="AH83" i="50"/>
  <c r="AH82" i="50"/>
  <c r="AV86" i="49"/>
  <c r="AM78" i="49"/>
  <c r="AV25" i="49"/>
  <c r="AV59" i="49"/>
  <c r="AP92" i="49"/>
  <c r="AI90" i="59"/>
  <c r="AJ31" i="59"/>
  <c r="AV47" i="49"/>
  <c r="AH63" i="50"/>
  <c r="AH64" i="50"/>
  <c r="AO96" i="49"/>
  <c r="AV112" i="49"/>
  <c r="AV100" i="49"/>
  <c r="AJ8" i="59"/>
  <c r="AJ8" i="54"/>
  <c r="AJ39" i="54" s="1"/>
  <c r="AJ8" i="53"/>
  <c r="AJ8" i="52"/>
  <c r="AJ8" i="50"/>
  <c r="AJ8" i="51"/>
  <c r="AU8" i="49"/>
  <c r="AI80" i="50"/>
  <c r="AI79" i="50" s="1"/>
  <c r="AI62" i="50"/>
  <c r="AI61" i="50" s="1"/>
  <c r="AM26" i="49"/>
  <c r="AP22" i="49"/>
  <c r="AN97" i="49"/>
  <c r="AV41" i="49"/>
  <c r="AJ9" i="7"/>
  <c r="AW11" i="14"/>
  <c r="AV14" i="14"/>
  <c r="AV5" i="14"/>
  <c r="AL8" i="60" s="1"/>
  <c r="AU14" i="14"/>
  <c r="AU5" i="14"/>
  <c r="AK8" i="60" s="1"/>
  <c r="AS4" i="14"/>
  <c r="AI7" i="60" s="1"/>
  <c r="AU4" i="14"/>
  <c r="AK7" i="60" s="1"/>
  <c r="AT4" i="14"/>
  <c r="AJ7" i="60" s="1"/>
  <c r="AQ4" i="14"/>
  <c r="AR4" i="14"/>
  <c r="AH7" i="60" s="1"/>
  <c r="AQ3" i="14"/>
  <c r="AG6" i="60" s="1"/>
  <c r="AP93" i="49" l="1"/>
  <c r="AO118" i="49"/>
  <c r="AP45" i="49"/>
  <c r="AP97" i="49"/>
  <c r="AN74" i="49"/>
  <c r="AP41" i="49"/>
  <c r="AP42" i="49"/>
  <c r="AN83" i="49"/>
  <c r="AP38" i="49"/>
  <c r="AP51" i="49"/>
  <c r="AP88" i="49"/>
  <c r="AO74" i="49"/>
  <c r="AO26" i="49"/>
  <c r="AP69" i="49"/>
  <c r="AO104" i="49"/>
  <c r="AO105" i="49" s="1"/>
  <c r="AO101" i="49"/>
  <c r="AN59" i="49"/>
  <c r="AO27" i="49"/>
  <c r="AP37" i="49"/>
  <c r="AN88" i="49"/>
  <c r="AP96" i="49"/>
  <c r="AN86" i="49"/>
  <c r="AN26" i="49"/>
  <c r="AM47" i="49"/>
  <c r="AN42" i="49"/>
  <c r="AO73" i="49"/>
  <c r="AV54" i="49"/>
  <c r="AV55" i="49" s="1"/>
  <c r="AN108" i="49"/>
  <c r="AN109" i="49" s="1"/>
  <c r="AM87" i="49"/>
  <c r="AV33" i="49"/>
  <c r="AN61" i="49"/>
  <c r="AN54" i="49"/>
  <c r="AN55" i="49" s="1"/>
  <c r="AO50" i="49"/>
  <c r="AM101" i="49"/>
  <c r="AO97" i="49"/>
  <c r="AP104" i="49"/>
  <c r="AP124" i="49" s="1"/>
  <c r="AP125" i="49" s="1"/>
  <c r="AP101" i="49"/>
  <c r="AM100" i="49"/>
  <c r="AM32" i="49"/>
  <c r="AM33" i="49"/>
  <c r="AO36" i="49"/>
  <c r="AP112" i="49"/>
  <c r="AP113" i="49" s="1"/>
  <c r="AM31" i="49"/>
  <c r="AO92" i="49"/>
  <c r="AN51" i="49"/>
  <c r="AO112" i="49"/>
  <c r="AO120" i="49" s="1"/>
  <c r="AP14" i="49"/>
  <c r="AO59" i="49"/>
  <c r="AO82" i="49"/>
  <c r="AM13" i="49"/>
  <c r="AO32" i="49"/>
  <c r="AO63" i="49"/>
  <c r="AO64" i="49" s="1"/>
  <c r="AP31" i="49"/>
  <c r="AN41" i="49"/>
  <c r="AO108" i="49"/>
  <c r="AO109" i="49" s="1"/>
  <c r="AM51" i="49"/>
  <c r="AM60" i="49"/>
  <c r="AO14" i="49"/>
  <c r="AN50" i="49"/>
  <c r="AM41" i="49"/>
  <c r="AO46" i="49"/>
  <c r="AN101" i="49"/>
  <c r="AM63" i="49"/>
  <c r="AM65" i="49" s="1"/>
  <c r="AO51" i="49"/>
  <c r="AN79" i="49"/>
  <c r="AM61" i="49"/>
  <c r="AP46" i="49"/>
  <c r="AM59" i="49"/>
  <c r="AN73" i="49"/>
  <c r="AP108" i="49"/>
  <c r="AP109" i="49" s="1"/>
  <c r="AN82" i="49"/>
  <c r="AP74" i="49"/>
  <c r="AM54" i="49"/>
  <c r="AM55" i="49" s="1"/>
  <c r="AN112" i="49"/>
  <c r="AN120" i="49" s="1"/>
  <c r="AN33" i="49"/>
  <c r="AM52" i="49"/>
  <c r="AO41" i="49"/>
  <c r="AM104" i="49"/>
  <c r="AM124" i="49" s="1"/>
  <c r="AM126" i="49" s="1"/>
  <c r="AP68" i="49"/>
  <c r="AG7" i="60"/>
  <c r="AM25" i="49"/>
  <c r="AO61" i="49"/>
  <c r="AM14" i="49"/>
  <c r="AN46" i="49"/>
  <c r="AP25" i="49"/>
  <c r="AN63" i="49"/>
  <c r="AO60" i="49"/>
  <c r="AO79" i="49"/>
  <c r="AP59" i="49"/>
  <c r="AO47" i="49"/>
  <c r="AM45" i="49"/>
  <c r="AV63" i="49"/>
  <c r="AV64" i="49" s="1"/>
  <c r="AP26" i="49"/>
  <c r="AV27" i="49"/>
  <c r="AO22" i="49"/>
  <c r="AM70" i="49"/>
  <c r="AM82" i="49"/>
  <c r="AO33" i="49"/>
  <c r="AO88" i="49"/>
  <c r="AP32" i="49"/>
  <c r="AP118" i="49"/>
  <c r="AN32" i="49"/>
  <c r="AN37" i="49"/>
  <c r="AV31" i="49"/>
  <c r="AO86" i="49"/>
  <c r="AP63" i="49"/>
  <c r="AP64" i="49" s="1"/>
  <c r="AP18" i="49"/>
  <c r="AN52" i="49"/>
  <c r="AN22" i="49"/>
  <c r="AP36" i="49"/>
  <c r="AP87" i="49"/>
  <c r="AV38" i="49"/>
  <c r="AN104" i="49"/>
  <c r="AN105" i="49" s="1"/>
  <c r="AO31" i="49"/>
  <c r="AM21" i="49"/>
  <c r="AP52" i="49"/>
  <c r="AN118" i="49"/>
  <c r="AM38" i="49"/>
  <c r="AV117" i="49"/>
  <c r="AN69" i="49"/>
  <c r="AN47" i="49"/>
  <c r="AO37" i="49"/>
  <c r="AM92" i="49"/>
  <c r="AV36" i="49"/>
  <c r="AN92" i="49"/>
  <c r="AN27" i="49"/>
  <c r="AO69" i="49"/>
  <c r="AP83" i="49"/>
  <c r="AV68" i="49"/>
  <c r="AO93" i="49"/>
  <c r="AM17" i="49"/>
  <c r="AN17" i="49"/>
  <c r="AM117" i="49"/>
  <c r="AP70" i="49"/>
  <c r="AO42" i="49"/>
  <c r="AN70" i="49"/>
  <c r="AO100" i="49"/>
  <c r="AO52" i="49"/>
  <c r="AP50" i="49"/>
  <c r="AM27" i="49"/>
  <c r="AM68" i="49"/>
  <c r="AN93" i="49"/>
  <c r="AN25" i="49"/>
  <c r="AO70" i="49"/>
  <c r="AN36" i="49"/>
  <c r="AM96" i="49"/>
  <c r="AN87" i="49"/>
  <c r="AO25" i="49"/>
  <c r="AP13" i="49"/>
  <c r="AV104" i="49"/>
  <c r="AV124" i="49" s="1"/>
  <c r="AV125" i="49" s="1"/>
  <c r="AO21" i="49"/>
  <c r="AM108" i="49"/>
  <c r="AM109" i="49" s="1"/>
  <c r="AM42" i="49"/>
  <c r="AO78" i="49"/>
  <c r="AN117" i="49"/>
  <c r="AN13" i="49"/>
  <c r="AO18" i="49"/>
  <c r="AM36" i="49"/>
  <c r="AO54" i="49"/>
  <c r="AO55" i="49" s="1"/>
  <c r="AP54" i="49"/>
  <c r="AP55" i="49" s="1"/>
  <c r="AP61" i="49"/>
  <c r="AM37" i="49"/>
  <c r="AO38" i="49"/>
  <c r="AM88" i="49"/>
  <c r="AP79" i="49"/>
  <c r="AM83" i="49"/>
  <c r="AM120" i="49"/>
  <c r="AM122" i="49" s="1"/>
  <c r="AI82" i="50"/>
  <c r="AI83" i="50"/>
  <c r="AV120" i="49"/>
  <c r="AV121" i="49" s="1"/>
  <c r="AV113" i="49"/>
  <c r="AK8" i="59"/>
  <c r="AK8" i="54"/>
  <c r="AK39" i="54" s="1"/>
  <c r="AK8" i="53"/>
  <c r="AK8" i="52"/>
  <c r="AK8" i="50"/>
  <c r="AK8" i="51"/>
  <c r="AV8" i="49"/>
  <c r="AI64" i="50"/>
  <c r="AI63" i="50"/>
  <c r="AH7" i="59"/>
  <c r="AH7" i="54"/>
  <c r="AH7" i="53"/>
  <c r="AH7" i="52"/>
  <c r="AH7" i="51"/>
  <c r="AH7" i="50"/>
  <c r="AS7" i="49"/>
  <c r="AG7" i="59"/>
  <c r="AG7" i="54"/>
  <c r="AG7" i="53"/>
  <c r="AG7" i="52"/>
  <c r="AG7" i="51"/>
  <c r="AG7" i="50"/>
  <c r="AR7" i="49"/>
  <c r="AL8" i="59"/>
  <c r="AL8" i="54"/>
  <c r="AL8" i="53"/>
  <c r="AL8" i="52"/>
  <c r="AL8" i="51"/>
  <c r="AL8" i="50"/>
  <c r="AW8" i="49"/>
  <c r="AL31" i="59"/>
  <c r="AJ90" i="59"/>
  <c r="AI7" i="59"/>
  <c r="AI7" i="54"/>
  <c r="AI7" i="53"/>
  <c r="AI7" i="52"/>
  <c r="AI7" i="51"/>
  <c r="AI7" i="50"/>
  <c r="AT7" i="49"/>
  <c r="AJ7" i="59"/>
  <c r="AJ7" i="54"/>
  <c r="AJ7" i="53"/>
  <c r="AJ7" i="52"/>
  <c r="AJ7" i="50"/>
  <c r="AJ7" i="51"/>
  <c r="AU7" i="49"/>
  <c r="AM113" i="49"/>
  <c r="AM114" i="49"/>
  <c r="AG6" i="59"/>
  <c r="AG6" i="54"/>
  <c r="AG6" i="53"/>
  <c r="AG6" i="52"/>
  <c r="AG6" i="51"/>
  <c r="AG6" i="50"/>
  <c r="AR6" i="49"/>
  <c r="AK7" i="59"/>
  <c r="AK7" i="54"/>
  <c r="AK7" i="53"/>
  <c r="AK7" i="52"/>
  <c r="AK7" i="50"/>
  <c r="AK7" i="51"/>
  <c r="AV7" i="49"/>
  <c r="AV109" i="49"/>
  <c r="AJ62" i="50"/>
  <c r="AJ61" i="50" s="1"/>
  <c r="AJ80" i="50"/>
  <c r="AJ79" i="50" s="1"/>
  <c r="AO124" i="49"/>
  <c r="AL9" i="7"/>
  <c r="AK9" i="7"/>
  <c r="AG8" i="7"/>
  <c r="AH8" i="7"/>
  <c r="AI8" i="7"/>
  <c r="AJ8" i="7"/>
  <c r="AG7" i="7"/>
  <c r="AK8" i="7"/>
  <c r="AU15" i="14"/>
  <c r="AQ15" i="14"/>
  <c r="AT15" i="14"/>
  <c r="AS15" i="14"/>
  <c r="AR15" i="14"/>
  <c r="AW14" i="14"/>
  <c r="AX11" i="14"/>
  <c r="AW5" i="14"/>
  <c r="AM8" i="60" s="1"/>
  <c r="AL39" i="54" l="1"/>
  <c r="AN114" i="49"/>
  <c r="AP105" i="49"/>
  <c r="AM64" i="49"/>
  <c r="AO65" i="49"/>
  <c r="AP106" i="49"/>
  <c r="AG40" i="54"/>
  <c r="AH40" i="54"/>
  <c r="AI40" i="54"/>
  <c r="AP120" i="49"/>
  <c r="AP121" i="49" s="1"/>
  <c r="AJ40" i="54"/>
  <c r="AM105" i="49"/>
  <c r="AM106" i="49"/>
  <c r="AN113" i="49"/>
  <c r="AN110" i="49"/>
  <c r="AO114" i="49"/>
  <c r="AP114" i="49"/>
  <c r="AO113" i="49"/>
  <c r="AN65" i="49"/>
  <c r="AP126" i="49"/>
  <c r="AO110" i="49"/>
  <c r="AM125" i="49"/>
  <c r="AP65" i="49"/>
  <c r="AN106" i="49"/>
  <c r="AN56" i="49"/>
  <c r="AM56" i="49"/>
  <c r="AN64" i="49"/>
  <c r="AP110" i="49"/>
  <c r="AL80" i="50"/>
  <c r="AL62" i="50"/>
  <c r="AO56" i="49"/>
  <c r="AP56" i="49"/>
  <c r="AM121" i="49"/>
  <c r="AN124" i="49"/>
  <c r="AN125" i="49" s="1"/>
  <c r="AM110" i="49"/>
  <c r="AO106" i="49"/>
  <c r="AV105" i="49"/>
  <c r="AL30" i="59"/>
  <c r="AJ89" i="59"/>
  <c r="AK31" i="59"/>
  <c r="AK90" i="59"/>
  <c r="AK89" i="59"/>
  <c r="AK30" i="59"/>
  <c r="AG89" i="59"/>
  <c r="AH30" i="59"/>
  <c r="AO125" i="49"/>
  <c r="AG29" i="59"/>
  <c r="AG88" i="59"/>
  <c r="AN121" i="49"/>
  <c r="AN122" i="49"/>
  <c r="AK80" i="50"/>
  <c r="AK79" i="50" s="1"/>
  <c r="AK62" i="50"/>
  <c r="AK61" i="50" s="1"/>
  <c r="BA9" i="49"/>
  <c r="AT9" i="49"/>
  <c r="AR9" i="49"/>
  <c r="AS9" i="49"/>
  <c r="AU9" i="49"/>
  <c r="AM8" i="59"/>
  <c r="AM8" i="54"/>
  <c r="AM39" i="54" s="1"/>
  <c r="AM8" i="53"/>
  <c r="AM8" i="52"/>
  <c r="AM8" i="51"/>
  <c r="AM8" i="50"/>
  <c r="AX8" i="49"/>
  <c r="AJ82" i="50"/>
  <c r="AJ83" i="50"/>
  <c r="AJ30" i="59"/>
  <c r="AI89" i="59"/>
  <c r="AI30" i="59"/>
  <c r="AH89" i="59"/>
  <c r="AJ64" i="50"/>
  <c r="AJ63" i="50"/>
  <c r="AO121" i="49"/>
  <c r="AO122" i="49"/>
  <c r="AL90" i="59"/>
  <c r="AM31" i="59"/>
  <c r="AM9" i="7"/>
  <c r="AX14" i="14"/>
  <c r="AX5" i="14"/>
  <c r="AN8" i="60" s="1"/>
  <c r="AY11" i="14"/>
  <c r="AP122" i="49" l="1"/>
  <c r="AM80" i="50"/>
  <c r="AM62" i="50"/>
  <c r="AO126" i="49"/>
  <c r="AN126" i="49"/>
  <c r="AK64" i="50"/>
  <c r="AK63" i="50"/>
  <c r="AN8" i="59"/>
  <c r="AN8" i="54"/>
  <c r="AN8" i="53"/>
  <c r="AN8" i="52"/>
  <c r="AN8" i="50"/>
  <c r="AN8" i="51"/>
  <c r="AY8" i="49"/>
  <c r="AK83" i="50"/>
  <c r="AK82" i="50"/>
  <c r="AN31" i="59"/>
  <c r="AM90" i="59"/>
  <c r="AN9" i="7"/>
  <c r="AY14" i="14"/>
  <c r="AZ11" i="14"/>
  <c r="AY5" i="14"/>
  <c r="AO8" i="60" s="1"/>
  <c r="BA11" i="14"/>
  <c r="BA38" i="49" l="1"/>
  <c r="BA78" i="49"/>
  <c r="BA21" i="49"/>
  <c r="AT25" i="49"/>
  <c r="AT51" i="49"/>
  <c r="BA82" i="49"/>
  <c r="AT86" i="49"/>
  <c r="AT118" i="49"/>
  <c r="AT21" i="49"/>
  <c r="BA68" i="49"/>
  <c r="AT17" i="49"/>
  <c r="BA96" i="49"/>
  <c r="BA45" i="49"/>
  <c r="AT59" i="49"/>
  <c r="AT46" i="49"/>
  <c r="BA92" i="49"/>
  <c r="AR50" i="49"/>
  <c r="AU13" i="49"/>
  <c r="AU96" i="49"/>
  <c r="AS63" i="49"/>
  <c r="AS93" i="49"/>
  <c r="AR79" i="49"/>
  <c r="AU74" i="49"/>
  <c r="AS83" i="49"/>
  <c r="AT73" i="49"/>
  <c r="AR101" i="49"/>
  <c r="AT41" i="49"/>
  <c r="AR41" i="49"/>
  <c r="AR118" i="49"/>
  <c r="AU21" i="49"/>
  <c r="AR82" i="49"/>
  <c r="AS60" i="49"/>
  <c r="AU27" i="49"/>
  <c r="AU93" i="49"/>
  <c r="AN39" i="54"/>
  <c r="AT14" i="49"/>
  <c r="AS78" i="49"/>
  <c r="AS26" i="49"/>
  <c r="AR74" i="49"/>
  <c r="AT31" i="49"/>
  <c r="AN80" i="50"/>
  <c r="AN79" i="50" s="1"/>
  <c r="AN62" i="50"/>
  <c r="AN61" i="50" s="1"/>
  <c r="AU97" i="49"/>
  <c r="AT37" i="49"/>
  <c r="AS73" i="49"/>
  <c r="AU47" i="49"/>
  <c r="AS18" i="49"/>
  <c r="AR97" i="49"/>
  <c r="AR21" i="49"/>
  <c r="AR37" i="49"/>
  <c r="AS96" i="49"/>
  <c r="BA17" i="49"/>
  <c r="BA50" i="49"/>
  <c r="AR45" i="49"/>
  <c r="BA54" i="49"/>
  <c r="BA55" i="49" s="1"/>
  <c r="AR92" i="49"/>
  <c r="AT96" i="49"/>
  <c r="AT97" i="49"/>
  <c r="AS31" i="49"/>
  <c r="BA52" i="49"/>
  <c r="BA112" i="49"/>
  <c r="BA113" i="49" s="1"/>
  <c r="AS59" i="49"/>
  <c r="BA33" i="49"/>
  <c r="BA31" i="49"/>
  <c r="AT36" i="49"/>
  <c r="AT38" i="49"/>
  <c r="AR36" i="49"/>
  <c r="AR38" i="49"/>
  <c r="AS100" i="49"/>
  <c r="AU68" i="49"/>
  <c r="BA108" i="49"/>
  <c r="BA109" i="49" s="1"/>
  <c r="BA117" i="49"/>
  <c r="AT13" i="49"/>
  <c r="AT78" i="49"/>
  <c r="AR13" i="49"/>
  <c r="AR14" i="49"/>
  <c r="AS13" i="49"/>
  <c r="AS14" i="49"/>
  <c r="AU52" i="49"/>
  <c r="AU36" i="49"/>
  <c r="AU37" i="49"/>
  <c r="AU73" i="49"/>
  <c r="AU100" i="49"/>
  <c r="AU101" i="49"/>
  <c r="AN90" i="59"/>
  <c r="AO31" i="59"/>
  <c r="AR60" i="49"/>
  <c r="AR59" i="49"/>
  <c r="AS27" i="49"/>
  <c r="AU50" i="49"/>
  <c r="AT82" i="49"/>
  <c r="AR46" i="49"/>
  <c r="AR83" i="49"/>
  <c r="AS17" i="49"/>
  <c r="AS45" i="49"/>
  <c r="AU41" i="49"/>
  <c r="AU78" i="49"/>
  <c r="AU79" i="49"/>
  <c r="AU117" i="49"/>
  <c r="AR26" i="49"/>
  <c r="AR25" i="49"/>
  <c r="AO8" i="59"/>
  <c r="AO8" i="54"/>
  <c r="AO39" i="54" s="1"/>
  <c r="AO8" i="53"/>
  <c r="AO8" i="52"/>
  <c r="AO8" i="50"/>
  <c r="AO8" i="51"/>
  <c r="AZ8" i="49"/>
  <c r="AR51" i="49"/>
  <c r="AR87" i="49"/>
  <c r="AR86" i="49"/>
  <c r="AS86" i="49"/>
  <c r="AS88" i="49"/>
  <c r="AS87" i="49"/>
  <c r="AU17" i="49"/>
  <c r="AU45" i="49"/>
  <c r="AU82" i="49"/>
  <c r="AU83" i="49"/>
  <c r="BA27" i="49"/>
  <c r="BA25" i="49"/>
  <c r="BA59" i="49"/>
  <c r="AO9" i="7"/>
  <c r="AW4" i="14"/>
  <c r="AM7" i="60" s="1"/>
  <c r="AZ14" i="14"/>
  <c r="AZ4" i="14"/>
  <c r="AZ5" i="14"/>
  <c r="AP8" i="60" s="1"/>
  <c r="AY4" i="14"/>
  <c r="AO7" i="60" s="1"/>
  <c r="AV3" i="14"/>
  <c r="AL6" i="60" s="1"/>
  <c r="AX4" i="14"/>
  <c r="AN7" i="60" s="1"/>
  <c r="AV4" i="14"/>
  <c r="BA14" i="14"/>
  <c r="BB11" i="14"/>
  <c r="BA5" i="14"/>
  <c r="AQ8" i="60" s="1"/>
  <c r="AT63" i="49" l="1"/>
  <c r="BA63" i="49"/>
  <c r="BA64" i="49" s="1"/>
  <c r="AT50" i="49"/>
  <c r="AT22" i="49"/>
  <c r="BA104" i="49"/>
  <c r="BA105" i="49" s="1"/>
  <c r="AU60" i="49"/>
  <c r="AS82" i="49"/>
  <c r="AU92" i="49"/>
  <c r="AS47" i="49"/>
  <c r="AT52" i="49"/>
  <c r="AU87" i="49"/>
  <c r="AS61" i="49"/>
  <c r="AT101" i="49"/>
  <c r="AT74" i="49"/>
  <c r="BA13" i="49"/>
  <c r="AR78" i="49"/>
  <c r="BA61" i="49"/>
  <c r="BA70" i="49"/>
  <c r="BA41" i="49"/>
  <c r="BA73" i="49"/>
  <c r="BA100" i="49"/>
  <c r="BA36" i="49"/>
  <c r="BA88" i="49"/>
  <c r="AS41" i="49"/>
  <c r="AO80" i="50"/>
  <c r="AO62" i="50"/>
  <c r="AO61" i="50" s="1"/>
  <c r="AT61" i="50" s="1"/>
  <c r="AT117" i="49"/>
  <c r="AU118" i="49"/>
  <c r="AT18" i="49"/>
  <c r="AU112" i="49"/>
  <c r="AU120" i="49" s="1"/>
  <c r="AR117" i="49"/>
  <c r="AT108" i="49"/>
  <c r="AT109" i="49" s="1"/>
  <c r="AT100" i="49"/>
  <c r="AT26" i="49"/>
  <c r="AR93" i="49"/>
  <c r="AT42" i="49"/>
  <c r="AP7" i="60"/>
  <c r="AS25" i="49"/>
  <c r="AU18" i="49"/>
  <c r="AT61" i="49"/>
  <c r="AS54" i="49"/>
  <c r="AS55" i="49" s="1"/>
  <c r="AR88" i="49"/>
  <c r="AT60" i="49"/>
  <c r="AU51" i="49"/>
  <c r="AN64" i="50"/>
  <c r="AN63" i="50"/>
  <c r="AN83" i="50"/>
  <c r="AN82" i="50"/>
  <c r="AR96" i="49"/>
  <c r="AS51" i="49"/>
  <c r="AR63" i="49"/>
  <c r="AR65" i="49" s="1"/>
  <c r="AS79" i="49"/>
  <c r="AT27" i="49"/>
  <c r="AS50" i="49"/>
  <c r="AT45" i="49"/>
  <c r="AU32" i="49"/>
  <c r="AS97" i="49"/>
  <c r="AS92" i="49"/>
  <c r="AS22" i="49"/>
  <c r="AS70" i="49"/>
  <c r="AS21" i="49"/>
  <c r="AR22" i="49"/>
  <c r="AR18" i="49"/>
  <c r="AT104" i="49"/>
  <c r="AT105" i="49" s="1"/>
  <c r="AS68" i="49"/>
  <c r="AT69" i="49"/>
  <c r="AR17" i="49"/>
  <c r="AT88" i="49"/>
  <c r="AU14" i="49"/>
  <c r="AT79" i="49"/>
  <c r="AT93" i="49"/>
  <c r="AU104" i="49"/>
  <c r="AU124" i="49" s="1"/>
  <c r="AU125" i="49" s="1"/>
  <c r="AT33" i="49"/>
  <c r="AT87" i="49"/>
  <c r="AT83" i="49"/>
  <c r="AT92" i="49"/>
  <c r="AU69" i="49"/>
  <c r="AT32" i="49"/>
  <c r="AT47" i="49"/>
  <c r="AT54" i="49"/>
  <c r="AT55" i="49" s="1"/>
  <c r="AU31" i="49"/>
  <c r="AL7" i="60"/>
  <c r="BA120" i="49"/>
  <c r="BA121" i="49" s="1"/>
  <c r="AR70" i="49"/>
  <c r="AU46" i="49"/>
  <c r="AU54" i="49"/>
  <c r="AU55" i="49" s="1"/>
  <c r="AS46" i="49"/>
  <c r="AS104" i="49"/>
  <c r="AS124" i="49" s="1"/>
  <c r="AS125" i="49" s="1"/>
  <c r="AR61" i="49"/>
  <c r="AR54" i="49"/>
  <c r="AR56" i="49" s="1"/>
  <c r="AS36" i="49"/>
  <c r="AR100" i="49"/>
  <c r="BA47" i="49"/>
  <c r="AS33" i="49"/>
  <c r="AR52" i="49"/>
  <c r="AU26" i="49"/>
  <c r="AR47" i="49"/>
  <c r="AR42" i="49"/>
  <c r="AS112" i="49"/>
  <c r="AS120" i="49" s="1"/>
  <c r="AS37" i="49"/>
  <c r="AR112" i="49"/>
  <c r="AR113" i="49" s="1"/>
  <c r="AU59" i="49"/>
  <c r="AU88" i="49"/>
  <c r="AS42" i="49"/>
  <c r="AR108" i="49"/>
  <c r="AR110" i="49" s="1"/>
  <c r="AU70" i="49"/>
  <c r="AS101" i="49"/>
  <c r="AS38" i="49"/>
  <c r="AU61" i="49"/>
  <c r="AS69" i="49"/>
  <c r="AU86" i="49"/>
  <c r="AR27" i="49"/>
  <c r="AS108" i="49"/>
  <c r="AS109" i="49" s="1"/>
  <c r="AS118" i="49"/>
  <c r="AS52" i="49"/>
  <c r="AR73" i="49"/>
  <c r="AT112" i="49"/>
  <c r="AT120" i="49" s="1"/>
  <c r="AT121" i="49" s="1"/>
  <c r="AU63" i="49"/>
  <c r="AU65" i="49" s="1"/>
  <c r="AR69" i="49"/>
  <c r="AT68" i="49"/>
  <c r="AU22" i="49"/>
  <c r="BA86" i="49"/>
  <c r="AU108" i="49"/>
  <c r="AU42" i="49"/>
  <c r="AU38" i="49"/>
  <c r="AS117" i="49"/>
  <c r="AU33" i="49"/>
  <c r="AS74" i="49"/>
  <c r="AR68" i="49"/>
  <c r="AR33" i="49"/>
  <c r="AR31" i="49"/>
  <c r="AU25" i="49"/>
  <c r="AR32" i="49"/>
  <c r="AT70" i="49"/>
  <c r="AR104" i="49"/>
  <c r="AR124" i="49" s="1"/>
  <c r="AS32" i="49"/>
  <c r="AP8" i="59"/>
  <c r="AP8" i="54"/>
  <c r="AP39" i="54" s="1"/>
  <c r="AN40" i="54" s="1"/>
  <c r="AP8" i="53"/>
  <c r="AP8" i="52"/>
  <c r="AP8" i="51"/>
  <c r="AP8" i="50"/>
  <c r="BA8" i="49"/>
  <c r="AT65" i="49"/>
  <c r="AT64" i="49"/>
  <c r="AS64" i="49"/>
  <c r="AO7" i="59"/>
  <c r="AO7" i="54"/>
  <c r="AO7" i="53"/>
  <c r="AO7" i="52"/>
  <c r="AO7" i="51"/>
  <c r="AO7" i="50"/>
  <c r="AZ7" i="49"/>
  <c r="AQ8" i="59"/>
  <c r="AQ8" i="54"/>
  <c r="AQ8" i="53"/>
  <c r="AQ8" i="52"/>
  <c r="AQ8" i="51"/>
  <c r="AQ8" i="50"/>
  <c r="BB8" i="49"/>
  <c r="AP7" i="59"/>
  <c r="AP7" i="54"/>
  <c r="AP7" i="53"/>
  <c r="AP7" i="52"/>
  <c r="AP7" i="51"/>
  <c r="AP7" i="50"/>
  <c r="BA7" i="49"/>
  <c r="AN7" i="59"/>
  <c r="AN7" i="54"/>
  <c r="AN7" i="53"/>
  <c r="AN7" i="52"/>
  <c r="AN7" i="51"/>
  <c r="AN7" i="50"/>
  <c r="AY7" i="49"/>
  <c r="AM7" i="59"/>
  <c r="AM7" i="54"/>
  <c r="AM7" i="53"/>
  <c r="AM7" i="52"/>
  <c r="AM7" i="51"/>
  <c r="AM7" i="50"/>
  <c r="AX7" i="49"/>
  <c r="AO90" i="59"/>
  <c r="AQ31" i="59"/>
  <c r="AL7" i="59"/>
  <c r="AL7" i="54"/>
  <c r="AL7" i="53"/>
  <c r="AL7" i="52"/>
  <c r="AL7" i="50"/>
  <c r="AL7" i="51"/>
  <c r="AW7" i="49"/>
  <c r="AL6" i="59"/>
  <c r="AL6" i="54"/>
  <c r="AL6" i="53"/>
  <c r="AL6" i="52"/>
  <c r="AL6" i="51"/>
  <c r="AL6" i="50"/>
  <c r="AW6" i="49"/>
  <c r="AP9" i="7"/>
  <c r="AQ9" i="7"/>
  <c r="AM8" i="7"/>
  <c r="AL7" i="7"/>
  <c r="AO8" i="7"/>
  <c r="AL8" i="7"/>
  <c r="AN8" i="7"/>
  <c r="AP8" i="7"/>
  <c r="BB14" i="14"/>
  <c r="BC11" i="14"/>
  <c r="BB5" i="14"/>
  <c r="AR8" i="60" s="1"/>
  <c r="AY15" i="14"/>
  <c r="AX15" i="14"/>
  <c r="AW15" i="14"/>
  <c r="AZ15" i="14"/>
  <c r="AV15" i="14"/>
  <c r="BA124" i="49" l="1"/>
  <c r="BA125" i="49" s="1"/>
  <c r="AQ39" i="54"/>
  <c r="AQ80" i="50"/>
  <c r="AQ62" i="50"/>
  <c r="AR64" i="49"/>
  <c r="AU113" i="49"/>
  <c r="AS65" i="49"/>
  <c r="AL40" i="54"/>
  <c r="AM40" i="54"/>
  <c r="AO40" i="54"/>
  <c r="AY61" i="50"/>
  <c r="BD61" i="50" s="1"/>
  <c r="AT63" i="50"/>
  <c r="AT64" i="50"/>
  <c r="AP62" i="50"/>
  <c r="AP80" i="50"/>
  <c r="AO64" i="50"/>
  <c r="AO63" i="50"/>
  <c r="AU110" i="49"/>
  <c r="AT56" i="49"/>
  <c r="AS56" i="49"/>
  <c r="AR55" i="49"/>
  <c r="AU56" i="49"/>
  <c r="AU105" i="49"/>
  <c r="AS126" i="49"/>
  <c r="AU106" i="49"/>
  <c r="AU114" i="49"/>
  <c r="AS106" i="49"/>
  <c r="AT124" i="49"/>
  <c r="AU126" i="49" s="1"/>
  <c r="AT106" i="49"/>
  <c r="AR114" i="49"/>
  <c r="AU109" i="49"/>
  <c r="AT122" i="49"/>
  <c r="AT114" i="49"/>
  <c r="AR109" i="49"/>
  <c r="AS110" i="49"/>
  <c r="AS105" i="49"/>
  <c r="AR106" i="49"/>
  <c r="AR120" i="49"/>
  <c r="AR122" i="49" s="1"/>
  <c r="AR105" i="49"/>
  <c r="AS113" i="49"/>
  <c r="AU64" i="49"/>
  <c r="AS114" i="49"/>
  <c r="AT110" i="49"/>
  <c r="AT113" i="49"/>
  <c r="AL29" i="59"/>
  <c r="AL88" i="59"/>
  <c r="AP89" i="59"/>
  <c r="AP30" i="59"/>
  <c r="AM30" i="59"/>
  <c r="AL89" i="59"/>
  <c r="AO30" i="59"/>
  <c r="AN89" i="59"/>
  <c r="AR125" i="49"/>
  <c r="AR126" i="49"/>
  <c r="AR8" i="59"/>
  <c r="AR8" i="54"/>
  <c r="AR39" i="54" s="1"/>
  <c r="AR8" i="53"/>
  <c r="AR8" i="52"/>
  <c r="AR8" i="51"/>
  <c r="AR8" i="50"/>
  <c r="BC8" i="49"/>
  <c r="AS121" i="49"/>
  <c r="AQ30" i="59"/>
  <c r="AO89" i="59"/>
  <c r="AR31" i="59"/>
  <c r="AQ90" i="59"/>
  <c r="AZ9" i="49"/>
  <c r="BF9" i="49"/>
  <c r="AY9" i="49"/>
  <c r="AX9" i="49"/>
  <c r="AW9" i="49"/>
  <c r="AP31" i="59"/>
  <c r="AP90" i="59"/>
  <c r="AM89" i="59"/>
  <c r="AN30" i="59"/>
  <c r="AU121" i="49"/>
  <c r="AU122" i="49"/>
  <c r="AR9" i="7"/>
  <c r="BC14" i="14"/>
  <c r="BD11" i="14"/>
  <c r="BC5" i="14"/>
  <c r="AS8" i="60" s="1"/>
  <c r="AR80" i="50" l="1"/>
  <c r="AR62" i="50"/>
  <c r="AY64" i="50"/>
  <c r="AY63" i="50"/>
  <c r="AT125" i="49"/>
  <c r="AT126" i="49"/>
  <c r="AR121" i="49"/>
  <c r="AS122" i="49"/>
  <c r="AS31" i="59"/>
  <c r="AR90" i="59"/>
  <c r="AS8" i="59"/>
  <c r="AS8" i="54"/>
  <c r="AS8" i="53"/>
  <c r="AS8" i="52"/>
  <c r="AS8" i="50"/>
  <c r="AS8" i="51"/>
  <c r="BD8" i="49"/>
  <c r="AS9" i="7"/>
  <c r="BF11" i="14"/>
  <c r="BE11" i="14"/>
  <c r="BD14" i="14"/>
  <c r="BD5" i="14"/>
  <c r="AT8" i="60" s="1"/>
  <c r="AS80" i="50" l="1"/>
  <c r="AS62" i="50"/>
  <c r="AY73" i="49"/>
  <c r="AX118" i="49"/>
  <c r="AY25" i="49"/>
  <c r="AW112" i="49"/>
  <c r="AW120" i="49" s="1"/>
  <c r="AW96" i="49"/>
  <c r="AX22" i="49"/>
  <c r="BF73" i="49"/>
  <c r="BF100" i="49"/>
  <c r="AW13" i="49"/>
  <c r="BF63" i="49"/>
  <c r="BF64" i="49" s="1"/>
  <c r="AZ45" i="49"/>
  <c r="BF33" i="49"/>
  <c r="AZ52" i="49"/>
  <c r="AZ33" i="49"/>
  <c r="AZ86" i="49"/>
  <c r="AZ78" i="49"/>
  <c r="BF117" i="49"/>
  <c r="AZ117" i="49"/>
  <c r="AW108" i="49"/>
  <c r="AW83" i="49"/>
  <c r="AX63" i="49"/>
  <c r="AW73" i="49"/>
  <c r="AZ21" i="49"/>
  <c r="AX17" i="49"/>
  <c r="AY86" i="49"/>
  <c r="AW86" i="49"/>
  <c r="AY92" i="49"/>
  <c r="AW93" i="49"/>
  <c r="AW70" i="49"/>
  <c r="BI61" i="50"/>
  <c r="BD63" i="50"/>
  <c r="BD64" i="50"/>
  <c r="AZ32" i="49"/>
  <c r="AX45" i="49"/>
  <c r="AZ73" i="49"/>
  <c r="AZ68" i="49"/>
  <c r="AY51" i="49"/>
  <c r="AX37" i="49"/>
  <c r="BF31" i="49"/>
  <c r="BF13" i="49"/>
  <c r="BF78" i="49"/>
  <c r="BF17" i="49"/>
  <c r="BF45" i="49"/>
  <c r="BF82" i="49"/>
  <c r="AY68" i="49"/>
  <c r="AY97" i="49"/>
  <c r="BF21" i="49"/>
  <c r="BF50" i="49"/>
  <c r="AZ31" i="49"/>
  <c r="BF68" i="49"/>
  <c r="AY83" i="49"/>
  <c r="AY82" i="49"/>
  <c r="AX18" i="49"/>
  <c r="AX82" i="49"/>
  <c r="AW41" i="49"/>
  <c r="AW42" i="49"/>
  <c r="AW54" i="49"/>
  <c r="AZ36" i="49"/>
  <c r="AZ100" i="49"/>
  <c r="BF36" i="49"/>
  <c r="BF52" i="49"/>
  <c r="AY21" i="49"/>
  <c r="AY22" i="49"/>
  <c r="AY50" i="49"/>
  <c r="AX108" i="49"/>
  <c r="AX117" i="49"/>
  <c r="AX21" i="49"/>
  <c r="AW17" i="49"/>
  <c r="AW18" i="49"/>
  <c r="AW46" i="49"/>
  <c r="AT31" i="59"/>
  <c r="AS90" i="59"/>
  <c r="AZ13" i="49"/>
  <c r="AZ14" i="49"/>
  <c r="AY59" i="49"/>
  <c r="AY60" i="49"/>
  <c r="AY61" i="49"/>
  <c r="AW74" i="49"/>
  <c r="AX27" i="49"/>
  <c r="AX25" i="49"/>
  <c r="AX26" i="49"/>
  <c r="AX59" i="49"/>
  <c r="AX61" i="49"/>
  <c r="AX60" i="49"/>
  <c r="AX92" i="49"/>
  <c r="AW50" i="49"/>
  <c r="AW51" i="49"/>
  <c r="AW88" i="49"/>
  <c r="AW87" i="49"/>
  <c r="AZ17" i="49"/>
  <c r="AZ18" i="49"/>
  <c r="AZ82" i="49"/>
  <c r="AZ83" i="49"/>
  <c r="AY32" i="49"/>
  <c r="AY69" i="49"/>
  <c r="AT8" i="59"/>
  <c r="AT8" i="54"/>
  <c r="AT39" i="54" s="1"/>
  <c r="AT8" i="53"/>
  <c r="AT8" i="52"/>
  <c r="AT8" i="50"/>
  <c r="AT8" i="51"/>
  <c r="BE8" i="49"/>
  <c r="AX42" i="49"/>
  <c r="AX41" i="49"/>
  <c r="AX54" i="49"/>
  <c r="AW100" i="49"/>
  <c r="AY45" i="49"/>
  <c r="AX47" i="49"/>
  <c r="AX33" i="49"/>
  <c r="AX31" i="49"/>
  <c r="AX32" i="49"/>
  <c r="AX70" i="49"/>
  <c r="AX68" i="49"/>
  <c r="AW26" i="49"/>
  <c r="AW27" i="49"/>
  <c r="AW25" i="49"/>
  <c r="AW59" i="49"/>
  <c r="AW60" i="49"/>
  <c r="AW61" i="49"/>
  <c r="BF86" i="49"/>
  <c r="AY36" i="49"/>
  <c r="AX13" i="49"/>
  <c r="AZ96" i="49"/>
  <c r="AY17" i="49"/>
  <c r="AX36" i="49"/>
  <c r="AX38" i="49"/>
  <c r="AX73" i="49"/>
  <c r="AX74" i="49"/>
  <c r="AX100" i="49"/>
  <c r="AX101" i="49"/>
  <c r="AW33" i="49"/>
  <c r="AW31" i="49"/>
  <c r="AW32" i="49"/>
  <c r="AZ25" i="49"/>
  <c r="AZ104" i="49"/>
  <c r="BF25" i="49"/>
  <c r="AY13" i="49"/>
  <c r="AY14" i="49"/>
  <c r="AY54" i="49"/>
  <c r="AY42" i="49"/>
  <c r="AY41" i="49"/>
  <c r="AY108" i="49"/>
  <c r="AY118" i="49"/>
  <c r="AY117" i="49"/>
  <c r="AT9" i="7"/>
  <c r="BE14" i="14"/>
  <c r="BE4" i="14"/>
  <c r="AU7" i="60" s="1"/>
  <c r="BA4" i="14"/>
  <c r="BA3" i="14"/>
  <c r="AQ6" i="60" s="1"/>
  <c r="BB4" i="14"/>
  <c r="AR7" i="60" s="1"/>
  <c r="BD4" i="14"/>
  <c r="AT7" i="60" s="1"/>
  <c r="BE5" i="14"/>
  <c r="AU8" i="60" s="1"/>
  <c r="BC4" i="14"/>
  <c r="AS7" i="60" s="1"/>
  <c r="BF14" i="14"/>
  <c r="BF5" i="14"/>
  <c r="BG11" i="14"/>
  <c r="AW97" i="49" l="1"/>
  <c r="AZ41" i="49"/>
  <c r="AZ61" i="49"/>
  <c r="AZ27" i="49"/>
  <c r="AW22" i="49"/>
  <c r="AY74" i="49"/>
  <c r="AX14" i="49"/>
  <c r="AW101" i="49"/>
  <c r="AW21" i="49"/>
  <c r="AY26" i="49"/>
  <c r="AZ38" i="49"/>
  <c r="AZ42" i="49"/>
  <c r="AZ26" i="49"/>
  <c r="AX112" i="49"/>
  <c r="AW14" i="49"/>
  <c r="AZ63" i="49"/>
  <c r="BF112" i="49"/>
  <c r="AZ118" i="49"/>
  <c r="AZ79" i="49"/>
  <c r="AZ51" i="49"/>
  <c r="BF70" i="49"/>
  <c r="AZ50" i="49"/>
  <c r="AZ108" i="49"/>
  <c r="AZ109" i="49" s="1"/>
  <c r="AQ7" i="60"/>
  <c r="BF61" i="49"/>
  <c r="AZ97" i="49"/>
  <c r="AZ101" i="49"/>
  <c r="AX87" i="49"/>
  <c r="AZ93" i="49"/>
  <c r="AZ37" i="49"/>
  <c r="BF96" i="49"/>
  <c r="BF104" i="49"/>
  <c r="BF105" i="49" s="1"/>
  <c r="AV8" i="59"/>
  <c r="AV8" i="60"/>
  <c r="AZ92" i="49"/>
  <c r="BF92" i="49"/>
  <c r="AY18" i="49"/>
  <c r="AZ22" i="49"/>
  <c r="AT90" i="59"/>
  <c r="AV31" i="59"/>
  <c r="AX86" i="49"/>
  <c r="AY96" i="49"/>
  <c r="AX88" i="49"/>
  <c r="AY87" i="49"/>
  <c r="AW118" i="49"/>
  <c r="AW117" i="49"/>
  <c r="BN61" i="50"/>
  <c r="BI64" i="50"/>
  <c r="BI63" i="50"/>
  <c r="AY38" i="49"/>
  <c r="AZ69" i="49"/>
  <c r="AY31" i="49"/>
  <c r="AW79" i="49"/>
  <c r="AY47" i="49"/>
  <c r="AX50" i="49"/>
  <c r="AY79" i="49"/>
  <c r="AZ87" i="49"/>
  <c r="AZ70" i="49"/>
  <c r="AZ60" i="49"/>
  <c r="AW104" i="49"/>
  <c r="AY78" i="49"/>
  <c r="AY37" i="49"/>
  <c r="AW92" i="49"/>
  <c r="AY33" i="49"/>
  <c r="AZ54" i="49"/>
  <c r="AZ56" i="49" s="1"/>
  <c r="AX46" i="49"/>
  <c r="AX78" i="49"/>
  <c r="AZ74" i="49"/>
  <c r="AZ59" i="49"/>
  <c r="AY52" i="49"/>
  <c r="AY46" i="49"/>
  <c r="AX93" i="49"/>
  <c r="AW68" i="49"/>
  <c r="AX104" i="49"/>
  <c r="AX105" i="49" s="1"/>
  <c r="BF59" i="49"/>
  <c r="AW69" i="49"/>
  <c r="AW38" i="49"/>
  <c r="AY100" i="49"/>
  <c r="AZ88" i="49"/>
  <c r="AW63" i="49"/>
  <c r="AW64" i="49" s="1"/>
  <c r="AX96" i="49"/>
  <c r="AY70" i="49"/>
  <c r="AY63" i="49"/>
  <c r="AY65" i="49" s="1"/>
  <c r="BF108" i="49"/>
  <c r="BF109" i="49" s="1"/>
  <c r="AX51" i="49"/>
  <c r="AX52" i="49"/>
  <c r="AW36" i="49"/>
  <c r="AY112" i="49"/>
  <c r="AY120" i="49" s="1"/>
  <c r="AY121" i="49" s="1"/>
  <c r="AX97" i="49"/>
  <c r="BF41" i="49"/>
  <c r="AX79" i="49"/>
  <c r="AW37" i="49"/>
  <c r="AY101" i="49"/>
  <c r="AX69" i="49"/>
  <c r="AZ46" i="49"/>
  <c r="BF54" i="49"/>
  <c r="BF55" i="49" s="1"/>
  <c r="AW82" i="49"/>
  <c r="AX83" i="49"/>
  <c r="AZ47" i="49"/>
  <c r="AZ112" i="49"/>
  <c r="AZ120" i="49" s="1"/>
  <c r="AZ121" i="49" s="1"/>
  <c r="BF27" i="49"/>
  <c r="AW47" i="49"/>
  <c r="AW52" i="49"/>
  <c r="BF88" i="49"/>
  <c r="BF38" i="49"/>
  <c r="AW78" i="49"/>
  <c r="AW45" i="49"/>
  <c r="AY104" i="49"/>
  <c r="AZ106" i="49" s="1"/>
  <c r="AY27" i="49"/>
  <c r="BF47" i="49"/>
  <c r="AY93" i="49"/>
  <c r="AY88" i="49"/>
  <c r="AW121" i="49"/>
  <c r="AW122" i="49"/>
  <c r="AQ7" i="59"/>
  <c r="AQ7" i="54"/>
  <c r="AQ7" i="53"/>
  <c r="AQ7" i="52"/>
  <c r="AQ7" i="50"/>
  <c r="AQ7" i="51"/>
  <c r="BB7" i="49"/>
  <c r="AX109" i="49"/>
  <c r="AX110" i="49"/>
  <c r="AS7" i="59"/>
  <c r="AS7" i="54"/>
  <c r="AS7" i="53"/>
  <c r="AS7" i="52"/>
  <c r="AS7" i="51"/>
  <c r="AS7" i="50"/>
  <c r="BD7" i="49"/>
  <c r="AU7" i="59"/>
  <c r="AU7" i="54"/>
  <c r="AU7" i="53"/>
  <c r="AU7" i="52"/>
  <c r="AU7" i="51"/>
  <c r="AU7" i="50"/>
  <c r="BF7" i="49"/>
  <c r="AZ124" i="49"/>
  <c r="AZ105" i="49"/>
  <c r="AZ64" i="49"/>
  <c r="AW109" i="49"/>
  <c r="AW110" i="49"/>
  <c r="AX113" i="49"/>
  <c r="AX114" i="49"/>
  <c r="AX120" i="49"/>
  <c r="AT80" i="50"/>
  <c r="AT62" i="50"/>
  <c r="BF120" i="49"/>
  <c r="BF121" i="49" s="1"/>
  <c r="BF113" i="49"/>
  <c r="AY109" i="49"/>
  <c r="AY110" i="49"/>
  <c r="AY55" i="49"/>
  <c r="AY56" i="49"/>
  <c r="AX55" i="49"/>
  <c r="AX56" i="49"/>
  <c r="AW114" i="49"/>
  <c r="AW113" i="49"/>
  <c r="AR7" i="59"/>
  <c r="AR7" i="54"/>
  <c r="AR7" i="53"/>
  <c r="AR7" i="52"/>
  <c r="AR7" i="50"/>
  <c r="AR7" i="51"/>
  <c r="BC7" i="49"/>
  <c r="AU8" i="59"/>
  <c r="AU8" i="54"/>
  <c r="AU39" i="54" s="1"/>
  <c r="AR40" i="54" s="1"/>
  <c r="AU8" i="53"/>
  <c r="AU8" i="52"/>
  <c r="AU8" i="50"/>
  <c r="AU8" i="51"/>
  <c r="BF8" i="49"/>
  <c r="AT7" i="59"/>
  <c r="AT7" i="54"/>
  <c r="AT7" i="53"/>
  <c r="AT7" i="52"/>
  <c r="AT7" i="51"/>
  <c r="AT7" i="50"/>
  <c r="BE7" i="49"/>
  <c r="AV8" i="54"/>
  <c r="AV8" i="53"/>
  <c r="AV8" i="52"/>
  <c r="AV8" i="51"/>
  <c r="AV8" i="50"/>
  <c r="BG8" i="49"/>
  <c r="AQ6" i="59"/>
  <c r="AQ6" i="54"/>
  <c r="AQ6" i="53"/>
  <c r="AQ6" i="52"/>
  <c r="AQ6" i="51"/>
  <c r="AQ6" i="50"/>
  <c r="BB6" i="49"/>
  <c r="AX64" i="49"/>
  <c r="AW55" i="49"/>
  <c r="AW56" i="49"/>
  <c r="AU9" i="7"/>
  <c r="AV9" i="7"/>
  <c r="AR8" i="7"/>
  <c r="AS8" i="7"/>
  <c r="AQ8" i="7"/>
  <c r="AQ7" i="7"/>
  <c r="AT8" i="7"/>
  <c r="AU8" i="7"/>
  <c r="BG14" i="14"/>
  <c r="BH11" i="14"/>
  <c r="BG5" i="14"/>
  <c r="BC15" i="14"/>
  <c r="BB15" i="14"/>
  <c r="BE15" i="14"/>
  <c r="BA15" i="14"/>
  <c r="BD15" i="14"/>
  <c r="AZ110" i="49" l="1"/>
  <c r="AV39" i="54"/>
  <c r="AT40" i="54"/>
  <c r="AQ40" i="54"/>
  <c r="BF124" i="49"/>
  <c r="BF125" i="49" s="1"/>
  <c r="AW8" i="59"/>
  <c r="AW8" i="60"/>
  <c r="AT89" i="59"/>
  <c r="AV30" i="59"/>
  <c r="AW31" i="59"/>
  <c r="AV90" i="59"/>
  <c r="BN64" i="50"/>
  <c r="BN63" i="50"/>
  <c r="AY105" i="49"/>
  <c r="AY124" i="49"/>
  <c r="AZ126" i="49" s="1"/>
  <c r="AZ65" i="49"/>
  <c r="AX124" i="49"/>
  <c r="AX125" i="49" s="1"/>
  <c r="AY106" i="49"/>
  <c r="AY64" i="49"/>
  <c r="AX106" i="49"/>
  <c r="AW124" i="49"/>
  <c r="AW126" i="49" s="1"/>
  <c r="AW106" i="49"/>
  <c r="AZ114" i="49"/>
  <c r="AZ122" i="49"/>
  <c r="AW105" i="49"/>
  <c r="AZ55" i="49"/>
  <c r="AY113" i="49"/>
  <c r="AY122" i="49"/>
  <c r="AY114" i="49"/>
  <c r="AZ113" i="49"/>
  <c r="AW65" i="49"/>
  <c r="AX65" i="49"/>
  <c r="AQ29" i="59"/>
  <c r="AQ88" i="59"/>
  <c r="AZ125" i="49"/>
  <c r="AR30" i="59"/>
  <c r="AQ89" i="59"/>
  <c r="AW8" i="54"/>
  <c r="AW39" i="54" s="1"/>
  <c r="AW8" i="53"/>
  <c r="AW8" i="52"/>
  <c r="AW8" i="51"/>
  <c r="AW8" i="50"/>
  <c r="BH8" i="49"/>
  <c r="AV62" i="50"/>
  <c r="AV80" i="50"/>
  <c r="BK9" i="49"/>
  <c r="BD9" i="49"/>
  <c r="BC9" i="49"/>
  <c r="BE9" i="49"/>
  <c r="BB9" i="49"/>
  <c r="AU90" i="59"/>
  <c r="AU31" i="59"/>
  <c r="AS30" i="59"/>
  <c r="AR89" i="59"/>
  <c r="AU30" i="59"/>
  <c r="AU89" i="59"/>
  <c r="AU80" i="50"/>
  <c r="AU62" i="50"/>
  <c r="AX122" i="49"/>
  <c r="AX121" i="49"/>
  <c r="AS89" i="59"/>
  <c r="AT30" i="59"/>
  <c r="AW9" i="7"/>
  <c r="BH14" i="14"/>
  <c r="BI11" i="14"/>
  <c r="BH5" i="14"/>
  <c r="AX31" i="59" l="1"/>
  <c r="AW90" i="59"/>
  <c r="AX8" i="59"/>
  <c r="AX8" i="60"/>
  <c r="AY125" i="49"/>
  <c r="AY126" i="49"/>
  <c r="AX126" i="49"/>
  <c r="AW125" i="49"/>
  <c r="AW80" i="50"/>
  <c r="AW62" i="50"/>
  <c r="AX8" i="54"/>
  <c r="AX39" i="54" s="1"/>
  <c r="AX8" i="53"/>
  <c r="AX8" i="52"/>
  <c r="AX8" i="51"/>
  <c r="AX8" i="50"/>
  <c r="BI8" i="49"/>
  <c r="AX9" i="7"/>
  <c r="BI14" i="14"/>
  <c r="BJ11" i="14"/>
  <c r="BK11" i="14"/>
  <c r="BI5" i="14"/>
  <c r="BB22" i="49" l="1"/>
  <c r="BD61" i="49"/>
  <c r="BD78" i="49"/>
  <c r="BB61" i="49"/>
  <c r="BB118" i="49"/>
  <c r="BD32" i="49"/>
  <c r="BB52" i="49"/>
  <c r="BB101" i="49"/>
  <c r="BB79" i="49"/>
  <c r="BB17" i="49"/>
  <c r="BE14" i="49"/>
  <c r="BD14" i="49"/>
  <c r="BK92" i="49"/>
  <c r="BE59" i="49"/>
  <c r="BC45" i="49"/>
  <c r="BK45" i="49"/>
  <c r="BK82" i="49"/>
  <c r="BE78" i="49"/>
  <c r="BK88" i="49"/>
  <c r="BC82" i="49"/>
  <c r="BE83" i="49"/>
  <c r="BD37" i="49"/>
  <c r="BC100" i="49"/>
  <c r="BE86" i="49"/>
  <c r="BB83" i="49"/>
  <c r="BD22" i="49"/>
  <c r="BB50" i="49"/>
  <c r="BD59" i="49"/>
  <c r="BD92" i="49"/>
  <c r="BD74" i="49"/>
  <c r="BC59" i="49"/>
  <c r="BC93" i="49"/>
  <c r="BE42" i="49"/>
  <c r="AY8" i="59"/>
  <c r="AY90" i="59" s="1"/>
  <c r="AY8" i="60"/>
  <c r="AY31" i="59"/>
  <c r="AX90" i="59"/>
  <c r="BB46" i="49"/>
  <c r="BC117" i="49"/>
  <c r="BB96" i="49"/>
  <c r="BE51" i="49"/>
  <c r="BD45" i="49"/>
  <c r="BC50" i="49"/>
  <c r="BD70" i="49"/>
  <c r="BE92" i="49"/>
  <c r="BK96" i="49"/>
  <c r="BK36" i="49"/>
  <c r="BK73" i="49"/>
  <c r="BK13" i="49"/>
  <c r="BD27" i="49"/>
  <c r="BK17" i="49"/>
  <c r="BC69" i="49"/>
  <c r="BK21" i="49"/>
  <c r="BK50" i="49"/>
  <c r="BB60" i="49"/>
  <c r="BC14" i="49"/>
  <c r="BD82" i="49"/>
  <c r="AY8" i="54"/>
  <c r="AY39" i="54" s="1"/>
  <c r="AY8" i="53"/>
  <c r="AY8" i="52"/>
  <c r="AY8" i="50"/>
  <c r="AY8" i="51"/>
  <c r="BJ8" i="49"/>
  <c r="BE47" i="49"/>
  <c r="BE32" i="49"/>
  <c r="BE31" i="49"/>
  <c r="BB25" i="49"/>
  <c r="BB26" i="49"/>
  <c r="BB104" i="49"/>
  <c r="BK52" i="49"/>
  <c r="BK100" i="49"/>
  <c r="BK112" i="49"/>
  <c r="BD21" i="49"/>
  <c r="BD87" i="49"/>
  <c r="BD86" i="49"/>
  <c r="BE100" i="49"/>
  <c r="BE101" i="49"/>
  <c r="BE112" i="49"/>
  <c r="BB31" i="49"/>
  <c r="BB69" i="49"/>
  <c r="BC86" i="49"/>
  <c r="BC87" i="49"/>
  <c r="BB73" i="49"/>
  <c r="BB74" i="49"/>
  <c r="BB100" i="49"/>
  <c r="BC26" i="49"/>
  <c r="BC25" i="49"/>
  <c r="BD33" i="49"/>
  <c r="BD31" i="49"/>
  <c r="BD68" i="49"/>
  <c r="BD96" i="49"/>
  <c r="BB86" i="49"/>
  <c r="BB87" i="49"/>
  <c r="BK31" i="49"/>
  <c r="BE18" i="49"/>
  <c r="BE46" i="49"/>
  <c r="BE45" i="49"/>
  <c r="BB13" i="49"/>
  <c r="BB14" i="49"/>
  <c r="BB78" i="49"/>
  <c r="BC68" i="49"/>
  <c r="BC96" i="49"/>
  <c r="BK86" i="49"/>
  <c r="BD36" i="49"/>
  <c r="BD100" i="49"/>
  <c r="BD112" i="49"/>
  <c r="BE25" i="49"/>
  <c r="BD17" i="49"/>
  <c r="BE22" i="49"/>
  <c r="BE21" i="49"/>
  <c r="BE50" i="49"/>
  <c r="BE87" i="49"/>
  <c r="AX80" i="50"/>
  <c r="AX62" i="50"/>
  <c r="BB82" i="49"/>
  <c r="BC36" i="49"/>
  <c r="BC74" i="49"/>
  <c r="BC73" i="49"/>
  <c r="BK25" i="49"/>
  <c r="BD13" i="49"/>
  <c r="BD54" i="49"/>
  <c r="BD41" i="49"/>
  <c r="BD117" i="49"/>
  <c r="BD108" i="49"/>
  <c r="AY9" i="7"/>
  <c r="BK14" i="14"/>
  <c r="BL11" i="14"/>
  <c r="BK5" i="14"/>
  <c r="BJ14" i="14"/>
  <c r="BI4" i="14"/>
  <c r="BJ5" i="14"/>
  <c r="BF4" i="14"/>
  <c r="BJ4" i="14"/>
  <c r="BG4" i="14"/>
  <c r="BF3" i="14"/>
  <c r="BH4" i="14"/>
  <c r="BC70" i="49" l="1"/>
  <c r="BB108" i="49"/>
  <c r="BB110" i="49" s="1"/>
  <c r="BB18" i="49"/>
  <c r="BE17" i="49"/>
  <c r="BD97" i="49"/>
  <c r="BC13" i="49"/>
  <c r="BD42" i="49"/>
  <c r="BC101" i="49"/>
  <c r="BB112" i="49"/>
  <c r="BE13" i="49"/>
  <c r="BD18" i="49"/>
  <c r="BD38" i="49"/>
  <c r="BC88" i="49"/>
  <c r="BK104" i="49"/>
  <c r="BC33" i="49"/>
  <c r="BE118" i="49"/>
  <c r="BD83" i="49"/>
  <c r="BK108" i="49"/>
  <c r="BK109" i="49" s="1"/>
  <c r="BE36" i="49"/>
  <c r="BC42" i="49"/>
  <c r="BK117" i="49"/>
  <c r="BK38" i="49"/>
  <c r="BE37" i="49"/>
  <c r="BK27" i="49"/>
  <c r="BK33" i="49"/>
  <c r="BK41" i="49"/>
  <c r="BC41" i="49"/>
  <c r="BE69" i="49"/>
  <c r="BE97" i="49"/>
  <c r="BE60" i="49"/>
  <c r="BK78" i="49"/>
  <c r="BC18" i="49"/>
  <c r="BK63" i="49"/>
  <c r="BK64" i="49" s="1"/>
  <c r="AV6" i="60"/>
  <c r="AV6" i="59"/>
  <c r="AW7" i="60"/>
  <c r="AW7" i="59"/>
  <c r="BL8" i="49"/>
  <c r="BA8" i="60"/>
  <c r="BC37" i="49"/>
  <c r="BD79" i="49"/>
  <c r="AZ7" i="60"/>
  <c r="AZ7" i="59"/>
  <c r="AV7" i="59"/>
  <c r="AZ8" i="59"/>
  <c r="AZ8" i="60"/>
  <c r="BB37" i="49"/>
  <c r="BB51" i="49"/>
  <c r="BB92" i="49"/>
  <c r="AX7" i="60"/>
  <c r="AX7" i="59"/>
  <c r="AY7" i="60"/>
  <c r="AY7" i="59"/>
  <c r="AY89" i="59" s="1"/>
  <c r="BB36" i="49"/>
  <c r="BE88" i="49"/>
  <c r="BD118" i="49"/>
  <c r="BC112" i="49"/>
  <c r="BC120" i="49" s="1"/>
  <c r="BC121" i="49" s="1"/>
  <c r="BE27" i="49"/>
  <c r="BC97" i="49"/>
  <c r="BE41" i="49"/>
  <c r="BD50" i="49"/>
  <c r="BE74" i="49"/>
  <c r="BC108" i="49"/>
  <c r="BC110" i="49" s="1"/>
  <c r="BD52" i="49"/>
  <c r="BB97" i="49"/>
  <c r="BB93" i="49"/>
  <c r="BD101" i="49"/>
  <c r="BE33" i="49"/>
  <c r="BD73" i="49"/>
  <c r="BC92" i="49"/>
  <c r="BB32" i="49"/>
  <c r="BE70" i="49"/>
  <c r="BE79" i="49"/>
  <c r="BE68" i="49"/>
  <c r="BC31" i="49"/>
  <c r="BC38" i="49"/>
  <c r="BC32" i="49"/>
  <c r="BE82" i="49"/>
  <c r="BC27" i="49"/>
  <c r="BC17" i="49"/>
  <c r="BB47" i="49"/>
  <c r="BE117" i="49"/>
  <c r="BC47" i="49"/>
  <c r="BK113" i="49"/>
  <c r="BB41" i="49"/>
  <c r="BE63" i="49"/>
  <c r="BE64" i="49" s="1"/>
  <c r="BE108" i="49"/>
  <c r="BE109" i="49" s="1"/>
  <c r="BD63" i="49"/>
  <c r="BD64" i="49" s="1"/>
  <c r="BE52" i="49"/>
  <c r="BC83" i="49"/>
  <c r="BB27" i="49"/>
  <c r="BB42" i="49"/>
  <c r="BB21" i="49"/>
  <c r="BE38" i="49"/>
  <c r="BB88" i="49"/>
  <c r="BB38" i="49"/>
  <c r="BE54" i="49"/>
  <c r="BE56" i="49" s="1"/>
  <c r="BB33" i="49"/>
  <c r="BE73" i="49"/>
  <c r="BD51" i="49"/>
  <c r="BE61" i="49"/>
  <c r="BD69" i="49"/>
  <c r="BC51" i="49"/>
  <c r="BE96" i="49"/>
  <c r="BC52" i="49"/>
  <c r="AV7" i="60"/>
  <c r="BB45" i="49"/>
  <c r="BE26" i="49"/>
  <c r="BB117" i="49"/>
  <c r="BC60" i="49"/>
  <c r="BD93" i="49"/>
  <c r="BD60" i="49"/>
  <c r="BB68" i="49"/>
  <c r="BB59" i="49"/>
  <c r="BC79" i="49"/>
  <c r="BK59" i="49"/>
  <c r="BC63" i="49"/>
  <c r="BD25" i="49"/>
  <c r="BK54" i="49"/>
  <c r="BC21" i="49"/>
  <c r="BD46" i="49"/>
  <c r="BB70" i="49"/>
  <c r="BD88" i="49"/>
  <c r="BK61" i="49"/>
  <c r="BC54" i="49"/>
  <c r="BD47" i="49"/>
  <c r="BC61" i="49"/>
  <c r="BD104" i="49"/>
  <c r="BD105" i="49" s="1"/>
  <c r="BD26" i="49"/>
  <c r="BC22" i="49"/>
  <c r="BE93" i="49"/>
  <c r="BK70" i="49"/>
  <c r="BC104" i="49"/>
  <c r="BC124" i="49" s="1"/>
  <c r="BC118" i="49"/>
  <c r="BC78" i="49"/>
  <c r="BB63" i="49"/>
  <c r="BB64" i="49" s="1"/>
  <c r="BE104" i="49"/>
  <c r="BE124" i="49" s="1"/>
  <c r="BE125" i="49" s="1"/>
  <c r="BB54" i="49"/>
  <c r="BB55" i="49" s="1"/>
  <c r="BK47" i="49"/>
  <c r="BK68" i="49"/>
  <c r="BC46" i="49"/>
  <c r="AX7" i="54"/>
  <c r="AX7" i="53"/>
  <c r="AX7" i="52"/>
  <c r="AX7" i="50"/>
  <c r="AX7" i="51"/>
  <c r="BI7" i="49"/>
  <c r="AY7" i="54"/>
  <c r="AY7" i="53"/>
  <c r="AY7" i="52"/>
  <c r="AY7" i="51"/>
  <c r="AY7" i="50"/>
  <c r="BJ7" i="49"/>
  <c r="BK124" i="49"/>
  <c r="BK105" i="49"/>
  <c r="BB124" i="49"/>
  <c r="BB105" i="49"/>
  <c r="BB106" i="49"/>
  <c r="AZ8" i="54"/>
  <c r="AZ39" i="54" s="1"/>
  <c r="AZ8" i="53"/>
  <c r="AZ8" i="52"/>
  <c r="AZ8" i="50"/>
  <c r="AZ8" i="51"/>
  <c r="BK8" i="49"/>
  <c r="BP9" i="49" s="1"/>
  <c r="AV6" i="54"/>
  <c r="AV6" i="53"/>
  <c r="AV6" i="52"/>
  <c r="AV6" i="50"/>
  <c r="AV6" i="51"/>
  <c r="BG6" i="49"/>
  <c r="BB120" i="49"/>
  <c r="BB113" i="49"/>
  <c r="BB114" i="49"/>
  <c r="BA8" i="53"/>
  <c r="BA8" i="52"/>
  <c r="BA8" i="50"/>
  <c r="BA8" i="51"/>
  <c r="BA8" i="54"/>
  <c r="BA9" i="7"/>
  <c r="BD55" i="49"/>
  <c r="AZ7" i="54"/>
  <c r="AZ7" i="53"/>
  <c r="AZ7" i="52"/>
  <c r="AZ7" i="50"/>
  <c r="AZ7" i="51"/>
  <c r="BK7" i="49"/>
  <c r="BD120" i="49"/>
  <c r="BD113" i="49"/>
  <c r="BK120" i="49"/>
  <c r="AW7" i="54"/>
  <c r="AW7" i="53"/>
  <c r="AW7" i="52"/>
  <c r="AW7" i="50"/>
  <c r="AW7" i="51"/>
  <c r="BH7" i="49"/>
  <c r="BD109" i="49"/>
  <c r="AV7" i="54"/>
  <c r="AV7" i="53"/>
  <c r="AV7" i="52"/>
  <c r="AV7" i="51"/>
  <c r="AV7" i="50"/>
  <c r="BG7" i="49"/>
  <c r="BE120" i="49"/>
  <c r="BE114" i="49"/>
  <c r="BE113" i="49"/>
  <c r="AY62" i="50"/>
  <c r="AY80" i="50"/>
  <c r="AZ9" i="7"/>
  <c r="AX8" i="7"/>
  <c r="AW8" i="7"/>
  <c r="AV8" i="7"/>
  <c r="AV7" i="7"/>
  <c r="AY8" i="7"/>
  <c r="AZ8" i="7"/>
  <c r="BG15" i="14"/>
  <c r="BJ15" i="14"/>
  <c r="BF15" i="14"/>
  <c r="BI15" i="14"/>
  <c r="BH15" i="14"/>
  <c r="BM11" i="14"/>
  <c r="BL5" i="14"/>
  <c r="BL14" i="14"/>
  <c r="BB109" i="49" l="1"/>
  <c r="BA39" i="54"/>
  <c r="BD110" i="49"/>
  <c r="BC114" i="49"/>
  <c r="BC113" i="49"/>
  <c r="BC109" i="49"/>
  <c r="BD114" i="49"/>
  <c r="BC122" i="49"/>
  <c r="BE55" i="49"/>
  <c r="BE65" i="49"/>
  <c r="AW30" i="59"/>
  <c r="AV89" i="59"/>
  <c r="AZ30" i="59"/>
  <c r="AZ89" i="59"/>
  <c r="AX30" i="59"/>
  <c r="AW89" i="59"/>
  <c r="BD65" i="49"/>
  <c r="AV40" i="54"/>
  <c r="AW40" i="54"/>
  <c r="AX40" i="54"/>
  <c r="AX89" i="59"/>
  <c r="AY30" i="59"/>
  <c r="AY40" i="54"/>
  <c r="AV29" i="59"/>
  <c r="AV88" i="59"/>
  <c r="BM8" i="49"/>
  <c r="BB8" i="60"/>
  <c r="AZ90" i="59"/>
  <c r="AZ31" i="59"/>
  <c r="BB56" i="49"/>
  <c r="BC56" i="49"/>
  <c r="BC105" i="49"/>
  <c r="BE110" i="49"/>
  <c r="BK125" i="49"/>
  <c r="BK121" i="49"/>
  <c r="BK55" i="49"/>
  <c r="BC55" i="49"/>
  <c r="BE105" i="49"/>
  <c r="BD56" i="49"/>
  <c r="BE106" i="49"/>
  <c r="BD124" i="49"/>
  <c r="BE126" i="49" s="1"/>
  <c r="BC106" i="49"/>
  <c r="BD106" i="49"/>
  <c r="BC65" i="49"/>
  <c r="BB65" i="49"/>
  <c r="BC64" i="49"/>
  <c r="BI9" i="49"/>
  <c r="BG9" i="49"/>
  <c r="BJ9" i="49"/>
  <c r="BH9" i="49"/>
  <c r="BA62" i="50"/>
  <c r="BA80" i="50"/>
  <c r="BB121" i="49"/>
  <c r="BB122" i="49"/>
  <c r="AZ80" i="50"/>
  <c r="AZ62" i="50"/>
  <c r="BB126" i="49"/>
  <c r="BB125" i="49"/>
  <c r="BE122" i="49"/>
  <c r="BE121" i="49"/>
  <c r="BC126" i="49"/>
  <c r="BC125" i="49"/>
  <c r="BB8" i="50"/>
  <c r="BB8" i="51"/>
  <c r="BB8" i="53"/>
  <c r="BB8" i="54"/>
  <c r="BB39" i="54" s="1"/>
  <c r="BB8" i="52"/>
  <c r="BB9" i="7"/>
  <c r="BD122" i="49"/>
  <c r="BD121" i="49"/>
  <c r="BM14" i="14"/>
  <c r="BN11" i="14"/>
  <c r="BM5" i="14"/>
  <c r="BP17" i="49" l="1"/>
  <c r="BP45" i="49"/>
  <c r="BP82" i="49"/>
  <c r="BP117" i="49"/>
  <c r="BP108" i="49"/>
  <c r="BP109" i="49" s="1"/>
  <c r="BP21" i="49"/>
  <c r="BP50" i="49"/>
  <c r="BP13" i="49"/>
  <c r="BP96" i="49"/>
  <c r="BP78" i="49"/>
  <c r="BP73" i="49"/>
  <c r="BN8" i="49"/>
  <c r="BC8" i="60"/>
  <c r="BD126" i="49"/>
  <c r="BD125" i="49"/>
  <c r="BB62" i="50"/>
  <c r="BB80" i="50"/>
  <c r="BC8" i="50"/>
  <c r="BC8" i="53"/>
  <c r="BC8" i="52"/>
  <c r="BC8" i="51"/>
  <c r="BC8" i="54"/>
  <c r="BC39" i="54" s="1"/>
  <c r="BC9" i="7"/>
  <c r="BP11" i="14"/>
  <c r="BN14" i="14"/>
  <c r="BN5" i="14"/>
  <c r="BO11" i="14"/>
  <c r="BJ22" i="49" l="1"/>
  <c r="BH51" i="49"/>
  <c r="BI70" i="49"/>
  <c r="BH25" i="49"/>
  <c r="BI33" i="49"/>
  <c r="BJ50" i="49"/>
  <c r="BG27" i="49"/>
  <c r="BG68" i="49"/>
  <c r="BI50" i="49"/>
  <c r="BH108" i="49"/>
  <c r="BJ101" i="49"/>
  <c r="BH22" i="49"/>
  <c r="BI45" i="49"/>
  <c r="BJ33" i="49"/>
  <c r="BJ73" i="49"/>
  <c r="BH68" i="49"/>
  <c r="BJ86" i="49"/>
  <c r="BJ104" i="49"/>
  <c r="BJ78" i="49"/>
  <c r="BI93" i="49"/>
  <c r="BO8" i="49"/>
  <c r="BD8" i="60"/>
  <c r="BP112" i="49"/>
  <c r="BP113" i="49" s="1"/>
  <c r="BP100" i="49"/>
  <c r="BP38" i="49"/>
  <c r="BP36" i="49"/>
  <c r="BP52" i="49"/>
  <c r="BP68" i="49"/>
  <c r="BP70" i="49"/>
  <c r="BP31" i="49"/>
  <c r="BP33" i="49"/>
  <c r="BP47" i="49"/>
  <c r="BP104" i="49"/>
  <c r="BP105" i="49" s="1"/>
  <c r="BP92" i="49"/>
  <c r="BP61" i="49"/>
  <c r="BP59" i="49"/>
  <c r="BP63" i="49"/>
  <c r="BP64" i="49" s="1"/>
  <c r="BP27" i="49"/>
  <c r="BP25" i="49"/>
  <c r="BP86" i="49"/>
  <c r="BP88" i="49"/>
  <c r="BP54" i="49"/>
  <c r="BP55" i="49" s="1"/>
  <c r="BP41" i="49"/>
  <c r="BI18" i="49"/>
  <c r="BH97" i="49"/>
  <c r="BH86" i="49"/>
  <c r="BI73" i="49"/>
  <c r="BG36" i="49"/>
  <c r="BJ36" i="49"/>
  <c r="BI61" i="49"/>
  <c r="BG74" i="49"/>
  <c r="BJ69" i="49"/>
  <c r="BH79" i="49"/>
  <c r="BG117" i="49"/>
  <c r="BG17" i="49"/>
  <c r="BH46" i="49"/>
  <c r="BH83" i="49"/>
  <c r="BH52" i="49"/>
  <c r="BI26" i="49"/>
  <c r="BJ47" i="49"/>
  <c r="BJ83" i="49"/>
  <c r="BH14" i="49"/>
  <c r="BI117" i="49"/>
  <c r="BJ97" i="49"/>
  <c r="BG13" i="49"/>
  <c r="BJ61" i="49"/>
  <c r="BJ118" i="49"/>
  <c r="BI78" i="49"/>
  <c r="BG101" i="49"/>
  <c r="BJ18" i="49"/>
  <c r="BI88" i="49"/>
  <c r="BI36" i="49"/>
  <c r="BJ25" i="49"/>
  <c r="BH50" i="49"/>
  <c r="BG118" i="49"/>
  <c r="BI14" i="49"/>
  <c r="BH59" i="49"/>
  <c r="BG37" i="49"/>
  <c r="BG100" i="49"/>
  <c r="BH63" i="49"/>
  <c r="BI101" i="49"/>
  <c r="BI100" i="49"/>
  <c r="BI112" i="49"/>
  <c r="BJ92" i="49"/>
  <c r="BI46" i="49"/>
  <c r="BI82" i="49"/>
  <c r="BI83" i="49"/>
  <c r="BG14" i="49"/>
  <c r="BJ37" i="49"/>
  <c r="BH31" i="49"/>
  <c r="BG46" i="49"/>
  <c r="BJ13" i="49"/>
  <c r="BJ41" i="49"/>
  <c r="BH74" i="49"/>
  <c r="BH101" i="49"/>
  <c r="BH112" i="49"/>
  <c r="BH100" i="49"/>
  <c r="BC62" i="50"/>
  <c r="BC80" i="50"/>
  <c r="BG32" i="49"/>
  <c r="BH21" i="49"/>
  <c r="BD8" i="51"/>
  <c r="BD8" i="50"/>
  <c r="BD8" i="54"/>
  <c r="BD39" i="54" s="1"/>
  <c r="BD8" i="53"/>
  <c r="BD8" i="52"/>
  <c r="BD9" i="7"/>
  <c r="BI22" i="49"/>
  <c r="BI25" i="49"/>
  <c r="BI63" i="49"/>
  <c r="BI92" i="49"/>
  <c r="BG50" i="49"/>
  <c r="BG51" i="49"/>
  <c r="BG87" i="49"/>
  <c r="BG86" i="49"/>
  <c r="BH54" i="49"/>
  <c r="BH78" i="49"/>
  <c r="BH117" i="49"/>
  <c r="BI17" i="49"/>
  <c r="BI47" i="49"/>
  <c r="BI31" i="49"/>
  <c r="BG104" i="49"/>
  <c r="BG93" i="49"/>
  <c r="BG92" i="49"/>
  <c r="BJ51" i="49"/>
  <c r="BH45" i="49"/>
  <c r="BH82" i="49"/>
  <c r="BO14" i="14"/>
  <c r="BO5" i="14"/>
  <c r="BM4" i="14"/>
  <c r="BK4" i="14"/>
  <c r="BK3" i="14"/>
  <c r="BO4" i="14"/>
  <c r="BN4" i="14"/>
  <c r="BL4" i="14"/>
  <c r="BP14" i="14"/>
  <c r="BP5" i="14"/>
  <c r="BF8" i="60" s="1"/>
  <c r="BQ11" i="14"/>
  <c r="BI21" i="49" l="1"/>
  <c r="BG47" i="49"/>
  <c r="BP120" i="49"/>
  <c r="BP121" i="49" s="1"/>
  <c r="BG61" i="49"/>
  <c r="BH41" i="49"/>
  <c r="BJ52" i="49"/>
  <c r="BH61" i="49"/>
  <c r="BG59" i="49"/>
  <c r="BH27" i="49"/>
  <c r="BG69" i="49"/>
  <c r="BG22" i="49"/>
  <c r="BG63" i="49"/>
  <c r="BG64" i="49" s="1"/>
  <c r="BP124" i="49"/>
  <c r="BP125" i="49" s="1"/>
  <c r="BG60" i="49"/>
  <c r="BI104" i="49"/>
  <c r="BI124" i="49" s="1"/>
  <c r="BI125" i="49" s="1"/>
  <c r="BP8" i="49"/>
  <c r="BE8" i="60"/>
  <c r="BJ112" i="49"/>
  <c r="BJ114" i="49" s="1"/>
  <c r="BG52" i="49"/>
  <c r="BG45" i="49"/>
  <c r="BJ38" i="49"/>
  <c r="BH88" i="49"/>
  <c r="BH13" i="49"/>
  <c r="BI27" i="49"/>
  <c r="BH36" i="49"/>
  <c r="BG88" i="49"/>
  <c r="BH37" i="49"/>
  <c r="BJ68" i="49"/>
  <c r="BG96" i="49"/>
  <c r="BH38" i="49"/>
  <c r="BG97" i="49"/>
  <c r="BI51" i="49"/>
  <c r="BJ100" i="49"/>
  <c r="BH32" i="49"/>
  <c r="BI68" i="49"/>
  <c r="BJ82" i="49"/>
  <c r="BG31" i="49"/>
  <c r="BJ93" i="49"/>
  <c r="BG73" i="49"/>
  <c r="BE7" i="60"/>
  <c r="BP7" i="49"/>
  <c r="BA6" i="60"/>
  <c r="BL6" i="49"/>
  <c r="BC7" i="60"/>
  <c r="BN7" i="49"/>
  <c r="BB7" i="60"/>
  <c r="BM7" i="49"/>
  <c r="BA7" i="60"/>
  <c r="BL7" i="49"/>
  <c r="BD7" i="60"/>
  <c r="BO7" i="49"/>
  <c r="BG70" i="49"/>
  <c r="BG38" i="49"/>
  <c r="BI52" i="49"/>
  <c r="BJ88" i="49"/>
  <c r="BJ54" i="49"/>
  <c r="BJ55" i="49" s="1"/>
  <c r="BH18" i="49"/>
  <c r="BI87" i="49"/>
  <c r="BG26" i="49"/>
  <c r="BH42" i="49"/>
  <c r="BG21" i="49"/>
  <c r="BI86" i="49"/>
  <c r="BI32" i="49"/>
  <c r="BG33" i="49"/>
  <c r="BH69" i="49"/>
  <c r="BG41" i="49"/>
  <c r="BG42" i="49"/>
  <c r="BH17" i="49"/>
  <c r="BG25" i="49"/>
  <c r="BH70" i="49"/>
  <c r="BJ74" i="49"/>
  <c r="BJ117" i="49"/>
  <c r="BG78" i="49"/>
  <c r="BH26" i="49"/>
  <c r="BJ96" i="49"/>
  <c r="BI74" i="49"/>
  <c r="BI69" i="49"/>
  <c r="BJ108" i="49"/>
  <c r="BJ109" i="49" s="1"/>
  <c r="BG79" i="49"/>
  <c r="BJ59" i="49"/>
  <c r="BJ17" i="49"/>
  <c r="BG18" i="49"/>
  <c r="BJ31" i="49"/>
  <c r="BJ63" i="49"/>
  <c r="BJ64" i="49" s="1"/>
  <c r="BH73" i="49"/>
  <c r="BG83" i="49"/>
  <c r="BH96" i="49"/>
  <c r="BJ70" i="49"/>
  <c r="BG112" i="49"/>
  <c r="BG120" i="49" s="1"/>
  <c r="BI54" i="49"/>
  <c r="BI55" i="49" s="1"/>
  <c r="BH87" i="49"/>
  <c r="BJ26" i="49"/>
  <c r="BG82" i="49"/>
  <c r="BI79" i="49"/>
  <c r="BJ27" i="49"/>
  <c r="BH33" i="49"/>
  <c r="BG54" i="49"/>
  <c r="BH56" i="49" s="1"/>
  <c r="BI60" i="49"/>
  <c r="BJ79" i="49"/>
  <c r="BJ45" i="49"/>
  <c r="BJ87" i="49"/>
  <c r="BJ21" i="49"/>
  <c r="BI97" i="49"/>
  <c r="BJ46" i="49"/>
  <c r="BI59" i="49"/>
  <c r="BH104" i="49"/>
  <c r="BH105" i="49" s="1"/>
  <c r="BI42" i="49"/>
  <c r="BI37" i="49"/>
  <c r="BJ60" i="49"/>
  <c r="BI96" i="49"/>
  <c r="BH118" i="49"/>
  <c r="BH92" i="49"/>
  <c r="BI13" i="49"/>
  <c r="BI108" i="49"/>
  <c r="BI109" i="49" s="1"/>
  <c r="BJ14" i="49"/>
  <c r="BH47" i="49"/>
  <c r="BH93" i="49"/>
  <c r="BH60" i="49"/>
  <c r="BJ32" i="49"/>
  <c r="BI118" i="49"/>
  <c r="BJ42" i="49"/>
  <c r="BG108" i="49"/>
  <c r="BG110" i="49" s="1"/>
  <c r="BI41" i="49"/>
  <c r="BI38" i="49"/>
  <c r="BB7" i="50"/>
  <c r="BB7" i="51"/>
  <c r="BB7" i="54"/>
  <c r="BB7" i="52"/>
  <c r="BB7" i="53"/>
  <c r="BD7" i="54"/>
  <c r="BD7" i="50"/>
  <c r="BD7" i="53"/>
  <c r="BD7" i="52"/>
  <c r="BD7" i="51"/>
  <c r="BI113" i="49"/>
  <c r="BI114" i="49"/>
  <c r="BE7" i="53"/>
  <c r="BE7" i="52"/>
  <c r="BE7" i="50"/>
  <c r="BE7" i="51"/>
  <c r="BE7" i="54"/>
  <c r="BH109" i="49"/>
  <c r="BH55" i="49"/>
  <c r="BI120" i="49"/>
  <c r="BJ124" i="49"/>
  <c r="BJ125" i="49" s="1"/>
  <c r="BJ105" i="49"/>
  <c r="BH64" i="49"/>
  <c r="BE8" i="54"/>
  <c r="BE39" i="54" s="1"/>
  <c r="BE8" i="51"/>
  <c r="BE8" i="53"/>
  <c r="BE8" i="52"/>
  <c r="BE8" i="50"/>
  <c r="BE9" i="7"/>
  <c r="BA6" i="53"/>
  <c r="BA6" i="52"/>
  <c r="BA6" i="50"/>
  <c r="BA6" i="54"/>
  <c r="BA6" i="51"/>
  <c r="BF8" i="51"/>
  <c r="BF8" i="52"/>
  <c r="BF8" i="53"/>
  <c r="BF8" i="50"/>
  <c r="BF8" i="54"/>
  <c r="BF9" i="7"/>
  <c r="BD62" i="50"/>
  <c r="BD80" i="50"/>
  <c r="BG124" i="49"/>
  <c r="BG106" i="49"/>
  <c r="BG105" i="49"/>
  <c r="BI64" i="49"/>
  <c r="BI65" i="49"/>
  <c r="BA7" i="50"/>
  <c r="BA7" i="53"/>
  <c r="BA7" i="51"/>
  <c r="BA7" i="52"/>
  <c r="BA7" i="54"/>
  <c r="BC7" i="51"/>
  <c r="BC7" i="54"/>
  <c r="BC7" i="52"/>
  <c r="BC7" i="50"/>
  <c r="BC7" i="53"/>
  <c r="BH120" i="49"/>
  <c r="BH113" i="49"/>
  <c r="BJ120" i="49"/>
  <c r="BC8" i="7"/>
  <c r="BB8" i="7"/>
  <c r="BA7" i="7"/>
  <c r="BD8" i="7"/>
  <c r="BE8" i="7"/>
  <c r="BA8" i="7"/>
  <c r="BQ14" i="14"/>
  <c r="BR11" i="14"/>
  <c r="BQ5" i="14"/>
  <c r="BG8" i="60" s="1"/>
  <c r="BO15" i="14"/>
  <c r="BK15" i="14"/>
  <c r="BN15" i="14"/>
  <c r="BM15" i="14"/>
  <c r="BL15" i="14"/>
  <c r="BH65" i="49" l="1"/>
  <c r="BF39" i="54"/>
  <c r="BG65" i="49"/>
  <c r="BF80" i="50"/>
  <c r="BM9" i="49"/>
  <c r="BO9" i="49"/>
  <c r="BN9" i="49"/>
  <c r="BJ113" i="49"/>
  <c r="BJ106" i="49"/>
  <c r="BI105" i="49"/>
  <c r="BA40" i="54"/>
  <c r="BB40" i="54"/>
  <c r="BC40" i="54"/>
  <c r="BD40" i="54"/>
  <c r="BL9" i="49"/>
  <c r="BH124" i="49"/>
  <c r="BI126" i="49" s="1"/>
  <c r="BJ110" i="49"/>
  <c r="BG56" i="49"/>
  <c r="BG55" i="49"/>
  <c r="BJ56" i="49"/>
  <c r="BI56" i="49"/>
  <c r="BH110" i="49"/>
  <c r="BG109" i="49"/>
  <c r="BI110" i="49"/>
  <c r="BJ65" i="49"/>
  <c r="BI106" i="49"/>
  <c r="BH106" i="49"/>
  <c r="BH114" i="49"/>
  <c r="BG114" i="49"/>
  <c r="BG113" i="49"/>
  <c r="BJ126" i="49"/>
  <c r="BH122" i="49"/>
  <c r="BH121" i="49"/>
  <c r="BF62" i="50"/>
  <c r="BG125" i="49"/>
  <c r="BG126" i="49"/>
  <c r="BI121" i="49"/>
  <c r="BI122" i="49"/>
  <c r="BG8" i="51"/>
  <c r="BG8" i="52"/>
  <c r="BG8" i="53"/>
  <c r="BG8" i="54"/>
  <c r="BG39" i="54" s="1"/>
  <c r="BG8" i="50"/>
  <c r="BG80" i="50" s="1"/>
  <c r="BG9" i="7"/>
  <c r="BJ121" i="49"/>
  <c r="BJ122" i="49"/>
  <c r="BE80" i="50"/>
  <c r="BE62" i="50"/>
  <c r="BG122" i="49"/>
  <c r="BG121" i="49"/>
  <c r="BR14" i="14"/>
  <c r="BS11" i="14"/>
  <c r="BR5" i="14"/>
  <c r="BH8" i="60" s="1"/>
  <c r="BH125" i="49" l="1"/>
  <c r="BH126" i="49"/>
  <c r="BG62" i="50"/>
  <c r="BH8" i="53"/>
  <c r="BH8" i="54"/>
  <c r="BH39" i="54" s="1"/>
  <c r="BH8" i="50"/>
  <c r="BH80" i="50" s="1"/>
  <c r="BH8" i="51"/>
  <c r="BH8" i="52"/>
  <c r="BH9" i="7"/>
  <c r="BS14" i="14"/>
  <c r="BT11" i="14"/>
  <c r="BU11" i="14"/>
  <c r="BS5" i="14"/>
  <c r="BI8" i="60" s="1"/>
  <c r="BL104" i="49" l="1"/>
  <c r="BN82" i="49"/>
  <c r="BN87" i="49"/>
  <c r="BN38" i="49"/>
  <c r="BM14" i="49"/>
  <c r="BL46" i="49"/>
  <c r="BM74" i="49"/>
  <c r="BN18" i="49"/>
  <c r="BN52" i="49"/>
  <c r="BN79" i="49"/>
  <c r="BM83" i="49"/>
  <c r="BL70" i="49"/>
  <c r="BL50" i="49"/>
  <c r="BL118" i="49"/>
  <c r="BO47" i="49"/>
  <c r="BN45" i="49"/>
  <c r="BO88" i="49"/>
  <c r="BL79" i="49"/>
  <c r="BL60" i="49"/>
  <c r="BM18" i="49"/>
  <c r="BL86" i="49"/>
  <c r="BO14" i="49"/>
  <c r="BO13" i="49"/>
  <c r="BO92" i="49"/>
  <c r="BO104" i="49"/>
  <c r="BO93" i="49"/>
  <c r="BL97" i="49"/>
  <c r="BL96" i="49"/>
  <c r="BM17" i="49"/>
  <c r="BN26" i="49"/>
  <c r="BN25" i="49"/>
  <c r="BM73" i="49"/>
  <c r="BN59" i="49"/>
  <c r="BN60" i="49"/>
  <c r="BN63" i="49"/>
  <c r="BM27" i="49"/>
  <c r="BM26" i="49"/>
  <c r="BM25" i="49"/>
  <c r="BM45" i="49"/>
  <c r="BL17" i="49"/>
  <c r="BL18" i="49"/>
  <c r="BO78" i="49"/>
  <c r="BO25" i="49"/>
  <c r="BO27" i="49"/>
  <c r="BO26" i="49"/>
  <c r="BM59" i="49"/>
  <c r="BM63" i="49"/>
  <c r="BM61" i="49"/>
  <c r="BN13" i="49"/>
  <c r="BN14" i="49"/>
  <c r="BM92" i="49"/>
  <c r="BM13" i="49"/>
  <c r="BL51" i="49"/>
  <c r="BM22" i="49"/>
  <c r="BM21" i="49"/>
  <c r="BL117" i="49"/>
  <c r="BO86" i="49"/>
  <c r="BN118" i="49"/>
  <c r="BN117" i="49"/>
  <c r="BL37" i="49"/>
  <c r="BL38" i="49"/>
  <c r="BL36" i="49"/>
  <c r="BL69" i="49"/>
  <c r="BO22" i="49"/>
  <c r="BO21" i="49"/>
  <c r="BO112" i="49"/>
  <c r="BO120" i="49" s="1"/>
  <c r="BO100" i="49"/>
  <c r="BO101" i="49"/>
  <c r="BO82" i="49"/>
  <c r="BL13" i="49"/>
  <c r="BL14" i="49"/>
  <c r="BO97" i="49"/>
  <c r="BO96" i="49"/>
  <c r="BN32" i="49"/>
  <c r="BN31" i="49"/>
  <c r="BN36" i="49"/>
  <c r="BN37" i="49"/>
  <c r="BM78" i="49"/>
  <c r="BM96" i="49"/>
  <c r="BM97" i="49"/>
  <c r="BN68" i="49"/>
  <c r="BN69" i="49"/>
  <c r="BL112" i="49"/>
  <c r="BL120" i="49" s="1"/>
  <c r="BL100" i="49"/>
  <c r="BL101" i="49"/>
  <c r="BO17" i="49"/>
  <c r="BL42" i="49"/>
  <c r="BL41" i="49"/>
  <c r="BO54" i="49"/>
  <c r="BO41" i="49"/>
  <c r="BL21" i="49"/>
  <c r="BL22" i="49"/>
  <c r="BO70" i="49"/>
  <c r="BO68" i="49"/>
  <c r="BO69" i="49"/>
  <c r="BL93" i="49"/>
  <c r="BO60" i="49"/>
  <c r="BO61" i="49"/>
  <c r="BO59" i="49"/>
  <c r="BO63" i="49"/>
  <c r="BN92" i="49"/>
  <c r="BN93" i="49"/>
  <c r="BN104" i="49"/>
  <c r="BM70" i="49"/>
  <c r="BM68" i="49"/>
  <c r="BN74" i="49"/>
  <c r="BN73" i="49"/>
  <c r="BM54" i="49"/>
  <c r="BM42" i="49"/>
  <c r="BM41" i="49"/>
  <c r="BN96" i="49"/>
  <c r="BN97" i="49"/>
  <c r="BM52" i="49"/>
  <c r="BM38" i="49"/>
  <c r="BM36" i="49"/>
  <c r="BM37" i="49"/>
  <c r="BN22" i="49"/>
  <c r="BN21" i="49"/>
  <c r="BM82" i="49"/>
  <c r="BO36" i="49"/>
  <c r="BO38" i="49"/>
  <c r="BO37" i="49"/>
  <c r="BL26" i="49"/>
  <c r="BL27" i="49"/>
  <c r="BL25" i="49"/>
  <c r="BO118" i="49"/>
  <c r="BO117" i="49"/>
  <c r="BO108" i="49"/>
  <c r="BL32" i="49"/>
  <c r="BL33" i="49"/>
  <c r="BL31" i="49"/>
  <c r="BN50" i="49"/>
  <c r="BM108" i="49"/>
  <c r="BM117" i="49"/>
  <c r="BN86" i="49"/>
  <c r="BM100" i="49"/>
  <c r="BM101" i="49"/>
  <c r="BM112" i="49"/>
  <c r="BM120" i="49" s="1"/>
  <c r="BM86" i="49"/>
  <c r="BM88" i="49"/>
  <c r="BM87" i="49"/>
  <c r="BM47" i="49"/>
  <c r="BM33" i="49"/>
  <c r="BM31" i="49"/>
  <c r="BM32" i="49"/>
  <c r="BN101" i="49"/>
  <c r="BN112" i="49"/>
  <c r="BN100" i="49"/>
  <c r="BM50" i="49"/>
  <c r="BO32" i="49"/>
  <c r="BO31" i="49"/>
  <c r="BO33" i="49"/>
  <c r="BO74" i="49"/>
  <c r="BO73" i="49"/>
  <c r="BH62" i="50"/>
  <c r="BI8" i="54"/>
  <c r="BI39" i="54" s="1"/>
  <c r="BI8" i="53"/>
  <c r="BI8" i="50"/>
  <c r="BI80" i="50" s="1"/>
  <c r="BI8" i="51"/>
  <c r="BI8" i="52"/>
  <c r="BI9" i="7"/>
  <c r="BU14" i="14"/>
  <c r="BV11" i="14"/>
  <c r="BU5" i="14"/>
  <c r="BQ4" i="14"/>
  <c r="BG7" i="60" s="1"/>
  <c r="BT14" i="14"/>
  <c r="BP4" i="14"/>
  <c r="BP3" i="14"/>
  <c r="BF6" i="60" s="1"/>
  <c r="BT4" i="14"/>
  <c r="BJ7" i="60" s="1"/>
  <c r="BR4" i="14"/>
  <c r="BH7" i="60" s="1"/>
  <c r="BS4" i="14"/>
  <c r="BI7" i="60" s="1"/>
  <c r="BT5" i="14"/>
  <c r="BJ8" i="60" s="1"/>
  <c r="BM51" i="49" l="1"/>
  <c r="BN51" i="49"/>
  <c r="BM60" i="49"/>
  <c r="BL52" i="49"/>
  <c r="BL73" i="49"/>
  <c r="BL54" i="49"/>
  <c r="BO45" i="49"/>
  <c r="BO51" i="49"/>
  <c r="BL61" i="49"/>
  <c r="BL83" i="49"/>
  <c r="BL45" i="49"/>
  <c r="BL59" i="49"/>
  <c r="BM46" i="49"/>
  <c r="BO87" i="49"/>
  <c r="BL82" i="49"/>
  <c r="BN83" i="49"/>
  <c r="BM118" i="49"/>
  <c r="BL47" i="49"/>
  <c r="BO83" i="49"/>
  <c r="BL108" i="49"/>
  <c r="BL110" i="49" s="1"/>
  <c r="BO79" i="49"/>
  <c r="BL74" i="49"/>
  <c r="BN47" i="49"/>
  <c r="BN78" i="49"/>
  <c r="BN41" i="49"/>
  <c r="BO42" i="49"/>
  <c r="BO50" i="49"/>
  <c r="BN42" i="49"/>
  <c r="BN88" i="49"/>
  <c r="BO18" i="49"/>
  <c r="BN70" i="49"/>
  <c r="BN108" i="49"/>
  <c r="BN110" i="49" s="1"/>
  <c r="BN17" i="49"/>
  <c r="BN61" i="49"/>
  <c r="BO46" i="49"/>
  <c r="BN33" i="49"/>
  <c r="BN46" i="49"/>
  <c r="BN27" i="49"/>
  <c r="BN54" i="49"/>
  <c r="BN56" i="49" s="1"/>
  <c r="BO52" i="49"/>
  <c r="BN124" i="49"/>
  <c r="BN125" i="49" s="1"/>
  <c r="BL87" i="49"/>
  <c r="BM79" i="49"/>
  <c r="BL68" i="49"/>
  <c r="BL63" i="49"/>
  <c r="BL65" i="49" s="1"/>
  <c r="BM69" i="49"/>
  <c r="BM104" i="49"/>
  <c r="BM105" i="49" s="1"/>
  <c r="BL78" i="49"/>
  <c r="BM93" i="49"/>
  <c r="BL88" i="49"/>
  <c r="BL92" i="49"/>
  <c r="BK8" i="54"/>
  <c r="BK8" i="52"/>
  <c r="BK8" i="50"/>
  <c r="BK8" i="60"/>
  <c r="BK8" i="51"/>
  <c r="BK8" i="53"/>
  <c r="BK9" i="7"/>
  <c r="BM64" i="49"/>
  <c r="BO106" i="49"/>
  <c r="BO105" i="49"/>
  <c r="BL106" i="49"/>
  <c r="BL105" i="49"/>
  <c r="BN114" i="49"/>
  <c r="BN113" i="49"/>
  <c r="BM121" i="49"/>
  <c r="BM122" i="49"/>
  <c r="BL56" i="49"/>
  <c r="BL55" i="49"/>
  <c r="BN120" i="49"/>
  <c r="BO122" i="49" s="1"/>
  <c r="BM56" i="49"/>
  <c r="BM55" i="49"/>
  <c r="BO55" i="49"/>
  <c r="BL124" i="49"/>
  <c r="BL113" i="49"/>
  <c r="BL114" i="49"/>
  <c r="BM109" i="49"/>
  <c r="BN65" i="49"/>
  <c r="BN64" i="49"/>
  <c r="BO109" i="49"/>
  <c r="BN105" i="49"/>
  <c r="BO124" i="49"/>
  <c r="BL121" i="49"/>
  <c r="BL122" i="49"/>
  <c r="BO64" i="49"/>
  <c r="BO65" i="49"/>
  <c r="BM113" i="49"/>
  <c r="BM114" i="49"/>
  <c r="BO121" i="49"/>
  <c r="BO114" i="49"/>
  <c r="BO113" i="49"/>
  <c r="BF7" i="60"/>
  <c r="BJ8" i="7"/>
  <c r="BJ7" i="50"/>
  <c r="BJ7" i="51"/>
  <c r="BJ7" i="52"/>
  <c r="BJ7" i="54"/>
  <c r="BJ7" i="53"/>
  <c r="BI62" i="50"/>
  <c r="BF7" i="7"/>
  <c r="BF6" i="50"/>
  <c r="BF6" i="51"/>
  <c r="BF6" i="52"/>
  <c r="BF6" i="53"/>
  <c r="BF6" i="54"/>
  <c r="BH8" i="7"/>
  <c r="BH7" i="54"/>
  <c r="BH7" i="50"/>
  <c r="BH7" i="52"/>
  <c r="BH7" i="53"/>
  <c r="BH7" i="51"/>
  <c r="BF7" i="51"/>
  <c r="BF7" i="52"/>
  <c r="BF7" i="53"/>
  <c r="BF7" i="54"/>
  <c r="BF7" i="50"/>
  <c r="BJ8" i="50"/>
  <c r="BJ8" i="54"/>
  <c r="BJ39" i="54" s="1"/>
  <c r="BJ8" i="51"/>
  <c r="BJ8" i="52"/>
  <c r="BJ8" i="53"/>
  <c r="BJ9" i="7"/>
  <c r="BI8" i="7"/>
  <c r="BI7" i="54"/>
  <c r="BI7" i="50"/>
  <c r="BI7" i="53"/>
  <c r="BI7" i="51"/>
  <c r="BI7" i="52"/>
  <c r="BG8" i="7"/>
  <c r="BG7" i="53"/>
  <c r="BG7" i="54"/>
  <c r="BG7" i="52"/>
  <c r="BG7" i="50"/>
  <c r="BG7" i="51"/>
  <c r="BF8" i="7"/>
  <c r="BV14" i="14"/>
  <c r="BV5" i="14"/>
  <c r="BW11" i="14"/>
  <c r="BS15" i="14"/>
  <c r="BR15" i="14"/>
  <c r="BQ15" i="14"/>
  <c r="BT15" i="14"/>
  <c r="BP15" i="14"/>
  <c r="BK80" i="50" l="1"/>
  <c r="BM110" i="49"/>
  <c r="BN106" i="49"/>
  <c r="BL109" i="49"/>
  <c r="BO110" i="49"/>
  <c r="BN55" i="49"/>
  <c r="BN109" i="49"/>
  <c r="BO56" i="49"/>
  <c r="BM106" i="49"/>
  <c r="BL64" i="49"/>
  <c r="BM65" i="49"/>
  <c r="BM124" i="49"/>
  <c r="BN126" i="49" s="1"/>
  <c r="BF40" i="54"/>
  <c r="BG40" i="54"/>
  <c r="BH40" i="54"/>
  <c r="BK39" i="54"/>
  <c r="BI40" i="54"/>
  <c r="BL8" i="60"/>
  <c r="BL8" i="51"/>
  <c r="BL8" i="53"/>
  <c r="BL8" i="50"/>
  <c r="BL8" i="54"/>
  <c r="BL39" i="54" s="1"/>
  <c r="BL8" i="52"/>
  <c r="BL9" i="7"/>
  <c r="BJ80" i="50"/>
  <c r="BK62" i="50"/>
  <c r="BL126" i="49"/>
  <c r="BL125" i="49"/>
  <c r="BO126" i="49"/>
  <c r="BO125" i="49"/>
  <c r="BM125" i="49"/>
  <c r="BN121" i="49"/>
  <c r="BN122" i="49"/>
  <c r="BJ62" i="50"/>
  <c r="BW14" i="14"/>
  <c r="BX11" i="14"/>
  <c r="BW5" i="14"/>
  <c r="BL62" i="50" l="1"/>
  <c r="BL80" i="50"/>
  <c r="BM126" i="49"/>
  <c r="BM8" i="51"/>
  <c r="BM8" i="53"/>
  <c r="BM8" i="50"/>
  <c r="BM80" i="50" s="1"/>
  <c r="BM8" i="54"/>
  <c r="BM39" i="54" s="1"/>
  <c r="BM8" i="60"/>
  <c r="BM8" i="52"/>
  <c r="BM9" i="7"/>
  <c r="BZ11" i="14"/>
  <c r="BX14" i="14"/>
  <c r="BY11" i="14"/>
  <c r="BX5" i="14"/>
  <c r="BN8" i="50" l="1"/>
  <c r="BN80" i="50" s="1"/>
  <c r="BN8" i="54"/>
  <c r="BN39" i="54" s="1"/>
  <c r="BN8" i="53"/>
  <c r="BN8" i="60"/>
  <c r="BN8" i="52"/>
  <c r="BN8" i="51"/>
  <c r="BN9" i="7"/>
  <c r="BM62" i="50"/>
  <c r="BY14" i="14"/>
  <c r="BY4" i="14"/>
  <c r="BU4" i="14"/>
  <c r="BY5" i="14"/>
  <c r="BV4" i="14"/>
  <c r="BU3" i="14"/>
  <c r="BW4" i="14"/>
  <c r="BX4" i="14"/>
  <c r="BZ14" i="14"/>
  <c r="CA11" i="14"/>
  <c r="BZ5" i="14"/>
  <c r="BN7" i="54" l="1"/>
  <c r="BN7" i="60"/>
  <c r="BN7" i="52"/>
  <c r="BN7" i="53"/>
  <c r="BN7" i="51"/>
  <c r="BN7" i="50"/>
  <c r="BN8" i="7"/>
  <c r="BM7" i="50"/>
  <c r="BM7" i="54"/>
  <c r="BM7" i="51"/>
  <c r="BM7" i="53"/>
  <c r="BM7" i="60"/>
  <c r="BM7" i="52"/>
  <c r="BM8" i="7"/>
  <c r="BK6" i="60"/>
  <c r="BK6" i="52"/>
  <c r="BK6" i="51"/>
  <c r="BK6" i="53"/>
  <c r="BK6" i="50"/>
  <c r="BK6" i="54"/>
  <c r="BK7" i="7"/>
  <c r="BL7" i="51"/>
  <c r="BL7" i="53"/>
  <c r="BL7" i="50"/>
  <c r="BL7" i="54"/>
  <c r="BL7" i="60"/>
  <c r="BL7" i="52"/>
  <c r="BL8" i="7"/>
  <c r="BO8" i="50"/>
  <c r="BO8" i="60"/>
  <c r="BO8" i="52"/>
  <c r="BO8" i="51"/>
  <c r="BO8" i="53"/>
  <c r="BO8" i="54"/>
  <c r="BO39" i="54" s="1"/>
  <c r="BO9" i="7"/>
  <c r="BK7" i="52"/>
  <c r="BK7" i="51"/>
  <c r="BK7" i="53"/>
  <c r="BK7" i="50"/>
  <c r="BK7" i="54"/>
  <c r="BK7" i="60"/>
  <c r="BK8" i="7"/>
  <c r="BO7" i="60"/>
  <c r="BO7" i="52"/>
  <c r="BO7" i="51"/>
  <c r="BO7" i="50"/>
  <c r="BO7" i="53"/>
  <c r="BO7" i="54"/>
  <c r="BO8" i="7"/>
  <c r="BN62" i="50"/>
  <c r="CA14" i="14"/>
  <c r="CB11" i="14"/>
  <c r="CA5" i="14"/>
  <c r="BW15" i="14"/>
  <c r="BV15" i="14"/>
  <c r="BY15" i="14"/>
  <c r="BU15" i="14"/>
  <c r="BX15" i="14"/>
  <c r="BO80" i="50" l="1"/>
  <c r="BO62" i="50"/>
  <c r="BL40" i="54"/>
  <c r="BK40" i="54"/>
  <c r="BM40" i="54"/>
  <c r="BN40" i="54"/>
  <c r="CC11" i="14"/>
  <c r="CB14" i="14"/>
  <c r="CB5" i="14"/>
  <c r="CC14" i="14" l="1"/>
  <c r="CD11" i="14"/>
  <c r="CE11" i="14"/>
  <c r="CC5" i="14"/>
  <c r="CE14" i="14" l="1"/>
  <c r="CF11" i="14"/>
  <c r="CE5" i="14"/>
  <c r="CD14" i="14"/>
  <c r="CC4" i="14"/>
  <c r="CD5" i="14"/>
  <c r="CA4" i="14"/>
  <c r="BZ4" i="14"/>
  <c r="CD4" i="14"/>
  <c r="CB4" i="14"/>
  <c r="BZ3" i="14"/>
  <c r="CA15" i="14" l="1"/>
  <c r="CD15" i="14"/>
  <c r="BZ15" i="14"/>
  <c r="CC15" i="14"/>
  <c r="CB15" i="14"/>
  <c r="CF14" i="14"/>
  <c r="CF5" i="14"/>
  <c r="CG11" i="14"/>
  <c r="CG14" i="14" l="1"/>
  <c r="CH11" i="14"/>
  <c r="CG5" i="14"/>
  <c r="CJ11" i="14" l="1"/>
  <c r="CH14" i="14"/>
  <c r="CI11" i="14"/>
  <c r="CH5" i="14"/>
  <c r="CI14" i="14" l="1"/>
  <c r="CI5" i="14"/>
  <c r="CG4" i="14"/>
  <c r="CF4" i="14"/>
  <c r="CE4" i="14"/>
  <c r="CH4" i="14"/>
  <c r="CI4" i="14"/>
  <c r="CE3" i="14"/>
  <c r="CK11" i="14"/>
  <c r="CJ14" i="14"/>
  <c r="CJ5" i="14"/>
  <c r="CK14" i="14" l="1"/>
  <c r="CL11" i="14"/>
  <c r="CK5" i="14"/>
  <c r="CI15" i="14"/>
  <c r="CE15" i="14"/>
  <c r="CH15" i="14"/>
  <c r="CG15" i="14"/>
  <c r="CF15" i="14"/>
  <c r="CL14" i="14" l="1"/>
  <c r="CL5" i="14"/>
  <c r="CM11" i="14"/>
  <c r="CM14" i="14" l="1"/>
  <c r="CN11" i="14"/>
  <c r="CM5" i="14"/>
  <c r="CO11" i="14"/>
  <c r="CO14" i="14" l="1"/>
  <c r="CP11" i="14"/>
  <c r="CO5" i="14"/>
  <c r="CN14" i="14"/>
  <c r="CK4" i="14"/>
  <c r="CL4" i="14"/>
  <c r="CM4" i="14"/>
  <c r="CN5" i="14"/>
  <c r="CJ4" i="14"/>
  <c r="CJ3" i="14"/>
  <c r="CN4" i="14"/>
  <c r="CM15" i="14" l="1"/>
  <c r="CL15" i="14"/>
  <c r="CK15" i="14"/>
  <c r="CJ15" i="14"/>
  <c r="CN15" i="14"/>
  <c r="CP14" i="14"/>
  <c r="CQ11" i="14"/>
  <c r="CP5" i="14"/>
  <c r="CQ14" i="14" l="1"/>
  <c r="CR11" i="14"/>
  <c r="CQ5" i="14"/>
  <c r="CT11" i="14" l="1"/>
  <c r="CS11" i="14"/>
  <c r="CR14" i="14"/>
  <c r="CR5" i="14"/>
  <c r="CS14" i="14" l="1"/>
  <c r="CS4" i="14"/>
  <c r="CO4" i="14"/>
  <c r="CQ4" i="14"/>
  <c r="CO3" i="14"/>
  <c r="CP4" i="14"/>
  <c r="CS5" i="14"/>
  <c r="CR4" i="14"/>
  <c r="CT14" i="14"/>
  <c r="CT5" i="14"/>
  <c r="CU11" i="14"/>
  <c r="CU14" i="14" l="1"/>
  <c r="CV11" i="14"/>
  <c r="CU5" i="14"/>
  <c r="CQ15" i="14"/>
  <c r="CP15" i="14"/>
  <c r="CS15" i="14"/>
  <c r="CO15" i="14"/>
  <c r="CR15" i="14"/>
  <c r="CV14" i="14" l="1"/>
  <c r="CW11" i="14"/>
  <c r="CV5" i="14"/>
  <c r="CW14" i="14" l="1"/>
  <c r="CX11" i="14"/>
  <c r="CW5" i="14"/>
  <c r="CX14" i="14" l="1"/>
  <c r="CW4" i="14"/>
  <c r="CX5" i="14"/>
  <c r="CV4" i="14"/>
  <c r="CT3" i="14"/>
  <c r="CU4" i="14"/>
  <c r="CX4" i="14"/>
  <c r="CT4" i="14"/>
  <c r="CU15" i="14" l="1"/>
  <c r="CX15" i="14"/>
  <c r="CT15" i="14"/>
  <c r="CW15" i="14"/>
  <c r="CV15" i="14"/>
  <c r="W217" i="7" l="1"/>
  <c r="W209" i="7" l="1"/>
  <c r="W211" i="7" s="1"/>
  <c r="W218" i="7" l="1"/>
  <c r="Q52" i="7" l="1"/>
  <c r="L19" i="7" l="1"/>
  <c r="L54" i="7"/>
  <c r="L160" i="7"/>
  <c r="L155" i="7"/>
  <c r="Q12" i="7"/>
  <c r="Y53" i="7" l="1"/>
  <c r="X209" i="7"/>
  <c r="X198" i="7" l="1"/>
  <c r="X193" i="7"/>
  <c r="X27" i="7"/>
  <c r="Y27" i="7"/>
  <c r="X96" i="7"/>
  <c r="X97" i="7" s="1"/>
  <c r="Y173" i="7"/>
  <c r="X173" i="7"/>
  <c r="X80" i="7"/>
  <c r="X94" i="7" s="1"/>
  <c r="X93" i="7" s="1"/>
  <c r="X90" i="7" s="1"/>
  <c r="X92" i="7" s="1"/>
  <c r="Y80" i="7"/>
  <c r="X210" i="7"/>
  <c r="AC210" i="7"/>
  <c r="AC17" i="7"/>
  <c r="AC52" i="7"/>
  <c r="X53" i="7"/>
  <c r="X52" i="7"/>
  <c r="Y16" i="7"/>
  <c r="Y18" i="7"/>
  <c r="X16" i="7"/>
  <c r="X64" i="7"/>
  <c r="AC65" i="7" s="1"/>
  <c r="X18" i="7"/>
  <c r="X17" i="7"/>
  <c r="X60" i="7"/>
  <c r="AC61" i="7" s="1"/>
  <c r="X11" i="7"/>
  <c r="X194" i="7" l="1"/>
  <c r="AC194" i="7"/>
  <c r="X199" i="7"/>
  <c r="AC199" i="7"/>
  <c r="AM21" i="52"/>
  <c r="AM20" i="52"/>
  <c r="X100" i="7"/>
  <c r="X99" i="7"/>
  <c r="Y97" i="7"/>
  <c r="Y99" i="7"/>
  <c r="AC98" i="7"/>
  <c r="X98" i="7"/>
  <c r="Y28" i="7"/>
  <c r="AD28" i="7"/>
  <c r="X28" i="7"/>
  <c r="AC28" i="7"/>
  <c r="X91" i="7"/>
  <c r="Y94" i="7"/>
  <c r="Y93" i="7" s="1"/>
  <c r="Y90" i="7" s="1"/>
  <c r="Y91" i="7" s="1"/>
  <c r="Y62" i="7"/>
  <c r="Y66" i="7"/>
  <c r="AC12" i="7"/>
  <c r="Y13" i="7"/>
  <c r="X152" i="7"/>
  <c r="AC153" i="7" s="1"/>
  <c r="X211" i="7"/>
  <c r="X12" i="7"/>
  <c r="X13" i="7"/>
  <c r="X54" i="7"/>
  <c r="X66" i="7"/>
  <c r="X65" i="7"/>
  <c r="X19" i="7"/>
  <c r="X62" i="7"/>
  <c r="X61" i="7"/>
  <c r="Y92" i="7" l="1"/>
  <c r="X153" i="7"/>
  <c r="Y154" i="7"/>
  <c r="AD13" i="7"/>
  <c r="X217" i="7"/>
  <c r="X218" i="7" s="1"/>
  <c r="Y209" i="7" l="1"/>
  <c r="Y211" i="7" s="1"/>
  <c r="Y218" i="7" l="1"/>
  <c r="X154" i="7" l="1"/>
  <c r="X157" i="7" l="1"/>
  <c r="AC158" i="7" s="1"/>
  <c r="X159" i="7" l="1"/>
  <c r="Y159" i="7"/>
  <c r="X158" i="7"/>
  <c r="Z209" i="7" l="1"/>
  <c r="AA209" i="7" l="1"/>
  <c r="AB209" i="7"/>
  <c r="AB211" i="7" s="1"/>
  <c r="AC209" i="7"/>
  <c r="AC211" i="7" s="1"/>
  <c r="Z52" i="7"/>
  <c r="Z198" i="7" l="1"/>
  <c r="Z193" i="7"/>
  <c r="Z27" i="7"/>
  <c r="AA27" i="7" s="1"/>
  <c r="AA28" i="7" s="1"/>
  <c r="AB27" i="7"/>
  <c r="AE52" i="7"/>
  <c r="AE17" i="7"/>
  <c r="AE210" i="7"/>
  <c r="AB173" i="7"/>
  <c r="Z96" i="7"/>
  <c r="AE98" i="7" s="1"/>
  <c r="AD173" i="7"/>
  <c r="AC173" i="7"/>
  <c r="AC76" i="7"/>
  <c r="Z173" i="7"/>
  <c r="AA173" i="7" s="1"/>
  <c r="Z53" i="7"/>
  <c r="AB80" i="7"/>
  <c r="AB94" i="7" s="1"/>
  <c r="AB93" i="7" s="1"/>
  <c r="AB90" i="7" s="1"/>
  <c r="Z80" i="7"/>
  <c r="Z210" i="7"/>
  <c r="AB16" i="7"/>
  <c r="AB18" i="7"/>
  <c r="AB53" i="7"/>
  <c r="Z17" i="7"/>
  <c r="Z60" i="7"/>
  <c r="Z18" i="7"/>
  <c r="Z64" i="7"/>
  <c r="Z16" i="7"/>
  <c r="Z11" i="7"/>
  <c r="AA193" i="7" l="1"/>
  <c r="Z194" i="7"/>
  <c r="AE194" i="7"/>
  <c r="AA198" i="7"/>
  <c r="Z199" i="7"/>
  <c r="AE199" i="7"/>
  <c r="AH77" i="7"/>
  <c r="AC78" i="7"/>
  <c r="AD78" i="7"/>
  <c r="AB28" i="7"/>
  <c r="AF27" i="7"/>
  <c r="AF28" i="7" s="1"/>
  <c r="AG28" i="7"/>
  <c r="Z28" i="7"/>
  <c r="AE28" i="7"/>
  <c r="AB66" i="7"/>
  <c r="AE65" i="7"/>
  <c r="AB62" i="7"/>
  <c r="AE61" i="7"/>
  <c r="AE12" i="7"/>
  <c r="AA96" i="7"/>
  <c r="Z100" i="7"/>
  <c r="Z98" i="7"/>
  <c r="Z99" i="7"/>
  <c r="Z97" i="7"/>
  <c r="AA97" i="7" s="1"/>
  <c r="AB97" i="7"/>
  <c r="AB99" i="7"/>
  <c r="AA80" i="7"/>
  <c r="Z94" i="7"/>
  <c r="AA94" i="7" s="1"/>
  <c r="AD94" i="7"/>
  <c r="AD93" i="7" s="1"/>
  <c r="AD90" i="7" s="1"/>
  <c r="AI91" i="7" s="1"/>
  <c r="AB91" i="7"/>
  <c r="AC79" i="7"/>
  <c r="AC93" i="7" s="1"/>
  <c r="AC90" i="7" s="1"/>
  <c r="AC92" i="7" s="1"/>
  <c r="AC77" i="7"/>
  <c r="AA52" i="7"/>
  <c r="AA64" i="7"/>
  <c r="AA65" i="7" s="1"/>
  <c r="AA60" i="7"/>
  <c r="AA61" i="7" s="1"/>
  <c r="Z19" i="7"/>
  <c r="AB13" i="7"/>
  <c r="AF52" i="7"/>
  <c r="Z66" i="7"/>
  <c r="Z65" i="7"/>
  <c r="AA17" i="7"/>
  <c r="AA16" i="7"/>
  <c r="AA11" i="7"/>
  <c r="Z62" i="7"/>
  <c r="Z61" i="7"/>
  <c r="Z217" i="7"/>
  <c r="Z152" i="7"/>
  <c r="AE153" i="7" s="1"/>
  <c r="Z13" i="7"/>
  <c r="Z157" i="7"/>
  <c r="AE158" i="7" s="1"/>
  <c r="Z12" i="7"/>
  <c r="Z54" i="7"/>
  <c r="AA199" i="7" l="1"/>
  <c r="AF199" i="7"/>
  <c r="AA194" i="7"/>
  <c r="AF194" i="7"/>
  <c r="Z93" i="7"/>
  <c r="Z90" i="7" s="1"/>
  <c r="AB92" i="7" s="1"/>
  <c r="Y101" i="7"/>
  <c r="W101" i="7"/>
  <c r="X101" i="7"/>
  <c r="Z101" i="7"/>
  <c r="AA100" i="7"/>
  <c r="AA98" i="7"/>
  <c r="AD92" i="7"/>
  <c r="AD91" i="7"/>
  <c r="AC91" i="7"/>
  <c r="AB159" i="7"/>
  <c r="AA157" i="7"/>
  <c r="AF158" i="7" s="1"/>
  <c r="AB154" i="7"/>
  <c r="AA152" i="7"/>
  <c r="AF153" i="7" s="1"/>
  <c r="AA19" i="7"/>
  <c r="Z154" i="7"/>
  <c r="Z153" i="7"/>
  <c r="AK52" i="7"/>
  <c r="AA210" i="7"/>
  <c r="AA211" i="7" s="1"/>
  <c r="Z211" i="7"/>
  <c r="Z159" i="7"/>
  <c r="Z158" i="7"/>
  <c r="AA12" i="7"/>
  <c r="AA54" i="7"/>
  <c r="Z91" i="7" l="1"/>
  <c r="Z92" i="7"/>
  <c r="AA90" i="7"/>
  <c r="AA91" i="7" s="1"/>
  <c r="AA153" i="7"/>
  <c r="AA155" i="7"/>
  <c r="AA160" i="7"/>
  <c r="AA158" i="7"/>
  <c r="Z218" i="7"/>
  <c r="AA217" i="7"/>
  <c r="AA218" i="7" s="1"/>
  <c r="AF17" i="7" l="1"/>
  <c r="AF210" i="7"/>
  <c r="AF60" i="7"/>
  <c r="AF61" i="7" s="1"/>
  <c r="AF64" i="7"/>
  <c r="AF65" i="7" s="1"/>
  <c r="AF16" i="7" l="1"/>
  <c r="AF11" i="7"/>
  <c r="AF155" i="7" l="1"/>
  <c r="AF160" i="7"/>
  <c r="AF12" i="7"/>
  <c r="AF54" i="7"/>
  <c r="AF19" i="7"/>
  <c r="AC217" i="7" l="1"/>
  <c r="AC218" i="7" s="1"/>
  <c r="AB217" i="7"/>
  <c r="AB218" i="7" s="1"/>
  <c r="AD217" i="7" l="1"/>
  <c r="AE209" i="7" l="1"/>
  <c r="AE211" i="7" s="1"/>
  <c r="AD209" i="7" l="1"/>
  <c r="AD211" i="7" s="1"/>
  <c r="AD218" i="7" l="1"/>
  <c r="AE217" i="7" l="1"/>
  <c r="AE218" i="7" s="1"/>
  <c r="AF217" i="7" l="1"/>
  <c r="V173" i="7" l="1"/>
  <c r="AF80" i="7" l="1"/>
  <c r="AF94" i="7" l="1"/>
  <c r="AK73" i="7"/>
  <c r="AG56" i="7" l="1"/>
  <c r="AG58" i="7"/>
  <c r="AK68" i="7" l="1"/>
  <c r="AP70" i="7" l="1"/>
  <c r="AP69" i="7"/>
  <c r="AO74" i="7" s="1"/>
  <c r="AK69" i="7"/>
  <c r="AK70" i="7"/>
  <c r="AK56" i="7"/>
  <c r="AK55" i="7"/>
  <c r="AP57" i="7" l="1"/>
  <c r="AJ74" i="7"/>
  <c r="AI74" i="7"/>
  <c r="AH74" i="7"/>
  <c r="AG74" i="7"/>
  <c r="AK166" i="7"/>
  <c r="AL64" i="7"/>
  <c r="AQ65" i="7" s="1"/>
  <c r="AL60" i="7"/>
  <c r="AQ61" i="7" s="1"/>
  <c r="AK86" i="7"/>
  <c r="AK57" i="7"/>
  <c r="AK72" i="7"/>
  <c r="AL62" i="7" l="1"/>
  <c r="AM62" i="7"/>
  <c r="AL66" i="7"/>
  <c r="AM66" i="7"/>
  <c r="AN74" i="7" l="1"/>
  <c r="AM74" i="7" l="1"/>
  <c r="AL74" i="7"/>
  <c r="AF209" i="7" l="1"/>
  <c r="AF211" i="7" s="1"/>
  <c r="AF218" i="7" l="1"/>
  <c r="AE91" i="7" l="1"/>
  <c r="AF96" i="7"/>
  <c r="AE92" i="7"/>
  <c r="AF90" i="7"/>
  <c r="AF91" i="7" l="1"/>
  <c r="AC101" i="7"/>
  <c r="AE101" i="7"/>
  <c r="AB101" i="7"/>
  <c r="AF100" i="7"/>
  <c r="AF98" i="7"/>
  <c r="AD101" i="7"/>
  <c r="AF97" i="7"/>
  <c r="AH209" i="7" l="1"/>
  <c r="AH211" i="7" s="1"/>
  <c r="AI209" i="7"/>
  <c r="AI211" i="7" s="1"/>
  <c r="AG217" i="7"/>
  <c r="AG209" i="7"/>
  <c r="AG210" i="7" l="1"/>
  <c r="AG211" i="7" s="1"/>
  <c r="AG60" i="7"/>
  <c r="AL61" i="7" s="1"/>
  <c r="AG64" i="7"/>
  <c r="AL65" i="7" s="1"/>
  <c r="AG11" i="7"/>
  <c r="AL12" i="7" s="1"/>
  <c r="AG94" i="7"/>
  <c r="AG62" i="7" l="1"/>
  <c r="AH62" i="7"/>
  <c r="AH13" i="7"/>
  <c r="AG66" i="7"/>
  <c r="AH66" i="7"/>
  <c r="AG61" i="7"/>
  <c r="AG218" i="7"/>
  <c r="AG157" i="7"/>
  <c r="AL158" i="7" s="1"/>
  <c r="AG152" i="7"/>
  <c r="AL153" i="7" s="1"/>
  <c r="AG65" i="7"/>
  <c r="AG93" i="7"/>
  <c r="AG90" i="7" s="1"/>
  <c r="AG19" i="7"/>
  <c r="AG54" i="7"/>
  <c r="AG12" i="7"/>
  <c r="AG13" i="7"/>
  <c r="AI92" i="7" l="1"/>
  <c r="AL91" i="7"/>
  <c r="AH159" i="7"/>
  <c r="AK157" i="7"/>
  <c r="AH154" i="7"/>
  <c r="AK152" i="7"/>
  <c r="AG154" i="7"/>
  <c r="AG153" i="7"/>
  <c r="AG159" i="7"/>
  <c r="AG158" i="7"/>
  <c r="AG91" i="7"/>
  <c r="AG92" i="7"/>
  <c r="AG96" i="7"/>
  <c r="AL98" i="7" s="1"/>
  <c r="AK153" i="7" l="1"/>
  <c r="AK158" i="7"/>
  <c r="AH97" i="7"/>
  <c r="AH99" i="7"/>
  <c r="AG100" i="7"/>
  <c r="AG99" i="7"/>
  <c r="AG97" i="7"/>
  <c r="AG98" i="7"/>
  <c r="AH94" i="7" l="1"/>
  <c r="AH93" i="7" s="1"/>
  <c r="AH19" i="7"/>
  <c r="AH90" i="7" l="1"/>
  <c r="AM91" i="7" l="1"/>
  <c r="AH92" i="7"/>
  <c r="AH91" i="7"/>
  <c r="AK90" i="7" l="1"/>
  <c r="AH217" i="7"/>
  <c r="AK97" i="7" l="1"/>
  <c r="AK91" i="7"/>
  <c r="AK96" i="7"/>
  <c r="AH218" i="7"/>
  <c r="AJ101" i="7" l="1"/>
  <c r="AI101" i="7"/>
  <c r="AI19" i="7"/>
  <c r="AK94" i="7"/>
  <c r="AJ210" i="7"/>
  <c r="AK210" i="7" s="1"/>
  <c r="AH101" i="7"/>
  <c r="AK98" i="7"/>
  <c r="AG101" i="7"/>
  <c r="AJ19" i="7" l="1"/>
  <c r="AK40" i="7"/>
  <c r="AK80" i="7"/>
  <c r="AK17" i="7"/>
  <c r="AK16" i="7"/>
  <c r="AK64" i="7"/>
  <c r="AK65" i="7" s="1"/>
  <c r="AK60" i="7"/>
  <c r="AK61" i="7" s="1"/>
  <c r="AK11" i="7"/>
  <c r="AK27" i="7"/>
  <c r="AK28" i="7" s="1"/>
  <c r="AL198" i="7" l="1"/>
  <c r="AL193" i="7"/>
  <c r="AL10" i="52"/>
  <c r="AP10" i="52" s="1"/>
  <c r="AL16" i="52"/>
  <c r="AL15" i="52"/>
  <c r="AK155" i="7"/>
  <c r="AK160" i="7"/>
  <c r="AL210" i="7"/>
  <c r="AK19" i="7"/>
  <c r="AK12" i="7"/>
  <c r="AK100" i="7"/>
  <c r="AK54" i="7"/>
  <c r="AP17" i="52" l="1"/>
  <c r="AP55" i="50"/>
  <c r="AP11" i="52"/>
  <c r="AP51" i="52"/>
  <c r="AP61" i="52"/>
  <c r="AP56" i="52"/>
  <c r="AP46" i="52"/>
  <c r="AP22" i="52"/>
  <c r="AL55" i="50"/>
  <c r="AL126" i="50" s="1"/>
  <c r="AM12" i="52"/>
  <c r="AL17" i="52"/>
  <c r="AL15" i="59"/>
  <c r="AL61" i="52"/>
  <c r="AL12" i="52"/>
  <c r="AL11" i="52"/>
  <c r="AL22" i="52"/>
  <c r="AM210" i="7"/>
  <c r="AL70" i="50" l="1"/>
  <c r="AL61" i="50"/>
  <c r="AL73" i="50"/>
  <c r="AL86" i="50"/>
  <c r="AL67" i="50"/>
  <c r="AL89" i="50"/>
  <c r="AL92" i="50"/>
  <c r="AL76" i="50"/>
  <c r="AP105" i="50"/>
  <c r="AP102" i="50"/>
  <c r="AL95" i="50"/>
  <c r="AM16" i="52"/>
  <c r="AM15" i="59"/>
  <c r="AM17" i="59" s="1"/>
  <c r="AM17" i="52"/>
  <c r="AM55" i="50"/>
  <c r="AL10" i="60"/>
  <c r="AM15" i="52"/>
  <c r="AM61" i="52"/>
  <c r="AM22" i="52"/>
  <c r="AL17" i="59"/>
  <c r="AL18" i="59"/>
  <c r="AM40" i="59" s="1"/>
  <c r="AM42" i="59" s="1"/>
  <c r="AL33" i="53"/>
  <c r="AL48" i="53"/>
  <c r="AL43" i="53"/>
  <c r="AL28" i="53"/>
  <c r="AL202" i="7"/>
  <c r="AJ209" i="7"/>
  <c r="AJ211" i="7" s="1"/>
  <c r="AL63" i="50" l="1"/>
  <c r="AL64" i="50"/>
  <c r="AL196" i="7"/>
  <c r="AM70" i="50"/>
  <c r="AM67" i="50"/>
  <c r="AM95" i="50"/>
  <c r="AM61" i="50"/>
  <c r="AM89" i="50"/>
  <c r="AM76" i="50"/>
  <c r="AM86" i="50"/>
  <c r="AM73" i="50"/>
  <c r="AM92" i="50"/>
  <c r="AM18" i="59"/>
  <c r="AN40" i="59" s="1"/>
  <c r="AN42" i="59" s="1"/>
  <c r="AL24" i="53"/>
  <c r="AL30" i="53"/>
  <c r="AL29" i="53"/>
  <c r="AL31" i="53"/>
  <c r="AL45" i="53"/>
  <c r="AL44" i="53"/>
  <c r="AL63" i="53"/>
  <c r="AL46" i="53"/>
  <c r="AL50" i="53"/>
  <c r="AL49" i="53"/>
  <c r="AL51" i="53"/>
  <c r="AL56" i="53"/>
  <c r="AL55" i="53"/>
  <c r="AL54" i="53"/>
  <c r="AL34" i="53"/>
  <c r="AL35" i="53"/>
  <c r="AL36" i="53"/>
  <c r="AL54" i="60"/>
  <c r="AL49" i="60"/>
  <c r="AL27" i="60"/>
  <c r="AL12" i="60"/>
  <c r="AL20" i="60"/>
  <c r="AL36" i="60"/>
  <c r="AL11" i="60"/>
  <c r="AL33" i="60"/>
  <c r="AL44" i="60"/>
  <c r="AL191" i="7"/>
  <c r="AM33" i="53"/>
  <c r="AN35" i="53" s="1"/>
  <c r="AI217" i="7"/>
  <c r="AI218" i="7" s="1"/>
  <c r="AK209" i="7"/>
  <c r="AK211" i="7" s="1"/>
  <c r="AL197" i="7" l="1"/>
  <c r="AL199" i="7" s="1"/>
  <c r="AM192" i="7"/>
  <c r="AM194" i="7" s="1"/>
  <c r="AP33" i="53"/>
  <c r="AL81" i="50"/>
  <c r="AL79" i="50" s="1"/>
  <c r="AM48" i="53"/>
  <c r="AP53" i="53"/>
  <c r="AM35" i="53"/>
  <c r="AM36" i="53"/>
  <c r="AM34" i="53"/>
  <c r="AM10" i="60"/>
  <c r="AM64" i="50"/>
  <c r="AM63" i="50"/>
  <c r="AL65" i="53"/>
  <c r="AL64" i="53"/>
  <c r="AL25" i="53"/>
  <c r="AL26" i="53"/>
  <c r="AL38" i="53"/>
  <c r="AL46" i="60"/>
  <c r="AL45" i="60"/>
  <c r="AL50" i="60"/>
  <c r="AL51" i="60"/>
  <c r="AL55" i="60"/>
  <c r="AL56" i="60"/>
  <c r="AL37" i="60"/>
  <c r="AL40" i="60"/>
  <c r="AL192" i="7"/>
  <c r="AL194" i="7" s="1"/>
  <c r="AM50" i="52"/>
  <c r="AL34" i="52"/>
  <c r="AL35" i="52"/>
  <c r="AL36" i="52"/>
  <c r="AL55" i="52"/>
  <c r="AL56" i="52"/>
  <c r="AL54" i="52"/>
  <c r="AL45" i="52"/>
  <c r="AL46" i="52"/>
  <c r="AL44" i="52"/>
  <c r="AL63" i="52"/>
  <c r="AQ64" i="52" s="1"/>
  <c r="AL30" i="52"/>
  <c r="AL29" i="52"/>
  <c r="AL24" i="52"/>
  <c r="AL31" i="52"/>
  <c r="AL51" i="52"/>
  <c r="AL50" i="52"/>
  <c r="AL49" i="52"/>
  <c r="AL209" i="7"/>
  <c r="AL211" i="7" s="1"/>
  <c r="AP48" i="53" l="1"/>
  <c r="AR49" i="53"/>
  <c r="AP34" i="53"/>
  <c r="AP36" i="53"/>
  <c r="AN12" i="60"/>
  <c r="AP10" i="60"/>
  <c r="AM26" i="52"/>
  <c r="AP24" i="52"/>
  <c r="AP25" i="52" s="1"/>
  <c r="AP54" i="53"/>
  <c r="AP56" i="53"/>
  <c r="AP49" i="53"/>
  <c r="AP51" i="53"/>
  <c r="AM65" i="52"/>
  <c r="AP63" i="52"/>
  <c r="AP64" i="52" s="1"/>
  <c r="AL83" i="50"/>
  <c r="AN55" i="53"/>
  <c r="AN50" i="53"/>
  <c r="AL82" i="50"/>
  <c r="AM43" i="53"/>
  <c r="AP43" i="53" s="1"/>
  <c r="AM28" i="53"/>
  <c r="AM49" i="53"/>
  <c r="AM51" i="53"/>
  <c r="AM50" i="53"/>
  <c r="AM54" i="53"/>
  <c r="AM56" i="53"/>
  <c r="AM55" i="53"/>
  <c r="AM54" i="52"/>
  <c r="AM49" i="60"/>
  <c r="AN51" i="60" s="1"/>
  <c r="AM36" i="60"/>
  <c r="AP36" i="60" s="1"/>
  <c r="AM11" i="60"/>
  <c r="AM12" i="60"/>
  <c r="AM20" i="60"/>
  <c r="AM27" i="60"/>
  <c r="AM54" i="60"/>
  <c r="AN56" i="60" s="1"/>
  <c r="AM33" i="60"/>
  <c r="AM44" i="60"/>
  <c r="AM49" i="52"/>
  <c r="AM29" i="52"/>
  <c r="AM30" i="52"/>
  <c r="AM208" i="7"/>
  <c r="AM31" i="52"/>
  <c r="AL67" i="53"/>
  <c r="AL41" i="53"/>
  <c r="AL40" i="53"/>
  <c r="AL39" i="53"/>
  <c r="AL42" i="60"/>
  <c r="AL41" i="60"/>
  <c r="AM51" i="52"/>
  <c r="AL64" i="52"/>
  <c r="AL65" i="52"/>
  <c r="AL38" i="52"/>
  <c r="AL25" i="52"/>
  <c r="AL26" i="52"/>
  <c r="AM45" i="52"/>
  <c r="AM44" i="52"/>
  <c r="AM46" i="52"/>
  <c r="AL32" i="50"/>
  <c r="AL39" i="50" s="1"/>
  <c r="AK217" i="7"/>
  <c r="AK218" i="7" s="1"/>
  <c r="AJ217" i="7"/>
  <c r="AJ218" i="7" s="1"/>
  <c r="AP38" i="7"/>
  <c r="AN46" i="60" l="1"/>
  <c r="AP11" i="60"/>
  <c r="AP27" i="60"/>
  <c r="AP33" i="60"/>
  <c r="AP20" i="60"/>
  <c r="AP49" i="60"/>
  <c r="AP50" i="60" s="1"/>
  <c r="AP44" i="60"/>
  <c r="AP54" i="60"/>
  <c r="AP55" i="60" s="1"/>
  <c r="AP37" i="60"/>
  <c r="AP40" i="60"/>
  <c r="AP41" i="60" s="1"/>
  <c r="AM209" i="7"/>
  <c r="AM211" i="7" s="1"/>
  <c r="AN30" i="53"/>
  <c r="AP28" i="53"/>
  <c r="AP44" i="53"/>
  <c r="AP46" i="53"/>
  <c r="AM40" i="52"/>
  <c r="AP38" i="52"/>
  <c r="AM196" i="7"/>
  <c r="AN45" i="53"/>
  <c r="AM24" i="53"/>
  <c r="AP24" i="53" s="1"/>
  <c r="AM30" i="53"/>
  <c r="AM29" i="53"/>
  <c r="AM31" i="53"/>
  <c r="AM46" i="53"/>
  <c r="AM44" i="53"/>
  <c r="AM63" i="53"/>
  <c r="AM45" i="53"/>
  <c r="AM55" i="52"/>
  <c r="AM46" i="60"/>
  <c r="AM45" i="60"/>
  <c r="AM56" i="52"/>
  <c r="AM40" i="60"/>
  <c r="AN42" i="60" s="1"/>
  <c r="AM37" i="60"/>
  <c r="AM56" i="60"/>
  <c r="AM55" i="60"/>
  <c r="AM51" i="60"/>
  <c r="AM50" i="60"/>
  <c r="AL69" i="53"/>
  <c r="AL70" i="53"/>
  <c r="AL68" i="53"/>
  <c r="AM34" i="52"/>
  <c r="AM35" i="52"/>
  <c r="AM36" i="52"/>
  <c r="AL41" i="52"/>
  <c r="AL214" i="7" s="1"/>
  <c r="AL217" i="7" s="1"/>
  <c r="AL218" i="7" s="1"/>
  <c r="AL39" i="52"/>
  <c r="AL40" i="52"/>
  <c r="AL67" i="52"/>
  <c r="AP45" i="60" l="1"/>
  <c r="AP25" i="53"/>
  <c r="AP81" i="50"/>
  <c r="AM197" i="7"/>
  <c r="AM199" i="7" s="1"/>
  <c r="AP29" i="53"/>
  <c r="AP31" i="53"/>
  <c r="AP68" i="59" s="1"/>
  <c r="AP69" i="59" s="1"/>
  <c r="AM69" i="52"/>
  <c r="AP67" i="52"/>
  <c r="AP41" i="52"/>
  <c r="AP39" i="52"/>
  <c r="AN65" i="53"/>
  <c r="AP63" i="53"/>
  <c r="AP64" i="53" s="1"/>
  <c r="AM81" i="50"/>
  <c r="AM79" i="50" s="1"/>
  <c r="AN26" i="53"/>
  <c r="AM26" i="53"/>
  <c r="AM25" i="53"/>
  <c r="AM38" i="53"/>
  <c r="AM64" i="53"/>
  <c r="AM65" i="53"/>
  <c r="BD56" i="53"/>
  <c r="BI56" i="53" s="1"/>
  <c r="BN56" i="53" s="1"/>
  <c r="AM41" i="60"/>
  <c r="AM42" i="60"/>
  <c r="AL25" i="59"/>
  <c r="AL26" i="59" s="1"/>
  <c r="AM32" i="50"/>
  <c r="AM39" i="50" s="1"/>
  <c r="AL68" i="52"/>
  <c r="AL70" i="52"/>
  <c r="AL69" i="52"/>
  <c r="AP38" i="53" l="1"/>
  <c r="AP39" i="53" s="1"/>
  <c r="AM82" i="50"/>
  <c r="AP70" i="52"/>
  <c r="AP68" i="52"/>
  <c r="AM83" i="50"/>
  <c r="AN40" i="53"/>
  <c r="AM39" i="53"/>
  <c r="AM40" i="53"/>
  <c r="AM67" i="53"/>
  <c r="AM41" i="53"/>
  <c r="AM214" i="7"/>
  <c r="AM217" i="7" s="1"/>
  <c r="AM218" i="7" s="1"/>
  <c r="AP41" i="53" l="1"/>
  <c r="AP67" i="53"/>
  <c r="AN69" i="53"/>
  <c r="AM69" i="53"/>
  <c r="AM76" i="53"/>
  <c r="AM70" i="53"/>
  <c r="AM68" i="53"/>
  <c r="AM25" i="59" l="1"/>
  <c r="AM26" i="59" s="1"/>
  <c r="AP68" i="53"/>
  <c r="AP70" i="53"/>
  <c r="AM79" i="53"/>
  <c r="AM81" i="53"/>
  <c r="AP76" i="59" l="1"/>
  <c r="AP77" i="59" s="1"/>
  <c r="AP71" i="53"/>
  <c r="AM89" i="53"/>
  <c r="AM82" i="53"/>
  <c r="AM88" i="53"/>
  <c r="AM86" i="53"/>
  <c r="AL49" i="50" l="1"/>
  <c r="AL50" i="50" l="1"/>
  <c r="AL101" i="53" l="1"/>
  <c r="AM19" i="54" l="1"/>
  <c r="AL19" i="54"/>
  <c r="AL109" i="53"/>
  <c r="AL28" i="54" l="1"/>
  <c r="AL29" i="54" l="1"/>
  <c r="AL76" i="53" l="1"/>
  <c r="AL79" i="53" l="1"/>
  <c r="AP76" i="53"/>
  <c r="AP79" i="53" s="1"/>
  <c r="AL81" i="53"/>
  <c r="AP81" i="53" l="1"/>
  <c r="AL89" i="53"/>
  <c r="AL88" i="53"/>
  <c r="AL86" i="53"/>
  <c r="AP86" i="53" s="1"/>
  <c r="AL82" i="53"/>
  <c r="AL75" i="52"/>
  <c r="AP75" i="52" s="1"/>
  <c r="AP78" i="52" s="1"/>
  <c r="AP82" i="53" l="1"/>
  <c r="AP89" i="53"/>
  <c r="AP88" i="53"/>
  <c r="AL78" i="52"/>
  <c r="AL80" i="52"/>
  <c r="AP80" i="52" s="1"/>
  <c r="AP81" i="52" l="1"/>
  <c r="AP88" i="52"/>
  <c r="AP87" i="52"/>
  <c r="AL87" i="52"/>
  <c r="AL85" i="52"/>
  <c r="AP85" i="52" s="1"/>
  <c r="AL81" i="52"/>
  <c r="AL88" i="52"/>
  <c r="AL10" i="51"/>
  <c r="AL16" i="50" l="1"/>
  <c r="AL25" i="50" l="1"/>
  <c r="AL52" i="50" l="1"/>
  <c r="AM78" i="52" l="1"/>
  <c r="AM10" i="51" l="1"/>
  <c r="AM49" i="50"/>
  <c r="AP10" i="51" l="1"/>
  <c r="AM50" i="50"/>
  <c r="AL32" i="51"/>
  <c r="AL78" i="51" l="1"/>
  <c r="AL131" i="50"/>
  <c r="AL98" i="50"/>
  <c r="AL99" i="50" s="1"/>
  <c r="AL81" i="51" l="1"/>
  <c r="AL44" i="51" l="1"/>
  <c r="AL67" i="51" s="1"/>
  <c r="AL69" i="51" s="1"/>
  <c r="AL104" i="50"/>
  <c r="AL123" i="50" s="1"/>
  <c r="AL101" i="50"/>
  <c r="AL72" i="51" l="1"/>
  <c r="AL73" i="51" s="1"/>
  <c r="AM68" i="51"/>
  <c r="AL102" i="50"/>
  <c r="AL122" i="50"/>
  <c r="AL105" i="50"/>
  <c r="AL75" i="51" l="1"/>
  <c r="AL82" i="51"/>
  <c r="AL203" i="7" s="1"/>
  <c r="AL204" i="7" s="1"/>
  <c r="AL107" i="50"/>
  <c r="AL84" i="51"/>
  <c r="AL111" i="50" l="1"/>
  <c r="AL108" i="50"/>
  <c r="AL110" i="50" s="1"/>
  <c r="AL85" i="51"/>
  <c r="AL113" i="50"/>
  <c r="AL114" i="50" l="1"/>
  <c r="AM16" i="50" l="1"/>
  <c r="AM56" i="50"/>
  <c r="AM58" i="50" s="1"/>
  <c r="AM25" i="50" l="1"/>
  <c r="AM52" i="50" l="1"/>
  <c r="AM32" i="51" l="1"/>
  <c r="AM119" i="50"/>
  <c r="AP119" i="50" l="1"/>
  <c r="AM78" i="51"/>
  <c r="AM98" i="50"/>
  <c r="AM99" i="50" s="1"/>
  <c r="AM121" i="50"/>
  <c r="AP121" i="50" s="1"/>
  <c r="AM81" i="51" l="1"/>
  <c r="AM127" i="50"/>
  <c r="AM131" i="50"/>
  <c r="AN131" i="50" s="1"/>
  <c r="AO131" i="50" s="1"/>
  <c r="AM126" i="50"/>
  <c r="AP131" i="50" l="1"/>
  <c r="AQ131" i="50"/>
  <c r="AR131" i="50" s="1"/>
  <c r="AM82" i="51"/>
  <c r="AM203" i="7" s="1"/>
  <c r="AM204" i="7" s="1"/>
  <c r="AM104" i="50" l="1"/>
  <c r="AM44" i="51"/>
  <c r="AM67" i="51" s="1"/>
  <c r="AM69" i="51" s="1"/>
  <c r="AM101" i="50"/>
  <c r="AM102" i="50" s="1"/>
  <c r="AN68" i="51" l="1"/>
  <c r="AM72" i="51"/>
  <c r="AM73" i="51" s="1"/>
  <c r="AM123" i="50"/>
  <c r="AM105" i="50"/>
  <c r="AM122" i="50"/>
  <c r="AM75" i="51" l="1"/>
  <c r="AM107" i="50"/>
  <c r="AM84" i="51"/>
  <c r="AM108" i="50" l="1"/>
  <c r="AM110" i="50" s="1"/>
  <c r="AM111" i="50"/>
  <c r="AM85" i="51"/>
  <c r="AM113" i="50"/>
  <c r="AM114" i="50" l="1"/>
  <c r="AM17" i="54" l="1"/>
  <c r="AM13" i="54"/>
  <c r="AR28" i="54" s="1"/>
  <c r="AP17" i="54" l="1"/>
  <c r="AR29" i="54"/>
  <c r="AM33" i="54"/>
  <c r="AN10" i="54"/>
  <c r="AN11" i="54" s="1"/>
  <c r="AM32" i="54"/>
  <c r="AN36" i="54"/>
  <c r="AN37" i="54"/>
  <c r="AM11" i="54"/>
  <c r="AM28" i="54"/>
  <c r="AM29" i="54"/>
  <c r="AM15" i="54"/>
  <c r="AP15" i="54" s="1"/>
  <c r="AP33" i="54" l="1"/>
  <c r="AR37" i="54"/>
  <c r="AP32" i="54"/>
  <c r="AR36" i="54"/>
  <c r="AM16" i="54"/>
  <c r="AM37" i="54" l="1"/>
  <c r="AM36" i="54"/>
  <c r="AN208" i="7" l="1"/>
  <c r="AQ209" i="7" s="1"/>
  <c r="AQ211" i="7" s="1"/>
  <c r="AN191" i="7"/>
  <c r="AQ192" i="7" s="1"/>
  <c r="AQ194" i="7" s="1"/>
  <c r="AP191" i="7" l="1"/>
  <c r="AO192" i="7"/>
  <c r="AP209" i="7"/>
  <c r="AP211" i="7" s="1"/>
  <c r="AO209" i="7"/>
  <c r="AO211" i="7" s="1"/>
  <c r="AN209" i="7"/>
  <c r="AN192" i="7"/>
  <c r="AP192" i="7" l="1"/>
  <c r="AP194" i="7" s="1"/>
  <c r="AO194" i="7"/>
  <c r="AN15" i="7"/>
  <c r="AQ76" i="7" l="1"/>
  <c r="AO76" i="7"/>
  <c r="AN76" i="7"/>
  <c r="AS210" i="7"/>
  <c r="AS17" i="7"/>
  <c r="AR76" i="7"/>
  <c r="AS78" i="7" s="1"/>
  <c r="AQ94" i="7"/>
  <c r="AO18" i="7"/>
  <c r="AO27" i="7"/>
  <c r="AO28" i="7" s="1"/>
  <c r="AO16" i="7"/>
  <c r="AP15" i="7"/>
  <c r="AN40" i="7"/>
  <c r="AN41" i="7"/>
  <c r="AN27" i="7"/>
  <c r="AS28" i="7" s="1"/>
  <c r="AN18" i="7"/>
  <c r="AN64" i="7"/>
  <c r="AN17" i="7"/>
  <c r="AN210" i="7"/>
  <c r="AN211" i="7" s="1"/>
  <c r="AN60" i="7"/>
  <c r="AN193" i="7"/>
  <c r="AN96" i="7"/>
  <c r="AS98" i="7" s="1"/>
  <c r="AN198" i="7"/>
  <c r="AN15" i="59"/>
  <c r="AN16" i="7"/>
  <c r="AN30" i="7"/>
  <c r="AS77" i="7" l="1"/>
  <c r="AN78" i="7"/>
  <c r="AN77" i="7"/>
  <c r="AN79" i="7"/>
  <c r="AO79" i="7"/>
  <c r="AO78" i="7"/>
  <c r="AO77" i="7"/>
  <c r="AP76" i="7"/>
  <c r="AP77" i="7" s="1"/>
  <c r="AQ77" i="7"/>
  <c r="AQ78" i="7"/>
  <c r="AQ79" i="7"/>
  <c r="AQ93" i="7" s="1"/>
  <c r="AQ90" i="7" s="1"/>
  <c r="AO62" i="7"/>
  <c r="AS61" i="7"/>
  <c r="AO66" i="7"/>
  <c r="AS65" i="7"/>
  <c r="AO94" i="7"/>
  <c r="AP94" i="7" s="1"/>
  <c r="AP80" i="7"/>
  <c r="AN17" i="59"/>
  <c r="AN18" i="59"/>
  <c r="AO40" i="59" s="1"/>
  <c r="AO42" i="59" s="1"/>
  <c r="AP42" i="59" s="1"/>
  <c r="AO99" i="7"/>
  <c r="AO97" i="7"/>
  <c r="AP96" i="7"/>
  <c r="AP16" i="7"/>
  <c r="AP17" i="7"/>
  <c r="AP60" i="7"/>
  <c r="AP61" i="7" s="1"/>
  <c r="AP64" i="7"/>
  <c r="AP65" i="7" s="1"/>
  <c r="AN32" i="7"/>
  <c r="AP30" i="7"/>
  <c r="AP31" i="7" s="1"/>
  <c r="AP27" i="7"/>
  <c r="AP28" i="7" s="1"/>
  <c r="AN28" i="7"/>
  <c r="AN97" i="7"/>
  <c r="AN98" i="7"/>
  <c r="AN99" i="7"/>
  <c r="AN65" i="7"/>
  <c r="AN66" i="7"/>
  <c r="AN94" i="7"/>
  <c r="AN194" i="7"/>
  <c r="AN31" i="7"/>
  <c r="AN62" i="7"/>
  <c r="AN61" i="7"/>
  <c r="AS92" i="7" l="1"/>
  <c r="AQ91" i="7"/>
  <c r="AN93" i="7"/>
  <c r="AN90" i="7" s="1"/>
  <c r="AS91" i="7" s="1"/>
  <c r="AQ96" i="7"/>
  <c r="AQ100" i="7" s="1"/>
  <c r="AP32" i="7"/>
  <c r="AN34" i="7"/>
  <c r="AO93" i="7"/>
  <c r="AO90" i="7" s="1"/>
  <c r="AQ92" i="7" s="1"/>
  <c r="AO101" i="7"/>
  <c r="AP98" i="7"/>
  <c r="AN33" i="7"/>
  <c r="AP97" i="7"/>
  <c r="AN91" i="7" l="1"/>
  <c r="AN92" i="7"/>
  <c r="AQ97" i="7"/>
  <c r="AQ98" i="7"/>
  <c r="AR97" i="7"/>
  <c r="AQ99" i="7"/>
  <c r="AR99" i="7"/>
  <c r="AO91" i="7"/>
  <c r="AO92" i="7"/>
  <c r="AP90" i="7"/>
  <c r="AP91" i="7" s="1"/>
  <c r="AO40" i="7"/>
  <c r="AO41" i="7"/>
  <c r="AM101" i="7"/>
  <c r="AL101" i="7"/>
  <c r="AN101" i="7"/>
  <c r="AP41" i="7" l="1"/>
  <c r="AP40" i="7"/>
  <c r="AO33" i="7" l="1"/>
  <c r="AO34" i="7"/>
  <c r="AP33" i="7"/>
  <c r="AP35" i="7" s="1"/>
  <c r="AN214" i="7" l="1"/>
  <c r="AN217" i="7" s="1"/>
  <c r="AN218" i="7" s="1"/>
  <c r="AN51" i="7"/>
  <c r="AN17" i="52"/>
  <c r="AS52" i="7" l="1"/>
  <c r="AO53" i="7"/>
  <c r="AP51" i="7"/>
  <c r="AN52" i="7"/>
  <c r="AN11" i="7"/>
  <c r="AN53" i="7"/>
  <c r="AS12" i="7" l="1"/>
  <c r="AO13" i="7"/>
  <c r="AP52" i="7"/>
  <c r="AP11" i="7"/>
  <c r="AN54" i="7"/>
  <c r="AN196" i="7"/>
  <c r="AQ21" i="52"/>
  <c r="AN202" i="7"/>
  <c r="AN13" i="7"/>
  <c r="AN12" i="7"/>
  <c r="AN157" i="7"/>
  <c r="AS158" i="7" s="1"/>
  <c r="AN100" i="7"/>
  <c r="AN19" i="7"/>
  <c r="AN152" i="7"/>
  <c r="AO154" i="7" l="1"/>
  <c r="AS153" i="7"/>
  <c r="AP54" i="7"/>
  <c r="AP12" i="7"/>
  <c r="AP19" i="7"/>
  <c r="AP100" i="7"/>
  <c r="AO159" i="7"/>
  <c r="AP157" i="7"/>
  <c r="AP152" i="7"/>
  <c r="AP196" i="7"/>
  <c r="AO197" i="7"/>
  <c r="AN77" i="50"/>
  <c r="AN74" i="50"/>
  <c r="AN68" i="50"/>
  <c r="AN71" i="50"/>
  <c r="AN159" i="7"/>
  <c r="AN158" i="7"/>
  <c r="AN197" i="7"/>
  <c r="AN199" i="7" s="1"/>
  <c r="AN153" i="7"/>
  <c r="AN154" i="7"/>
  <c r="AP197" i="7" l="1"/>
  <c r="AP199" i="7" s="1"/>
  <c r="AO199" i="7"/>
  <c r="AP153" i="7"/>
  <c r="AP155" i="7"/>
  <c r="AP160" i="7"/>
  <c r="AP158" i="7"/>
  <c r="AN32" i="51"/>
  <c r="AN32" i="50"/>
  <c r="AN50" i="50" s="1"/>
  <c r="AN39" i="50" l="1"/>
  <c r="AN98" i="50"/>
  <c r="AN99" i="50" s="1"/>
  <c r="AN78" i="51"/>
  <c r="AP37" i="50"/>
  <c r="AP89" i="50" s="1"/>
  <c r="AU89" i="50" s="1"/>
  <c r="AZ89" i="50" s="1"/>
  <c r="BE89" i="50" s="1"/>
  <c r="BJ89" i="50" s="1"/>
  <c r="BO89" i="50" s="1"/>
  <c r="AP14" i="50"/>
  <c r="AP23" i="50"/>
  <c r="AP35" i="50"/>
  <c r="AP95" i="50" s="1"/>
  <c r="AU95" i="50" s="1"/>
  <c r="AZ95" i="50" s="1"/>
  <c r="BE95" i="50" s="1"/>
  <c r="BJ95" i="50" s="1"/>
  <c r="BO95" i="50" s="1"/>
  <c r="AP13" i="50"/>
  <c r="AP61" i="50" s="1"/>
  <c r="AP15" i="50"/>
  <c r="AP24" i="50"/>
  <c r="AN81" i="51" l="1"/>
  <c r="AP64" i="50"/>
  <c r="AP63" i="50"/>
  <c r="AP76" i="50"/>
  <c r="AU76" i="50" s="1"/>
  <c r="AZ76" i="50" s="1"/>
  <c r="BE76" i="50" s="1"/>
  <c r="BJ76" i="50" s="1"/>
  <c r="BO76" i="50" s="1"/>
  <c r="AP77" i="50"/>
  <c r="AP74" i="50"/>
  <c r="AP73" i="50"/>
  <c r="AU73" i="50" s="1"/>
  <c r="AZ73" i="50" s="1"/>
  <c r="BE73" i="50" s="1"/>
  <c r="BJ73" i="50" s="1"/>
  <c r="BO73" i="50" s="1"/>
  <c r="AP71" i="50"/>
  <c r="AP70" i="50"/>
  <c r="AU70" i="50" s="1"/>
  <c r="AZ70" i="50" s="1"/>
  <c r="BE70" i="50" s="1"/>
  <c r="BJ70" i="50" s="1"/>
  <c r="BO70" i="50" s="1"/>
  <c r="AP68" i="50"/>
  <c r="AP67" i="50"/>
  <c r="AU67" i="50" s="1"/>
  <c r="AZ67" i="50" s="1"/>
  <c r="BE67" i="50" s="1"/>
  <c r="BJ67" i="50" s="1"/>
  <c r="BO67" i="50" s="1"/>
  <c r="AN82" i="51"/>
  <c r="AN84" i="51"/>
  <c r="AN85" i="51" l="1"/>
  <c r="AO214" i="7" l="1"/>
  <c r="AO217" i="7" s="1"/>
  <c r="AO218" i="7" s="1"/>
  <c r="AP214" i="7" l="1"/>
  <c r="AP217" i="7" s="1"/>
  <c r="AP218" i="7" s="1"/>
  <c r="AN16" i="50" l="1"/>
  <c r="AN25" i="50" s="1"/>
  <c r="AN52" i="50" s="1"/>
  <c r="AN155" i="53"/>
  <c r="AN157" i="53" s="1"/>
  <c r="AR64" i="51" l="1"/>
  <c r="AN159" i="53"/>
  <c r="AT21" i="54" l="1"/>
  <c r="AS64" i="51"/>
  <c r="AU21" i="54" l="1"/>
  <c r="BA21" i="54"/>
  <c r="BA56" i="51" s="1"/>
  <c r="AT56" i="51"/>
  <c r="BA64" i="51" l="1"/>
  <c r="BE64" i="51" s="1"/>
  <c r="BE56" i="51"/>
  <c r="AU56" i="51"/>
  <c r="AT64" i="51"/>
  <c r="AU64" i="51" s="1"/>
  <c r="AN21" i="54" l="1"/>
  <c r="AN24" i="54" l="1"/>
  <c r="AO25" i="54" s="1"/>
  <c r="AP21" i="54"/>
  <c r="AN25" i="54" l="1"/>
  <c r="AT22" i="54"/>
  <c r="AV22" i="54" s="1"/>
  <c r="AW22" i="54" s="1"/>
  <c r="AX22" i="54" s="1"/>
  <c r="AY22" i="54" s="1"/>
  <c r="BA22" i="54" s="1"/>
  <c r="AT24" i="54" l="1"/>
  <c r="AP42" i="50"/>
  <c r="AV24" i="54" l="1"/>
  <c r="AT12" i="54"/>
  <c r="AP49" i="50"/>
  <c r="AW24" i="54" l="1"/>
  <c r="AV12" i="54"/>
  <c r="AX24" i="54" l="1"/>
  <c r="AW12" i="54"/>
  <c r="AY24" i="54" l="1"/>
  <c r="AX12" i="54"/>
  <c r="BA24" i="54" l="1"/>
  <c r="AY12" i="54"/>
  <c r="BB24" i="54" l="1"/>
  <c r="BA12" i="54"/>
  <c r="AN104" i="50"/>
  <c r="AN203" i="7"/>
  <c r="AN204" i="7" s="1"/>
  <c r="AN101" i="50"/>
  <c r="AN44" i="51"/>
  <c r="AN67" i="51" s="1"/>
  <c r="AN69" i="51" s="1"/>
  <c r="BC24" i="54" l="1"/>
  <c r="BB12" i="54"/>
  <c r="AN72" i="51"/>
  <c r="AO68" i="51"/>
  <c r="AN73" i="51"/>
  <c r="AN102" i="50"/>
  <c r="AP44" i="51" s="1"/>
  <c r="AN122" i="50"/>
  <c r="AP122" i="50" s="1"/>
  <c r="AN105" i="50"/>
  <c r="AN123" i="50"/>
  <c r="AP123" i="50" s="1"/>
  <c r="AN107" i="50"/>
  <c r="BD24" i="54" l="1"/>
  <c r="BC12" i="54"/>
  <c r="AN111" i="50"/>
  <c r="AN75" i="51"/>
  <c r="AN113" i="50"/>
  <c r="AN108" i="50"/>
  <c r="AN110" i="50" s="1"/>
  <c r="BF24" i="54" l="1"/>
  <c r="BG24" i="54" s="1"/>
  <c r="BH24" i="54" s="1"/>
  <c r="BI24" i="54" s="1"/>
  <c r="BK24" i="54" s="1"/>
  <c r="BL24" i="54" s="1"/>
  <c r="BM24" i="54" s="1"/>
  <c r="BN24" i="54" s="1"/>
  <c r="BD12" i="54"/>
  <c r="AN114" i="50"/>
  <c r="AO98" i="50" l="1"/>
  <c r="AO99" i="50" s="1"/>
  <c r="AO67" i="51"/>
  <c r="AO69" i="51" s="1"/>
  <c r="AQ68" i="51" s="1"/>
  <c r="AP32" i="51"/>
  <c r="AP19" i="50"/>
  <c r="AO81" i="51" l="1"/>
  <c r="AO84" i="51" s="1"/>
  <c r="AP78" i="51"/>
  <c r="AO72" i="51"/>
  <c r="AO75" i="51" s="1"/>
  <c r="AP98" i="50"/>
  <c r="AP99" i="50" s="1"/>
  <c r="AP67" i="51"/>
  <c r="AP69" i="51" s="1"/>
  <c r="AP72" i="51" l="1"/>
  <c r="AO73" i="51"/>
  <c r="AO82" i="51"/>
  <c r="AP81" i="51"/>
  <c r="AP82" i="51" s="1"/>
  <c r="AO85" i="51" l="1"/>
  <c r="AP84" i="51"/>
  <c r="AO107" i="50"/>
  <c r="AP85" i="51" l="1"/>
  <c r="AP84" i="59" s="1"/>
  <c r="AP85" i="59" s="1"/>
  <c r="AO111" i="50"/>
  <c r="AO108" i="50"/>
  <c r="AO203" i="7"/>
  <c r="AO204" i="7" s="1"/>
  <c r="AO113" i="50"/>
  <c r="AP107" i="50"/>
  <c r="AU68" i="51"/>
  <c r="AL109" i="50" l="1"/>
  <c r="AM109" i="50"/>
  <c r="AN109" i="50"/>
  <c r="AO109" i="50"/>
  <c r="AO114" i="50"/>
  <c r="AP108" i="50"/>
  <c r="AP110" i="50" s="1"/>
  <c r="AP111" i="50"/>
  <c r="AP203" i="7"/>
  <c r="AP204" i="7" s="1"/>
  <c r="AP10" i="50"/>
  <c r="AP71" i="51" l="1"/>
  <c r="AP73" i="51" s="1"/>
  <c r="AP75" i="51"/>
  <c r="AP113" i="50"/>
  <c r="AP56" i="50"/>
  <c r="AP58" i="50" s="1"/>
  <c r="AL115" i="50" l="1"/>
  <c r="AM115" i="50"/>
  <c r="AN115" i="50"/>
  <c r="AO115" i="50"/>
  <c r="AP114" i="50"/>
  <c r="AP116" i="50" s="1"/>
  <c r="AL88" i="7" l="1"/>
  <c r="AN88" i="7"/>
  <c r="AM88" i="7"/>
  <c r="AQ27" i="7" l="1"/>
  <c r="AR27" i="7" l="1"/>
  <c r="AR28" i="7" s="1"/>
  <c r="AQ28" i="7"/>
  <c r="AQ15" i="52"/>
  <c r="AQ16" i="52"/>
  <c r="AQ10" i="52"/>
  <c r="AQ15" i="59"/>
  <c r="AQ56" i="52" l="1"/>
  <c r="AQ61" i="52"/>
  <c r="AQ17" i="52"/>
  <c r="AQ55" i="50"/>
  <c r="AQ18" i="59"/>
  <c r="AR40" i="59" s="1"/>
  <c r="AR42" i="59" s="1"/>
  <c r="AQ17" i="59"/>
  <c r="AQ12" i="52"/>
  <c r="AQ11" i="52"/>
  <c r="AQ22" i="52"/>
  <c r="AR15" i="59"/>
  <c r="AR18" i="59" l="1"/>
  <c r="AS40" i="59" s="1"/>
  <c r="AS42" i="59" s="1"/>
  <c r="AR17" i="59"/>
  <c r="AQ105" i="50"/>
  <c r="AQ92" i="50"/>
  <c r="AV92" i="50" s="1"/>
  <c r="BA92" i="50" s="1"/>
  <c r="BF92" i="50" s="1"/>
  <c r="BK92" i="50" s="1"/>
  <c r="AQ70" i="50"/>
  <c r="AV70" i="50" s="1"/>
  <c r="AQ61" i="50"/>
  <c r="AV61" i="50" s="1"/>
  <c r="BA61" i="50" s="1"/>
  <c r="BF61" i="50" s="1"/>
  <c r="AQ89" i="50"/>
  <c r="AV89" i="50" s="1"/>
  <c r="BA89" i="50" s="1"/>
  <c r="BF89" i="50" s="1"/>
  <c r="BK89" i="50" s="1"/>
  <c r="AQ76" i="50"/>
  <c r="AV76" i="50" s="1"/>
  <c r="BA76" i="50" s="1"/>
  <c r="BF76" i="50" s="1"/>
  <c r="BK76" i="50" s="1"/>
  <c r="AQ67" i="50"/>
  <c r="AV67" i="50" s="1"/>
  <c r="BA67" i="50" s="1"/>
  <c r="BF67" i="50" s="1"/>
  <c r="BK67" i="50" s="1"/>
  <c r="AQ95" i="50"/>
  <c r="AV95" i="50" s="1"/>
  <c r="BA95" i="50" s="1"/>
  <c r="BF95" i="50" s="1"/>
  <c r="BK95" i="50" s="1"/>
  <c r="AQ86" i="50"/>
  <c r="AV86" i="50" s="1"/>
  <c r="BA86" i="50" s="1"/>
  <c r="BF86" i="50" s="1"/>
  <c r="BK86" i="50" s="1"/>
  <c r="AQ73" i="50"/>
  <c r="AV73" i="50" s="1"/>
  <c r="BA73" i="50" s="1"/>
  <c r="BF73" i="50" s="1"/>
  <c r="BK73" i="50" s="1"/>
  <c r="AQ102" i="50"/>
  <c r="AQ126" i="50"/>
  <c r="AQ10" i="60"/>
  <c r="BA70" i="50" l="1"/>
  <c r="BF70" i="50" s="1"/>
  <c r="BK70" i="50" s="1"/>
  <c r="AQ64" i="50"/>
  <c r="AQ63" i="50"/>
  <c r="AQ36" i="60"/>
  <c r="AQ37" i="60" s="1"/>
  <c r="AQ11" i="60"/>
  <c r="AQ12" i="60"/>
  <c r="AQ19" i="54"/>
  <c r="AV63" i="50" l="1"/>
  <c r="AV64" i="50"/>
  <c r="BA63" i="50" l="1"/>
  <c r="BA64" i="50"/>
  <c r="AR54" i="52"/>
  <c r="BK61" i="50" l="1"/>
  <c r="BF64" i="50"/>
  <c r="BF63" i="50"/>
  <c r="BK63" i="50" l="1"/>
  <c r="BK64" i="50"/>
  <c r="AP28" i="50" l="1"/>
  <c r="AP79" i="50" s="1"/>
  <c r="AO39" i="50"/>
  <c r="AO90" i="50"/>
  <c r="AO87" i="50"/>
  <c r="AO93" i="50"/>
  <c r="AO96" i="50"/>
  <c r="AO79" i="50"/>
  <c r="AO92" i="50"/>
  <c r="AT92" i="50" s="1"/>
  <c r="AY92" i="50" s="1"/>
  <c r="BD92" i="50" s="1"/>
  <c r="BI92" i="50" s="1"/>
  <c r="BN92" i="50" s="1"/>
  <c r="AP30" i="50"/>
  <c r="AO86" i="50"/>
  <c r="AT86" i="50" s="1"/>
  <c r="AY86" i="50" s="1"/>
  <c r="AP29" i="50"/>
  <c r="BD86" i="50" l="1"/>
  <c r="BI86" i="50" s="1"/>
  <c r="BN86" i="50" s="1"/>
  <c r="AO82" i="50"/>
  <c r="AT79" i="50"/>
  <c r="AY79" i="50" s="1"/>
  <c r="BD79" i="50" s="1"/>
  <c r="BI79" i="50" s="1"/>
  <c r="AP86" i="50"/>
  <c r="AU86" i="50" s="1"/>
  <c r="AZ86" i="50" s="1"/>
  <c r="BE86" i="50" s="1"/>
  <c r="BJ86" i="50" s="1"/>
  <c r="BO86" i="50" s="1"/>
  <c r="AP93" i="50"/>
  <c r="AP92" i="50"/>
  <c r="AP90" i="50"/>
  <c r="AP82" i="50"/>
  <c r="AP83" i="50"/>
  <c r="AP96" i="50"/>
  <c r="AO83" i="50"/>
  <c r="AP87" i="50"/>
  <c r="AP32" i="50"/>
  <c r="BI82" i="50" l="1"/>
  <c r="BN79" i="50"/>
  <c r="BI83" i="50"/>
  <c r="AT82" i="50"/>
  <c r="AT83" i="50"/>
  <c r="AP39" i="50"/>
  <c r="BN82" i="50" l="1"/>
  <c r="BN83" i="50"/>
  <c r="AY83" i="50"/>
  <c r="AY82" i="50"/>
  <c r="BD82" i="50" l="1"/>
  <c r="BD83" i="50"/>
  <c r="AQ38" i="60" l="1"/>
  <c r="AQ40" i="60" s="1"/>
  <c r="AQ42" i="60" s="1"/>
  <c r="AQ41" i="60" l="1"/>
  <c r="AQ16" i="50"/>
  <c r="AQ71" i="51"/>
  <c r="AQ25" i="50" l="1"/>
  <c r="AQ32" i="50" l="1"/>
  <c r="AQ50" i="50" s="1"/>
  <c r="AQ52" i="50" s="1"/>
  <c r="AQ15" i="60"/>
  <c r="AS18" i="60" s="1"/>
  <c r="AQ20" i="60" l="1"/>
  <c r="AQ17" i="60"/>
  <c r="AQ16" i="60"/>
  <c r="AQ49" i="60" s="1"/>
  <c r="AQ51" i="60" s="1"/>
  <c r="AR16" i="60"/>
  <c r="AR18" i="60"/>
  <c r="AQ18" i="60"/>
  <c r="AQ50" i="60" l="1"/>
  <c r="AW18" i="60"/>
  <c r="BB18" i="60" s="1"/>
  <c r="BG18" i="60" s="1"/>
  <c r="BL18" i="60" s="1"/>
  <c r="AV18" i="60"/>
  <c r="BA18" i="60" s="1"/>
  <c r="BF18" i="60" s="1"/>
  <c r="BK18" i="60" s="1"/>
  <c r="AT15" i="60"/>
  <c r="AU15" i="60" l="1"/>
  <c r="AU17" i="60" s="1"/>
  <c r="AT31" i="50"/>
  <c r="AT16" i="60"/>
  <c r="AV15" i="60"/>
  <c r="AT17" i="60"/>
  <c r="AV31" i="50" l="1"/>
  <c r="AW15" i="60"/>
  <c r="AV16" i="60"/>
  <c r="AV17" i="60"/>
  <c r="AU16" i="60"/>
  <c r="AU31" i="50"/>
  <c r="AW31" i="50" l="1"/>
  <c r="AX15" i="60"/>
  <c r="AW16" i="60"/>
  <c r="AW17" i="60"/>
  <c r="AX31" i="50" l="1"/>
  <c r="AX17" i="60"/>
  <c r="AY15" i="60"/>
  <c r="AX16" i="60"/>
  <c r="AY31" i="50" l="1"/>
  <c r="AZ15" i="60"/>
  <c r="AY16" i="60"/>
  <c r="BA15" i="60"/>
  <c r="AY17" i="60"/>
  <c r="BA31" i="50" l="1"/>
  <c r="BB15" i="60"/>
  <c r="BA16" i="60"/>
  <c r="BA17" i="60"/>
  <c r="AZ16" i="60"/>
  <c r="AZ17" i="60"/>
  <c r="AZ31" i="50"/>
  <c r="BB31" i="50" l="1"/>
  <c r="BC15" i="60"/>
  <c r="BB16" i="60"/>
  <c r="BB17" i="60"/>
  <c r="BC31" i="50" l="1"/>
  <c r="BD15" i="60"/>
  <c r="BC16" i="60"/>
  <c r="BC17" i="60"/>
  <c r="BD31" i="50" l="1"/>
  <c r="BF15" i="60"/>
  <c r="BD17" i="60"/>
  <c r="BE15" i="60"/>
  <c r="BD16" i="60"/>
  <c r="BF31" i="50" l="1"/>
  <c r="BG15" i="60"/>
  <c r="BF16" i="60"/>
  <c r="BF17" i="60"/>
  <c r="BE16" i="60"/>
  <c r="BE17" i="60"/>
  <c r="BE31" i="50"/>
  <c r="BG31" i="50" l="1"/>
  <c r="BH15" i="60"/>
  <c r="BG16" i="60"/>
  <c r="BG17" i="60"/>
  <c r="BH31" i="50" l="1"/>
  <c r="BI15" i="60"/>
  <c r="BH16" i="60"/>
  <c r="BH17" i="60"/>
  <c r="BI31" i="50" l="1"/>
  <c r="BJ15" i="60"/>
  <c r="BI16" i="60"/>
  <c r="BK15" i="60"/>
  <c r="BI17" i="60"/>
  <c r="BK31" i="50" l="1"/>
  <c r="BL15" i="60"/>
  <c r="BK16" i="60"/>
  <c r="BK17" i="60"/>
  <c r="BJ31" i="50"/>
  <c r="BJ17" i="60"/>
  <c r="BJ16" i="60"/>
  <c r="BL31" i="50" l="1"/>
  <c r="BM15" i="60"/>
  <c r="BL16" i="60"/>
  <c r="BL17" i="60"/>
  <c r="BM31" i="50" l="1"/>
  <c r="BN15" i="60"/>
  <c r="BM16" i="60"/>
  <c r="BM17" i="60"/>
  <c r="BN31" i="50" l="1"/>
  <c r="BO15" i="60"/>
  <c r="BN16" i="60"/>
  <c r="BN17" i="60"/>
  <c r="BO31" i="50" l="1"/>
  <c r="BO16" i="60"/>
  <c r="BO17" i="60"/>
  <c r="AQ39" i="50" l="1"/>
  <c r="AQ22" i="60"/>
  <c r="AQ29" i="60" s="1"/>
  <c r="AR30" i="60" l="1"/>
  <c r="AS32" i="60"/>
  <c r="AQ23" i="60"/>
  <c r="AQ54" i="60" s="1"/>
  <c r="AQ55" i="60" s="1"/>
  <c r="AS25" i="60"/>
  <c r="AQ25" i="60"/>
  <c r="AR23" i="60"/>
  <c r="AQ32" i="60"/>
  <c r="AQ27" i="60"/>
  <c r="AQ24" i="60"/>
  <c r="AQ33" i="60"/>
  <c r="AQ31" i="60"/>
  <c r="AQ30" i="60"/>
  <c r="AQ44" i="60" s="1"/>
  <c r="AQ19" i="60"/>
  <c r="AQ26" i="60"/>
  <c r="AQ56" i="60" l="1"/>
  <c r="AT22" i="60"/>
  <c r="AV22" i="60" s="1"/>
  <c r="AQ46" i="60"/>
  <c r="AQ45" i="60"/>
  <c r="AT36" i="50"/>
  <c r="AT29" i="60"/>
  <c r="AT23" i="60" l="1"/>
  <c r="AU22" i="60"/>
  <c r="AU24" i="60" s="1"/>
  <c r="AT24" i="60"/>
  <c r="AV36" i="50"/>
  <c r="AV29" i="60"/>
  <c r="AW22" i="60"/>
  <c r="AV23" i="60"/>
  <c r="AV24" i="60"/>
  <c r="AT19" i="60"/>
  <c r="AU29" i="60"/>
  <c r="AU26" i="60" s="1"/>
  <c r="AT30" i="60"/>
  <c r="AT31" i="60"/>
  <c r="AT32" i="60"/>
  <c r="AT26" i="60"/>
  <c r="AU36" i="50"/>
  <c r="AU23" i="60" l="1"/>
  <c r="AV19" i="60"/>
  <c r="AV30" i="60"/>
  <c r="AV31" i="60"/>
  <c r="AV32" i="60"/>
  <c r="AU19" i="60"/>
  <c r="AU30" i="60"/>
  <c r="AU31" i="60"/>
  <c r="AV26" i="60"/>
  <c r="AT30" i="51"/>
  <c r="AW36" i="50"/>
  <c r="AW29" i="60"/>
  <c r="AX22" i="60"/>
  <c r="AW23" i="60"/>
  <c r="AW24" i="60"/>
  <c r="AV30" i="51" l="1"/>
  <c r="AW19" i="60"/>
  <c r="AW30" i="60"/>
  <c r="AW31" i="60"/>
  <c r="AW32" i="60"/>
  <c r="AW26" i="60"/>
  <c r="AX36" i="50"/>
  <c r="AX24" i="60"/>
  <c r="AX29" i="60"/>
  <c r="AY22" i="60"/>
  <c r="AX23" i="60"/>
  <c r="AT38" i="60"/>
  <c r="AU30" i="51"/>
  <c r="AV38" i="60" l="1"/>
  <c r="AX31" i="60"/>
  <c r="AX32" i="60"/>
  <c r="AX19" i="60"/>
  <c r="AX30" i="60"/>
  <c r="AU38" i="60"/>
  <c r="AW30" i="51"/>
  <c r="AY36" i="50"/>
  <c r="AZ22" i="60"/>
  <c r="AY23" i="60"/>
  <c r="BA22" i="60"/>
  <c r="AY24" i="60"/>
  <c r="AY29" i="60"/>
  <c r="AY26" i="60" s="1"/>
  <c r="AX30" i="51" l="1"/>
  <c r="AZ29" i="60"/>
  <c r="AZ26" i="60" s="1"/>
  <c r="AY30" i="60"/>
  <c r="AY31" i="60"/>
  <c r="AY32" i="60"/>
  <c r="AY19" i="60"/>
  <c r="AZ23" i="60"/>
  <c r="AZ24" i="60"/>
  <c r="AW38" i="60"/>
  <c r="BA36" i="50"/>
  <c r="BA29" i="60"/>
  <c r="BA26" i="60" s="1"/>
  <c r="BB22" i="60"/>
  <c r="BA23" i="60"/>
  <c r="BA24" i="60"/>
  <c r="AZ36" i="50"/>
  <c r="BB36" i="50" l="1"/>
  <c r="BB29" i="60"/>
  <c r="BC22" i="60"/>
  <c r="BB23" i="60"/>
  <c r="BB24" i="60"/>
  <c r="AY30" i="51"/>
  <c r="AZ30" i="51" s="1"/>
  <c r="BA19" i="60"/>
  <c r="BA30" i="60"/>
  <c r="BA32" i="60"/>
  <c r="BA31" i="60"/>
  <c r="AZ30" i="60"/>
  <c r="AZ31" i="60"/>
  <c r="AZ19" i="60"/>
  <c r="AX38" i="60"/>
  <c r="AY38" i="60" l="1"/>
  <c r="BC36" i="50"/>
  <c r="BC29" i="60"/>
  <c r="BC26" i="60" s="1"/>
  <c r="BD22" i="60"/>
  <c r="BC23" i="60"/>
  <c r="BC24" i="60"/>
  <c r="BB19" i="60"/>
  <c r="BB30" i="60"/>
  <c r="BB32" i="60"/>
  <c r="BB31" i="60"/>
  <c r="BA30" i="51"/>
  <c r="BB26" i="60"/>
  <c r="BB30" i="51" l="1"/>
  <c r="BC19" i="60"/>
  <c r="BC30" i="60"/>
  <c r="BC32" i="60"/>
  <c r="BC31" i="60"/>
  <c r="AZ38" i="60"/>
  <c r="BA38" i="60"/>
  <c r="BD36" i="50"/>
  <c r="BF22" i="60"/>
  <c r="BD24" i="60"/>
  <c r="BD29" i="60"/>
  <c r="BD26" i="60" s="1"/>
  <c r="BE22" i="60"/>
  <c r="BD23" i="60"/>
  <c r="BB38" i="60" l="1"/>
  <c r="BE23" i="60"/>
  <c r="BE24" i="60"/>
  <c r="BF36" i="50"/>
  <c r="BF29" i="60"/>
  <c r="BG22" i="60"/>
  <c r="BF23" i="60"/>
  <c r="BF24" i="60"/>
  <c r="BE36" i="50"/>
  <c r="BD31" i="60"/>
  <c r="BD19" i="60"/>
  <c r="BE29" i="60"/>
  <c r="BD30" i="60"/>
  <c r="BD32" i="60"/>
  <c r="BC30" i="51"/>
  <c r="BD30" i="51" l="1"/>
  <c r="BG36" i="50"/>
  <c r="BG29" i="60"/>
  <c r="BG26" i="60" s="1"/>
  <c r="BH22" i="60"/>
  <c r="BG23" i="60"/>
  <c r="BG24" i="60"/>
  <c r="BF32" i="60"/>
  <c r="BF30" i="60"/>
  <c r="BF31" i="60"/>
  <c r="BF19" i="60"/>
  <c r="BE30" i="60"/>
  <c r="BE31" i="60"/>
  <c r="BE19" i="60"/>
  <c r="BC38" i="60"/>
  <c r="BE30" i="51"/>
  <c r="BF26" i="60"/>
  <c r="BE26" i="60"/>
  <c r="BF30" i="51" l="1"/>
  <c r="BH36" i="50"/>
  <c r="BH29" i="60"/>
  <c r="BI22" i="60"/>
  <c r="BH23" i="60"/>
  <c r="BH24" i="60"/>
  <c r="BG19" i="60"/>
  <c r="BG32" i="60"/>
  <c r="BG30" i="60"/>
  <c r="BG31" i="60"/>
  <c r="BD38" i="60"/>
  <c r="BH19" i="60" l="1"/>
  <c r="BH32" i="60"/>
  <c r="BH30" i="60"/>
  <c r="BH31" i="60"/>
  <c r="BG30" i="51"/>
  <c r="BG38" i="60" s="1"/>
  <c r="BH26" i="60"/>
  <c r="BF38" i="60"/>
  <c r="BE38" i="60"/>
  <c r="BI36" i="50"/>
  <c r="BI29" i="60"/>
  <c r="BI26" i="60" s="1"/>
  <c r="BJ22" i="60"/>
  <c r="BI23" i="60"/>
  <c r="BK22" i="60"/>
  <c r="BI24" i="60"/>
  <c r="BK36" i="50" l="1"/>
  <c r="BL22" i="60"/>
  <c r="BK23" i="60"/>
  <c r="BK24" i="60"/>
  <c r="BK29" i="60"/>
  <c r="BK26" i="60" s="1"/>
  <c r="BH30" i="51"/>
  <c r="BH38" i="60" s="1"/>
  <c r="BI19" i="60"/>
  <c r="BI32" i="60"/>
  <c r="BJ29" i="60"/>
  <c r="BJ26" i="60" s="1"/>
  <c r="BI30" i="60"/>
  <c r="BI31" i="60"/>
  <c r="BJ24" i="60"/>
  <c r="BJ23" i="60"/>
  <c r="BJ36" i="50"/>
  <c r="BJ31" i="60" l="1"/>
  <c r="BJ19" i="60"/>
  <c r="BJ30" i="60"/>
  <c r="BI30" i="51"/>
  <c r="BL36" i="50"/>
  <c r="BL29" i="60"/>
  <c r="BL26" i="60" s="1"/>
  <c r="BM22" i="60"/>
  <c r="BL23" i="60"/>
  <c r="BL24" i="60"/>
  <c r="BK30" i="60"/>
  <c r="BK31" i="60"/>
  <c r="BK19" i="60"/>
  <c r="BK32" i="60"/>
  <c r="BM36" i="50" l="1"/>
  <c r="BM29" i="60"/>
  <c r="BN22" i="60"/>
  <c r="BM23" i="60"/>
  <c r="BM24" i="60"/>
  <c r="BL30" i="60"/>
  <c r="BL31" i="60"/>
  <c r="BL19" i="60"/>
  <c r="BL32" i="60"/>
  <c r="BK30" i="51"/>
  <c r="BI38" i="60"/>
  <c r="BJ30" i="51"/>
  <c r="BJ38" i="60" l="1"/>
  <c r="BK38" i="60"/>
  <c r="BN36" i="50"/>
  <c r="BN29" i="60"/>
  <c r="BO22" i="60"/>
  <c r="BN23" i="60"/>
  <c r="BN24" i="60"/>
  <c r="BL30" i="51"/>
  <c r="BL38" i="60" s="1"/>
  <c r="BM19" i="60"/>
  <c r="BM32" i="60"/>
  <c r="BM30" i="60"/>
  <c r="BM31" i="60"/>
  <c r="BM26" i="60"/>
  <c r="BO36" i="50" l="1"/>
  <c r="BM30" i="51"/>
  <c r="BM38" i="60" s="1"/>
  <c r="BN19" i="60"/>
  <c r="BN32" i="60"/>
  <c r="BO29" i="60"/>
  <c r="BO26" i="60" s="1"/>
  <c r="BN30" i="60"/>
  <c r="BN31" i="60"/>
  <c r="BO23" i="60"/>
  <c r="BO24" i="60"/>
  <c r="BN26" i="60"/>
  <c r="BN30" i="51" l="1"/>
  <c r="BN38" i="60" s="1"/>
  <c r="BO19" i="60"/>
  <c r="BO30" i="60"/>
  <c r="BO31" i="60"/>
  <c r="BO30" i="51" l="1"/>
  <c r="BO38" i="60"/>
  <c r="AQ13" i="54"/>
  <c r="AR10" i="54" s="1"/>
  <c r="AQ17" i="54"/>
  <c r="AQ28" i="54" l="1"/>
  <c r="AQ15" i="54"/>
  <c r="AQ11" i="54"/>
  <c r="AQ32" i="54"/>
  <c r="AQ36" i="54" s="1"/>
  <c r="AQ29" i="54"/>
  <c r="AQ16" i="54"/>
  <c r="AQ33" i="54"/>
  <c r="AQ37" i="54" l="1"/>
  <c r="AR11" i="54" l="1"/>
  <c r="AQ29" i="52" l="1"/>
  <c r="AQ30" i="52"/>
  <c r="AQ31" i="52"/>
  <c r="AQ28" i="53"/>
  <c r="AQ29" i="53" s="1"/>
  <c r="AQ31" i="53" l="1"/>
  <c r="AQ30" i="53"/>
  <c r="AV31" i="53" l="1"/>
  <c r="BA31" i="53" s="1"/>
  <c r="BF31" i="53" l="1"/>
  <c r="BK31" i="53" l="1"/>
  <c r="AQ24" i="52" l="1"/>
  <c r="AQ25" i="52" s="1"/>
  <c r="AQ34" i="52"/>
  <c r="AQ35" i="52"/>
  <c r="AQ36" i="52"/>
  <c r="AQ33" i="53"/>
  <c r="AQ34" i="53" s="1"/>
  <c r="AQ26" i="52" l="1"/>
  <c r="AQ36" i="53"/>
  <c r="AV34" i="53"/>
  <c r="AQ35" i="53"/>
  <c r="AQ24" i="53"/>
  <c r="AQ38" i="52"/>
  <c r="AQ67" i="52" s="1"/>
  <c r="AQ70" i="52" l="1"/>
  <c r="AQ69" i="52"/>
  <c r="AQ68" i="52"/>
  <c r="AQ81" i="50"/>
  <c r="AQ79" i="50" s="1"/>
  <c r="AV79" i="50" s="1"/>
  <c r="AQ26" i="53"/>
  <c r="AQ38" i="53"/>
  <c r="AQ25" i="53"/>
  <c r="AQ41" i="52"/>
  <c r="AQ214" i="7" s="1"/>
  <c r="AQ217" i="7" s="1"/>
  <c r="AQ218" i="7" s="1"/>
  <c r="AQ39" i="52"/>
  <c r="AQ40" i="52"/>
  <c r="AQ39" i="53" l="1"/>
  <c r="AQ41" i="53"/>
  <c r="AQ40" i="53"/>
  <c r="AQ82" i="50"/>
  <c r="AQ83" i="50"/>
  <c r="BA79" i="50" l="1"/>
  <c r="BF79" i="50" s="1"/>
  <c r="AV83" i="50"/>
  <c r="AV82" i="50"/>
  <c r="BF82" i="50" l="1"/>
  <c r="BF83" i="50"/>
  <c r="BK79" i="50"/>
  <c r="BA83" i="50"/>
  <c r="BA82" i="50"/>
  <c r="BK82" i="50" l="1"/>
  <c r="BK83" i="50"/>
  <c r="AQ44" i="52" l="1"/>
  <c r="AQ45" i="52"/>
  <c r="AQ46" i="52"/>
  <c r="AQ43" i="53"/>
  <c r="AQ46" i="53" s="1"/>
  <c r="AV46" i="53" s="1"/>
  <c r="BA46" i="53" s="1"/>
  <c r="AQ44" i="53" l="1"/>
  <c r="AQ196" i="7"/>
  <c r="AQ45" i="53"/>
  <c r="BF46" i="53" l="1"/>
  <c r="BK46" i="53" s="1"/>
  <c r="AQ197" i="7"/>
  <c r="AQ199" i="7" s="1"/>
  <c r="AQ49" i="52" l="1"/>
  <c r="AQ50" i="52"/>
  <c r="AQ51" i="52"/>
  <c r="AQ49" i="53" l="1"/>
  <c r="AQ50" i="53"/>
  <c r="AQ51" i="53"/>
  <c r="AV51" i="53" s="1"/>
  <c r="BA51" i="53" s="1"/>
  <c r="BF51" i="53" s="1"/>
  <c r="BK51" i="53" s="1"/>
  <c r="AR55" i="52" l="1"/>
  <c r="AV59" i="52"/>
  <c r="AQ56" i="53"/>
  <c r="AV56" i="53" s="1"/>
  <c r="AQ58" i="53"/>
  <c r="AR60" i="53" l="1"/>
  <c r="AQ59" i="53"/>
  <c r="AQ61" i="53"/>
  <c r="BA56" i="53"/>
  <c r="BF56" i="53" s="1"/>
  <c r="AQ60" i="53"/>
  <c r="AV59" i="53"/>
  <c r="AQ63" i="53"/>
  <c r="AQ55" i="53"/>
  <c r="AQ54" i="53"/>
  <c r="AQ65" i="53" l="1"/>
  <c r="AQ67" i="53"/>
  <c r="AQ69" i="53" s="1"/>
  <c r="AQ64" i="53"/>
  <c r="BK56" i="53"/>
  <c r="AQ68" i="53" l="1"/>
  <c r="AQ70" i="53"/>
  <c r="AQ25" i="59"/>
  <c r="AQ26" i="59" s="1"/>
  <c r="AQ75" i="52" l="1"/>
  <c r="AQ73" i="53"/>
  <c r="AQ158" i="53" l="1"/>
  <c r="AQ159" i="53" s="1"/>
  <c r="AQ76" i="53"/>
  <c r="AT159" i="53"/>
  <c r="AV159" i="53" s="1"/>
  <c r="AW159" i="53" s="1"/>
  <c r="AX159" i="53" s="1"/>
  <c r="AY159" i="53" s="1"/>
  <c r="BA159" i="53" s="1"/>
  <c r="BB159" i="53" s="1"/>
  <c r="BC159" i="53" s="1"/>
  <c r="BD159" i="53" s="1"/>
  <c r="BF159" i="53" s="1"/>
  <c r="BG159" i="53" s="1"/>
  <c r="BH159" i="53" s="1"/>
  <c r="BI159" i="53" s="1"/>
  <c r="BK159" i="53" s="1"/>
  <c r="BL159" i="53" s="1"/>
  <c r="BM159" i="53" s="1"/>
  <c r="BN159" i="53" s="1"/>
  <c r="AQ78" i="52" l="1"/>
  <c r="AQ80" i="52"/>
  <c r="AQ85" i="52" s="1"/>
  <c r="AQ78" i="53"/>
  <c r="AQ81" i="53" l="1"/>
  <c r="AQ79" i="53"/>
  <c r="AQ10" i="51"/>
  <c r="AQ32" i="51" s="1"/>
  <c r="AQ87" i="52"/>
  <c r="AQ88" i="52"/>
  <c r="AQ81" i="52"/>
  <c r="AQ88" i="53" l="1"/>
  <c r="AQ86" i="53"/>
  <c r="AQ89" i="53"/>
  <c r="AQ82" i="53"/>
  <c r="AQ67" i="51" l="1"/>
  <c r="AQ98" i="50"/>
  <c r="AQ99" i="50" s="1"/>
  <c r="AQ78" i="51"/>
  <c r="AQ81" i="51" l="1"/>
  <c r="AQ69" i="51"/>
  <c r="AR68" i="51" s="1"/>
  <c r="AQ72" i="51" l="1"/>
  <c r="AQ75" i="51" s="1"/>
  <c r="AQ107" i="50"/>
  <c r="AQ84" i="51"/>
  <c r="AQ82" i="51"/>
  <c r="AQ203" i="7" s="1"/>
  <c r="AQ204" i="7" s="1"/>
  <c r="AR49" i="50" l="1"/>
  <c r="AQ111" i="50"/>
  <c r="AQ108" i="50"/>
  <c r="AQ110" i="50" s="1"/>
  <c r="AQ73" i="51"/>
  <c r="AQ113" i="50"/>
  <c r="AQ85" i="51"/>
  <c r="AR50" i="50" l="1"/>
  <c r="AQ114" i="50"/>
  <c r="AR56" i="50" l="1"/>
  <c r="AR58" i="50" l="1"/>
  <c r="AR52" i="50" l="1"/>
  <c r="AR10" i="52" l="1"/>
  <c r="AR56" i="52" s="1"/>
  <c r="AR20" i="52"/>
  <c r="AR21" i="52"/>
  <c r="AR19" i="53"/>
  <c r="AR51" i="7" l="1"/>
  <c r="AR52" i="7" s="1"/>
  <c r="AS21" i="53"/>
  <c r="AR17" i="52"/>
  <c r="AR51" i="52"/>
  <c r="AR22" i="52"/>
  <c r="AR11" i="52"/>
  <c r="AR61" i="52"/>
  <c r="AR21" i="53"/>
  <c r="AW51" i="7"/>
  <c r="AR55" i="50"/>
  <c r="AR20" i="53"/>
  <c r="AR10" i="53"/>
  <c r="AR12" i="52"/>
  <c r="AR11" i="7" l="1"/>
  <c r="AR53" i="7"/>
  <c r="AS53" i="7"/>
  <c r="AR10" i="60"/>
  <c r="AS12" i="60" s="1"/>
  <c r="AS12" i="53"/>
  <c r="AS13" i="7"/>
  <c r="AR54" i="7"/>
  <c r="AR152" i="7"/>
  <c r="AS154" i="7" s="1"/>
  <c r="AR11" i="60"/>
  <c r="AR49" i="60"/>
  <c r="AS51" i="60" s="1"/>
  <c r="AR12" i="60"/>
  <c r="AR54" i="60"/>
  <c r="AS56" i="60" s="1"/>
  <c r="AR20" i="60"/>
  <c r="AR27" i="60"/>
  <c r="AR36" i="60"/>
  <c r="AR33" i="60"/>
  <c r="AR44" i="60"/>
  <c r="AS46" i="60" s="1"/>
  <c r="AR92" i="50"/>
  <c r="AW92" i="50" s="1"/>
  <c r="BB92" i="50" s="1"/>
  <c r="BG92" i="50" s="1"/>
  <c r="BL92" i="50" s="1"/>
  <c r="AR76" i="50"/>
  <c r="AW76" i="50" s="1"/>
  <c r="BB76" i="50" s="1"/>
  <c r="BG76" i="50" s="1"/>
  <c r="BL76" i="50" s="1"/>
  <c r="AR67" i="50"/>
  <c r="AW67" i="50" s="1"/>
  <c r="BB67" i="50" s="1"/>
  <c r="BG67" i="50" s="1"/>
  <c r="BL67" i="50" s="1"/>
  <c r="AR89" i="50"/>
  <c r="AW89" i="50" s="1"/>
  <c r="BB89" i="50" s="1"/>
  <c r="BG89" i="50" s="1"/>
  <c r="BL89" i="50" s="1"/>
  <c r="AR73" i="50"/>
  <c r="AW73" i="50" s="1"/>
  <c r="BB73" i="50" s="1"/>
  <c r="BG73" i="50" s="1"/>
  <c r="BL73" i="50" s="1"/>
  <c r="AR105" i="50"/>
  <c r="AR95" i="50"/>
  <c r="AW95" i="50" s="1"/>
  <c r="BB95" i="50" s="1"/>
  <c r="BG95" i="50" s="1"/>
  <c r="BL95" i="50" s="1"/>
  <c r="AR86" i="50"/>
  <c r="AW86" i="50" s="1"/>
  <c r="BB86" i="50" s="1"/>
  <c r="BG86" i="50" s="1"/>
  <c r="BL86" i="50" s="1"/>
  <c r="AR70" i="50"/>
  <c r="AR102" i="50"/>
  <c r="AR61" i="50"/>
  <c r="AW61" i="50" s="1"/>
  <c r="AR126" i="50"/>
  <c r="BB51" i="7"/>
  <c r="AW19" i="52"/>
  <c r="AW53" i="7"/>
  <c r="AR13" i="7"/>
  <c r="AR12" i="7"/>
  <c r="AR157" i="7"/>
  <c r="AS159" i="7" s="1"/>
  <c r="AR19" i="7"/>
  <c r="AR100" i="7"/>
  <c r="AR11" i="53"/>
  <c r="AR17" i="53"/>
  <c r="AR103" i="53"/>
  <c r="AT103" i="53" s="1"/>
  <c r="AV103" i="53" s="1"/>
  <c r="AW103" i="53" s="1"/>
  <c r="AX103" i="53" s="1"/>
  <c r="AY103" i="53" s="1"/>
  <c r="BA103" i="53" s="1"/>
  <c r="BB103" i="53" s="1"/>
  <c r="BC103" i="53" s="1"/>
  <c r="BD103" i="53" s="1"/>
  <c r="BF103" i="53" s="1"/>
  <c r="BG103" i="53" s="1"/>
  <c r="BH103" i="53" s="1"/>
  <c r="BI103" i="53" s="1"/>
  <c r="BK103" i="53" s="1"/>
  <c r="BL103" i="53" s="1"/>
  <c r="BM103" i="53" s="1"/>
  <c r="BN103" i="53" s="1"/>
  <c r="AR104" i="53"/>
  <c r="AT104" i="53" s="1"/>
  <c r="AV104" i="53" s="1"/>
  <c r="AW104" i="53" s="1"/>
  <c r="AX104" i="53" s="1"/>
  <c r="AY104" i="53" s="1"/>
  <c r="BA104" i="53" s="1"/>
  <c r="BB104" i="53" s="1"/>
  <c r="BC104" i="53" s="1"/>
  <c r="BD104" i="53" s="1"/>
  <c r="BF104" i="53" s="1"/>
  <c r="BG104" i="53" s="1"/>
  <c r="BH104" i="53" s="1"/>
  <c r="BI104" i="53" s="1"/>
  <c r="BK104" i="53" s="1"/>
  <c r="BL104" i="53" s="1"/>
  <c r="BM104" i="53" s="1"/>
  <c r="BN104" i="53" s="1"/>
  <c r="AR12" i="53"/>
  <c r="AR106" i="53"/>
  <c r="AT106" i="53" s="1"/>
  <c r="AV106" i="53" s="1"/>
  <c r="AW106" i="53" s="1"/>
  <c r="AX106" i="53" s="1"/>
  <c r="AY106" i="53" s="1"/>
  <c r="BA106" i="53" s="1"/>
  <c r="BB106" i="53" s="1"/>
  <c r="BC106" i="53" s="1"/>
  <c r="BD106" i="53" s="1"/>
  <c r="BF106" i="53" s="1"/>
  <c r="BG106" i="53" s="1"/>
  <c r="BH106" i="53" s="1"/>
  <c r="BI106" i="53" s="1"/>
  <c r="BK106" i="53" s="1"/>
  <c r="BL106" i="53" s="1"/>
  <c r="BM106" i="53" s="1"/>
  <c r="BN106" i="53" s="1"/>
  <c r="AR61" i="53"/>
  <c r="AR22" i="53"/>
  <c r="AR107" i="53"/>
  <c r="AT107" i="53" s="1"/>
  <c r="AV107" i="53" s="1"/>
  <c r="AW107" i="53" s="1"/>
  <c r="AX107" i="53" s="1"/>
  <c r="AY107" i="53" s="1"/>
  <c r="BA107" i="53" s="1"/>
  <c r="BB107" i="53" s="1"/>
  <c r="BC107" i="53" s="1"/>
  <c r="BD107" i="53" s="1"/>
  <c r="BF107" i="53" s="1"/>
  <c r="BG107" i="53" s="1"/>
  <c r="BH107" i="53" s="1"/>
  <c r="BI107" i="53" s="1"/>
  <c r="BK107" i="53" s="1"/>
  <c r="BL107" i="53" s="1"/>
  <c r="BM107" i="53" s="1"/>
  <c r="BN107" i="53" s="1"/>
  <c r="AR56" i="53"/>
  <c r="AR109" i="53"/>
  <c r="AR108" i="53"/>
  <c r="AT108" i="53" s="1"/>
  <c r="AV108" i="53" s="1"/>
  <c r="AW108" i="53" s="1"/>
  <c r="AX108" i="53" s="1"/>
  <c r="AY108" i="53" s="1"/>
  <c r="BA108" i="53" s="1"/>
  <c r="BB108" i="53" s="1"/>
  <c r="BC108" i="53" s="1"/>
  <c r="BD108" i="53" s="1"/>
  <c r="BF108" i="53" s="1"/>
  <c r="BG108" i="53" s="1"/>
  <c r="BH108" i="53" s="1"/>
  <c r="BI108" i="53" s="1"/>
  <c r="BK108" i="53" s="1"/>
  <c r="BL108" i="53" s="1"/>
  <c r="BM108" i="53" s="1"/>
  <c r="BN108" i="53" s="1"/>
  <c r="AR51" i="53"/>
  <c r="AW51" i="53" s="1"/>
  <c r="BB51" i="53" s="1"/>
  <c r="BG51" i="53" s="1"/>
  <c r="BL51" i="53" s="1"/>
  <c r="AR105" i="53"/>
  <c r="AT105" i="53" s="1"/>
  <c r="AV105" i="53" s="1"/>
  <c r="AW105" i="53" s="1"/>
  <c r="AX105" i="53" s="1"/>
  <c r="AY105" i="53" s="1"/>
  <c r="BA105" i="53" s="1"/>
  <c r="BB105" i="53" s="1"/>
  <c r="BC105" i="53" s="1"/>
  <c r="BD105" i="53" s="1"/>
  <c r="BF105" i="53" s="1"/>
  <c r="BG105" i="53" s="1"/>
  <c r="BH105" i="53" s="1"/>
  <c r="BI105" i="53" s="1"/>
  <c r="BK105" i="53" s="1"/>
  <c r="BL105" i="53" s="1"/>
  <c r="BM105" i="53" s="1"/>
  <c r="BN105" i="53" s="1"/>
  <c r="AW56" i="53" l="1"/>
  <c r="BB56" i="53" s="1"/>
  <c r="BG56" i="53" s="1"/>
  <c r="BL56" i="53" s="1"/>
  <c r="AW70" i="50"/>
  <c r="BB70" i="50" s="1"/>
  <c r="BG70" i="50" s="1"/>
  <c r="BL70" i="50" s="1"/>
  <c r="BB61" i="50"/>
  <c r="AW64" i="50"/>
  <c r="AW63" i="50"/>
  <c r="AR64" i="50"/>
  <c r="AR63" i="50"/>
  <c r="AR45" i="60"/>
  <c r="AR46" i="60"/>
  <c r="AR37" i="60"/>
  <c r="AR40" i="60"/>
  <c r="AS42" i="60" s="1"/>
  <c r="AR56" i="60"/>
  <c r="AR55" i="60"/>
  <c r="AR51" i="60"/>
  <c r="AR50" i="60"/>
  <c r="AR202" i="7"/>
  <c r="AW19" i="53"/>
  <c r="AW20" i="52"/>
  <c r="AW21" i="52"/>
  <c r="BG51" i="7"/>
  <c r="BB19" i="52"/>
  <c r="BB53" i="7"/>
  <c r="AR153" i="7"/>
  <c r="AR154" i="7"/>
  <c r="AR159" i="7"/>
  <c r="AR158" i="7"/>
  <c r="BG61" i="50" l="1"/>
  <c r="BB63" i="50"/>
  <c r="BB64" i="50"/>
  <c r="AR41" i="60"/>
  <c r="AR42" i="60"/>
  <c r="AT51" i="7"/>
  <c r="AU51" i="7" s="1"/>
  <c r="AX51" i="7"/>
  <c r="BG19" i="52"/>
  <c r="BG53" i="7"/>
  <c r="BL51" i="7"/>
  <c r="AW21" i="53"/>
  <c r="AW20" i="53"/>
  <c r="AW33" i="53"/>
  <c r="BB20" i="52"/>
  <c r="BB19" i="53"/>
  <c r="BB21" i="52"/>
  <c r="BL61" i="50" l="1"/>
  <c r="BG64" i="50"/>
  <c r="BG63" i="50"/>
  <c r="AS21" i="52"/>
  <c r="AS20" i="52"/>
  <c r="BB21" i="53"/>
  <c r="BB33" i="53"/>
  <c r="BB20" i="53"/>
  <c r="AW35" i="53"/>
  <c r="BG19" i="53"/>
  <c r="BG21" i="52"/>
  <c r="BG20" i="52"/>
  <c r="BC51" i="7"/>
  <c r="AX19" i="52"/>
  <c r="AX53" i="7"/>
  <c r="AT19" i="52"/>
  <c r="AV53" i="7"/>
  <c r="AY51" i="7"/>
  <c r="AT53" i="7"/>
  <c r="AU52" i="7"/>
  <c r="BL53" i="7"/>
  <c r="BL19" i="52"/>
  <c r="BL64" i="50" l="1"/>
  <c r="BL63" i="50"/>
  <c r="BC19" i="52"/>
  <c r="BC53" i="7"/>
  <c r="BH51" i="7"/>
  <c r="BB35" i="53"/>
  <c r="BB34" i="53"/>
  <c r="AY19" i="52"/>
  <c r="AZ19" i="52" s="1"/>
  <c r="BD51" i="7"/>
  <c r="AY53" i="7"/>
  <c r="BA53" i="7"/>
  <c r="AZ51" i="7"/>
  <c r="BL21" i="52"/>
  <c r="BL20" i="52"/>
  <c r="BL19" i="53"/>
  <c r="AX20" i="52"/>
  <c r="AX21" i="52"/>
  <c r="AX19" i="53"/>
  <c r="BG20" i="53"/>
  <c r="BG21" i="53"/>
  <c r="BG33" i="53"/>
  <c r="AT20" i="52"/>
  <c r="AT19" i="53"/>
  <c r="AV21" i="52"/>
  <c r="AT21" i="52"/>
  <c r="AU19" i="52"/>
  <c r="BD53" i="7" l="1"/>
  <c r="BI51" i="7"/>
  <c r="BF53" i="7"/>
  <c r="BD19" i="52"/>
  <c r="BE19" i="52" s="1"/>
  <c r="BH19" i="52"/>
  <c r="BM51" i="7"/>
  <c r="BH53" i="7"/>
  <c r="BJ51" i="7"/>
  <c r="BA21" i="52"/>
  <c r="AY19" i="53"/>
  <c r="AY20" i="52"/>
  <c r="AY21" i="52"/>
  <c r="AZ52" i="7"/>
  <c r="BC19" i="53"/>
  <c r="BC20" i="52"/>
  <c r="BC21" i="52"/>
  <c r="AV21" i="53"/>
  <c r="AT21" i="53"/>
  <c r="AT20" i="53"/>
  <c r="AU20" i="52"/>
  <c r="AZ20" i="52"/>
  <c r="AU19" i="53"/>
  <c r="BE51" i="7"/>
  <c r="BL21" i="53"/>
  <c r="BL20" i="53"/>
  <c r="BL33" i="53"/>
  <c r="AX21" i="53"/>
  <c r="AX33" i="53"/>
  <c r="AX20" i="53"/>
  <c r="AZ19" i="53"/>
  <c r="BG34" i="53"/>
  <c r="BG35" i="53"/>
  <c r="AZ20" i="53" l="1"/>
  <c r="BE52" i="7"/>
  <c r="BL35" i="53"/>
  <c r="BL34" i="53"/>
  <c r="AU20" i="53"/>
  <c r="BE20" i="52"/>
  <c r="BH21" i="52"/>
  <c r="BH20" i="52"/>
  <c r="BH19" i="53"/>
  <c r="BJ52" i="7"/>
  <c r="BF21" i="52"/>
  <c r="BD21" i="52"/>
  <c r="BD19" i="53"/>
  <c r="BE19" i="53" s="1"/>
  <c r="BD20" i="52"/>
  <c r="AX35" i="53"/>
  <c r="AY33" i="53"/>
  <c r="AZ33" i="53" s="1"/>
  <c r="AZ36" i="53" s="1"/>
  <c r="AY21" i="53"/>
  <c r="AY20" i="53"/>
  <c r="BA21" i="53"/>
  <c r="BM53" i="7"/>
  <c r="BM19" i="52"/>
  <c r="BN51" i="7"/>
  <c r="BI53" i="7"/>
  <c r="BK53" i="7"/>
  <c r="BI19" i="52"/>
  <c r="BC33" i="53"/>
  <c r="BC20" i="53"/>
  <c r="BC21" i="53"/>
  <c r="BK21" i="52" l="1"/>
  <c r="BI19" i="53"/>
  <c r="BI20" i="52"/>
  <c r="BI21" i="52"/>
  <c r="BJ19" i="52"/>
  <c r="BE20" i="53"/>
  <c r="AY35" i="53"/>
  <c r="BA35" i="53"/>
  <c r="BH21" i="53"/>
  <c r="BH33" i="53"/>
  <c r="BH20" i="53"/>
  <c r="BN19" i="52"/>
  <c r="BO19" i="52" s="1"/>
  <c r="BN53" i="7"/>
  <c r="BM21" i="52"/>
  <c r="BM19" i="53"/>
  <c r="BM20" i="52"/>
  <c r="BD33" i="53"/>
  <c r="BD21" i="53"/>
  <c r="BF21" i="53"/>
  <c r="BD20" i="53"/>
  <c r="BC34" i="53"/>
  <c r="BC35" i="53"/>
  <c r="BO51" i="7"/>
  <c r="BF35" i="53" l="1"/>
  <c r="BD34" i="53"/>
  <c r="BD35" i="53"/>
  <c r="BH34" i="53"/>
  <c r="BH35" i="53"/>
  <c r="BI33" i="53"/>
  <c r="BJ33" i="53" s="1"/>
  <c r="BJ34" i="53" s="1"/>
  <c r="BI21" i="53"/>
  <c r="BI20" i="53"/>
  <c r="BK21" i="53"/>
  <c r="BO52" i="7"/>
  <c r="BN21" i="52"/>
  <c r="BN20" i="52"/>
  <c r="BN19" i="53"/>
  <c r="BE33" i="53"/>
  <c r="BO20" i="52"/>
  <c r="BM20" i="53"/>
  <c r="BM33" i="53"/>
  <c r="BM21" i="53"/>
  <c r="BJ19" i="53"/>
  <c r="BJ20" i="52"/>
  <c r="BE34" i="53" l="1"/>
  <c r="BE36" i="53"/>
  <c r="BJ20" i="53"/>
  <c r="BJ36" i="53"/>
  <c r="BN33" i="53"/>
  <c r="BN21" i="53"/>
  <c r="BN20" i="53"/>
  <c r="BO19" i="53"/>
  <c r="BM34" i="53"/>
  <c r="BM35" i="53"/>
  <c r="BK35" i="53"/>
  <c r="BI34" i="53"/>
  <c r="BI35" i="53"/>
  <c r="BN34" i="53" l="1"/>
  <c r="BN35" i="53"/>
  <c r="BO20" i="53"/>
  <c r="BO33" i="53"/>
  <c r="BO34" i="53" s="1"/>
  <c r="AR31" i="52"/>
  <c r="AR29" i="52"/>
  <c r="AR30" i="52"/>
  <c r="AR28" i="53"/>
  <c r="BO36" i="53" l="1"/>
  <c r="AR30" i="53"/>
  <c r="AR29" i="53"/>
  <c r="AR31" i="53"/>
  <c r="AW31" i="53" l="1"/>
  <c r="BB31" i="53" s="1"/>
  <c r="BG31" i="53" s="1"/>
  <c r="BL31" i="53" s="1"/>
  <c r="AR35" i="52" l="1"/>
  <c r="AR34" i="52"/>
  <c r="AR36" i="52"/>
  <c r="AR33" i="53"/>
  <c r="AR24" i="52"/>
  <c r="AR38" i="52" s="1"/>
  <c r="AR34" i="53" l="1"/>
  <c r="AR35" i="53"/>
  <c r="AW34" i="53"/>
  <c r="AR36" i="53"/>
  <c r="AR40" i="52"/>
  <c r="AR39" i="52"/>
  <c r="AR41" i="52"/>
  <c r="AR214" i="7" s="1"/>
  <c r="AR217" i="7" s="1"/>
  <c r="AR24" i="53"/>
  <c r="AR81" i="50" s="1"/>
  <c r="AR79" i="50" s="1"/>
  <c r="AW79" i="50" s="1"/>
  <c r="AR26" i="52"/>
  <c r="AR25" i="52"/>
  <c r="BB79" i="50" l="1"/>
  <c r="BG79" i="50" s="1"/>
  <c r="AW82" i="50"/>
  <c r="AW83" i="50"/>
  <c r="AR83" i="50"/>
  <c r="AR82" i="50"/>
  <c r="AR26" i="53"/>
  <c r="AR25" i="53"/>
  <c r="AR38" i="53"/>
  <c r="BG82" i="50" l="1"/>
  <c r="BG83" i="50"/>
  <c r="BL79" i="50"/>
  <c r="BB82" i="50"/>
  <c r="BB83" i="50"/>
  <c r="AR39" i="53"/>
  <c r="AR40" i="53"/>
  <c r="AR41" i="53"/>
  <c r="BL82" i="50" l="1"/>
  <c r="BL83" i="50"/>
  <c r="AR45" i="52"/>
  <c r="AR46" i="52"/>
  <c r="AR44" i="52"/>
  <c r="AR191" i="7"/>
  <c r="AR208" i="7"/>
  <c r="AS209" i="7" s="1"/>
  <c r="AS211" i="7" s="1"/>
  <c r="AR43" i="53"/>
  <c r="AR63" i="52"/>
  <c r="AR67" i="52" l="1"/>
  <c r="AR75" i="52" s="1"/>
  <c r="AR80" i="52" s="1"/>
  <c r="AS65" i="52"/>
  <c r="AR192" i="7"/>
  <c r="AR194" i="7" s="1"/>
  <c r="AS192" i="7"/>
  <c r="AS194" i="7" s="1"/>
  <c r="AR88" i="52"/>
  <c r="AR87" i="52"/>
  <c r="AR81" i="52"/>
  <c r="AR85" i="52"/>
  <c r="AR10" i="51"/>
  <c r="AR78" i="52"/>
  <c r="AR69" i="52"/>
  <c r="AR68" i="52"/>
  <c r="AR70" i="52"/>
  <c r="AR64" i="52"/>
  <c r="AR65" i="52"/>
  <c r="AR46" i="53"/>
  <c r="AW46" i="53" s="1"/>
  <c r="BB46" i="53" s="1"/>
  <c r="AR44" i="53"/>
  <c r="AR45" i="53"/>
  <c r="AR63" i="53"/>
  <c r="AR196" i="7"/>
  <c r="AR209" i="7"/>
  <c r="AR211" i="7" s="1"/>
  <c r="BG46" i="53" l="1"/>
  <c r="BL46" i="53" s="1"/>
  <c r="AR218" i="7"/>
  <c r="AR64" i="53"/>
  <c r="AR65" i="53"/>
  <c r="AR67" i="53"/>
  <c r="AR197" i="7"/>
  <c r="AR199" i="7" s="1"/>
  <c r="AR32" i="51"/>
  <c r="AR78" i="51" l="1"/>
  <c r="AR81" i="51" s="1"/>
  <c r="AR98" i="50"/>
  <c r="AR99" i="50" s="1"/>
  <c r="AR67" i="51"/>
  <c r="AR69" i="51" s="1"/>
  <c r="AS68" i="51" s="1"/>
  <c r="AR68" i="53"/>
  <c r="AR69" i="53"/>
  <c r="AR70" i="53"/>
  <c r="AR76" i="53"/>
  <c r="AR72" i="51" l="1"/>
  <c r="AR75" i="51" s="1"/>
  <c r="AR84" i="51"/>
  <c r="AR82" i="51"/>
  <c r="AR107" i="50"/>
  <c r="AR79" i="53"/>
  <c r="AR81" i="53"/>
  <c r="AR25" i="59"/>
  <c r="AR26" i="59" s="1"/>
  <c r="AR73" i="51" l="1"/>
  <c r="AR108" i="50"/>
  <c r="AR110" i="50" s="1"/>
  <c r="AR111" i="50"/>
  <c r="AR85" i="51"/>
  <c r="AR113" i="50"/>
  <c r="AR114" i="50" s="1"/>
  <c r="AR203" i="7"/>
  <c r="AR204" i="7" s="1"/>
  <c r="AR89" i="53"/>
  <c r="AR82" i="53"/>
  <c r="AR86" i="53"/>
  <c r="AR88" i="53"/>
  <c r="AR72" i="7" l="1"/>
  <c r="AR71" i="7"/>
  <c r="AR69" i="7"/>
  <c r="AR82" i="7"/>
  <c r="AR70" i="7"/>
  <c r="AR73" i="7" l="1"/>
  <c r="AS73" i="7"/>
  <c r="AS85" i="7"/>
  <c r="AS83" i="7"/>
  <c r="AR86" i="7"/>
  <c r="AR85" i="7"/>
  <c r="AR83" i="7"/>
  <c r="AR84" i="7"/>
  <c r="AS87" i="7" s="1"/>
  <c r="AU73" i="7" l="1"/>
  <c r="AR87" i="7"/>
  <c r="AU87" i="7" s="1"/>
  <c r="AT70" i="7"/>
  <c r="AT68" i="7" l="1"/>
  <c r="AV70" i="7"/>
  <c r="AV68" i="7" s="1"/>
  <c r="AT84" i="7"/>
  <c r="AT82" i="7" s="1"/>
  <c r="AV84" i="7" l="1"/>
  <c r="AW70" i="7"/>
  <c r="AT69" i="7"/>
  <c r="AT71" i="7"/>
  <c r="AU68" i="7"/>
  <c r="AV69" i="7" l="1"/>
  <c r="AV71" i="7"/>
  <c r="AX70" i="7"/>
  <c r="AW68" i="7"/>
  <c r="AU70" i="7"/>
  <c r="AU69" i="7"/>
  <c r="AS74" i="7" s="1"/>
  <c r="AU82" i="7"/>
  <c r="AT55" i="7"/>
  <c r="AT86" i="7" s="1"/>
  <c r="AT83" i="7"/>
  <c r="AT85" i="7"/>
  <c r="AW84" i="7"/>
  <c r="AV82" i="7"/>
  <c r="AR74" i="7" l="1"/>
  <c r="AQ74" i="7"/>
  <c r="AX84" i="7"/>
  <c r="AW82" i="7"/>
  <c r="AU83" i="7"/>
  <c r="AU84" i="7"/>
  <c r="AW69" i="7"/>
  <c r="AW71" i="7"/>
  <c r="AV55" i="7"/>
  <c r="AV86" i="7" s="1"/>
  <c r="AV85" i="7"/>
  <c r="AV83" i="7"/>
  <c r="AT57" i="7"/>
  <c r="AT56" i="7"/>
  <c r="AU56" i="7" s="1"/>
  <c r="AU55" i="7"/>
  <c r="AU86" i="7" s="1"/>
  <c r="AT58" i="7"/>
  <c r="AT72" i="7"/>
  <c r="AY70" i="7"/>
  <c r="AX68" i="7"/>
  <c r="AT74" i="7"/>
  <c r="AT88" i="7" l="1"/>
  <c r="AS88" i="7"/>
  <c r="BA70" i="7"/>
  <c r="AY68" i="7"/>
  <c r="AY84" i="7"/>
  <c r="AX82" i="7"/>
  <c r="AW83" i="7"/>
  <c r="AW85" i="7"/>
  <c r="AW55" i="7"/>
  <c r="AW86" i="7" s="1"/>
  <c r="AU57" i="7"/>
  <c r="AU72" i="7"/>
  <c r="AX71" i="7"/>
  <c r="AX69" i="7"/>
  <c r="AV58" i="7"/>
  <c r="AV57" i="7"/>
  <c r="AV56" i="7"/>
  <c r="AV72" i="7"/>
  <c r="AQ88" i="7"/>
  <c r="AR88" i="7"/>
  <c r="BA84" i="7" l="1"/>
  <c r="AY82" i="7"/>
  <c r="AX55" i="7"/>
  <c r="AX86" i="7" s="1"/>
  <c r="AX85" i="7"/>
  <c r="AX83" i="7"/>
  <c r="AZ68" i="7"/>
  <c r="AY71" i="7"/>
  <c r="AY69" i="7"/>
  <c r="AW56" i="7"/>
  <c r="AW57" i="7"/>
  <c r="AW58" i="7"/>
  <c r="AW72" i="7"/>
  <c r="BB70" i="7"/>
  <c r="BA68" i="7"/>
  <c r="BA69" i="7" l="1"/>
  <c r="BA71" i="7"/>
  <c r="AZ70" i="7"/>
  <c r="AZ69" i="7"/>
  <c r="BC70" i="7"/>
  <c r="BB68" i="7"/>
  <c r="AZ82" i="7"/>
  <c r="AY85" i="7"/>
  <c r="AY55" i="7"/>
  <c r="AY86" i="7" s="1"/>
  <c r="AY83" i="7"/>
  <c r="BB84" i="7"/>
  <c r="BA82" i="7"/>
  <c r="AX57" i="7"/>
  <c r="AX56" i="7"/>
  <c r="AX58" i="7"/>
  <c r="AX72" i="7"/>
  <c r="BB69" i="7" l="1"/>
  <c r="BB71" i="7"/>
  <c r="BD70" i="7"/>
  <c r="BC68" i="7"/>
  <c r="AZ83" i="7"/>
  <c r="AZ84" i="7"/>
  <c r="AV74" i="7"/>
  <c r="AW74" i="7"/>
  <c r="AX74" i="7"/>
  <c r="AZ55" i="7"/>
  <c r="AZ86" i="7" s="1"/>
  <c r="AY58" i="7"/>
  <c r="AY56" i="7"/>
  <c r="AZ56" i="7" s="1"/>
  <c r="AY57" i="7"/>
  <c r="AY72" i="7"/>
  <c r="BA83" i="7"/>
  <c r="BA85" i="7"/>
  <c r="BA55" i="7"/>
  <c r="BA86" i="7" s="1"/>
  <c r="BC84" i="7"/>
  <c r="BB82" i="7"/>
  <c r="AY74" i="7"/>
  <c r="AZ57" i="7" l="1"/>
  <c r="AZ72" i="7"/>
  <c r="AV88" i="7"/>
  <c r="AW88" i="7"/>
  <c r="AX88" i="7"/>
  <c r="BC69" i="7"/>
  <c r="BC71" i="7"/>
  <c r="BB55" i="7"/>
  <c r="BB86" i="7" s="1"/>
  <c r="BB83" i="7"/>
  <c r="BB85" i="7"/>
  <c r="BD84" i="7"/>
  <c r="BC82" i="7"/>
  <c r="AY88" i="7"/>
  <c r="BA56" i="7"/>
  <c r="BA57" i="7"/>
  <c r="BA58" i="7"/>
  <c r="BA72" i="7"/>
  <c r="BF70" i="7"/>
  <c r="BD68" i="7"/>
  <c r="BG70" i="7" l="1"/>
  <c r="BF68" i="7"/>
  <c r="BE68" i="7"/>
  <c r="BD69" i="7"/>
  <c r="BD71" i="7"/>
  <c r="BC83" i="7"/>
  <c r="BC55" i="7"/>
  <c r="BC86" i="7" s="1"/>
  <c r="BC85" i="7"/>
  <c r="BB57" i="7"/>
  <c r="BB56" i="7"/>
  <c r="BB58" i="7"/>
  <c r="BB72" i="7"/>
  <c r="BF84" i="7"/>
  <c r="BD82" i="7"/>
  <c r="BD83" i="7" l="1"/>
  <c r="BE82" i="7"/>
  <c r="BD85" i="7"/>
  <c r="BD55" i="7"/>
  <c r="BD86" i="7" s="1"/>
  <c r="BH70" i="7"/>
  <c r="BG68" i="7"/>
  <c r="BE70" i="7"/>
  <c r="BE69" i="7"/>
  <c r="BG84" i="7"/>
  <c r="BF82" i="7"/>
  <c r="BF69" i="7"/>
  <c r="BF71" i="7"/>
  <c r="BC57" i="7"/>
  <c r="BC58" i="7"/>
  <c r="BC56" i="7"/>
  <c r="BC72" i="7"/>
  <c r="BF55" i="7" l="1"/>
  <c r="BF86" i="7" s="1"/>
  <c r="BF83" i="7"/>
  <c r="BF85" i="7"/>
  <c r="BG69" i="7"/>
  <c r="BG71" i="7"/>
  <c r="BH84" i="7"/>
  <c r="BG82" i="7"/>
  <c r="BA74" i="7"/>
  <c r="BB74" i="7"/>
  <c r="BC74" i="7"/>
  <c r="BD74" i="7"/>
  <c r="BE55" i="7"/>
  <c r="BE86" i="7" s="1"/>
  <c r="BD58" i="7"/>
  <c r="BD56" i="7"/>
  <c r="BE56" i="7" s="1"/>
  <c r="BD57" i="7"/>
  <c r="BD72" i="7"/>
  <c r="BE83" i="7"/>
  <c r="BE84" i="7"/>
  <c r="BI70" i="7"/>
  <c r="BH68" i="7"/>
  <c r="BA88" i="7" l="1"/>
  <c r="BB88" i="7"/>
  <c r="BC88" i="7"/>
  <c r="BE57" i="7"/>
  <c r="BE72" i="7"/>
  <c r="BD88" i="7"/>
  <c r="BF57" i="7"/>
  <c r="BF56" i="7"/>
  <c r="BF58" i="7"/>
  <c r="BF72" i="7"/>
  <c r="BH71" i="7"/>
  <c r="BH69" i="7"/>
  <c r="BG83" i="7"/>
  <c r="BG55" i="7"/>
  <c r="BG86" i="7" s="1"/>
  <c r="BG85" i="7"/>
  <c r="BK70" i="7"/>
  <c r="BI68" i="7"/>
  <c r="BI84" i="7"/>
  <c r="BH82" i="7"/>
  <c r="BL70" i="7" l="1"/>
  <c r="BK68" i="7"/>
  <c r="BH83" i="7"/>
  <c r="BH85" i="7"/>
  <c r="BH55" i="7"/>
  <c r="BH86" i="7" s="1"/>
  <c r="BK84" i="7"/>
  <c r="BI82" i="7"/>
  <c r="BI71" i="7"/>
  <c r="BI69" i="7"/>
  <c r="BJ68" i="7"/>
  <c r="BG58" i="7"/>
  <c r="BG57" i="7"/>
  <c r="BG56" i="7"/>
  <c r="BG72" i="7"/>
  <c r="BI83" i="7" l="1"/>
  <c r="BJ82" i="7"/>
  <c r="BI85" i="7"/>
  <c r="BI55" i="7"/>
  <c r="BL84" i="7"/>
  <c r="BK82" i="7"/>
  <c r="BJ69" i="7"/>
  <c r="BI74" i="7" s="1"/>
  <c r="BJ70" i="7"/>
  <c r="BH56" i="7"/>
  <c r="BH58" i="7"/>
  <c r="BH57" i="7"/>
  <c r="BH72" i="7"/>
  <c r="BK69" i="7"/>
  <c r="BK71" i="7"/>
  <c r="BM70" i="7"/>
  <c r="BL68" i="7"/>
  <c r="BN70" i="7" l="1"/>
  <c r="BN68" i="7" s="1"/>
  <c r="BM68" i="7"/>
  <c r="BJ83" i="7"/>
  <c r="BI88" i="7" s="1"/>
  <c r="BJ84" i="7"/>
  <c r="BL69" i="7"/>
  <c r="BL71" i="7"/>
  <c r="BI58" i="7"/>
  <c r="BI57" i="7"/>
  <c r="BI56" i="7"/>
  <c r="BJ56" i="7" s="1"/>
  <c r="BJ55" i="7"/>
  <c r="BJ86" i="7" s="1"/>
  <c r="BI72" i="7"/>
  <c r="BF74" i="7"/>
  <c r="BG74" i="7"/>
  <c r="BH74" i="7"/>
  <c r="BI86" i="7"/>
  <c r="BK83" i="7"/>
  <c r="BK55" i="7"/>
  <c r="BK86" i="7" s="1"/>
  <c r="BK85" i="7"/>
  <c r="BM84" i="7"/>
  <c r="BL82" i="7"/>
  <c r="BK56" i="7" l="1"/>
  <c r="BK58" i="7"/>
  <c r="BK57" i="7"/>
  <c r="BK72" i="7"/>
  <c r="BF88" i="7"/>
  <c r="BG88" i="7"/>
  <c r="BH88" i="7"/>
  <c r="BL83" i="7"/>
  <c r="BL55" i="7"/>
  <c r="BL86" i="7" s="1"/>
  <c r="BL85" i="7"/>
  <c r="BM69" i="7"/>
  <c r="BM71" i="7"/>
  <c r="BN84" i="7"/>
  <c r="BN82" i="7" s="1"/>
  <c r="BM82" i="7"/>
  <c r="BJ57" i="7"/>
  <c r="BJ72" i="7"/>
  <c r="BN69" i="7"/>
  <c r="BN71" i="7"/>
  <c r="BO68" i="7"/>
  <c r="BO82" i="7" l="1"/>
  <c r="BN85" i="7"/>
  <c r="BN83" i="7"/>
  <c r="BN55" i="7"/>
  <c r="BL57" i="7"/>
  <c r="BL58" i="7"/>
  <c r="BL56" i="7"/>
  <c r="BL72" i="7"/>
  <c r="BO69" i="7"/>
  <c r="BM74" i="7" s="1"/>
  <c r="BO70" i="7"/>
  <c r="BM83" i="7"/>
  <c r="BM85" i="7"/>
  <c r="BM55" i="7"/>
  <c r="BN74" i="7" l="1"/>
  <c r="BN56" i="7"/>
  <c r="BN58" i="7"/>
  <c r="BO55" i="7"/>
  <c r="BO86" i="7" s="1"/>
  <c r="BN57" i="7"/>
  <c r="BN72" i="7"/>
  <c r="BO83" i="7"/>
  <c r="BO84" i="7"/>
  <c r="BM58" i="7"/>
  <c r="BM56" i="7"/>
  <c r="BM57" i="7"/>
  <c r="BM72" i="7"/>
  <c r="BN86" i="7"/>
  <c r="BM86" i="7"/>
  <c r="BK74" i="7"/>
  <c r="BL74" i="7"/>
  <c r="BO57" i="7" l="1"/>
  <c r="BO72" i="7"/>
  <c r="BK88" i="7"/>
  <c r="BL88" i="7"/>
  <c r="BM88" i="7"/>
  <c r="BN88" i="7"/>
  <c r="BO56" i="7"/>
  <c r="AR77" i="7"/>
  <c r="AR79" i="7"/>
  <c r="AR94" i="7" s="1"/>
  <c r="AR78" i="7"/>
  <c r="AT77" i="7"/>
  <c r="AT79" i="7" l="1"/>
  <c r="AU76" i="7"/>
  <c r="AU77" i="7" s="1"/>
  <c r="AR93" i="7"/>
  <c r="AR90" i="7" s="1"/>
  <c r="AR92" i="7" s="1"/>
  <c r="AV76" i="7" l="1"/>
  <c r="AV79" i="7" s="1"/>
  <c r="AR91" i="7"/>
  <c r="AV77" i="7" l="1"/>
  <c r="AW76" i="7"/>
  <c r="AW77" i="7" s="1"/>
  <c r="AW79" i="7" l="1"/>
  <c r="AX76" i="7"/>
  <c r="AX79" i="7" s="1"/>
  <c r="AT90" i="7"/>
  <c r="AY76" i="7" l="1"/>
  <c r="AY79" i="7" s="1"/>
  <c r="AX77" i="7"/>
  <c r="AU90" i="7"/>
  <c r="AT91" i="7"/>
  <c r="AZ76" i="7" l="1"/>
  <c r="AZ77" i="7" s="1"/>
  <c r="AY77" i="7"/>
  <c r="AV90" i="7"/>
  <c r="AU91" i="7"/>
  <c r="AT96" i="7"/>
  <c r="BA76" i="7" l="1"/>
  <c r="BA77" i="7" s="1"/>
  <c r="AV91" i="7"/>
  <c r="AW90" i="7"/>
  <c r="AS16" i="52"/>
  <c r="AS10" i="52"/>
  <c r="AS55" i="50" s="1"/>
  <c r="AS15" i="52"/>
  <c r="AT98" i="7"/>
  <c r="AT15" i="7"/>
  <c r="AT97" i="7"/>
  <c r="AU97" i="7" s="1"/>
  <c r="AT99" i="7"/>
  <c r="AU96" i="7"/>
  <c r="BB76" i="7" l="1"/>
  <c r="BB77" i="7" s="1"/>
  <c r="BA79" i="7"/>
  <c r="AS95" i="50"/>
  <c r="AX95" i="50" s="1"/>
  <c r="BC95" i="50" s="1"/>
  <c r="BH95" i="50" s="1"/>
  <c r="BM95" i="50" s="1"/>
  <c r="AS89" i="50"/>
  <c r="AX89" i="50" s="1"/>
  <c r="BC89" i="50" s="1"/>
  <c r="BH89" i="50" s="1"/>
  <c r="BM89" i="50" s="1"/>
  <c r="AS73" i="50"/>
  <c r="AX73" i="50" s="1"/>
  <c r="BC73" i="50" s="1"/>
  <c r="BH73" i="50" s="1"/>
  <c r="BM73" i="50" s="1"/>
  <c r="AS92" i="50"/>
  <c r="AX92" i="50" s="1"/>
  <c r="BC92" i="50" s="1"/>
  <c r="BH92" i="50" s="1"/>
  <c r="BM92" i="50" s="1"/>
  <c r="AS67" i="50"/>
  <c r="AX67" i="50" s="1"/>
  <c r="BC67" i="50" s="1"/>
  <c r="BH67" i="50" s="1"/>
  <c r="BM67" i="50" s="1"/>
  <c r="AS76" i="50"/>
  <c r="AX76" i="50" s="1"/>
  <c r="BC76" i="50" s="1"/>
  <c r="BH76" i="50" s="1"/>
  <c r="BM76" i="50" s="1"/>
  <c r="AS70" i="50"/>
  <c r="AX70" i="50" s="1"/>
  <c r="BC70" i="50" s="1"/>
  <c r="BH70" i="50" s="1"/>
  <c r="BM70" i="50" s="1"/>
  <c r="AS86" i="50"/>
  <c r="AX86" i="50" s="1"/>
  <c r="BC86" i="50" s="1"/>
  <c r="BH86" i="50" s="1"/>
  <c r="BM86" i="50" s="1"/>
  <c r="AS61" i="50"/>
  <c r="AX61" i="50" s="1"/>
  <c r="AS105" i="50"/>
  <c r="AT105" i="50" s="1"/>
  <c r="AS102" i="50"/>
  <c r="AT102" i="50" s="1"/>
  <c r="AT101" i="7"/>
  <c r="AS101" i="7"/>
  <c r="AW91" i="7"/>
  <c r="AX90" i="7"/>
  <c r="AS12" i="52"/>
  <c r="AS11" i="52"/>
  <c r="AS22" i="52"/>
  <c r="AT17" i="7"/>
  <c r="AT210" i="7"/>
  <c r="AU210" i="7" s="1"/>
  <c r="AT18" i="7"/>
  <c r="AT64" i="7"/>
  <c r="AT60" i="7"/>
  <c r="AT198" i="7"/>
  <c r="AU198" i="7" s="1"/>
  <c r="AT14" i="52"/>
  <c r="AT193" i="7"/>
  <c r="AT11" i="7"/>
  <c r="AT27" i="7"/>
  <c r="AT16" i="7"/>
  <c r="AU15" i="7"/>
  <c r="AT80" i="7"/>
  <c r="AR101" i="7"/>
  <c r="AQ101" i="7"/>
  <c r="AU98" i="7"/>
  <c r="AS17" i="52"/>
  <c r="AV96" i="7"/>
  <c r="BC76" i="7" l="1"/>
  <c r="BB79" i="7"/>
  <c r="BC61" i="50"/>
  <c r="AX64" i="50"/>
  <c r="AX63" i="50"/>
  <c r="AS63" i="50"/>
  <c r="AS64" i="50"/>
  <c r="AT19" i="7"/>
  <c r="AV97" i="7"/>
  <c r="AV99" i="7"/>
  <c r="AV98" i="7"/>
  <c r="AV15" i="7"/>
  <c r="AT28" i="7"/>
  <c r="AU27" i="7"/>
  <c r="AU28" i="7" s="1"/>
  <c r="AT16" i="52"/>
  <c r="AT10" i="52"/>
  <c r="AT17" i="52" s="1"/>
  <c r="AT15" i="52"/>
  <c r="AT14" i="53"/>
  <c r="AU14" i="52"/>
  <c r="BC77" i="7"/>
  <c r="BC79" i="7"/>
  <c r="BD76" i="7"/>
  <c r="AT94" i="7"/>
  <c r="AU94" i="7" s="1"/>
  <c r="AU80" i="7"/>
  <c r="AT62" i="7"/>
  <c r="AT61" i="7"/>
  <c r="AT65" i="7"/>
  <c r="AT66" i="7"/>
  <c r="AX91" i="7"/>
  <c r="AY90" i="7"/>
  <c r="AU11" i="7"/>
  <c r="AU16" i="7"/>
  <c r="AU60" i="7"/>
  <c r="AU61" i="7" s="1"/>
  <c r="AU64" i="7"/>
  <c r="AU65" i="7" s="1"/>
  <c r="AU17" i="7"/>
  <c r="AT54" i="7"/>
  <c r="AT12" i="7"/>
  <c r="AT13" i="7"/>
  <c r="AT100" i="7"/>
  <c r="AU193" i="7"/>
  <c r="BC63" i="50" l="1"/>
  <c r="BC64" i="50"/>
  <c r="BH61" i="50"/>
  <c r="AT93" i="7"/>
  <c r="AU15" i="52"/>
  <c r="AV11" i="7"/>
  <c r="AV60" i="7"/>
  <c r="AV198" i="7"/>
  <c r="AV193" i="7"/>
  <c r="AV17" i="7"/>
  <c r="AV18" i="7"/>
  <c r="AV14" i="52"/>
  <c r="AV27" i="7"/>
  <c r="AV64" i="7"/>
  <c r="AV16" i="7"/>
  <c r="AV210" i="7"/>
  <c r="AV80" i="7"/>
  <c r="AW96" i="7"/>
  <c r="AU12" i="7"/>
  <c r="AU54" i="7"/>
  <c r="AU100" i="7"/>
  <c r="AS29" i="52"/>
  <c r="AS30" i="52"/>
  <c r="AS31" i="52"/>
  <c r="BD77" i="7"/>
  <c r="BD79" i="7"/>
  <c r="BE76" i="7"/>
  <c r="AT16" i="53"/>
  <c r="AT15" i="53"/>
  <c r="AT10" i="53"/>
  <c r="AU14" i="53"/>
  <c r="AU19" i="7"/>
  <c r="AY91" i="7"/>
  <c r="AZ90" i="7"/>
  <c r="AT12" i="52"/>
  <c r="AT11" i="52"/>
  <c r="AT22" i="52"/>
  <c r="AT61" i="52"/>
  <c r="AT55" i="50"/>
  <c r="AU10" i="52"/>
  <c r="AU17" i="52" s="1"/>
  <c r="BM61" i="50" l="1"/>
  <c r="BH64" i="50"/>
  <c r="BH63" i="50"/>
  <c r="AV19" i="7"/>
  <c r="AZ91" i="7"/>
  <c r="BA90" i="7"/>
  <c r="AT11" i="53"/>
  <c r="AT96" i="53"/>
  <c r="AT99" i="53"/>
  <c r="AT10" i="60"/>
  <c r="AT43" i="53"/>
  <c r="AT53" i="53"/>
  <c r="AT97" i="53"/>
  <c r="AT12" i="53"/>
  <c r="AT22" i="53"/>
  <c r="AT98" i="53"/>
  <c r="AT61" i="53"/>
  <c r="AT95" i="53"/>
  <c r="AT100" i="53"/>
  <c r="AU100" i="53" s="1"/>
  <c r="AT48" i="53"/>
  <c r="AU10" i="53"/>
  <c r="AU17" i="53" s="1"/>
  <c r="AS35" i="52"/>
  <c r="AS34" i="52"/>
  <c r="AS36" i="52"/>
  <c r="AS45" i="52"/>
  <c r="AS46" i="52"/>
  <c r="AS44" i="52"/>
  <c r="AV94" i="7"/>
  <c r="AV93" i="7" s="1"/>
  <c r="AV28" i="7"/>
  <c r="AS56" i="52"/>
  <c r="AS55" i="52"/>
  <c r="AS54" i="52"/>
  <c r="AT17" i="53"/>
  <c r="AV61" i="7"/>
  <c r="AV62" i="7"/>
  <c r="AS49" i="52"/>
  <c r="AS51" i="52"/>
  <c r="AS50" i="52"/>
  <c r="AU55" i="50"/>
  <c r="AU11" i="52"/>
  <c r="AU22" i="52"/>
  <c r="AW97" i="7"/>
  <c r="AW98" i="7"/>
  <c r="AW99" i="7"/>
  <c r="AW15" i="7"/>
  <c r="AV16" i="52"/>
  <c r="AV10" i="52"/>
  <c r="AV17" i="52" s="1"/>
  <c r="AV14" i="53"/>
  <c r="AV15" i="52"/>
  <c r="AV12" i="7"/>
  <c r="AV13" i="7"/>
  <c r="AV54" i="7"/>
  <c r="AV100" i="7"/>
  <c r="AT30" i="50"/>
  <c r="AT35" i="50"/>
  <c r="AT29" i="50"/>
  <c r="AT37" i="50"/>
  <c r="AT101" i="50"/>
  <c r="AT24" i="50"/>
  <c r="AT13" i="50"/>
  <c r="AT15" i="50"/>
  <c r="AT23" i="50"/>
  <c r="AT104" i="50"/>
  <c r="AT14" i="50"/>
  <c r="AS32" i="50"/>
  <c r="AS50" i="50" s="1"/>
  <c r="AU15" i="53"/>
  <c r="BE77" i="7"/>
  <c r="BF76" i="7"/>
  <c r="AS24" i="52"/>
  <c r="AV65" i="7"/>
  <c r="AV66" i="7"/>
  <c r="BM63" i="50" l="1"/>
  <c r="BM64" i="50"/>
  <c r="AU108" i="53"/>
  <c r="AS25" i="52"/>
  <c r="AS26" i="52"/>
  <c r="AS38" i="52"/>
  <c r="AS67" i="52" s="1"/>
  <c r="AS39" i="50"/>
  <c r="AU15" i="50"/>
  <c r="AT26" i="51"/>
  <c r="AU26" i="51" s="1"/>
  <c r="AU35" i="50"/>
  <c r="AT101" i="53"/>
  <c r="AU95" i="53"/>
  <c r="AU97" i="53"/>
  <c r="AU13" i="50"/>
  <c r="AT24" i="51"/>
  <c r="AV28" i="53"/>
  <c r="AV15" i="53"/>
  <c r="AV16" i="53"/>
  <c r="AV10" i="53"/>
  <c r="AW193" i="7"/>
  <c r="AW60" i="7"/>
  <c r="AW11" i="7"/>
  <c r="AW19" i="7" s="1"/>
  <c r="AW64" i="7"/>
  <c r="AW16" i="7"/>
  <c r="AW27" i="7"/>
  <c r="AW17" i="7"/>
  <c r="AW198" i="7"/>
  <c r="AW18" i="7"/>
  <c r="AW14" i="52"/>
  <c r="AW210" i="7"/>
  <c r="AX96" i="7"/>
  <c r="AW80" i="7"/>
  <c r="AT54" i="53"/>
  <c r="AU96" i="53"/>
  <c r="AU104" i="53" s="1"/>
  <c r="AT29" i="51"/>
  <c r="AU29" i="51" s="1"/>
  <c r="AU30" i="50"/>
  <c r="AU24" i="50"/>
  <c r="AV11" i="52"/>
  <c r="AV22" i="52"/>
  <c r="AV12" i="52"/>
  <c r="AV61" i="52"/>
  <c r="AV55" i="50"/>
  <c r="AU11" i="53"/>
  <c r="AU22" i="53"/>
  <c r="AU98" i="53"/>
  <c r="BF77" i="7"/>
  <c r="BG76" i="7"/>
  <c r="BF79" i="7"/>
  <c r="AU14" i="50"/>
  <c r="AT25" i="51"/>
  <c r="AU25" i="51" s="1"/>
  <c r="AT122" i="50"/>
  <c r="AU122" i="50" s="1"/>
  <c r="AT35" i="51"/>
  <c r="AU101" i="50"/>
  <c r="AU102" i="50" s="1"/>
  <c r="AT49" i="53"/>
  <c r="AT196" i="7"/>
  <c r="AT44" i="53"/>
  <c r="AT63" i="53"/>
  <c r="AT202" i="7"/>
  <c r="AU37" i="50"/>
  <c r="AT49" i="60"/>
  <c r="AT33" i="60"/>
  <c r="AT54" i="60"/>
  <c r="AT11" i="60"/>
  <c r="AT27" i="60"/>
  <c r="AT20" i="60"/>
  <c r="AT36" i="60"/>
  <c r="AT12" i="60"/>
  <c r="AT44" i="60"/>
  <c r="AU10" i="60"/>
  <c r="BA91" i="7"/>
  <c r="BB90" i="7"/>
  <c r="AT123" i="50"/>
  <c r="AU123" i="50" s="1"/>
  <c r="AT36" i="51"/>
  <c r="AU104" i="50"/>
  <c r="AU105" i="50" s="1"/>
  <c r="AU23" i="50"/>
  <c r="AU29" i="50"/>
  <c r="AT28" i="51"/>
  <c r="AU28" i="51" s="1"/>
  <c r="AU99" i="53"/>
  <c r="AS75" i="52" l="1"/>
  <c r="AS70" i="52"/>
  <c r="AS69" i="52"/>
  <c r="AS68" i="52"/>
  <c r="AT90" i="50"/>
  <c r="AT77" i="50"/>
  <c r="AW66" i="7"/>
  <c r="AW65" i="7"/>
  <c r="AT37" i="60"/>
  <c r="AT40" i="60"/>
  <c r="AU36" i="60"/>
  <c r="AT71" i="50"/>
  <c r="BC90" i="7"/>
  <c r="BB91" i="7"/>
  <c r="AT68" i="50"/>
  <c r="BG79" i="7"/>
  <c r="BG77" i="7"/>
  <c r="BH76" i="7"/>
  <c r="AW12" i="7"/>
  <c r="AW13" i="7"/>
  <c r="AW54" i="7"/>
  <c r="AW100" i="7"/>
  <c r="AT65" i="50"/>
  <c r="AU24" i="51"/>
  <c r="AU103" i="53"/>
  <c r="AU101" i="53"/>
  <c r="AU96" i="50"/>
  <c r="AU74" i="50"/>
  <c r="AU71" i="50"/>
  <c r="AX98" i="7"/>
  <c r="AX97" i="7"/>
  <c r="AX99" i="7"/>
  <c r="AX15" i="7"/>
  <c r="AW62" i="7"/>
  <c r="AW61" i="7"/>
  <c r="AU61" i="50"/>
  <c r="AT96" i="50"/>
  <c r="AW94" i="7"/>
  <c r="AW93" i="7" s="1"/>
  <c r="AV29" i="53"/>
  <c r="AV24" i="53"/>
  <c r="AV38" i="53" s="1"/>
  <c r="AT109" i="53"/>
  <c r="AT14" i="51"/>
  <c r="AT19" i="54"/>
  <c r="AT51" i="60"/>
  <c r="AT50" i="60"/>
  <c r="AU106" i="53"/>
  <c r="AT45" i="60"/>
  <c r="AT46" i="60"/>
  <c r="AU90" i="50"/>
  <c r="AT79" i="51"/>
  <c r="AU79" i="51" s="1"/>
  <c r="AT44" i="51"/>
  <c r="AU35" i="51"/>
  <c r="AU202" i="7"/>
  <c r="AU44" i="60"/>
  <c r="AU20" i="60"/>
  <c r="AU27" i="60"/>
  <c r="AU54" i="60"/>
  <c r="AU55" i="60" s="1"/>
  <c r="AU49" i="60"/>
  <c r="AU50" i="60" s="1"/>
  <c r="AU11" i="60"/>
  <c r="AU33" i="60"/>
  <c r="AT87" i="50"/>
  <c r="AT80" i="51"/>
  <c r="AU80" i="51" s="1"/>
  <c r="AU36" i="51"/>
  <c r="AT56" i="60"/>
  <c r="AT55" i="60"/>
  <c r="AT64" i="53"/>
  <c r="AU68" i="50"/>
  <c r="AV35" i="50"/>
  <c r="AV29" i="50"/>
  <c r="AV37" i="50"/>
  <c r="AV30" i="50"/>
  <c r="AV14" i="50"/>
  <c r="AV23" i="50"/>
  <c r="AV13" i="50"/>
  <c r="AV15" i="50"/>
  <c r="AV104" i="50"/>
  <c r="AV101" i="50"/>
  <c r="AV24" i="50"/>
  <c r="AT93" i="50"/>
  <c r="AW28" i="7"/>
  <c r="AV48" i="53"/>
  <c r="AV11" i="53"/>
  <c r="AV53" i="53"/>
  <c r="AV43" i="53"/>
  <c r="AV98" i="53"/>
  <c r="AV61" i="53"/>
  <c r="AV96" i="53"/>
  <c r="AV100" i="53"/>
  <c r="AV22" i="53"/>
  <c r="AV99" i="53"/>
  <c r="AV97" i="53"/>
  <c r="AV95" i="53"/>
  <c r="AV12" i="53"/>
  <c r="AV10" i="60"/>
  <c r="AU107" i="53"/>
  <c r="AU87" i="50"/>
  <c r="AU77" i="50"/>
  <c r="AU93" i="50"/>
  <c r="AU92" i="50"/>
  <c r="AW10" i="52"/>
  <c r="AW15" i="52"/>
  <c r="AW16" i="52"/>
  <c r="AW14" i="53"/>
  <c r="AV17" i="53"/>
  <c r="AU105" i="53"/>
  <c r="AT74" i="50"/>
  <c r="AS41" i="52"/>
  <c r="AS214" i="7" s="1"/>
  <c r="AS217" i="7" s="1"/>
  <c r="AS218" i="7" s="1"/>
  <c r="AS39" i="52"/>
  <c r="AS40" i="52"/>
  <c r="AS80" i="52" l="1"/>
  <c r="AS78" i="52"/>
  <c r="AV50" i="53"/>
  <c r="AV49" i="53"/>
  <c r="AV123" i="50"/>
  <c r="AV36" i="51"/>
  <c r="AU44" i="51"/>
  <c r="AU65" i="50"/>
  <c r="AV49" i="60"/>
  <c r="AV11" i="60"/>
  <c r="AV44" i="60"/>
  <c r="AV20" i="60"/>
  <c r="AV54" i="60"/>
  <c r="AV12" i="60"/>
  <c r="AV27" i="60"/>
  <c r="AV33" i="60"/>
  <c r="AV36" i="60"/>
  <c r="AV41" i="53"/>
  <c r="AV39" i="53"/>
  <c r="AV26" i="51"/>
  <c r="AV77" i="50" s="1"/>
  <c r="AV28" i="51"/>
  <c r="AV87" i="50" s="1"/>
  <c r="AW61" i="52"/>
  <c r="AW12" i="52"/>
  <c r="AW11" i="52"/>
  <c r="AW22" i="52"/>
  <c r="AW55" i="50"/>
  <c r="AV101" i="53"/>
  <c r="AW17" i="52"/>
  <c r="AV196" i="7"/>
  <c r="AV44" i="53"/>
  <c r="AV63" i="53"/>
  <c r="AV45" i="53"/>
  <c r="AV24" i="51"/>
  <c r="AV25" i="53"/>
  <c r="AV81" i="50"/>
  <c r="AV28" i="50" s="1"/>
  <c r="AV54" i="53"/>
  <c r="AV55" i="53"/>
  <c r="AU109" i="53"/>
  <c r="AV25" i="51"/>
  <c r="AV68" i="50" s="1"/>
  <c r="AU45" i="60"/>
  <c r="BH77" i="7"/>
  <c r="BH79" i="7"/>
  <c r="BI76" i="7"/>
  <c r="AU40" i="60"/>
  <c r="AU41" i="60" s="1"/>
  <c r="AU37" i="60"/>
  <c r="AX11" i="7"/>
  <c r="AX19" i="7" s="1"/>
  <c r="AX64" i="7"/>
  <c r="AX18" i="7"/>
  <c r="AX210" i="7"/>
  <c r="AX16" i="7"/>
  <c r="AX17" i="7"/>
  <c r="AX193" i="7"/>
  <c r="AX27" i="7"/>
  <c r="AX60" i="7"/>
  <c r="AX14" i="52"/>
  <c r="AX198" i="7"/>
  <c r="AX80" i="7"/>
  <c r="AY96" i="7"/>
  <c r="AW28" i="53"/>
  <c r="AW16" i="53"/>
  <c r="AW15" i="53"/>
  <c r="AW10" i="53"/>
  <c r="AV202" i="7"/>
  <c r="AV122" i="50"/>
  <c r="AV35" i="51"/>
  <c r="AV29" i="51"/>
  <c r="AV96" i="50" s="1"/>
  <c r="AU14" i="51"/>
  <c r="AU63" i="50"/>
  <c r="AU64" i="50"/>
  <c r="BC91" i="7"/>
  <c r="BD90" i="7"/>
  <c r="AT41" i="60"/>
  <c r="AT42" i="60"/>
  <c r="AS81" i="52" l="1"/>
  <c r="AS88" i="52"/>
  <c r="AS87" i="52"/>
  <c r="AS85" i="52"/>
  <c r="AV93" i="50"/>
  <c r="AY99" i="7"/>
  <c r="AY98" i="7"/>
  <c r="AY97" i="7"/>
  <c r="AZ97" i="7" s="1"/>
  <c r="AY15" i="7"/>
  <c r="AZ96" i="7"/>
  <c r="AY101" i="7" s="1"/>
  <c r="AX10" i="52"/>
  <c r="AX14" i="53"/>
  <c r="AX15" i="52"/>
  <c r="AX16" i="52"/>
  <c r="AW30" i="53"/>
  <c r="AW29" i="53"/>
  <c r="AW24" i="53"/>
  <c r="AW38" i="53" s="1"/>
  <c r="AX94" i="7"/>
  <c r="AX93" i="7" s="1"/>
  <c r="AX62" i="7"/>
  <c r="AX61" i="7"/>
  <c r="AV65" i="50"/>
  <c r="AV56" i="60"/>
  <c r="AV55" i="60"/>
  <c r="AV80" i="51"/>
  <c r="AX28" i="7"/>
  <c r="AV32" i="50"/>
  <c r="AW35" i="50"/>
  <c r="AW13" i="50"/>
  <c r="AW23" i="50"/>
  <c r="AW37" i="50"/>
  <c r="AW30" i="50"/>
  <c r="AW29" i="50"/>
  <c r="AW24" i="50"/>
  <c r="AW14" i="50"/>
  <c r="AW101" i="50"/>
  <c r="AW104" i="50"/>
  <c r="AW15" i="50"/>
  <c r="AX66" i="7"/>
  <c r="AX65" i="7"/>
  <c r="AV64" i="53"/>
  <c r="AV65" i="53"/>
  <c r="AV40" i="60"/>
  <c r="AV37" i="60"/>
  <c r="AV46" i="60"/>
  <c r="AV45" i="60"/>
  <c r="AV79" i="51"/>
  <c r="AV44" i="51"/>
  <c r="AV71" i="50"/>
  <c r="AW11" i="53"/>
  <c r="AW10" i="60"/>
  <c r="AW53" i="53"/>
  <c r="AW48" i="53"/>
  <c r="AW43" i="53"/>
  <c r="AW61" i="53"/>
  <c r="AW96" i="53"/>
  <c r="AW100" i="53"/>
  <c r="AW95" i="53"/>
  <c r="AW99" i="53"/>
  <c r="AW12" i="53"/>
  <c r="AW98" i="53"/>
  <c r="AW22" i="53"/>
  <c r="AW97" i="53"/>
  <c r="BE90" i="7"/>
  <c r="BD91" i="7"/>
  <c r="AW17" i="53"/>
  <c r="AX13" i="7"/>
  <c r="AX54" i="7"/>
  <c r="AX12" i="7"/>
  <c r="AX100" i="7"/>
  <c r="BI77" i="7"/>
  <c r="BI79" i="7"/>
  <c r="BJ76" i="7"/>
  <c r="AV19" i="54"/>
  <c r="AV14" i="51"/>
  <c r="AV109" i="53"/>
  <c r="AV74" i="50"/>
  <c r="AV67" i="53"/>
  <c r="AV50" i="60"/>
  <c r="AV51" i="60"/>
  <c r="AV90" i="50"/>
  <c r="BE91" i="7" l="1"/>
  <c r="BF90" i="7"/>
  <c r="AW39" i="53"/>
  <c r="AW40" i="53"/>
  <c r="AW41" i="53"/>
  <c r="AW25" i="51"/>
  <c r="AW71" i="50" s="1"/>
  <c r="AW24" i="51"/>
  <c r="AV39" i="50"/>
  <c r="AX22" i="52"/>
  <c r="AX12" i="52"/>
  <c r="AX11" i="52"/>
  <c r="AX61" i="52"/>
  <c r="AX55" i="50"/>
  <c r="AW196" i="7"/>
  <c r="AW44" i="53"/>
  <c r="AW45" i="53"/>
  <c r="AW63" i="53"/>
  <c r="AW67" i="53" s="1"/>
  <c r="AW54" i="53"/>
  <c r="AW55" i="53"/>
  <c r="AW202" i="7"/>
  <c r="AV41" i="60"/>
  <c r="AV42" i="60"/>
  <c r="AW28" i="51"/>
  <c r="AW90" i="50" s="1"/>
  <c r="AZ98" i="7"/>
  <c r="AV101" i="7"/>
  <c r="AW101" i="7"/>
  <c r="AX101" i="7"/>
  <c r="AW101" i="53"/>
  <c r="AV70" i="53"/>
  <c r="AV68" i="53"/>
  <c r="BJ77" i="7"/>
  <c r="BK76" i="7"/>
  <c r="AW50" i="53"/>
  <c r="AW49" i="53"/>
  <c r="AW26" i="51"/>
  <c r="AW74" i="50" s="1"/>
  <c r="AW29" i="51"/>
  <c r="AW93" i="50" s="1"/>
  <c r="AW26" i="53"/>
  <c r="AW25" i="53"/>
  <c r="AW81" i="50"/>
  <c r="AW28" i="50" s="1"/>
  <c r="AX17" i="52"/>
  <c r="AY210" i="7"/>
  <c r="AZ210" i="7" s="1"/>
  <c r="AY11" i="7"/>
  <c r="AY64" i="7"/>
  <c r="AY27" i="7"/>
  <c r="AY60" i="7"/>
  <c r="AY14" i="52"/>
  <c r="AY18" i="7"/>
  <c r="AY17" i="7"/>
  <c r="AY198" i="7"/>
  <c r="AZ198" i="7" s="1"/>
  <c r="AY16" i="7"/>
  <c r="AY193" i="7"/>
  <c r="AY80" i="7"/>
  <c r="AZ15" i="7"/>
  <c r="BA96" i="7"/>
  <c r="AW36" i="51"/>
  <c r="AW123" i="50"/>
  <c r="AW54" i="60"/>
  <c r="AW44" i="60"/>
  <c r="AW36" i="60"/>
  <c r="AW20" i="60"/>
  <c r="AW11" i="60"/>
  <c r="AW27" i="60"/>
  <c r="AW49" i="60"/>
  <c r="AW12" i="60"/>
  <c r="AW33" i="60"/>
  <c r="AW122" i="50"/>
  <c r="AW35" i="51"/>
  <c r="AX15" i="53"/>
  <c r="AX16" i="53"/>
  <c r="AX10" i="53"/>
  <c r="AZ17" i="7" l="1"/>
  <c r="AZ11" i="7"/>
  <c r="AZ64" i="7"/>
  <c r="AZ65" i="7" s="1"/>
  <c r="AZ16" i="7"/>
  <c r="AZ60" i="7"/>
  <c r="AZ61" i="7" s="1"/>
  <c r="AY65" i="7"/>
  <c r="AY66" i="7"/>
  <c r="BK79" i="7"/>
  <c r="BK77" i="7"/>
  <c r="BL76" i="7"/>
  <c r="AW77" i="50"/>
  <c r="AW69" i="53"/>
  <c r="AW70" i="53"/>
  <c r="AW68" i="53"/>
  <c r="AY12" i="7"/>
  <c r="AY54" i="7"/>
  <c r="AY13" i="7"/>
  <c r="AY100" i="7"/>
  <c r="AW64" i="53"/>
  <c r="AW65" i="53"/>
  <c r="AX35" i="50"/>
  <c r="AX23" i="50"/>
  <c r="AX13" i="50"/>
  <c r="AX104" i="50"/>
  <c r="AX30" i="50"/>
  <c r="AX15" i="50"/>
  <c r="AX37" i="50"/>
  <c r="AX29" i="50"/>
  <c r="AX24" i="50"/>
  <c r="AX14" i="50"/>
  <c r="AX101" i="50"/>
  <c r="AX11" i="53"/>
  <c r="AX10" i="60"/>
  <c r="AX96" i="53"/>
  <c r="AX95" i="53"/>
  <c r="AX12" i="53"/>
  <c r="AX99" i="53"/>
  <c r="AX61" i="53"/>
  <c r="AX100" i="53"/>
  <c r="AX97" i="53"/>
  <c r="AX98" i="53"/>
  <c r="AX22" i="53"/>
  <c r="AZ193" i="7"/>
  <c r="AW14" i="51"/>
  <c r="AW109" i="53"/>
  <c r="AW19" i="54"/>
  <c r="AW68" i="50"/>
  <c r="AY15" i="52"/>
  <c r="AY16" i="52"/>
  <c r="AY10" i="52"/>
  <c r="AY17" i="52" s="1"/>
  <c r="AY14" i="53"/>
  <c r="AZ14" i="52"/>
  <c r="AY61" i="7"/>
  <c r="AY62" i="7"/>
  <c r="AW87" i="50"/>
  <c r="AZ80" i="7"/>
  <c r="AY94" i="7"/>
  <c r="AZ94" i="7" s="1"/>
  <c r="AY19" i="7"/>
  <c r="AX17" i="53"/>
  <c r="AW40" i="60"/>
  <c r="AW37" i="60"/>
  <c r="AW46" i="60"/>
  <c r="AW45" i="60"/>
  <c r="AW80" i="51"/>
  <c r="AW79" i="51"/>
  <c r="AW44" i="51"/>
  <c r="AW51" i="60"/>
  <c r="AW50" i="60"/>
  <c r="AW56" i="60"/>
  <c r="AW55" i="60"/>
  <c r="BA99" i="7"/>
  <c r="BA97" i="7"/>
  <c r="BA98" i="7"/>
  <c r="BA15" i="7"/>
  <c r="AY28" i="7"/>
  <c r="AZ27" i="7"/>
  <c r="AZ28" i="7" s="1"/>
  <c r="AW27" i="51"/>
  <c r="AW32" i="50"/>
  <c r="AW96" i="50"/>
  <c r="AW65" i="50"/>
  <c r="BF91" i="7"/>
  <c r="BG90" i="7"/>
  <c r="AY15" i="53" l="1"/>
  <c r="AY16" i="53"/>
  <c r="AY10" i="53"/>
  <c r="AZ14" i="53"/>
  <c r="AX25" i="51"/>
  <c r="AX71" i="50" s="1"/>
  <c r="AX36" i="51"/>
  <c r="AX123" i="50"/>
  <c r="AZ12" i="7"/>
  <c r="AZ54" i="7"/>
  <c r="AZ100" i="7"/>
  <c r="AX101" i="53"/>
  <c r="AX24" i="51"/>
  <c r="AY61" i="52"/>
  <c r="AY11" i="52"/>
  <c r="AY12" i="52"/>
  <c r="AY22" i="52"/>
  <c r="AY55" i="50"/>
  <c r="AZ10" i="52"/>
  <c r="AZ17" i="52" s="1"/>
  <c r="AX202" i="7"/>
  <c r="AX28" i="51"/>
  <c r="AX90" i="50" s="1"/>
  <c r="BL79" i="7"/>
  <c r="BL77" i="7"/>
  <c r="BM76" i="7"/>
  <c r="BG91" i="7"/>
  <c r="BH90" i="7"/>
  <c r="AZ19" i="7"/>
  <c r="AW39" i="50"/>
  <c r="AW42" i="60"/>
  <c r="AW41" i="60"/>
  <c r="AW84" i="50"/>
  <c r="AX54" i="60"/>
  <c r="AX27" i="60"/>
  <c r="AX36" i="60"/>
  <c r="AX33" i="60"/>
  <c r="AX20" i="60"/>
  <c r="AX44" i="60"/>
  <c r="AX12" i="60"/>
  <c r="AX49" i="60"/>
  <c r="AX11" i="60"/>
  <c r="AX26" i="51"/>
  <c r="AX77" i="50" s="1"/>
  <c r="BA193" i="7"/>
  <c r="BA27" i="7"/>
  <c r="BA11" i="7"/>
  <c r="BA19" i="7" s="1"/>
  <c r="BA18" i="7"/>
  <c r="BA64" i="7"/>
  <c r="BA16" i="7"/>
  <c r="BA198" i="7"/>
  <c r="BA60" i="7"/>
  <c r="BA14" i="52"/>
  <c r="BA17" i="7"/>
  <c r="BA210" i="7"/>
  <c r="BA80" i="7"/>
  <c r="BB96" i="7"/>
  <c r="AY93" i="7"/>
  <c r="AZ15" i="52"/>
  <c r="AX122" i="50"/>
  <c r="AX35" i="51"/>
  <c r="AX29" i="51"/>
  <c r="AZ22" i="52" l="1"/>
  <c r="AZ55" i="50"/>
  <c r="AZ11" i="52"/>
  <c r="AZ61" i="52"/>
  <c r="AZ15" i="53"/>
  <c r="BA15" i="52"/>
  <c r="BA16" i="52"/>
  <c r="BA10" i="52"/>
  <c r="BA14" i="53"/>
  <c r="BA66" i="7"/>
  <c r="BA65" i="7"/>
  <c r="AX51" i="60"/>
  <c r="AX50" i="60"/>
  <c r="AY30" i="50"/>
  <c r="AY37" i="50"/>
  <c r="AY35" i="50"/>
  <c r="AY29" i="50"/>
  <c r="AY101" i="50"/>
  <c r="AY14" i="50"/>
  <c r="AY15" i="50"/>
  <c r="AY24" i="50"/>
  <c r="AY13" i="50"/>
  <c r="AY23" i="50"/>
  <c r="AY104" i="50"/>
  <c r="AX19" i="54"/>
  <c r="AX109" i="53"/>
  <c r="AX14" i="51"/>
  <c r="AY11" i="53"/>
  <c r="AY10" i="60"/>
  <c r="AY98" i="53"/>
  <c r="AY96" i="53"/>
  <c r="AY99" i="53"/>
  <c r="AY53" i="53"/>
  <c r="AY100" i="53"/>
  <c r="AZ100" i="53" s="1"/>
  <c r="AY95" i="53"/>
  <c r="AY43" i="53"/>
  <c r="AY22" i="53"/>
  <c r="AY48" i="53"/>
  <c r="AY12" i="53"/>
  <c r="AY97" i="53"/>
  <c r="AY61" i="53"/>
  <c r="AZ10" i="53"/>
  <c r="AZ17" i="53" s="1"/>
  <c r="BB98" i="7"/>
  <c r="BB97" i="7"/>
  <c r="BB99" i="7"/>
  <c r="BB15" i="7"/>
  <c r="AX55" i="60"/>
  <c r="AX56" i="60"/>
  <c r="AX80" i="51"/>
  <c r="AX44" i="51"/>
  <c r="AX79" i="51"/>
  <c r="AX96" i="50"/>
  <c r="BA54" i="7"/>
  <c r="BA13" i="7"/>
  <c r="BA12" i="7"/>
  <c r="BA100" i="7"/>
  <c r="AX45" i="60"/>
  <c r="AX46" i="60"/>
  <c r="BA94" i="7"/>
  <c r="BA93" i="7" s="1"/>
  <c r="BA62" i="7"/>
  <c r="BA61" i="7"/>
  <c r="BA28" i="7"/>
  <c r="AX74" i="50"/>
  <c r="BH91" i="7"/>
  <c r="BI90" i="7"/>
  <c r="BM77" i="7"/>
  <c r="BM79" i="7"/>
  <c r="BN76" i="7"/>
  <c r="AX65" i="50"/>
  <c r="AX68" i="50"/>
  <c r="AX40" i="60"/>
  <c r="AX37" i="60"/>
  <c r="AX93" i="50"/>
  <c r="AX87" i="50"/>
  <c r="AY17" i="53"/>
  <c r="AZ108" i="53" l="1"/>
  <c r="AY123" i="50"/>
  <c r="AZ123" i="50" s="1"/>
  <c r="AY36" i="51"/>
  <c r="AZ104" i="50"/>
  <c r="AZ105" i="50" s="1"/>
  <c r="AZ13" i="50"/>
  <c r="AY24" i="51"/>
  <c r="AZ35" i="50"/>
  <c r="BA12" i="52"/>
  <c r="BA61" i="52"/>
  <c r="BA22" i="52"/>
  <c r="BA11" i="52"/>
  <c r="BA55" i="50"/>
  <c r="AY35" i="51"/>
  <c r="AY122" i="50"/>
  <c r="AZ122" i="50" s="1"/>
  <c r="AZ101" i="50"/>
  <c r="AZ102" i="50" s="1"/>
  <c r="BA102" i="50" s="1"/>
  <c r="BB102" i="50" s="1"/>
  <c r="BC102" i="50" s="1"/>
  <c r="BD102" i="50" s="1"/>
  <c r="AY54" i="60"/>
  <c r="AY33" i="60"/>
  <c r="AY36" i="60"/>
  <c r="AY11" i="60"/>
  <c r="AY12" i="60"/>
  <c r="AY44" i="60"/>
  <c r="AY49" i="60"/>
  <c r="AY27" i="60"/>
  <c r="AY20" i="60"/>
  <c r="AZ10" i="60"/>
  <c r="AZ29" i="50"/>
  <c r="AY28" i="51"/>
  <c r="AZ28" i="51" s="1"/>
  <c r="BA16" i="53"/>
  <c r="BA15" i="53"/>
  <c r="BA28" i="53"/>
  <c r="BA10" i="53"/>
  <c r="AY49" i="53"/>
  <c r="AZ99" i="53"/>
  <c r="AZ24" i="50"/>
  <c r="AZ37" i="50"/>
  <c r="BA17" i="52"/>
  <c r="AZ97" i="53"/>
  <c r="BI91" i="7"/>
  <c r="BJ90" i="7"/>
  <c r="AZ23" i="50"/>
  <c r="BN79" i="7"/>
  <c r="BO76" i="7"/>
  <c r="BO77" i="7" s="1"/>
  <c r="BN77" i="7"/>
  <c r="AY54" i="53"/>
  <c r="BB27" i="7"/>
  <c r="BB60" i="7"/>
  <c r="BB17" i="7"/>
  <c r="BB193" i="7"/>
  <c r="BB11" i="7"/>
  <c r="BB19" i="7" s="1"/>
  <c r="BB198" i="7"/>
  <c r="BB210" i="7"/>
  <c r="BB18" i="7"/>
  <c r="BB16" i="7"/>
  <c r="BB14" i="52"/>
  <c r="BB64" i="7"/>
  <c r="BC96" i="7"/>
  <c r="BB80" i="7"/>
  <c r="AZ11" i="53"/>
  <c r="AZ22" i="53"/>
  <c r="AZ61" i="53"/>
  <c r="AZ96" i="53"/>
  <c r="AZ104" i="53" s="1"/>
  <c r="AY202" i="7"/>
  <c r="AZ15" i="50"/>
  <c r="AY26" i="51"/>
  <c r="AZ26" i="51" s="1"/>
  <c r="AY29" i="51"/>
  <c r="AZ29" i="51" s="1"/>
  <c r="AZ30" i="50"/>
  <c r="AY101" i="53"/>
  <c r="AZ95" i="53"/>
  <c r="AX41" i="60"/>
  <c r="AX42" i="60"/>
  <c r="AY196" i="7"/>
  <c r="AY44" i="53"/>
  <c r="AY63" i="53"/>
  <c r="AZ98" i="53"/>
  <c r="AZ14" i="50"/>
  <c r="AY25" i="51"/>
  <c r="AZ25" i="51" s="1"/>
  <c r="AY90" i="50" l="1"/>
  <c r="AY87" i="50"/>
  <c r="AY71" i="50"/>
  <c r="AY68" i="50"/>
  <c r="AY93" i="50"/>
  <c r="AY64" i="53"/>
  <c r="AY37" i="60"/>
  <c r="AY40" i="60"/>
  <c r="AZ36" i="60"/>
  <c r="BA35" i="50"/>
  <c r="BA37" i="50"/>
  <c r="BA29" i="50"/>
  <c r="BA14" i="50"/>
  <c r="BA30" i="50"/>
  <c r="BA13" i="50"/>
  <c r="BA24" i="50"/>
  <c r="BA15" i="50"/>
  <c r="BA104" i="50"/>
  <c r="BA23" i="50"/>
  <c r="BA101" i="50"/>
  <c r="AZ105" i="53"/>
  <c r="AZ77" i="50"/>
  <c r="AT158" i="53"/>
  <c r="AS16" i="50"/>
  <c r="BB16" i="52"/>
  <c r="BB15" i="52"/>
  <c r="BB10" i="52"/>
  <c r="BB17" i="52" s="1"/>
  <c r="BB14" i="53"/>
  <c r="AZ68" i="50"/>
  <c r="AZ202" i="7"/>
  <c r="BC98" i="7"/>
  <c r="BC99" i="7"/>
  <c r="BC97" i="7"/>
  <c r="BC15" i="7"/>
  <c r="BB61" i="7"/>
  <c r="BB62" i="7"/>
  <c r="AY77" i="50"/>
  <c r="BA11" i="53"/>
  <c r="BA48" i="53"/>
  <c r="BA43" i="53"/>
  <c r="BA53" i="53"/>
  <c r="BA98" i="53"/>
  <c r="BA97" i="53"/>
  <c r="BA96" i="53"/>
  <c r="BA10" i="60"/>
  <c r="BA99" i="53"/>
  <c r="BA61" i="53"/>
  <c r="BA22" i="53"/>
  <c r="BA95" i="53"/>
  <c r="BA12" i="53"/>
  <c r="BA100" i="53"/>
  <c r="AY51" i="60"/>
  <c r="AY50" i="60"/>
  <c r="AY56" i="60"/>
  <c r="AY55" i="60"/>
  <c r="AY96" i="50"/>
  <c r="AZ101" i="53"/>
  <c r="AZ103" i="53"/>
  <c r="AZ106" i="53"/>
  <c r="AY14" i="51"/>
  <c r="AY109" i="53"/>
  <c r="AY19" i="54"/>
  <c r="AZ92" i="50"/>
  <c r="AZ93" i="50"/>
  <c r="AY74" i="50"/>
  <c r="BB28" i="7"/>
  <c r="BK90" i="7"/>
  <c r="BJ91" i="7"/>
  <c r="BA29" i="53"/>
  <c r="BA24" i="53"/>
  <c r="AY45" i="60"/>
  <c r="AY46" i="60"/>
  <c r="AY65" i="50"/>
  <c r="AZ24" i="51"/>
  <c r="AZ90" i="50"/>
  <c r="AZ96" i="50"/>
  <c r="AZ74" i="50"/>
  <c r="BB65" i="7"/>
  <c r="BB66" i="7"/>
  <c r="AZ71" i="50"/>
  <c r="BA17" i="53"/>
  <c r="AZ87" i="50"/>
  <c r="AZ61" i="50"/>
  <c r="AY80" i="51"/>
  <c r="AZ80" i="51" s="1"/>
  <c r="AZ36" i="51"/>
  <c r="AY44" i="51"/>
  <c r="AY79" i="51"/>
  <c r="AZ79" i="51" s="1"/>
  <c r="AZ35" i="51"/>
  <c r="BB94" i="7"/>
  <c r="BB93" i="7" s="1"/>
  <c r="BB12" i="7"/>
  <c r="BB13" i="7"/>
  <c r="BB54" i="7"/>
  <c r="BB100" i="7"/>
  <c r="AZ107" i="53"/>
  <c r="AZ44" i="60"/>
  <c r="AZ54" i="60"/>
  <c r="AZ55" i="60" s="1"/>
  <c r="AZ49" i="60"/>
  <c r="AZ50" i="60" s="1"/>
  <c r="AZ33" i="60"/>
  <c r="AZ20" i="60"/>
  <c r="AZ27" i="60"/>
  <c r="AZ11" i="60"/>
  <c r="BA122" i="50" l="1"/>
  <c r="BA35" i="51"/>
  <c r="BA29" i="51"/>
  <c r="BA96" i="50" s="1"/>
  <c r="AY42" i="60"/>
  <c r="AY41" i="60"/>
  <c r="AZ44" i="51"/>
  <c r="BA25" i="53"/>
  <c r="BA81" i="50"/>
  <c r="BA28" i="50" s="1"/>
  <c r="BL90" i="7"/>
  <c r="BK91" i="7"/>
  <c r="AZ109" i="53"/>
  <c r="BA50" i="53"/>
  <c r="BA49" i="53"/>
  <c r="BB15" i="53"/>
  <c r="BB16" i="53"/>
  <c r="BB28" i="53"/>
  <c r="BB10" i="53"/>
  <c r="BA25" i="51"/>
  <c r="BA68" i="50" s="1"/>
  <c r="BA202" i="7"/>
  <c r="BC193" i="7"/>
  <c r="BC60" i="7"/>
  <c r="BC64" i="7"/>
  <c r="BC210" i="7"/>
  <c r="BC11" i="7"/>
  <c r="BC19" i="7" s="1"/>
  <c r="BC16" i="7"/>
  <c r="BC18" i="7"/>
  <c r="BC27" i="7"/>
  <c r="BC17" i="7"/>
  <c r="BC198" i="7"/>
  <c r="BC14" i="52"/>
  <c r="BC80" i="7"/>
  <c r="BD96" i="7"/>
  <c r="BB12" i="52"/>
  <c r="BB61" i="52"/>
  <c r="BB22" i="52"/>
  <c r="BB11" i="52"/>
  <c r="BB55" i="50"/>
  <c r="BA36" i="51"/>
  <c r="BA123" i="50"/>
  <c r="BA28" i="51"/>
  <c r="BA90" i="50" s="1"/>
  <c r="BA38" i="53"/>
  <c r="AS25" i="50"/>
  <c r="AS52" i="50" s="1"/>
  <c r="BA26" i="51"/>
  <c r="BA74" i="50" s="1"/>
  <c r="AZ45" i="60"/>
  <c r="AZ63" i="50"/>
  <c r="AZ64" i="50"/>
  <c r="AZ14" i="51"/>
  <c r="BA55" i="53"/>
  <c r="BA54" i="53"/>
  <c r="AU158" i="53"/>
  <c r="AT73" i="53"/>
  <c r="AZ65" i="50"/>
  <c r="BA101" i="53"/>
  <c r="BA49" i="60"/>
  <c r="BA54" i="60"/>
  <c r="BA44" i="60"/>
  <c r="BA33" i="60"/>
  <c r="BA27" i="60"/>
  <c r="BA12" i="60"/>
  <c r="BA36" i="60"/>
  <c r="BA20" i="60"/>
  <c r="BA11" i="60"/>
  <c r="BA63" i="53"/>
  <c r="BA196" i="7"/>
  <c r="BA45" i="53"/>
  <c r="BA44" i="53"/>
  <c r="BA24" i="51"/>
  <c r="AZ37" i="60"/>
  <c r="AZ40" i="60"/>
  <c r="AZ41" i="60" s="1"/>
  <c r="BA77" i="50" l="1"/>
  <c r="BA87" i="50"/>
  <c r="BA19" i="54"/>
  <c r="BA109" i="53"/>
  <c r="BA14" i="51"/>
  <c r="BA65" i="50"/>
  <c r="BA64" i="53"/>
  <c r="BA65" i="53"/>
  <c r="BC94" i="7"/>
  <c r="BC93" i="7" s="1"/>
  <c r="BC61" i="7"/>
  <c r="BC62" i="7"/>
  <c r="BB11" i="53"/>
  <c r="BB10" i="60"/>
  <c r="BB96" i="53"/>
  <c r="BB98" i="53"/>
  <c r="BB48" i="53"/>
  <c r="BB43" i="53"/>
  <c r="BB53" i="53"/>
  <c r="BB97" i="53"/>
  <c r="BB12" i="53"/>
  <c r="BB95" i="53"/>
  <c r="BB61" i="53"/>
  <c r="BB100" i="53"/>
  <c r="BB99" i="53"/>
  <c r="BB22" i="53"/>
  <c r="BL91" i="7"/>
  <c r="BM90" i="7"/>
  <c r="BA41" i="53"/>
  <c r="BA67" i="53"/>
  <c r="BA39" i="53"/>
  <c r="BB29" i="53"/>
  <c r="BB30" i="53"/>
  <c r="BB24" i="53"/>
  <c r="BB38" i="53" s="1"/>
  <c r="BA32" i="50"/>
  <c r="BC15" i="52"/>
  <c r="BC10" i="52"/>
  <c r="BC16" i="52"/>
  <c r="BC14" i="53"/>
  <c r="BA79" i="51"/>
  <c r="BA44" i="51"/>
  <c r="BA55" i="60"/>
  <c r="BA56" i="60"/>
  <c r="AU73" i="53"/>
  <c r="AT72" i="52"/>
  <c r="BA80" i="51"/>
  <c r="BD98" i="7"/>
  <c r="BD97" i="7"/>
  <c r="BE97" i="7" s="1"/>
  <c r="BD99" i="7"/>
  <c r="BD15" i="7"/>
  <c r="BE96" i="7"/>
  <c r="BD101" i="7" s="1"/>
  <c r="BC13" i="7"/>
  <c r="BC12" i="7"/>
  <c r="BC54" i="7"/>
  <c r="BC100" i="7"/>
  <c r="BA46" i="60"/>
  <c r="BA45" i="60"/>
  <c r="BA40" i="60"/>
  <c r="BA37" i="60"/>
  <c r="BA50" i="60"/>
  <c r="BA51" i="60"/>
  <c r="BA71" i="50"/>
  <c r="BB17" i="53"/>
  <c r="BB35" i="50"/>
  <c r="BB14" i="50"/>
  <c r="BB13" i="50"/>
  <c r="BB101" i="50"/>
  <c r="BB30" i="50"/>
  <c r="BB23" i="50"/>
  <c r="BB15" i="50"/>
  <c r="BB29" i="50"/>
  <c r="BB37" i="50"/>
  <c r="BB104" i="50"/>
  <c r="BB24" i="50"/>
  <c r="BC28" i="7"/>
  <c r="BC66" i="7"/>
  <c r="BC65" i="7"/>
  <c r="BA93" i="50"/>
  <c r="BB29" i="51" l="1"/>
  <c r="BB93" i="50" s="1"/>
  <c r="BC12" i="52"/>
  <c r="BC22" i="52"/>
  <c r="BC61" i="52"/>
  <c r="BC11" i="52"/>
  <c r="BC55" i="50"/>
  <c r="BM91" i="7"/>
  <c r="BN90" i="7"/>
  <c r="BB55" i="53"/>
  <c r="BB54" i="53"/>
  <c r="BB122" i="50"/>
  <c r="BB35" i="51"/>
  <c r="BA41" i="60"/>
  <c r="BA42" i="60"/>
  <c r="BA39" i="50"/>
  <c r="BB196" i="7"/>
  <c r="BB44" i="53"/>
  <c r="BB63" i="53"/>
  <c r="BB45" i="53"/>
  <c r="BB40" i="53"/>
  <c r="BB39" i="53"/>
  <c r="BB41" i="53"/>
  <c r="BB36" i="51"/>
  <c r="BB123" i="50"/>
  <c r="BB24" i="51"/>
  <c r="BB49" i="53"/>
  <c r="BB50" i="53"/>
  <c r="BB202" i="7"/>
  <c r="BB25" i="51"/>
  <c r="BE98" i="7"/>
  <c r="BA101" i="7"/>
  <c r="BB101" i="7"/>
  <c r="BC101" i="7"/>
  <c r="AU72" i="52"/>
  <c r="BC17" i="52"/>
  <c r="BB26" i="53"/>
  <c r="BB25" i="53"/>
  <c r="BB81" i="50"/>
  <c r="BB28" i="50" s="1"/>
  <c r="BA70" i="53"/>
  <c r="BA68" i="53"/>
  <c r="BB101" i="53"/>
  <c r="BB26" i="51"/>
  <c r="BC15" i="53"/>
  <c r="BC16" i="53"/>
  <c r="BC10" i="53"/>
  <c r="BB28" i="51"/>
  <c r="BB90" i="50" s="1"/>
  <c r="BD198" i="7"/>
  <c r="BE198" i="7" s="1"/>
  <c r="BD193" i="7"/>
  <c r="BD64" i="7"/>
  <c r="BD14" i="52"/>
  <c r="BD60" i="7"/>
  <c r="BD11" i="7"/>
  <c r="BD18" i="7"/>
  <c r="BD210" i="7"/>
  <c r="BE210" i="7" s="1"/>
  <c r="BD27" i="7"/>
  <c r="BD17" i="7"/>
  <c r="BD16" i="7"/>
  <c r="BF96" i="7"/>
  <c r="BD80" i="7"/>
  <c r="BE15" i="7"/>
  <c r="BB44" i="60"/>
  <c r="BB54" i="60"/>
  <c r="BB36" i="60"/>
  <c r="BB20" i="60"/>
  <c r="BB11" i="60"/>
  <c r="BB49" i="60"/>
  <c r="BB33" i="60"/>
  <c r="BB12" i="60"/>
  <c r="BB27" i="60"/>
  <c r="BB96" i="50" l="1"/>
  <c r="BB87" i="50"/>
  <c r="BB65" i="53"/>
  <c r="BB64" i="53"/>
  <c r="BE17" i="7"/>
  <c r="BE60" i="7"/>
  <c r="BE61" i="7" s="1"/>
  <c r="BE64" i="7"/>
  <c r="BE65" i="7" s="1"/>
  <c r="BE16" i="7"/>
  <c r="BE11" i="7"/>
  <c r="BE19" i="7" s="1"/>
  <c r="BC35" i="50"/>
  <c r="BC15" i="50"/>
  <c r="BC13" i="50"/>
  <c r="BC30" i="50"/>
  <c r="BC104" i="50"/>
  <c r="BC23" i="50"/>
  <c r="BC37" i="50"/>
  <c r="BC101" i="50"/>
  <c r="BC29" i="50"/>
  <c r="BC14" i="50"/>
  <c r="BC24" i="50"/>
  <c r="BC11" i="53"/>
  <c r="BC10" i="60"/>
  <c r="BC99" i="53"/>
  <c r="BC95" i="53"/>
  <c r="BC96" i="53"/>
  <c r="BC61" i="53"/>
  <c r="BC100" i="53"/>
  <c r="BC98" i="53"/>
  <c r="BC22" i="53"/>
  <c r="BC12" i="53"/>
  <c r="BC97" i="53"/>
  <c r="BB37" i="60"/>
  <c r="BB40" i="60"/>
  <c r="BD65" i="7"/>
  <c r="BD66" i="7"/>
  <c r="BB55" i="60"/>
  <c r="BB56" i="60"/>
  <c r="BD28" i="7"/>
  <c r="BE27" i="7"/>
  <c r="BE28" i="7" s="1"/>
  <c r="BF97" i="7"/>
  <c r="BF99" i="7"/>
  <c r="BF98" i="7"/>
  <c r="BF15" i="7"/>
  <c r="BB32" i="50"/>
  <c r="BB27" i="51"/>
  <c r="BD15" i="52"/>
  <c r="BD16" i="52"/>
  <c r="BD10" i="52"/>
  <c r="BD14" i="53"/>
  <c r="BE14" i="52"/>
  <c r="BB45" i="60"/>
  <c r="BB46" i="60"/>
  <c r="BB71" i="50"/>
  <c r="BB74" i="50"/>
  <c r="BB14" i="51"/>
  <c r="BB109" i="53"/>
  <c r="BB19" i="54"/>
  <c r="BB68" i="50"/>
  <c r="BB65" i="50"/>
  <c r="BB67" i="53"/>
  <c r="BC17" i="53"/>
  <c r="BD94" i="7"/>
  <c r="BE94" i="7" s="1"/>
  <c r="BE80" i="7"/>
  <c r="BE193" i="7"/>
  <c r="BB51" i="60"/>
  <c r="BB50" i="60"/>
  <c r="BD12" i="7"/>
  <c r="BD13" i="7"/>
  <c r="BD54" i="7"/>
  <c r="BD100" i="7"/>
  <c r="BD19" i="7"/>
  <c r="BD62" i="7"/>
  <c r="BD61" i="7"/>
  <c r="BB77" i="50"/>
  <c r="BB80" i="51"/>
  <c r="BB44" i="51"/>
  <c r="BB79" i="51"/>
  <c r="BN91" i="7"/>
  <c r="BO90" i="7"/>
  <c r="BO91" i="7" s="1"/>
  <c r="BD93" i="7" l="1"/>
  <c r="BB41" i="60"/>
  <c r="BB42" i="60"/>
  <c r="BC101" i="53"/>
  <c r="BC49" i="60"/>
  <c r="BC11" i="60"/>
  <c r="BC44" i="60"/>
  <c r="BC27" i="60"/>
  <c r="BC36" i="60"/>
  <c r="BC12" i="60"/>
  <c r="BC20" i="60"/>
  <c r="BC54" i="60"/>
  <c r="BC33" i="60"/>
  <c r="BB68" i="53"/>
  <c r="BB69" i="53"/>
  <c r="BB70" i="53"/>
  <c r="BC36" i="51"/>
  <c r="BC123" i="50"/>
  <c r="BB84" i="50"/>
  <c r="BD16" i="53"/>
  <c r="BD15" i="53"/>
  <c r="BD10" i="53"/>
  <c r="BE14" i="53"/>
  <c r="BB39" i="50"/>
  <c r="BC202" i="7"/>
  <c r="BC25" i="51"/>
  <c r="BC71" i="50" s="1"/>
  <c r="BC29" i="51"/>
  <c r="BC93" i="50" s="1"/>
  <c r="BD61" i="52"/>
  <c r="BD22" i="52"/>
  <c r="BD11" i="52"/>
  <c r="BD12" i="52"/>
  <c r="BD55" i="50"/>
  <c r="BE10" i="52"/>
  <c r="BE17" i="52" s="1"/>
  <c r="BF64" i="7"/>
  <c r="BF17" i="7"/>
  <c r="BF198" i="7"/>
  <c r="BF16" i="7"/>
  <c r="BF60" i="7"/>
  <c r="BF18" i="7"/>
  <c r="BF210" i="7"/>
  <c r="BF193" i="7"/>
  <c r="BF27" i="7"/>
  <c r="BF11" i="7"/>
  <c r="BF14" i="52"/>
  <c r="BF80" i="7"/>
  <c r="BG96" i="7"/>
  <c r="BC28" i="51"/>
  <c r="BC24" i="51"/>
  <c r="BD17" i="52"/>
  <c r="BC122" i="50"/>
  <c r="BC35" i="51"/>
  <c r="BC26" i="51"/>
  <c r="BC77" i="50" s="1"/>
  <c r="BE15" i="52"/>
  <c r="BE12" i="7"/>
  <c r="BE54" i="7"/>
  <c r="BE100" i="7"/>
  <c r="BD17" i="53" l="1"/>
  <c r="BC68" i="50"/>
  <c r="BC96" i="50"/>
  <c r="BC44" i="51"/>
  <c r="BC79" i="51"/>
  <c r="BF28" i="7"/>
  <c r="BE15" i="53"/>
  <c r="BC37" i="60"/>
  <c r="BC40" i="60"/>
  <c r="BC80" i="51"/>
  <c r="BF94" i="7"/>
  <c r="BF93" i="7" s="1"/>
  <c r="BD11" i="53"/>
  <c r="BD10" i="60"/>
  <c r="BD43" i="53"/>
  <c r="BD53" i="53"/>
  <c r="BD98" i="53"/>
  <c r="BD99" i="53"/>
  <c r="BD95" i="53"/>
  <c r="BD48" i="53"/>
  <c r="BD96" i="53"/>
  <c r="BD61" i="53"/>
  <c r="BD12" i="53"/>
  <c r="BD97" i="53"/>
  <c r="BD100" i="53"/>
  <c r="BE100" i="53" s="1"/>
  <c r="BD22" i="53"/>
  <c r="BE10" i="53"/>
  <c r="BC19" i="54"/>
  <c r="BC14" i="51"/>
  <c r="BC109" i="53"/>
  <c r="BF15" i="52"/>
  <c r="BF16" i="52"/>
  <c r="BF10" i="52"/>
  <c r="BF17" i="52" s="1"/>
  <c r="BF14" i="53"/>
  <c r="BF66" i="7"/>
  <c r="BF65" i="7"/>
  <c r="BC46" i="60"/>
  <c r="BC45" i="60"/>
  <c r="BF13" i="7"/>
  <c r="BF12" i="7"/>
  <c r="BF54" i="7"/>
  <c r="BF100" i="7"/>
  <c r="BC74" i="50"/>
  <c r="BC87" i="50"/>
  <c r="BG99" i="7"/>
  <c r="BG98" i="7"/>
  <c r="BG97" i="7"/>
  <c r="BG15" i="7"/>
  <c r="BE11" i="52"/>
  <c r="BE61" i="52"/>
  <c r="BE22" i="52"/>
  <c r="BE55" i="50"/>
  <c r="BC55" i="60"/>
  <c r="BC56" i="60"/>
  <c r="BC65" i="50"/>
  <c r="BC90" i="50"/>
  <c r="BF19" i="7"/>
  <c r="BF61" i="7"/>
  <c r="BF62" i="7"/>
  <c r="BD104" i="50"/>
  <c r="BD37" i="50"/>
  <c r="BD35" i="50"/>
  <c r="BD101" i="50"/>
  <c r="BD30" i="50"/>
  <c r="BD29" i="50"/>
  <c r="BD14" i="50"/>
  <c r="BD23" i="50"/>
  <c r="BD15" i="50"/>
  <c r="BD13" i="50"/>
  <c r="BD24" i="50"/>
  <c r="BC50" i="60"/>
  <c r="BC51" i="60"/>
  <c r="BE108" i="53" l="1"/>
  <c r="BE98" i="53"/>
  <c r="BC42" i="60"/>
  <c r="BC41" i="60"/>
  <c r="BE23" i="50"/>
  <c r="BE14" i="50"/>
  <c r="BD25" i="51"/>
  <c r="BE25" i="51" s="1"/>
  <c r="BD36" i="51"/>
  <c r="BD123" i="50"/>
  <c r="BE123" i="50" s="1"/>
  <c r="BE104" i="50"/>
  <c r="BE105" i="50" s="1"/>
  <c r="BG64" i="7"/>
  <c r="BG11" i="7"/>
  <c r="BG60" i="7"/>
  <c r="BG17" i="7"/>
  <c r="BG27" i="7"/>
  <c r="BG18" i="7"/>
  <c r="BG16" i="7"/>
  <c r="BG193" i="7"/>
  <c r="BG210" i="7"/>
  <c r="BG198" i="7"/>
  <c r="BG14" i="52"/>
  <c r="BH96" i="7"/>
  <c r="BG80" i="7"/>
  <c r="BE11" i="53"/>
  <c r="BE22" i="53"/>
  <c r="BE61" i="53"/>
  <c r="BD54" i="53"/>
  <c r="BD202" i="7"/>
  <c r="BE37" i="50"/>
  <c r="BD28" i="51"/>
  <c r="BE28" i="51" s="1"/>
  <c r="BE29" i="50"/>
  <c r="BE96" i="53"/>
  <c r="BE104" i="53" s="1"/>
  <c r="BD196" i="7"/>
  <c r="BD44" i="53"/>
  <c r="BD63" i="53"/>
  <c r="BD29" i="51"/>
  <c r="BE29" i="51" s="1"/>
  <c r="BE30" i="50"/>
  <c r="BD49" i="53"/>
  <c r="BE17" i="53"/>
  <c r="BE24" i="50"/>
  <c r="BE13" i="50"/>
  <c r="BD24" i="51"/>
  <c r="BD122" i="50"/>
  <c r="BE122" i="50" s="1"/>
  <c r="BD35" i="51"/>
  <c r="BE101" i="50"/>
  <c r="BE102" i="50" s="1"/>
  <c r="BF102" i="50" s="1"/>
  <c r="BG102" i="50" s="1"/>
  <c r="BH102" i="50" s="1"/>
  <c r="BI102" i="50" s="1"/>
  <c r="BF15" i="53"/>
  <c r="BF16" i="53"/>
  <c r="BF28" i="53"/>
  <c r="BF10" i="53"/>
  <c r="BE97" i="53"/>
  <c r="BD101" i="53"/>
  <c r="BE95" i="53"/>
  <c r="BD44" i="60"/>
  <c r="BD36" i="60"/>
  <c r="BD27" i="60"/>
  <c r="BD49" i="60"/>
  <c r="BD54" i="60"/>
  <c r="BD20" i="60"/>
  <c r="BD12" i="60"/>
  <c r="BD11" i="60"/>
  <c r="BD33" i="60"/>
  <c r="BE10" i="60"/>
  <c r="BE15" i="50"/>
  <c r="BD26" i="51"/>
  <c r="BE26" i="51" s="1"/>
  <c r="BE35" i="50"/>
  <c r="BF12" i="52"/>
  <c r="BF11" i="52"/>
  <c r="BF22" i="52"/>
  <c r="BF61" i="52"/>
  <c r="BF55" i="50"/>
  <c r="BE99" i="53"/>
  <c r="BF17" i="53" l="1"/>
  <c r="BD96" i="50"/>
  <c r="BD93" i="50"/>
  <c r="BD68" i="50"/>
  <c r="BD71" i="50"/>
  <c r="BD77" i="50"/>
  <c r="BE74" i="50"/>
  <c r="BD50" i="60"/>
  <c r="BD51" i="60"/>
  <c r="BF24" i="53"/>
  <c r="BF81" i="50" s="1"/>
  <c r="BF29" i="53"/>
  <c r="BE61" i="50"/>
  <c r="BG61" i="7"/>
  <c r="BG62" i="7"/>
  <c r="BE105" i="53"/>
  <c r="BE202" i="7"/>
  <c r="BG13" i="7"/>
  <c r="BG12" i="7"/>
  <c r="BG54" i="7"/>
  <c r="BG100" i="7"/>
  <c r="BE68" i="50"/>
  <c r="BE49" i="60"/>
  <c r="BE50" i="60" s="1"/>
  <c r="BE44" i="60"/>
  <c r="BE11" i="60"/>
  <c r="BE20" i="60"/>
  <c r="BE33" i="60"/>
  <c r="BE54" i="60"/>
  <c r="BE55" i="60" s="1"/>
  <c r="BE27" i="60"/>
  <c r="BD19" i="54"/>
  <c r="BD109" i="53"/>
  <c r="BD14" i="51"/>
  <c r="BE96" i="50"/>
  <c r="BD37" i="60"/>
  <c r="BD40" i="60"/>
  <c r="BE36" i="60"/>
  <c r="BE77" i="50"/>
  <c r="BE92" i="50"/>
  <c r="BE93" i="50"/>
  <c r="BG94" i="7"/>
  <c r="BG93" i="7" s="1"/>
  <c r="BG66" i="7"/>
  <c r="BG65" i="7"/>
  <c r="BD80" i="51"/>
  <c r="BE80" i="51" s="1"/>
  <c r="BE36" i="51"/>
  <c r="BE106" i="53"/>
  <c r="BF37" i="50"/>
  <c r="BF24" i="50"/>
  <c r="BF35" i="50"/>
  <c r="BF30" i="50"/>
  <c r="BF14" i="50"/>
  <c r="BF15" i="50"/>
  <c r="BF23" i="50"/>
  <c r="BF13" i="50"/>
  <c r="BF29" i="50"/>
  <c r="BF101" i="50"/>
  <c r="BF104" i="50"/>
  <c r="BD44" i="51"/>
  <c r="BD79" i="51"/>
  <c r="BE79" i="51" s="1"/>
  <c r="BE35" i="51"/>
  <c r="BE107" i="53"/>
  <c r="BD74" i="50"/>
  <c r="BD45" i="60"/>
  <c r="BD46" i="60"/>
  <c r="BD65" i="50"/>
  <c r="BE24" i="51"/>
  <c r="BD64" i="53"/>
  <c r="BE90" i="50"/>
  <c r="BG19" i="7"/>
  <c r="BE87" i="50"/>
  <c r="BD90" i="50"/>
  <c r="BH99" i="7"/>
  <c r="BH97" i="7"/>
  <c r="BH98" i="7"/>
  <c r="BH15" i="7"/>
  <c r="BG15" i="52"/>
  <c r="BG16" i="52"/>
  <c r="BG14" i="53"/>
  <c r="BG10" i="52"/>
  <c r="BG28" i="7"/>
  <c r="BE71" i="50"/>
  <c r="BE101" i="53"/>
  <c r="BE103" i="53"/>
  <c r="BD56" i="60"/>
  <c r="BD55" i="60"/>
  <c r="BF11" i="53"/>
  <c r="BF202" i="7" s="1"/>
  <c r="BF53" i="53"/>
  <c r="BF48" i="53"/>
  <c r="BF43" i="53"/>
  <c r="BF100" i="53"/>
  <c r="BF99" i="53"/>
  <c r="BF61" i="53"/>
  <c r="BF97" i="53"/>
  <c r="BF98" i="53"/>
  <c r="BF22" i="53"/>
  <c r="BF12" i="53"/>
  <c r="BF96" i="53"/>
  <c r="BF95" i="53"/>
  <c r="BF10" i="60"/>
  <c r="BD87" i="50"/>
  <c r="BF38" i="53" l="1"/>
  <c r="BF41" i="53" s="1"/>
  <c r="BF63" i="53"/>
  <c r="BF45" i="53"/>
  <c r="BF44" i="53"/>
  <c r="BF196" i="7"/>
  <c r="BG12" i="52"/>
  <c r="BG61" i="52"/>
  <c r="BG11" i="52"/>
  <c r="BG22" i="52"/>
  <c r="BG55" i="50"/>
  <c r="BE44" i="51"/>
  <c r="BF26" i="51"/>
  <c r="BF74" i="50" s="1"/>
  <c r="BE109" i="53"/>
  <c r="BF36" i="51"/>
  <c r="BF123" i="50"/>
  <c r="BF25" i="51"/>
  <c r="BF68" i="50" s="1"/>
  <c r="BE14" i="51"/>
  <c r="BF33" i="60"/>
  <c r="BF44" i="60"/>
  <c r="BF54" i="60"/>
  <c r="BF12" i="60"/>
  <c r="BF49" i="60"/>
  <c r="BF27" i="60"/>
  <c r="BF11" i="60"/>
  <c r="BF20" i="60"/>
  <c r="BF36" i="60"/>
  <c r="BH11" i="7"/>
  <c r="BH19" i="7" s="1"/>
  <c r="BH60" i="7"/>
  <c r="BH64" i="7"/>
  <c r="BH16" i="7"/>
  <c r="BH198" i="7"/>
  <c r="BH193" i="7"/>
  <c r="BH18" i="7"/>
  <c r="BH14" i="52"/>
  <c r="BH210" i="7"/>
  <c r="BH17" i="7"/>
  <c r="BH27" i="7"/>
  <c r="BI96" i="7"/>
  <c r="BH80" i="7"/>
  <c r="BF39" i="53"/>
  <c r="BF35" i="51"/>
  <c r="BF122" i="50"/>
  <c r="BF29" i="51"/>
  <c r="BF93" i="50" s="1"/>
  <c r="BE63" i="50"/>
  <c r="BE64" i="50"/>
  <c r="BF25" i="53"/>
  <c r="BF28" i="50"/>
  <c r="BF101" i="53"/>
  <c r="BF49" i="53"/>
  <c r="BF50" i="53"/>
  <c r="BF55" i="53"/>
  <c r="BF54" i="53"/>
  <c r="BG28" i="53"/>
  <c r="BG15" i="53"/>
  <c r="BG16" i="53"/>
  <c r="BG10" i="53"/>
  <c r="BE65" i="50"/>
  <c r="BF28" i="51"/>
  <c r="BF87" i="50" s="1"/>
  <c r="BE40" i="60"/>
  <c r="BE41" i="60" s="1"/>
  <c r="BE37" i="60"/>
  <c r="BG17" i="52"/>
  <c r="BF24" i="51"/>
  <c r="BD41" i="60"/>
  <c r="BD42" i="60"/>
  <c r="BE45" i="60"/>
  <c r="BF67" i="53" l="1"/>
  <c r="BF71" i="50"/>
  <c r="BF90" i="50"/>
  <c r="BF77" i="50"/>
  <c r="BG24" i="50"/>
  <c r="BG30" i="50"/>
  <c r="BG13" i="50"/>
  <c r="BG23" i="50"/>
  <c r="BG29" i="50"/>
  <c r="BG15" i="50"/>
  <c r="BG35" i="50"/>
  <c r="BG104" i="50"/>
  <c r="BG14" i="50"/>
  <c r="BG37" i="50"/>
  <c r="BG101" i="50"/>
  <c r="BF65" i="53"/>
  <c r="BF64" i="53"/>
  <c r="BH94" i="7"/>
  <c r="BH93" i="7" s="1"/>
  <c r="BH28" i="7"/>
  <c r="BF51" i="60"/>
  <c r="BF50" i="60"/>
  <c r="BF65" i="50"/>
  <c r="BF32" i="50"/>
  <c r="BH65" i="7"/>
  <c r="BH66" i="7"/>
  <c r="BF40" i="60"/>
  <c r="BF37" i="60"/>
  <c r="BF56" i="60"/>
  <c r="BF55" i="60"/>
  <c r="BG11" i="53"/>
  <c r="BG202" i="7" s="1"/>
  <c r="BG43" i="53"/>
  <c r="BG96" i="53"/>
  <c r="BG95" i="53"/>
  <c r="BG10" i="60"/>
  <c r="BG53" i="53"/>
  <c r="BG48" i="53"/>
  <c r="BG98" i="53"/>
  <c r="BG12" i="53"/>
  <c r="BG99" i="53"/>
  <c r="BG100" i="53"/>
  <c r="BG61" i="53"/>
  <c r="BG97" i="53"/>
  <c r="BG22" i="53"/>
  <c r="BG30" i="53"/>
  <c r="BG29" i="53"/>
  <c r="BG24" i="53"/>
  <c r="BG81" i="50" s="1"/>
  <c r="BI99" i="7"/>
  <c r="BI97" i="7"/>
  <c r="BJ97" i="7" s="1"/>
  <c r="BI98" i="7"/>
  <c r="BI15" i="7"/>
  <c r="BJ96" i="7"/>
  <c r="BI101" i="7" s="1"/>
  <c r="BH15" i="52"/>
  <c r="BH16" i="52"/>
  <c r="BH14" i="53"/>
  <c r="BH10" i="52"/>
  <c r="BH61" i="7"/>
  <c r="BH62" i="7"/>
  <c r="BF45" i="60"/>
  <c r="BF46" i="60"/>
  <c r="BF96" i="50"/>
  <c r="BG17" i="53"/>
  <c r="BF14" i="51"/>
  <c r="BF109" i="53"/>
  <c r="BF19" i="54"/>
  <c r="BH12" i="7"/>
  <c r="BH13" i="7"/>
  <c r="BH54" i="7"/>
  <c r="BH100" i="7"/>
  <c r="BF79" i="51"/>
  <c r="BF44" i="51"/>
  <c r="BF68" i="53"/>
  <c r="BF70" i="53"/>
  <c r="BF80" i="51"/>
  <c r="BG25" i="51" l="1"/>
  <c r="BG68" i="50" s="1"/>
  <c r="BG24" i="51"/>
  <c r="BH22" i="52"/>
  <c r="BH11" i="52"/>
  <c r="BH12" i="52"/>
  <c r="BH61" i="52"/>
  <c r="BH55" i="50"/>
  <c r="BJ98" i="7"/>
  <c r="BF101" i="7"/>
  <c r="BG101" i="7"/>
  <c r="BH101" i="7"/>
  <c r="BG196" i="7"/>
  <c r="BG45" i="53"/>
  <c r="BG63" i="53"/>
  <c r="BG44" i="53"/>
  <c r="BG123" i="50"/>
  <c r="BG36" i="51"/>
  <c r="BG29" i="51"/>
  <c r="BG96" i="50" s="1"/>
  <c r="BH16" i="53"/>
  <c r="BH15" i="53"/>
  <c r="BH10" i="53"/>
  <c r="BI27" i="7"/>
  <c r="BI64" i="7"/>
  <c r="BI210" i="7"/>
  <c r="BJ210" i="7" s="1"/>
  <c r="BI11" i="7"/>
  <c r="BI19" i="7" s="1"/>
  <c r="BI60" i="7"/>
  <c r="BI193" i="7"/>
  <c r="BJ193" i="7" s="1"/>
  <c r="BI18" i="7"/>
  <c r="BI14" i="52"/>
  <c r="BI17" i="7"/>
  <c r="BI16" i="7"/>
  <c r="BI198" i="7"/>
  <c r="BJ198" i="7" s="1"/>
  <c r="BJ15" i="7"/>
  <c r="BK96" i="7"/>
  <c r="BI80" i="7"/>
  <c r="BG26" i="53"/>
  <c r="BG25" i="53"/>
  <c r="BG28" i="50"/>
  <c r="BG50" i="53"/>
  <c r="BG49" i="53"/>
  <c r="BG38" i="53"/>
  <c r="BG55" i="53"/>
  <c r="BG54" i="53"/>
  <c r="BG26" i="51"/>
  <c r="BG77" i="50" s="1"/>
  <c r="BH17" i="52"/>
  <c r="BG44" i="60"/>
  <c r="BG49" i="60"/>
  <c r="BG33" i="60"/>
  <c r="BG36" i="60"/>
  <c r="BG20" i="60"/>
  <c r="BG11" i="60"/>
  <c r="BG12" i="60"/>
  <c r="BG54" i="60"/>
  <c r="BG27" i="60"/>
  <c r="BF42" i="60"/>
  <c r="BF41" i="60"/>
  <c r="BF39" i="50"/>
  <c r="BG122" i="50"/>
  <c r="BG35" i="51"/>
  <c r="BG28" i="51"/>
  <c r="BG87" i="50" s="1"/>
  <c r="BG101" i="53"/>
  <c r="BH17" i="53" l="1"/>
  <c r="BG71" i="50"/>
  <c r="BG93" i="50"/>
  <c r="BG90" i="50"/>
  <c r="BG74" i="50"/>
  <c r="BI12" i="7"/>
  <c r="BI13" i="7"/>
  <c r="BI54" i="7"/>
  <c r="BI100" i="7"/>
  <c r="BG80" i="51"/>
  <c r="BH35" i="50"/>
  <c r="BH23" i="50"/>
  <c r="BH37" i="50"/>
  <c r="BH29" i="50"/>
  <c r="BH30" i="50"/>
  <c r="BH24" i="50"/>
  <c r="BH101" i="50"/>
  <c r="BH104" i="50"/>
  <c r="BH15" i="50"/>
  <c r="BH14" i="50"/>
  <c r="BH13" i="50"/>
  <c r="BG65" i="50"/>
  <c r="BG19" i="54"/>
  <c r="BG14" i="51"/>
  <c r="BG109" i="53"/>
  <c r="BG79" i="51"/>
  <c r="BG44" i="51"/>
  <c r="BG55" i="60"/>
  <c r="BG56" i="60"/>
  <c r="BG50" i="60"/>
  <c r="BG51" i="60"/>
  <c r="BG45" i="60"/>
  <c r="BG46" i="60"/>
  <c r="BG41" i="53"/>
  <c r="BG39" i="53"/>
  <c r="BG40" i="53"/>
  <c r="BG67" i="53"/>
  <c r="BJ80" i="7"/>
  <c r="BI94" i="7"/>
  <c r="BJ94" i="7" s="1"/>
  <c r="BG65" i="53"/>
  <c r="BG64" i="53"/>
  <c r="BK97" i="7"/>
  <c r="BK99" i="7"/>
  <c r="BK98" i="7"/>
  <c r="BK15" i="7"/>
  <c r="BI16" i="52"/>
  <c r="BI15" i="52"/>
  <c r="BI10" i="52"/>
  <c r="BI17" i="52" s="1"/>
  <c r="BI14" i="53"/>
  <c r="BJ14" i="52"/>
  <c r="BI65" i="7"/>
  <c r="BI66" i="7"/>
  <c r="BJ17" i="7"/>
  <c r="BJ11" i="7"/>
  <c r="BJ19" i="7" s="1"/>
  <c r="BJ60" i="7"/>
  <c r="BJ61" i="7" s="1"/>
  <c r="BJ16" i="7"/>
  <c r="BJ64" i="7"/>
  <c r="BJ65" i="7" s="1"/>
  <c r="BI28" i="7"/>
  <c r="BJ27" i="7"/>
  <c r="BJ28" i="7" s="1"/>
  <c r="BG40" i="60"/>
  <c r="BG37" i="60"/>
  <c r="BG32" i="50"/>
  <c r="BG27" i="51"/>
  <c r="BG84" i="50" s="1"/>
  <c r="BI62" i="7"/>
  <c r="BI61" i="7"/>
  <c r="BH11" i="53"/>
  <c r="BH202" i="7" s="1"/>
  <c r="BH96" i="53"/>
  <c r="BH10" i="60"/>
  <c r="BH12" i="53"/>
  <c r="BH61" i="53"/>
  <c r="BH100" i="53"/>
  <c r="BH95" i="53"/>
  <c r="BH22" i="53"/>
  <c r="BH99" i="53"/>
  <c r="BH98" i="53"/>
  <c r="BH97" i="53"/>
  <c r="BH25" i="51" l="1"/>
  <c r="BH71" i="50" s="1"/>
  <c r="BH28" i="51"/>
  <c r="BH87" i="50" s="1"/>
  <c r="BI15" i="53"/>
  <c r="BI16" i="53"/>
  <c r="BI10" i="53"/>
  <c r="BJ14" i="53"/>
  <c r="BH26" i="51"/>
  <c r="BH77" i="50" s="1"/>
  <c r="BG41" i="60"/>
  <c r="BG42" i="60"/>
  <c r="BI12" i="52"/>
  <c r="BI11" i="52"/>
  <c r="BI22" i="52"/>
  <c r="BI61" i="52"/>
  <c r="BI55" i="50"/>
  <c r="BJ10" i="52"/>
  <c r="BJ17" i="52" s="1"/>
  <c r="BH36" i="51"/>
  <c r="BH123" i="50"/>
  <c r="BG68" i="53"/>
  <c r="BG69" i="53"/>
  <c r="BG70" i="53"/>
  <c r="BH122" i="50"/>
  <c r="BH35" i="51"/>
  <c r="BH101" i="53"/>
  <c r="BH54" i="60"/>
  <c r="BH36" i="60"/>
  <c r="BH44" i="60"/>
  <c r="BH33" i="60"/>
  <c r="BH12" i="60"/>
  <c r="BH27" i="60"/>
  <c r="BH20" i="60"/>
  <c r="BH11" i="60"/>
  <c r="BH49" i="60"/>
  <c r="BG39" i="50"/>
  <c r="BJ15" i="52"/>
  <c r="BJ12" i="7"/>
  <c r="BJ54" i="7"/>
  <c r="BJ100" i="7"/>
  <c r="BK27" i="7"/>
  <c r="BK60" i="7"/>
  <c r="BK210" i="7"/>
  <c r="BK18" i="7"/>
  <c r="BK16" i="7"/>
  <c r="BK64" i="7"/>
  <c r="BK11" i="7"/>
  <c r="BK193" i="7"/>
  <c r="BK17" i="7"/>
  <c r="BK198" i="7"/>
  <c r="BK14" i="52"/>
  <c r="BK80" i="7"/>
  <c r="BL96" i="7"/>
  <c r="BI93" i="7"/>
  <c r="BH24" i="51"/>
  <c r="BH29" i="51"/>
  <c r="BH96" i="50" s="1"/>
  <c r="BI17" i="53" l="1"/>
  <c r="BH74" i="50"/>
  <c r="BH90" i="50"/>
  <c r="BH68" i="50"/>
  <c r="BH93" i="50"/>
  <c r="BH14" i="51"/>
  <c r="BH19" i="54"/>
  <c r="BH109" i="53"/>
  <c r="BH80" i="51"/>
  <c r="BK12" i="7"/>
  <c r="BK54" i="7"/>
  <c r="BK13" i="7"/>
  <c r="BK100" i="7"/>
  <c r="BH65" i="50"/>
  <c r="BL99" i="7"/>
  <c r="BL97" i="7"/>
  <c r="BL98" i="7"/>
  <c r="BL15" i="7"/>
  <c r="BJ15" i="53"/>
  <c r="BK61" i="7"/>
  <c r="BK62" i="7"/>
  <c r="BK19" i="7"/>
  <c r="BH51" i="60"/>
  <c r="BH50" i="60"/>
  <c r="BH45" i="60"/>
  <c r="BH46" i="60"/>
  <c r="BH79" i="51"/>
  <c r="BH44" i="51"/>
  <c r="BJ61" i="52"/>
  <c r="BJ22" i="52"/>
  <c r="BJ11" i="52"/>
  <c r="BJ55" i="50"/>
  <c r="BI11" i="53"/>
  <c r="BI202" i="7" s="1"/>
  <c r="BI10" i="60"/>
  <c r="BI95" i="53"/>
  <c r="BI99" i="53"/>
  <c r="BJ99" i="53" s="1"/>
  <c r="BI43" i="53"/>
  <c r="BI53" i="53"/>
  <c r="BI98" i="53"/>
  <c r="BJ98" i="53" s="1"/>
  <c r="BI48" i="53"/>
  <c r="BI22" i="53"/>
  <c r="BI100" i="53"/>
  <c r="BJ100" i="53" s="1"/>
  <c r="BI12" i="53"/>
  <c r="BI96" i="53"/>
  <c r="BI97" i="53"/>
  <c r="BJ97" i="53" s="1"/>
  <c r="BI61" i="53"/>
  <c r="BJ10" i="53"/>
  <c r="BH37" i="60"/>
  <c r="BH40" i="60"/>
  <c r="BI13" i="50"/>
  <c r="BI37" i="50"/>
  <c r="BI30" i="50"/>
  <c r="BI15" i="50"/>
  <c r="BI29" i="50"/>
  <c r="BI24" i="50"/>
  <c r="BI23" i="50"/>
  <c r="BI35" i="50"/>
  <c r="BI101" i="50"/>
  <c r="BI104" i="50"/>
  <c r="BI14" i="50"/>
  <c r="BK94" i="7"/>
  <c r="BK93" i="7" s="1"/>
  <c r="BK15" i="52"/>
  <c r="BK16" i="52"/>
  <c r="BK14" i="53"/>
  <c r="BK10" i="52"/>
  <c r="BK17" i="52" s="1"/>
  <c r="BK66" i="7"/>
  <c r="BK65" i="7"/>
  <c r="BK28" i="7"/>
  <c r="BH56" i="60"/>
  <c r="BH55" i="60"/>
  <c r="BI29" i="51" l="1"/>
  <c r="BJ29" i="51" s="1"/>
  <c r="BJ30" i="50"/>
  <c r="BI196" i="7"/>
  <c r="BI63" i="53"/>
  <c r="BI44" i="53"/>
  <c r="BJ35" i="50"/>
  <c r="BJ37" i="50"/>
  <c r="BJ108" i="53"/>
  <c r="BJ107" i="53"/>
  <c r="BL193" i="7"/>
  <c r="BL64" i="7"/>
  <c r="BL16" i="7"/>
  <c r="BL210" i="7"/>
  <c r="BL60" i="7"/>
  <c r="BL17" i="7"/>
  <c r="BL27" i="7"/>
  <c r="BL18" i="7"/>
  <c r="BL198" i="7"/>
  <c r="BL11" i="7"/>
  <c r="BL19" i="7" s="1"/>
  <c r="BL14" i="52"/>
  <c r="BM96" i="7"/>
  <c r="BL80" i="7"/>
  <c r="BJ23" i="50"/>
  <c r="BJ13" i="50"/>
  <c r="BJ61" i="50" s="1"/>
  <c r="BI24" i="51"/>
  <c r="BJ11" i="53"/>
  <c r="BJ202" i="7" s="1"/>
  <c r="BJ22" i="53"/>
  <c r="BJ61" i="53"/>
  <c r="BI101" i="53"/>
  <c r="BJ95" i="53"/>
  <c r="BI49" i="53"/>
  <c r="BI49" i="60"/>
  <c r="BI36" i="60"/>
  <c r="BI20" i="60"/>
  <c r="BI33" i="60"/>
  <c r="BI27" i="60"/>
  <c r="BI11" i="60"/>
  <c r="BI12" i="60"/>
  <c r="BI44" i="60"/>
  <c r="BI54" i="60"/>
  <c r="BJ10" i="60"/>
  <c r="BJ29" i="50"/>
  <c r="BI28" i="51"/>
  <c r="BJ28" i="51" s="1"/>
  <c r="BJ17" i="53"/>
  <c r="BI122" i="50"/>
  <c r="BJ122" i="50" s="1"/>
  <c r="BI35" i="51"/>
  <c r="BJ101" i="50"/>
  <c r="BJ102" i="50" s="1"/>
  <c r="BK102" i="50" s="1"/>
  <c r="BL102" i="50" s="1"/>
  <c r="BM102" i="50" s="1"/>
  <c r="BN102" i="50" s="1"/>
  <c r="BJ24" i="50"/>
  <c r="BK61" i="52"/>
  <c r="BK12" i="52"/>
  <c r="BK22" i="52"/>
  <c r="BK11" i="52"/>
  <c r="BK55" i="50"/>
  <c r="BJ14" i="50"/>
  <c r="BI25" i="51"/>
  <c r="BJ25" i="51" s="1"/>
  <c r="BJ105" i="53"/>
  <c r="BJ106" i="53"/>
  <c r="BK16" i="53"/>
  <c r="BK15" i="53"/>
  <c r="BK28" i="53"/>
  <c r="BK10" i="53"/>
  <c r="BI36" i="51"/>
  <c r="BI123" i="50"/>
  <c r="BJ123" i="50" s="1"/>
  <c r="BJ104" i="50"/>
  <c r="BJ105" i="50" s="1"/>
  <c r="BJ15" i="50"/>
  <c r="BI26" i="51"/>
  <c r="BJ26" i="51" s="1"/>
  <c r="BH42" i="60"/>
  <c r="BH41" i="60"/>
  <c r="BJ96" i="53"/>
  <c r="BJ104" i="53" s="1"/>
  <c r="BI54" i="53"/>
  <c r="BI68" i="50" l="1"/>
  <c r="BI77" i="50"/>
  <c r="BI74" i="50"/>
  <c r="BI96" i="50"/>
  <c r="BI87" i="50"/>
  <c r="BI71" i="50"/>
  <c r="BI90" i="50"/>
  <c r="BI93" i="50"/>
  <c r="BJ87" i="50"/>
  <c r="BJ74" i="50"/>
  <c r="BJ68" i="50"/>
  <c r="BI51" i="60"/>
  <c r="BI50" i="60"/>
  <c r="BI19" i="54"/>
  <c r="BI14" i="51"/>
  <c r="BJ14" i="51" s="1"/>
  <c r="BI109" i="53"/>
  <c r="BL62" i="7"/>
  <c r="BL61" i="7"/>
  <c r="BI64" i="53"/>
  <c r="BK24" i="53"/>
  <c r="BK29" i="53"/>
  <c r="BJ71" i="50"/>
  <c r="BL13" i="7"/>
  <c r="BL12" i="7"/>
  <c r="BL54" i="7"/>
  <c r="BL100" i="7"/>
  <c r="BK11" i="53"/>
  <c r="BK202" i="7" s="1"/>
  <c r="BK43" i="53"/>
  <c r="BK100" i="53"/>
  <c r="BK53" i="53"/>
  <c r="BK98" i="53"/>
  <c r="BK22" i="53"/>
  <c r="BK97" i="53"/>
  <c r="BK12" i="53"/>
  <c r="BK48" i="53"/>
  <c r="BK99" i="53"/>
  <c r="BK61" i="53"/>
  <c r="BK10" i="60"/>
  <c r="BK96" i="53"/>
  <c r="BK95" i="53"/>
  <c r="BI44" i="51"/>
  <c r="BJ44" i="51" s="1"/>
  <c r="BI79" i="51"/>
  <c r="BJ79" i="51" s="1"/>
  <c r="BJ35" i="51"/>
  <c r="BL94" i="7"/>
  <c r="BL93" i="7" s="1"/>
  <c r="BJ44" i="60"/>
  <c r="BJ49" i="60"/>
  <c r="BJ50" i="60" s="1"/>
  <c r="BJ11" i="60"/>
  <c r="BJ27" i="60"/>
  <c r="BJ20" i="60"/>
  <c r="BJ33" i="60"/>
  <c r="BJ54" i="60"/>
  <c r="BJ55" i="60" s="1"/>
  <c r="BM99" i="7"/>
  <c r="BM98" i="7"/>
  <c r="BM97" i="7"/>
  <c r="BM15" i="7"/>
  <c r="BL66" i="7"/>
  <c r="BL65" i="7"/>
  <c r="BJ90" i="50"/>
  <c r="BJ93" i="50"/>
  <c r="BJ92" i="50"/>
  <c r="BJ77" i="50"/>
  <c r="BI55" i="60"/>
  <c r="BI56" i="60"/>
  <c r="BI65" i="50"/>
  <c r="BJ24" i="51"/>
  <c r="BJ65" i="50" s="1"/>
  <c r="BL28" i="7"/>
  <c r="BI80" i="51"/>
  <c r="BJ80" i="51" s="1"/>
  <c r="BJ36" i="51"/>
  <c r="BK17" i="53"/>
  <c r="BK35" i="50"/>
  <c r="BK37" i="50"/>
  <c r="BK15" i="50"/>
  <c r="BK14" i="50"/>
  <c r="BK30" i="50"/>
  <c r="BK29" i="50"/>
  <c r="BK24" i="50"/>
  <c r="BK104" i="50"/>
  <c r="BK13" i="50"/>
  <c r="BK101" i="50"/>
  <c r="BK23" i="50"/>
  <c r="BI46" i="60"/>
  <c r="BI45" i="60"/>
  <c r="BI40" i="60"/>
  <c r="BI37" i="60"/>
  <c r="BJ36" i="60"/>
  <c r="BJ103" i="53"/>
  <c r="BJ101" i="53"/>
  <c r="BJ109" i="53" s="1"/>
  <c r="BJ63" i="50"/>
  <c r="BJ64" i="50"/>
  <c r="BL16" i="52"/>
  <c r="BL15" i="52"/>
  <c r="BL10" i="52"/>
  <c r="BL14" i="53"/>
  <c r="BJ96" i="50"/>
  <c r="BK38" i="53" l="1"/>
  <c r="BK41" i="53" s="1"/>
  <c r="BK81" i="50"/>
  <c r="BK28" i="50" s="1"/>
  <c r="BK24" i="51"/>
  <c r="BK49" i="53"/>
  <c r="BK50" i="53"/>
  <c r="BK39" i="53"/>
  <c r="BK25" i="53"/>
  <c r="BK101" i="53"/>
  <c r="BK55" i="53"/>
  <c r="BK54" i="53"/>
  <c r="BL61" i="52"/>
  <c r="BL22" i="52"/>
  <c r="BL12" i="52"/>
  <c r="BL11" i="52"/>
  <c r="BL55" i="50"/>
  <c r="BK28" i="51"/>
  <c r="BK87" i="50" s="1"/>
  <c r="BM64" i="7"/>
  <c r="BM11" i="7"/>
  <c r="BM19" i="7" s="1"/>
  <c r="BM27" i="7"/>
  <c r="BM16" i="7"/>
  <c r="BM18" i="7"/>
  <c r="BM210" i="7"/>
  <c r="BM193" i="7"/>
  <c r="BM198" i="7"/>
  <c r="BM17" i="7"/>
  <c r="BM14" i="52"/>
  <c r="BM60" i="7"/>
  <c r="BN96" i="7"/>
  <c r="BM80" i="7"/>
  <c r="BK54" i="60"/>
  <c r="BK36" i="60"/>
  <c r="BK33" i="60"/>
  <c r="BK20" i="60"/>
  <c r="BK27" i="60"/>
  <c r="BK12" i="60"/>
  <c r="BK44" i="60"/>
  <c r="BK49" i="60"/>
  <c r="BK11" i="60"/>
  <c r="BK63" i="53"/>
  <c r="BK196" i="7"/>
  <c r="BK44" i="53"/>
  <c r="BK45" i="53"/>
  <c r="BK26" i="51"/>
  <c r="BK74" i="50" s="1"/>
  <c r="BK123" i="50"/>
  <c r="BK36" i="51"/>
  <c r="BJ40" i="60"/>
  <c r="BJ41" i="60" s="1"/>
  <c r="BJ37" i="60"/>
  <c r="BL17" i="52"/>
  <c r="BK29" i="51"/>
  <c r="BK96" i="50" s="1"/>
  <c r="BJ45" i="60"/>
  <c r="BL16" i="53"/>
  <c r="BL15" i="53"/>
  <c r="BL28" i="53"/>
  <c r="BL10" i="53"/>
  <c r="BI42" i="60"/>
  <c r="BI41" i="60"/>
  <c r="BK122" i="50"/>
  <c r="BK35" i="51"/>
  <c r="BK25" i="51"/>
  <c r="BK68" i="50" s="1"/>
  <c r="BL17" i="53" l="1"/>
  <c r="BK71" i="50"/>
  <c r="BK77" i="50"/>
  <c r="BK90" i="50"/>
  <c r="BK93" i="50"/>
  <c r="BK64" i="53"/>
  <c r="BK65" i="53"/>
  <c r="BM16" i="52"/>
  <c r="BM15" i="52"/>
  <c r="BM14" i="53"/>
  <c r="BM10" i="52"/>
  <c r="BM17" i="52" s="1"/>
  <c r="BM94" i="7"/>
  <c r="BM93" i="7" s="1"/>
  <c r="BM28" i="7"/>
  <c r="BK67" i="53"/>
  <c r="BL11" i="53"/>
  <c r="BL202" i="7" s="1"/>
  <c r="BL53" i="53"/>
  <c r="BL43" i="53"/>
  <c r="BL10" i="60"/>
  <c r="BL96" i="53"/>
  <c r="BL48" i="53"/>
  <c r="BL98" i="53"/>
  <c r="BL22" i="53"/>
  <c r="BL95" i="53"/>
  <c r="BL99" i="53"/>
  <c r="BL100" i="53"/>
  <c r="BL61" i="53"/>
  <c r="BL97" i="53"/>
  <c r="BL12" i="53"/>
  <c r="BK50" i="60"/>
  <c r="BK51" i="60"/>
  <c r="BK37" i="60"/>
  <c r="BK40" i="60"/>
  <c r="BN99" i="7"/>
  <c r="BN98" i="7"/>
  <c r="BN97" i="7"/>
  <c r="BO97" i="7" s="1"/>
  <c r="BN15" i="7"/>
  <c r="BO96" i="7"/>
  <c r="BM54" i="7"/>
  <c r="BM13" i="7"/>
  <c r="BM12" i="7"/>
  <c r="BM100" i="7"/>
  <c r="BK109" i="53"/>
  <c r="BK14" i="51"/>
  <c r="BK19" i="54"/>
  <c r="BK56" i="60"/>
  <c r="BK55" i="60"/>
  <c r="BM66" i="7"/>
  <c r="BM65" i="7"/>
  <c r="BL35" i="50"/>
  <c r="BL104" i="50"/>
  <c r="BL30" i="50"/>
  <c r="BL29" i="50"/>
  <c r="BL13" i="50"/>
  <c r="BL37" i="50"/>
  <c r="BL101" i="50"/>
  <c r="BL14" i="50"/>
  <c r="BL23" i="50"/>
  <c r="BL15" i="50"/>
  <c r="BL24" i="50"/>
  <c r="BK65" i="50"/>
  <c r="BK44" i="51"/>
  <c r="BK79" i="51"/>
  <c r="BL29" i="53"/>
  <c r="BL30" i="53"/>
  <c r="BL24" i="53"/>
  <c r="BL81" i="50" s="1"/>
  <c r="BK45" i="60"/>
  <c r="BK46" i="60"/>
  <c r="BK80" i="51"/>
  <c r="BM61" i="7"/>
  <c r="BM62" i="7"/>
  <c r="BK32" i="50"/>
  <c r="BL44" i="60" l="1"/>
  <c r="BL54" i="60"/>
  <c r="BL49" i="60"/>
  <c r="BL12" i="60"/>
  <c r="BL27" i="60"/>
  <c r="BL11" i="60"/>
  <c r="BL20" i="60"/>
  <c r="BL36" i="60"/>
  <c r="BL33" i="60"/>
  <c r="BK68" i="53"/>
  <c r="BK70" i="53"/>
  <c r="BN60" i="7"/>
  <c r="BN198" i="7"/>
  <c r="BO198" i="7" s="1"/>
  <c r="BN11" i="7"/>
  <c r="BN193" i="7"/>
  <c r="BO193" i="7" s="1"/>
  <c r="BN16" i="7"/>
  <c r="BN17" i="7"/>
  <c r="BN27" i="7"/>
  <c r="BN210" i="7"/>
  <c r="BO210" i="7" s="1"/>
  <c r="BN64" i="7"/>
  <c r="BN18" i="7"/>
  <c r="BN14" i="52"/>
  <c r="BN80" i="7"/>
  <c r="BO15" i="7"/>
  <c r="BK42" i="60"/>
  <c r="BK41" i="60"/>
  <c r="BL101" i="53"/>
  <c r="BO98" i="7"/>
  <c r="BK101" i="7"/>
  <c r="BL101" i="7"/>
  <c r="BM101" i="7"/>
  <c r="BL196" i="7"/>
  <c r="BL44" i="53"/>
  <c r="BL45" i="53"/>
  <c r="BL63" i="53"/>
  <c r="BL25" i="51"/>
  <c r="BL68" i="50" s="1"/>
  <c r="BL122" i="50"/>
  <c r="BL35" i="51"/>
  <c r="BL24" i="51"/>
  <c r="BL55" i="53"/>
  <c r="BL54" i="53"/>
  <c r="BM12" i="52"/>
  <c r="BM61" i="52"/>
  <c r="BM11" i="52"/>
  <c r="BM22" i="52"/>
  <c r="BM55" i="50"/>
  <c r="BL28" i="50"/>
  <c r="BL26" i="53"/>
  <c r="BL25" i="53"/>
  <c r="BL26" i="51"/>
  <c r="BL74" i="50" s="1"/>
  <c r="BL28" i="51"/>
  <c r="BL90" i="50" s="1"/>
  <c r="BN101" i="7"/>
  <c r="BL49" i="53"/>
  <c r="BL50" i="53"/>
  <c r="BL38" i="53"/>
  <c r="BM16" i="53"/>
  <c r="BM15" i="53"/>
  <c r="BM10" i="53"/>
  <c r="BL123" i="50"/>
  <c r="BL36" i="51"/>
  <c r="BK39" i="50"/>
  <c r="BL29" i="51"/>
  <c r="BL96" i="50" s="1"/>
  <c r="BL77" i="50" l="1"/>
  <c r="BL71" i="50"/>
  <c r="BL87" i="50"/>
  <c r="BL93" i="50"/>
  <c r="BL32" i="50"/>
  <c r="BL27" i="51"/>
  <c r="BL84" i="50" s="1"/>
  <c r="BL64" i="53"/>
  <c r="BL65" i="53"/>
  <c r="BO80" i="7"/>
  <c r="BN94" i="7"/>
  <c r="BO94" i="7" s="1"/>
  <c r="BN28" i="7"/>
  <c r="BO27" i="7"/>
  <c r="BO28" i="7" s="1"/>
  <c r="BN62" i="7"/>
  <c r="BN61" i="7"/>
  <c r="BL80" i="51"/>
  <c r="BN15" i="52"/>
  <c r="BN16" i="52"/>
  <c r="BN14" i="53"/>
  <c r="BN10" i="52"/>
  <c r="BN17" i="52" s="1"/>
  <c r="BO14" i="52"/>
  <c r="BM11" i="53"/>
  <c r="BM202" i="7" s="1"/>
  <c r="BM10" i="60"/>
  <c r="BM97" i="53"/>
  <c r="BM99" i="53"/>
  <c r="BM100" i="53"/>
  <c r="BM22" i="53"/>
  <c r="BM12" i="53"/>
  <c r="BM96" i="53"/>
  <c r="BM61" i="53"/>
  <c r="BM95" i="53"/>
  <c r="BM98" i="53"/>
  <c r="BM15" i="50"/>
  <c r="BM101" i="50"/>
  <c r="BM24" i="50"/>
  <c r="BM29" i="50"/>
  <c r="BM14" i="50"/>
  <c r="BM104" i="50"/>
  <c r="BM23" i="50"/>
  <c r="BM37" i="50"/>
  <c r="BM30" i="50"/>
  <c r="BM13" i="50"/>
  <c r="BM35" i="50"/>
  <c r="BL65" i="50"/>
  <c r="BL109" i="53"/>
  <c r="BL19" i="54"/>
  <c r="BL14" i="51"/>
  <c r="BL50" i="60"/>
  <c r="BL51" i="60"/>
  <c r="BM17" i="53"/>
  <c r="BN65" i="7"/>
  <c r="BN66" i="7"/>
  <c r="BL37" i="60"/>
  <c r="BL40" i="60"/>
  <c r="BL55" i="60"/>
  <c r="BL56" i="60"/>
  <c r="BN13" i="7"/>
  <c r="BN54" i="7"/>
  <c r="BN12" i="7"/>
  <c r="BN100" i="7"/>
  <c r="BL46" i="60"/>
  <c r="BL45" i="60"/>
  <c r="BL40" i="53"/>
  <c r="BL39" i="53"/>
  <c r="BL41" i="53"/>
  <c r="BL67" i="53"/>
  <c r="BL79" i="51"/>
  <c r="BL44" i="51"/>
  <c r="BO11" i="7"/>
  <c r="BO60" i="7"/>
  <c r="BO61" i="7" s="1"/>
  <c r="BO17" i="7"/>
  <c r="BO16" i="7"/>
  <c r="BO64" i="7"/>
  <c r="BO65" i="7" s="1"/>
  <c r="BN19" i="7"/>
  <c r="BM25" i="51" l="1"/>
  <c r="BM68" i="50" s="1"/>
  <c r="BN16" i="53"/>
  <c r="BN15" i="53"/>
  <c r="BN10" i="53"/>
  <c r="BO14" i="53"/>
  <c r="BM24" i="51"/>
  <c r="BM28" i="51"/>
  <c r="BM87" i="50" s="1"/>
  <c r="BM101" i="53"/>
  <c r="BL39" i="50"/>
  <c r="BO12" i="7"/>
  <c r="BO54" i="7"/>
  <c r="BO100" i="7"/>
  <c r="BM29" i="51"/>
  <c r="BM93" i="50" s="1"/>
  <c r="BL41" i="60"/>
  <c r="BL42" i="60"/>
  <c r="BM35" i="51"/>
  <c r="BM122" i="50"/>
  <c r="BM26" i="51"/>
  <c r="BM74" i="50" s="1"/>
  <c r="BM33" i="60"/>
  <c r="BM36" i="60"/>
  <c r="BM11" i="60"/>
  <c r="BM12" i="60"/>
  <c r="BM44" i="60"/>
  <c r="BM27" i="60"/>
  <c r="BM49" i="60"/>
  <c r="BM20" i="60"/>
  <c r="BM54" i="60"/>
  <c r="BO15" i="52"/>
  <c r="BL70" i="53"/>
  <c r="BL68" i="53"/>
  <c r="BL69" i="53"/>
  <c r="BO19" i="7"/>
  <c r="BM36" i="51"/>
  <c r="BM123" i="50"/>
  <c r="BN12" i="52"/>
  <c r="BN61" i="52"/>
  <c r="BN11" i="52"/>
  <c r="BN22" i="52"/>
  <c r="BN55" i="50"/>
  <c r="BO10" i="52"/>
  <c r="BN93" i="7"/>
  <c r="BN17" i="53" l="1"/>
  <c r="BM90" i="50"/>
  <c r="BM71" i="50"/>
  <c r="BM77" i="50"/>
  <c r="BM45" i="60"/>
  <c r="BM46" i="60"/>
  <c r="BM14" i="51"/>
  <c r="BM109" i="53"/>
  <c r="BM19" i="54"/>
  <c r="BO15" i="53"/>
  <c r="BM65" i="50"/>
  <c r="BN11" i="53"/>
  <c r="BN202" i="7" s="1"/>
  <c r="BN53" i="53"/>
  <c r="BN98" i="53"/>
  <c r="BO98" i="53" s="1"/>
  <c r="BN12" i="53"/>
  <c r="BN97" i="53"/>
  <c r="BO97" i="53" s="1"/>
  <c r="BN61" i="53"/>
  <c r="BN100" i="53"/>
  <c r="BO100" i="53" s="1"/>
  <c r="BN99" i="53"/>
  <c r="BO99" i="53" s="1"/>
  <c r="BN10" i="60"/>
  <c r="BN48" i="53"/>
  <c r="BN96" i="53"/>
  <c r="BN95" i="53"/>
  <c r="BN22" i="53"/>
  <c r="BN43" i="53"/>
  <c r="BO10" i="53"/>
  <c r="BO17" i="53" s="1"/>
  <c r="BM51" i="60"/>
  <c r="BM50" i="60"/>
  <c r="BM96" i="50"/>
  <c r="BO22" i="52"/>
  <c r="BO11" i="52"/>
  <c r="BO61" i="52"/>
  <c r="BO55" i="50"/>
  <c r="BN14" i="50"/>
  <c r="BN35" i="50"/>
  <c r="BN15" i="50"/>
  <c r="BN104" i="50"/>
  <c r="BN37" i="50"/>
  <c r="BN13" i="50"/>
  <c r="BN30" i="50"/>
  <c r="BN101" i="50"/>
  <c r="BN24" i="50"/>
  <c r="BN29" i="50"/>
  <c r="BN23" i="50"/>
  <c r="BM80" i="51"/>
  <c r="BM55" i="60"/>
  <c r="BM56" i="60"/>
  <c r="BO17" i="52"/>
  <c r="BM37" i="60"/>
  <c r="BM40" i="60"/>
  <c r="BM44" i="51"/>
  <c r="BM79" i="51"/>
  <c r="BO105" i="53" l="1"/>
  <c r="BN101" i="53"/>
  <c r="BO95" i="53"/>
  <c r="BO96" i="53"/>
  <c r="BO104" i="53" s="1"/>
  <c r="BO13" i="50"/>
  <c r="BO61" i="50" s="1"/>
  <c r="BN24" i="51"/>
  <c r="BN49" i="53"/>
  <c r="BM41" i="60"/>
  <c r="BM42" i="60"/>
  <c r="BO14" i="50"/>
  <c r="BN25" i="51"/>
  <c r="BO25" i="51" s="1"/>
  <c r="BO37" i="50"/>
  <c r="BN54" i="60"/>
  <c r="BN36" i="60"/>
  <c r="BN12" i="60"/>
  <c r="BN49" i="60"/>
  <c r="BN27" i="60"/>
  <c r="BN20" i="60"/>
  <c r="BN44" i="60"/>
  <c r="BN33" i="60"/>
  <c r="BN11" i="60"/>
  <c r="BO10" i="60"/>
  <c r="BN63" i="53"/>
  <c r="BN196" i="7"/>
  <c r="BN44" i="53"/>
  <c r="BO107" i="53"/>
  <c r="BO106" i="53"/>
  <c r="BN29" i="51"/>
  <c r="BO29" i="51" s="1"/>
  <c r="BO30" i="50"/>
  <c r="BO23" i="50"/>
  <c r="BN28" i="51"/>
  <c r="BO28" i="51" s="1"/>
  <c r="BO29" i="50"/>
  <c r="BN123" i="50"/>
  <c r="BO123" i="50" s="1"/>
  <c r="BN36" i="51"/>
  <c r="BO104" i="50"/>
  <c r="BO105" i="50" s="1"/>
  <c r="BO11" i="53"/>
  <c r="BO202" i="7" s="1"/>
  <c r="BO22" i="53"/>
  <c r="BO61" i="53"/>
  <c r="BO24" i="50"/>
  <c r="BO15" i="50"/>
  <c r="BN26" i="51"/>
  <c r="BO26" i="51" s="1"/>
  <c r="BN35" i="51"/>
  <c r="BN122" i="50"/>
  <c r="BO122" i="50" s="1"/>
  <c r="BO101" i="50"/>
  <c r="BO102" i="50" s="1"/>
  <c r="BO35" i="50"/>
  <c r="BO108" i="53"/>
  <c r="BN54" i="53"/>
  <c r="BN71" i="50" l="1"/>
  <c r="BN77" i="50"/>
  <c r="BN87" i="50"/>
  <c r="BN68" i="50"/>
  <c r="BN93" i="50"/>
  <c r="BN90" i="50"/>
  <c r="BN74" i="50"/>
  <c r="BO74" i="50"/>
  <c r="BO71" i="50"/>
  <c r="BO96" i="50"/>
  <c r="BN96" i="50"/>
  <c r="BO87" i="50"/>
  <c r="BO54" i="60"/>
  <c r="BO55" i="60" s="1"/>
  <c r="BO49" i="60"/>
  <c r="BO50" i="60" s="1"/>
  <c r="BO11" i="60"/>
  <c r="BO27" i="60"/>
  <c r="BO33" i="60"/>
  <c r="BO44" i="60"/>
  <c r="BO45" i="60" s="1"/>
  <c r="BO20" i="60"/>
  <c r="BN50" i="60"/>
  <c r="BN51" i="60"/>
  <c r="BO68" i="50"/>
  <c r="BO103" i="53"/>
  <c r="BO101" i="53"/>
  <c r="BO109" i="53" s="1"/>
  <c r="BN40" i="60"/>
  <c r="BN37" i="60"/>
  <c r="BO36" i="60"/>
  <c r="BN65" i="50"/>
  <c r="BO24" i="51"/>
  <c r="BO65" i="50" s="1"/>
  <c r="BN109" i="53"/>
  <c r="BN19" i="54"/>
  <c r="BN14" i="51"/>
  <c r="BO14" i="51" s="1"/>
  <c r="BO77" i="50"/>
  <c r="BN80" i="51"/>
  <c r="BO80" i="51" s="1"/>
  <c r="BO36" i="51"/>
  <c r="BN46" i="60"/>
  <c r="BN45" i="60"/>
  <c r="BN56" i="60"/>
  <c r="BN55" i="60"/>
  <c r="BO63" i="50"/>
  <c r="BO64" i="50"/>
  <c r="BO92" i="50"/>
  <c r="BO93" i="50"/>
  <c r="BO90" i="50"/>
  <c r="BN79" i="51"/>
  <c r="BO79" i="51" s="1"/>
  <c r="BN44" i="51"/>
  <c r="BO44" i="51" s="1"/>
  <c r="BO35" i="51"/>
  <c r="BN64" i="53"/>
  <c r="BN41" i="60" l="1"/>
  <c r="BN42" i="60"/>
  <c r="BO40" i="60"/>
  <c r="BO41" i="60" s="1"/>
  <c r="BO37" i="60"/>
  <c r="AT10" i="54" l="1"/>
  <c r="AS11" i="54"/>
  <c r="AV11" i="54" s="1"/>
  <c r="AW11" i="54" s="1"/>
  <c r="AX11" i="54" s="1"/>
  <c r="AY11" i="54" s="1"/>
  <c r="BA11" i="54" s="1"/>
  <c r="BB11" i="54" s="1"/>
  <c r="BC11" i="54" s="1"/>
  <c r="BD11" i="54" s="1"/>
  <c r="BF11" i="54" s="1"/>
  <c r="BG11" i="54" s="1"/>
  <c r="BH11" i="54" s="1"/>
  <c r="BI11" i="54" s="1"/>
  <c r="BK11" i="54" s="1"/>
  <c r="BL11" i="54" s="1"/>
  <c r="BM11" i="54" s="1"/>
  <c r="BN11" i="54" s="1"/>
  <c r="AT13" i="54" l="1"/>
  <c r="AT91" i="53"/>
  <c r="AT15" i="54"/>
  <c r="AV10" i="54"/>
  <c r="AV13" i="54" s="1"/>
  <c r="AT28" i="54"/>
  <c r="AT32" i="54"/>
  <c r="AU32" i="54" l="1"/>
  <c r="AT33" i="54"/>
  <c r="AU33" i="54" s="1"/>
  <c r="AT17" i="54"/>
  <c r="AU15" i="54"/>
  <c r="AU28" i="54" s="1"/>
  <c r="AT36" i="54"/>
  <c r="AT37" i="54"/>
  <c r="AV32" i="54"/>
  <c r="AV91" i="53"/>
  <c r="AV28" i="54"/>
  <c r="AV15" i="54"/>
  <c r="AV17" i="54" s="1"/>
  <c r="AW10" i="54"/>
  <c r="AT90" i="52"/>
  <c r="AU91" i="53"/>
  <c r="AU90" i="52" l="1"/>
  <c r="AV90" i="52"/>
  <c r="AV36" i="54"/>
  <c r="AV33" i="54"/>
  <c r="AW13" i="54"/>
  <c r="AW32" i="54"/>
  <c r="AT92" i="53"/>
  <c r="AT29" i="54"/>
  <c r="AU17" i="54"/>
  <c r="AU29" i="54" s="1"/>
  <c r="AX32" i="54" l="1"/>
  <c r="AW36" i="54"/>
  <c r="AW33" i="54"/>
  <c r="AW37" i="54" s="1"/>
  <c r="AX10" i="54"/>
  <c r="AX13" i="54" s="1"/>
  <c r="AW91" i="53"/>
  <c r="AW28" i="54"/>
  <c r="AW15" i="54"/>
  <c r="AV37" i="54"/>
  <c r="AT91" i="52"/>
  <c r="AU92" i="53"/>
  <c r="AV92" i="53"/>
  <c r="AV29" i="54"/>
  <c r="AW90" i="52" l="1"/>
  <c r="AX91" i="53"/>
  <c r="AY10" i="54"/>
  <c r="AY13" i="54" s="1"/>
  <c r="AX15" i="54"/>
  <c r="AX17" i="54" s="1"/>
  <c r="AX28" i="54"/>
  <c r="AU91" i="52"/>
  <c r="AV91" i="52"/>
  <c r="AW17" i="54"/>
  <c r="AX36" i="54"/>
  <c r="AX33" i="54"/>
  <c r="AY32" i="54"/>
  <c r="AW29" i="54" l="1"/>
  <c r="AW92" i="53"/>
  <c r="AY91" i="53"/>
  <c r="BA10" i="54"/>
  <c r="BA13" i="54" s="1"/>
  <c r="AY28" i="54"/>
  <c r="AY15" i="54"/>
  <c r="AX92" i="53"/>
  <c r="AX29" i="54"/>
  <c r="AY33" i="54"/>
  <c r="AY37" i="54" s="1"/>
  <c r="AY36" i="54"/>
  <c r="BA32" i="54"/>
  <c r="AZ32" i="54"/>
  <c r="AX90" i="52"/>
  <c r="AX37" i="54"/>
  <c r="AX91" i="52" l="1"/>
  <c r="AY90" i="52"/>
  <c r="AZ91" i="53"/>
  <c r="AZ33" i="54"/>
  <c r="BA91" i="53"/>
  <c r="BA15" i="54"/>
  <c r="BA28" i="54"/>
  <c r="BB10" i="54"/>
  <c r="BA36" i="54"/>
  <c r="BA33" i="54"/>
  <c r="AW91" i="52"/>
  <c r="AY17" i="54"/>
  <c r="AZ15" i="54"/>
  <c r="AZ28" i="54" s="1"/>
  <c r="BA17" i="54" l="1"/>
  <c r="AZ90" i="52"/>
  <c r="AY29" i="54"/>
  <c r="AY92" i="53"/>
  <c r="AZ17" i="54"/>
  <c r="AZ29" i="54" s="1"/>
  <c r="BA37" i="54"/>
  <c r="BA90" i="52"/>
  <c r="BB13" i="54"/>
  <c r="BB32" i="54"/>
  <c r="AY91" i="52" l="1"/>
  <c r="AZ92" i="53"/>
  <c r="BA29" i="54"/>
  <c r="BA92" i="53"/>
  <c r="BB33" i="54"/>
  <c r="BC32" i="54"/>
  <c r="BB36" i="54"/>
  <c r="BC10" i="54"/>
  <c r="BC13" i="54" s="1"/>
  <c r="BB28" i="54"/>
  <c r="BB15" i="54"/>
  <c r="BB91" i="53"/>
  <c r="AZ91" i="52" l="1"/>
  <c r="BD10" i="54"/>
  <c r="BD13" i="54" s="1"/>
  <c r="BC91" i="53"/>
  <c r="BC15" i="54"/>
  <c r="BC17" i="54" s="1"/>
  <c r="BC28" i="54"/>
  <c r="BA91" i="52"/>
  <c r="BB90" i="52"/>
  <c r="BC36" i="54"/>
  <c r="BD32" i="54"/>
  <c r="BC33" i="54"/>
  <c r="BC37" i="54" s="1"/>
  <c r="BB17" i="54"/>
  <c r="BB37" i="54"/>
  <c r="BD91" i="53" l="1"/>
  <c r="BE91" i="53" s="1"/>
  <c r="BD28" i="54"/>
  <c r="BF10" i="54"/>
  <c r="BF13" i="54" s="1"/>
  <c r="BD15" i="54"/>
  <c r="BB29" i="54"/>
  <c r="BB92" i="53"/>
  <c r="BC90" i="52"/>
  <c r="BF32" i="54"/>
  <c r="BD33" i="54"/>
  <c r="BD37" i="54" s="1"/>
  <c r="BD36" i="54"/>
  <c r="BE32" i="54"/>
  <c r="BC92" i="53"/>
  <c r="BC29" i="54"/>
  <c r="BF91" i="53" l="1"/>
  <c r="BF28" i="54"/>
  <c r="BF15" i="54"/>
  <c r="BG10" i="54"/>
  <c r="BD17" i="54"/>
  <c r="BE15" i="54"/>
  <c r="BE28" i="54" s="1"/>
  <c r="BD90" i="52"/>
  <c r="BF36" i="54"/>
  <c r="BF33" i="54"/>
  <c r="BB91" i="52"/>
  <c r="BC91" i="52"/>
  <c r="BE33" i="54"/>
  <c r="BF17" i="54" l="1"/>
  <c r="BF37" i="54"/>
  <c r="BF90" i="52"/>
  <c r="BE90" i="52"/>
  <c r="BD92" i="53"/>
  <c r="BD29" i="54"/>
  <c r="BE17" i="54"/>
  <c r="BE29" i="54" s="1"/>
  <c r="BG13" i="54"/>
  <c r="BG32" i="54"/>
  <c r="BG33" i="54" l="1"/>
  <c r="BH32" i="54"/>
  <c r="BG36" i="54"/>
  <c r="BD91" i="52"/>
  <c r="BE92" i="53"/>
  <c r="BF92" i="53"/>
  <c r="BF29" i="54"/>
  <c r="BG91" i="53"/>
  <c r="BG28" i="54"/>
  <c r="BH10" i="54"/>
  <c r="BH13" i="54" s="1"/>
  <c r="BG15" i="54"/>
  <c r="BE91" i="52" l="1"/>
  <c r="BG90" i="52"/>
  <c r="BG17" i="54"/>
  <c r="BI10" i="54"/>
  <c r="BI13" i="54" s="1"/>
  <c r="BH91" i="53"/>
  <c r="BH28" i="54"/>
  <c r="BH15" i="54"/>
  <c r="BH17" i="54" s="1"/>
  <c r="BF91" i="52"/>
  <c r="BH33" i="54"/>
  <c r="BH37" i="54" s="1"/>
  <c r="BI32" i="54"/>
  <c r="BH36" i="54"/>
  <c r="BG37" i="54"/>
  <c r="BG29" i="54" l="1"/>
  <c r="BG92" i="53"/>
  <c r="BJ17" i="54"/>
  <c r="BJ29" i="54" s="1"/>
  <c r="BH92" i="53"/>
  <c r="BH29" i="54"/>
  <c r="BH90" i="52"/>
  <c r="BK32" i="54"/>
  <c r="BI33" i="54"/>
  <c r="BI36" i="54"/>
  <c r="BJ32" i="54"/>
  <c r="BK10" i="54"/>
  <c r="BK13" i="54" s="1"/>
  <c r="BI28" i="54"/>
  <c r="BI15" i="54"/>
  <c r="BI17" i="54" s="1"/>
  <c r="BI91" i="53"/>
  <c r="BJ15" i="54"/>
  <c r="BJ28" i="54" s="1"/>
  <c r="BG91" i="52" l="1"/>
  <c r="BH91" i="52"/>
  <c r="BK91" i="53"/>
  <c r="BK15" i="54"/>
  <c r="BL10" i="54"/>
  <c r="BK28" i="54"/>
  <c r="BI90" i="52"/>
  <c r="BJ91" i="53"/>
  <c r="BI37" i="54"/>
  <c r="BJ33" i="54"/>
  <c r="BI29" i="54"/>
  <c r="BI92" i="53"/>
  <c r="BJ92" i="53" s="1"/>
  <c r="BK36" i="54"/>
  <c r="BK33" i="54"/>
  <c r="BK37" i="54" l="1"/>
  <c r="BL13" i="54"/>
  <c r="BL32" i="54"/>
  <c r="BJ90" i="52"/>
  <c r="BK17" i="54"/>
  <c r="BI91" i="52"/>
  <c r="BK90" i="52"/>
  <c r="BL15" i="54" l="1"/>
  <c r="BL28" i="54"/>
  <c r="BM10" i="54"/>
  <c r="BM13" i="54" s="1"/>
  <c r="BL91" i="53"/>
  <c r="BJ91" i="52"/>
  <c r="BL33" i="54"/>
  <c r="BM32" i="54"/>
  <c r="BL36" i="54"/>
  <c r="BK92" i="53"/>
  <c r="BK29" i="54"/>
  <c r="BL17" i="54" l="1"/>
  <c r="BL90" i="52"/>
  <c r="BN32" i="54"/>
  <c r="BM33" i="54"/>
  <c r="BM37" i="54" s="1"/>
  <c r="BM36" i="54"/>
  <c r="BN10" i="54"/>
  <c r="BN13" i="54" s="1"/>
  <c r="BM91" i="53"/>
  <c r="BM15" i="54"/>
  <c r="BM17" i="54" s="1"/>
  <c r="BM28" i="54"/>
  <c r="BL37" i="54"/>
  <c r="BK91" i="52"/>
  <c r="BM90" i="52" l="1"/>
  <c r="BN15" i="54"/>
  <c r="BN17" i="54" s="1"/>
  <c r="BO17" i="54" s="1"/>
  <c r="BO29" i="54" s="1"/>
  <c r="BN28" i="54"/>
  <c r="BN91" i="53"/>
  <c r="BN36" i="54"/>
  <c r="BN33" i="54"/>
  <c r="BM29" i="54"/>
  <c r="BM92" i="53"/>
  <c r="BO32" i="54"/>
  <c r="BL29" i="54"/>
  <c r="BL92" i="53"/>
  <c r="BO15" i="54" l="1"/>
  <c r="BO28" i="54" s="1"/>
  <c r="BM91" i="52"/>
  <c r="BL91" i="52"/>
  <c r="BN90" i="52"/>
  <c r="BO91" i="53"/>
  <c r="BN37" i="54"/>
  <c r="BO33" i="54"/>
  <c r="BN92" i="53"/>
  <c r="BN29" i="54"/>
  <c r="BO90" i="52" l="1"/>
  <c r="BN91" i="52"/>
  <c r="BO92" i="53"/>
  <c r="BO91" i="52" l="1"/>
  <c r="AU58" i="52" l="1"/>
  <c r="AZ59" i="52" s="1"/>
  <c r="AX59" i="52"/>
  <c r="AS60" i="52"/>
  <c r="AS59" i="52"/>
  <c r="AT60" i="52"/>
  <c r="AS58" i="53"/>
  <c r="AU58" i="53" s="1"/>
  <c r="AS61" i="52"/>
  <c r="AS59" i="53" l="1"/>
  <c r="AX59" i="53"/>
  <c r="AS60" i="53"/>
  <c r="AU59" i="52"/>
  <c r="AU61" i="52"/>
  <c r="AZ59" i="53"/>
  <c r="AU59" i="53"/>
  <c r="AU61" i="53"/>
  <c r="AS61" i="53"/>
  <c r="AT60" i="53"/>
  <c r="AS10" i="51" l="1"/>
  <c r="AS32" i="51" l="1"/>
  <c r="AS67" i="51" l="1"/>
  <c r="AS98" i="50"/>
  <c r="AS99" i="50" s="1"/>
  <c r="AS78" i="51"/>
  <c r="AS81" i="51" l="1"/>
  <c r="AS69" i="51"/>
  <c r="AT68" i="51" l="1"/>
  <c r="AS72" i="51"/>
  <c r="AS82" i="51"/>
  <c r="AS203" i="7" s="1"/>
  <c r="AS204" i="7" s="1"/>
  <c r="AS84" i="51"/>
  <c r="AS107" i="50"/>
  <c r="AS73" i="51" l="1"/>
  <c r="AT72" i="51"/>
  <c r="AS108" i="50"/>
  <c r="AS113" i="50"/>
  <c r="AS85" i="51"/>
  <c r="AS75" i="51"/>
  <c r="AS114" i="50" l="1"/>
  <c r="AU72" i="51"/>
  <c r="AV72" i="51"/>
  <c r="AW72" i="51" l="1"/>
  <c r="AX72" i="51" l="1"/>
  <c r="AY72" i="51" l="1"/>
  <c r="BA72" i="51" l="1"/>
  <c r="AZ72" i="51"/>
  <c r="BB72" i="51" l="1"/>
  <c r="BC72" i="51" l="1"/>
  <c r="BD72" i="51" l="1"/>
  <c r="BF72" i="51" l="1"/>
  <c r="BG72" i="51" s="1"/>
  <c r="BH72" i="51" s="1"/>
  <c r="BI72" i="51" s="1"/>
  <c r="BE72" i="51"/>
  <c r="BJ72" i="51" l="1"/>
  <c r="BK72" i="51"/>
  <c r="BL72" i="51" s="1"/>
  <c r="BM72" i="51" s="1"/>
  <c r="BN72" i="51" s="1"/>
  <c r="BO72" i="51" s="1"/>
  <c r="AS53" i="53"/>
  <c r="AU53" i="53" s="1"/>
  <c r="AU56" i="53" s="1"/>
  <c r="AS28" i="53"/>
  <c r="AS31" i="53" s="1"/>
  <c r="AS33" i="53"/>
  <c r="AS36" i="53" s="1"/>
  <c r="AT36" i="53" s="1"/>
  <c r="AT33" i="53" s="1"/>
  <c r="AS48" i="53"/>
  <c r="AS51" i="53" s="1"/>
  <c r="AX51" i="53" s="1"/>
  <c r="BC51" i="53" s="1"/>
  <c r="BH51" i="53" s="1"/>
  <c r="BM51" i="53" s="1"/>
  <c r="AS43" i="53"/>
  <c r="AS196" i="7" s="1"/>
  <c r="AS197" i="7" s="1"/>
  <c r="AS199" i="7" s="1"/>
  <c r="AS146" i="53"/>
  <c r="AS140" i="53"/>
  <c r="AS149" i="53"/>
  <c r="AS143" i="53"/>
  <c r="AS137" i="53"/>
  <c r="AS24" i="53" l="1"/>
  <c r="AS55" i="53"/>
  <c r="AU43" i="53"/>
  <c r="AX34" i="53"/>
  <c r="AS54" i="53"/>
  <c r="AT55" i="53"/>
  <c r="AS30" i="53"/>
  <c r="AT197" i="7"/>
  <c r="AW197" i="7"/>
  <c r="AW199" i="7" s="1"/>
  <c r="AV197" i="7"/>
  <c r="AV199" i="7" s="1"/>
  <c r="AU196" i="7"/>
  <c r="AT34" i="53"/>
  <c r="AY34" i="53"/>
  <c r="AT35" i="53"/>
  <c r="AV35" i="53"/>
  <c r="AX31" i="53"/>
  <c r="AT45" i="53"/>
  <c r="AT50" i="53"/>
  <c r="AS26" i="53"/>
  <c r="AU33" i="53"/>
  <c r="AU54" i="53"/>
  <c r="AS152" i="53"/>
  <c r="AS45" i="53"/>
  <c r="AS49" i="53"/>
  <c r="AS34" i="53"/>
  <c r="AS38" i="53"/>
  <c r="AS56" i="53"/>
  <c r="AX56" i="53" s="1"/>
  <c r="AX48" i="53"/>
  <c r="AU48" i="53"/>
  <c r="AS63" i="53"/>
  <c r="AS46" i="53"/>
  <c r="AX46" i="53" s="1"/>
  <c r="BC46" i="53" s="1"/>
  <c r="AS44" i="53"/>
  <c r="AS50" i="53"/>
  <c r="AS35" i="53"/>
  <c r="AS29" i="53"/>
  <c r="AS25" i="53"/>
  <c r="AS81" i="50"/>
  <c r="AS79" i="50" s="1"/>
  <c r="AU44" i="53" l="1"/>
  <c r="AU46" i="53"/>
  <c r="AS65" i="53"/>
  <c r="AU63" i="53"/>
  <c r="AS64" i="53"/>
  <c r="AT65" i="53"/>
  <c r="AS150" i="53"/>
  <c r="AT150" i="53" s="1"/>
  <c r="AS120" i="50"/>
  <c r="AS138" i="53"/>
  <c r="AT138" i="53" s="1"/>
  <c r="AX43" i="53"/>
  <c r="AU197" i="7"/>
  <c r="AU199" i="7" s="1"/>
  <c r="AT199" i="7"/>
  <c r="AS67" i="53"/>
  <c r="AS39" i="53"/>
  <c r="AS40" i="53"/>
  <c r="AS41" i="53"/>
  <c r="AY50" i="53"/>
  <c r="AX50" i="53"/>
  <c r="AX49" i="53"/>
  <c r="AZ48" i="53"/>
  <c r="AS141" i="53"/>
  <c r="AT141" i="53" s="1"/>
  <c r="AU34" i="53"/>
  <c r="AZ34" i="53"/>
  <c r="AU36" i="53"/>
  <c r="BC31" i="53"/>
  <c r="AX28" i="53"/>
  <c r="AX79" i="50"/>
  <c r="AS83" i="50"/>
  <c r="AS82" i="50"/>
  <c r="BC48" i="53"/>
  <c r="AS147" i="53"/>
  <c r="AT147" i="53" s="1"/>
  <c r="AY31" i="53"/>
  <c r="AT28" i="53"/>
  <c r="AU51" i="53"/>
  <c r="AU49" i="53"/>
  <c r="AS144" i="53"/>
  <c r="AT144" i="53" s="1"/>
  <c r="BC56" i="53"/>
  <c r="AX53" i="53"/>
  <c r="AT143" i="53" l="1"/>
  <c r="AV144" i="53"/>
  <c r="AV150" i="53"/>
  <c r="AT149" i="53"/>
  <c r="AV30" i="53"/>
  <c r="AT29" i="53"/>
  <c r="AT24" i="53"/>
  <c r="AU28" i="53"/>
  <c r="AT30" i="53"/>
  <c r="BC79" i="50"/>
  <c r="AX83" i="50"/>
  <c r="AX82" i="50"/>
  <c r="AV141" i="53"/>
  <c r="AT140" i="53"/>
  <c r="AZ43" i="53"/>
  <c r="AX44" i="53"/>
  <c r="AX196" i="7"/>
  <c r="AX63" i="53"/>
  <c r="AY45" i="53"/>
  <c r="AX45" i="53"/>
  <c r="BD31" i="53"/>
  <c r="AY28" i="53"/>
  <c r="AT146" i="53"/>
  <c r="AV147" i="53"/>
  <c r="AX24" i="53"/>
  <c r="AX29" i="53"/>
  <c r="AX30" i="53"/>
  <c r="BH56" i="53"/>
  <c r="BC53" i="53"/>
  <c r="BM48" i="53"/>
  <c r="BH48" i="53"/>
  <c r="BH46" i="53"/>
  <c r="BC43" i="53"/>
  <c r="AY55" i="53"/>
  <c r="AX55" i="53"/>
  <c r="AX54" i="53"/>
  <c r="AZ53" i="53"/>
  <c r="BE48" i="53"/>
  <c r="BC50" i="53"/>
  <c r="BD50" i="53"/>
  <c r="BC49" i="53"/>
  <c r="BH31" i="53"/>
  <c r="BC28" i="53"/>
  <c r="AZ49" i="53"/>
  <c r="AZ51" i="53"/>
  <c r="AV138" i="53"/>
  <c r="AT137" i="53"/>
  <c r="AU64" i="53"/>
  <c r="AS111" i="50"/>
  <c r="AS68" i="53"/>
  <c r="AS70" i="53"/>
  <c r="AS110" i="50" s="1"/>
  <c r="AS76" i="53"/>
  <c r="AS69" i="53"/>
  <c r="AS121" i="50"/>
  <c r="AS130" i="50"/>
  <c r="AU120" i="50"/>
  <c r="BC83" i="50" l="1"/>
  <c r="BH79" i="50"/>
  <c r="BC82" i="50"/>
  <c r="AT130" i="50"/>
  <c r="BM56" i="53"/>
  <c r="BM53" i="53" s="1"/>
  <c r="BH53" i="53"/>
  <c r="AV146" i="53"/>
  <c r="AW147" i="53"/>
  <c r="AZ44" i="53"/>
  <c r="AZ46" i="53"/>
  <c r="BM31" i="53"/>
  <c r="BM28" i="53" s="1"/>
  <c r="BH28" i="53"/>
  <c r="AS127" i="50"/>
  <c r="AT127" i="50" s="1"/>
  <c r="AS131" i="50"/>
  <c r="AS126" i="50"/>
  <c r="AT126" i="50" s="1"/>
  <c r="AV126" i="50" s="1"/>
  <c r="AW126" i="50" s="1"/>
  <c r="AX126" i="50" s="1"/>
  <c r="AY126" i="50" s="1"/>
  <c r="BA126" i="50" s="1"/>
  <c r="BB126" i="50" s="1"/>
  <c r="BC126" i="50" s="1"/>
  <c r="BD126" i="50" s="1"/>
  <c r="BF126" i="50" s="1"/>
  <c r="BG126" i="50" s="1"/>
  <c r="BH126" i="50" s="1"/>
  <c r="BI126" i="50" s="1"/>
  <c r="BK126" i="50" s="1"/>
  <c r="BL126" i="50" s="1"/>
  <c r="BM126" i="50" s="1"/>
  <c r="BN126" i="50" s="1"/>
  <c r="BC196" i="7"/>
  <c r="BE43" i="53"/>
  <c r="BC63" i="53"/>
  <c r="BD45" i="53"/>
  <c r="BC44" i="53"/>
  <c r="BC45" i="53"/>
  <c r="AT123" i="53"/>
  <c r="AU146" i="53"/>
  <c r="AZ63" i="53"/>
  <c r="AX64" i="53"/>
  <c r="AY65" i="53"/>
  <c r="AX65" i="53"/>
  <c r="AT117" i="53"/>
  <c r="AU140" i="53"/>
  <c r="AT127" i="53"/>
  <c r="AU149" i="53"/>
  <c r="AV137" i="53"/>
  <c r="AW138" i="53"/>
  <c r="BH43" i="53"/>
  <c r="BM46" i="53"/>
  <c r="BM43" i="53" s="1"/>
  <c r="BA30" i="53"/>
  <c r="AY29" i="53"/>
  <c r="AY30" i="53"/>
  <c r="AY24" i="53"/>
  <c r="AZ24" i="53" s="1"/>
  <c r="BA197" i="7"/>
  <c r="BA199" i="7" s="1"/>
  <c r="AY197" i="7"/>
  <c r="AZ196" i="7"/>
  <c r="BB197" i="7"/>
  <c r="BB199" i="7" s="1"/>
  <c r="AX197" i="7"/>
  <c r="AX199" i="7" s="1"/>
  <c r="AV140" i="53"/>
  <c r="AW141" i="53"/>
  <c r="AU31" i="53"/>
  <c r="AU29" i="53"/>
  <c r="AW150" i="53"/>
  <c r="AV149" i="53"/>
  <c r="BD55" i="53"/>
  <c r="BC55" i="53"/>
  <c r="BC54" i="53"/>
  <c r="BE53" i="53"/>
  <c r="AS79" i="53"/>
  <c r="AS81" i="53"/>
  <c r="AZ56" i="53"/>
  <c r="AZ54" i="53"/>
  <c r="BH49" i="53"/>
  <c r="BJ48" i="53"/>
  <c r="BH50" i="53"/>
  <c r="BI50" i="53"/>
  <c r="AZ28" i="53"/>
  <c r="BI31" i="53"/>
  <c r="BD28" i="53"/>
  <c r="BE28" i="53" s="1"/>
  <c r="AT81" i="50"/>
  <c r="AT28" i="50" s="1"/>
  <c r="AT26" i="53"/>
  <c r="AV26" i="53"/>
  <c r="AT25" i="53"/>
  <c r="AT38" i="53"/>
  <c r="AU24" i="53"/>
  <c r="AW144" i="53"/>
  <c r="AV143" i="53"/>
  <c r="AU137" i="53"/>
  <c r="AT113" i="53"/>
  <c r="BC29" i="53"/>
  <c r="BC24" i="53"/>
  <c r="BC30" i="53"/>
  <c r="BE51" i="53"/>
  <c r="BE49" i="53"/>
  <c r="BM50" i="53"/>
  <c r="BO48" i="53"/>
  <c r="BN50" i="53"/>
  <c r="BM49" i="53"/>
  <c r="AX38" i="53"/>
  <c r="AX81" i="50"/>
  <c r="AX28" i="50" s="1"/>
  <c r="AX26" i="53"/>
  <c r="AX25" i="53"/>
  <c r="AT120" i="53"/>
  <c r="AU143" i="53"/>
  <c r="AW149" i="53" l="1"/>
  <c r="AW127" i="53" s="1"/>
  <c r="AW53" i="52" s="1"/>
  <c r="AX150" i="53"/>
  <c r="AU130" i="50"/>
  <c r="AV130" i="50"/>
  <c r="AU113" i="53"/>
  <c r="AT28" i="52"/>
  <c r="BF30" i="53"/>
  <c r="BD24" i="53"/>
  <c r="BE24" i="53" s="1"/>
  <c r="BD29" i="53"/>
  <c r="BD30" i="53"/>
  <c r="BJ51" i="53"/>
  <c r="BJ49" i="53"/>
  <c r="BE54" i="53"/>
  <c r="BE56" i="53"/>
  <c r="BE196" i="7"/>
  <c r="BD197" i="7"/>
  <c r="BG197" i="7"/>
  <c r="BG199" i="7" s="1"/>
  <c r="BC197" i="7"/>
  <c r="BC199" i="7" s="1"/>
  <c r="BF197" i="7"/>
  <c r="BF199" i="7" s="1"/>
  <c r="AT121" i="50"/>
  <c r="AV127" i="50"/>
  <c r="AW127" i="50" s="1"/>
  <c r="AX127" i="50" s="1"/>
  <c r="AY127" i="50" s="1"/>
  <c r="BA127" i="50" s="1"/>
  <c r="BB127" i="50" s="1"/>
  <c r="BC127" i="50" s="1"/>
  <c r="BD127" i="50" s="1"/>
  <c r="BF127" i="50" s="1"/>
  <c r="BG127" i="50" s="1"/>
  <c r="BH127" i="50" s="1"/>
  <c r="BI127" i="50" s="1"/>
  <c r="BK127" i="50" s="1"/>
  <c r="BL127" i="50" s="1"/>
  <c r="BM127" i="50" s="1"/>
  <c r="BN127" i="50" s="1"/>
  <c r="AV27" i="51"/>
  <c r="AU28" i="50"/>
  <c r="AT32" i="50"/>
  <c r="AT27" i="51"/>
  <c r="BE46" i="53"/>
  <c r="BE44" i="53"/>
  <c r="AY199" i="7"/>
  <c r="AZ197" i="7"/>
  <c r="AZ199" i="7" s="1"/>
  <c r="AT53" i="52"/>
  <c r="AU127" i="53"/>
  <c r="BH29" i="53"/>
  <c r="BH30" i="53"/>
  <c r="BH24" i="53"/>
  <c r="AW146" i="53"/>
  <c r="AW123" i="53" s="1"/>
  <c r="AW48" i="52" s="1"/>
  <c r="AX147" i="53"/>
  <c r="AT40" i="53"/>
  <c r="AT39" i="53"/>
  <c r="AT41" i="53"/>
  <c r="AT67" i="53"/>
  <c r="AV40" i="53"/>
  <c r="AU38" i="53"/>
  <c r="AS86" i="53"/>
  <c r="AS82" i="53"/>
  <c r="AS88" i="53"/>
  <c r="AS89" i="53"/>
  <c r="AX27" i="51"/>
  <c r="AX32" i="50"/>
  <c r="BN31" i="53"/>
  <c r="BN28" i="53" s="1"/>
  <c r="BI28" i="53"/>
  <c r="BJ28" i="53" s="1"/>
  <c r="AW140" i="53"/>
  <c r="AW117" i="53" s="1"/>
  <c r="AW33" i="52" s="1"/>
  <c r="AX141" i="53"/>
  <c r="BM44" i="53"/>
  <c r="BM196" i="7"/>
  <c r="BM63" i="53"/>
  <c r="BN45" i="53"/>
  <c r="BM45" i="53"/>
  <c r="BO43" i="53"/>
  <c r="AZ64" i="53"/>
  <c r="BM30" i="53"/>
  <c r="BM24" i="53"/>
  <c r="BM29" i="53"/>
  <c r="AV123" i="53"/>
  <c r="BM79" i="50"/>
  <c r="BH83" i="50"/>
  <c r="BH82" i="50"/>
  <c r="BE29" i="53"/>
  <c r="BE31" i="53"/>
  <c r="AV113" i="53"/>
  <c r="BO49" i="53"/>
  <c r="BO51" i="53"/>
  <c r="AT43" i="52"/>
  <c r="AU120" i="53"/>
  <c r="BC81" i="50"/>
  <c r="BC28" i="50" s="1"/>
  <c r="BC38" i="53"/>
  <c r="BC25" i="53"/>
  <c r="BC26" i="53"/>
  <c r="AV120" i="53"/>
  <c r="AZ31" i="53"/>
  <c r="AZ29" i="53"/>
  <c r="AZ81" i="50"/>
  <c r="AZ25" i="53"/>
  <c r="AX40" i="53"/>
  <c r="AX39" i="53"/>
  <c r="AX67" i="53"/>
  <c r="AX41" i="53"/>
  <c r="AX144" i="53"/>
  <c r="AW143" i="53"/>
  <c r="AW120" i="53" s="1"/>
  <c r="AW43" i="52" s="1"/>
  <c r="AT79" i="53"/>
  <c r="AV117" i="53"/>
  <c r="AY25" i="53"/>
  <c r="BA26" i="53"/>
  <c r="AY81" i="50"/>
  <c r="AY28" i="50" s="1"/>
  <c r="AY26" i="53"/>
  <c r="AY38" i="53"/>
  <c r="AZ38" i="53" s="1"/>
  <c r="BJ43" i="53"/>
  <c r="BH196" i="7"/>
  <c r="BH63" i="53"/>
  <c r="BH45" i="53"/>
  <c r="BI45" i="53"/>
  <c r="BH44" i="53"/>
  <c r="AU117" i="53"/>
  <c r="AT33" i="52"/>
  <c r="BD65" i="53"/>
  <c r="BC64" i="53"/>
  <c r="BE63" i="53"/>
  <c r="BC65" i="53"/>
  <c r="BH55" i="53"/>
  <c r="BJ53" i="53"/>
  <c r="BI55" i="53"/>
  <c r="BH54" i="53"/>
  <c r="AU25" i="53"/>
  <c r="AU81" i="50"/>
  <c r="AV127" i="53"/>
  <c r="AW137" i="53"/>
  <c r="AW113" i="53" s="1"/>
  <c r="AW28" i="52" s="1"/>
  <c r="AX138" i="53"/>
  <c r="AU123" i="53"/>
  <c r="AT48" i="52"/>
  <c r="AT131" i="50"/>
  <c r="BO53" i="53"/>
  <c r="BM54" i="53"/>
  <c r="BN55" i="53"/>
  <c r="BM55" i="53"/>
  <c r="BJ31" i="53" l="1"/>
  <c r="BJ29" i="53"/>
  <c r="BE64" i="53"/>
  <c r="AV48" i="52"/>
  <c r="AW50" i="52" s="1"/>
  <c r="AY144" i="53"/>
  <c r="AX143" i="53"/>
  <c r="AX120" i="53" s="1"/>
  <c r="AX43" i="52" s="1"/>
  <c r="AZ39" i="53"/>
  <c r="AZ41" i="53"/>
  <c r="AX39" i="50"/>
  <c r="BH38" i="53"/>
  <c r="BH81" i="50"/>
  <c r="BH28" i="50" s="1"/>
  <c r="BH25" i="53"/>
  <c r="BH26" i="53"/>
  <c r="AT56" i="52"/>
  <c r="AT54" i="52"/>
  <c r="AT55" i="52"/>
  <c r="AU53" i="52"/>
  <c r="AU32" i="50"/>
  <c r="AT39" i="50"/>
  <c r="BD81" i="50"/>
  <c r="BD28" i="50" s="1"/>
  <c r="BD26" i="53"/>
  <c r="BD25" i="53"/>
  <c r="BD38" i="53"/>
  <c r="BE38" i="53" s="1"/>
  <c r="BF26" i="53"/>
  <c r="AW130" i="50"/>
  <c r="AY138" i="53"/>
  <c r="AX137" i="53"/>
  <c r="AX113" i="53" s="1"/>
  <c r="AX28" i="52" s="1"/>
  <c r="AY67" i="53"/>
  <c r="AZ67" i="53" s="1"/>
  <c r="BA40" i="53"/>
  <c r="AY40" i="53"/>
  <c r="AY39" i="53"/>
  <c r="AY41" i="53"/>
  <c r="AV43" i="52"/>
  <c r="AW45" i="52" s="1"/>
  <c r="BC41" i="53"/>
  <c r="BC40" i="53"/>
  <c r="BC67" i="53"/>
  <c r="BC39" i="53"/>
  <c r="BO44" i="53"/>
  <c r="BO46" i="53"/>
  <c r="AU79" i="50"/>
  <c r="AT46" i="52"/>
  <c r="AU43" i="52"/>
  <c r="AT191" i="7"/>
  <c r="AT208" i="7"/>
  <c r="AT63" i="52"/>
  <c r="AT45" i="52"/>
  <c r="AT44" i="52"/>
  <c r="BN30" i="53"/>
  <c r="BN24" i="53"/>
  <c r="BO24" i="53" s="1"/>
  <c r="BN29" i="53"/>
  <c r="AW51" i="52"/>
  <c r="AW49" i="52"/>
  <c r="AU27" i="51"/>
  <c r="AT84" i="50"/>
  <c r="BO56" i="53"/>
  <c r="BO54" i="53"/>
  <c r="BM82" i="50"/>
  <c r="BM83" i="50"/>
  <c r="BM38" i="53"/>
  <c r="BM26" i="53"/>
  <c r="BM25" i="53"/>
  <c r="BM81" i="50"/>
  <c r="BM28" i="50" s="1"/>
  <c r="AX140" i="53"/>
  <c r="AY141" i="53"/>
  <c r="AX84" i="50"/>
  <c r="AV84" i="50"/>
  <c r="BD199" i="7"/>
  <c r="BE197" i="7"/>
  <c r="BE199" i="7" s="1"/>
  <c r="AT24" i="52"/>
  <c r="AU28" i="52"/>
  <c r="AT30" i="52"/>
  <c r="AT29" i="52"/>
  <c r="AT31" i="52"/>
  <c r="AT51" i="52"/>
  <c r="AU48" i="52"/>
  <c r="AT50" i="52"/>
  <c r="AT49" i="52"/>
  <c r="BJ44" i="53"/>
  <c r="BJ46" i="53"/>
  <c r="BO196" i="7"/>
  <c r="BN197" i="7"/>
  <c r="BM197" i="7"/>
  <c r="BM199" i="7" s="1"/>
  <c r="AW24" i="52"/>
  <c r="AW31" i="52"/>
  <c r="AW29" i="52"/>
  <c r="BJ54" i="53"/>
  <c r="BJ56" i="53"/>
  <c r="AV33" i="52"/>
  <c r="BE25" i="53"/>
  <c r="BE81" i="50"/>
  <c r="AT34" i="52"/>
  <c r="AU33" i="52"/>
  <c r="AT36" i="52"/>
  <c r="AT35" i="52"/>
  <c r="BH65" i="53"/>
  <c r="BJ63" i="53"/>
  <c r="BJ64" i="53" s="1"/>
  <c r="BI65" i="53"/>
  <c r="BH64" i="53"/>
  <c r="BA27" i="51"/>
  <c r="AZ28" i="50"/>
  <c r="AY27" i="51"/>
  <c r="AY32" i="50"/>
  <c r="AX70" i="53"/>
  <c r="AX68" i="53"/>
  <c r="AX69" i="53"/>
  <c r="BC27" i="51"/>
  <c r="BC32" i="50"/>
  <c r="AV28" i="52"/>
  <c r="BO28" i="53"/>
  <c r="AW34" i="52"/>
  <c r="AW36" i="52"/>
  <c r="AY150" i="53"/>
  <c r="AX149" i="53"/>
  <c r="AW191" i="7"/>
  <c r="AW46" i="52"/>
  <c r="AW44" i="52"/>
  <c r="AW63" i="52"/>
  <c r="AW208" i="7"/>
  <c r="AU41" i="53"/>
  <c r="AU39" i="53"/>
  <c r="AU131" i="50"/>
  <c r="AV53" i="52"/>
  <c r="AW55" i="52" s="1"/>
  <c r="BL197" i="7"/>
  <c r="BL199" i="7" s="1"/>
  <c r="BH197" i="7"/>
  <c r="BH199" i="7" s="1"/>
  <c r="BK197" i="7"/>
  <c r="BK199" i="7" s="1"/>
  <c r="BI197" i="7"/>
  <c r="BJ196" i="7"/>
  <c r="AU79" i="53"/>
  <c r="BO63" i="53"/>
  <c r="BN65" i="53"/>
  <c r="BM65" i="53"/>
  <c r="BM64" i="53"/>
  <c r="BK30" i="53"/>
  <c r="BI24" i="53"/>
  <c r="BI29" i="53"/>
  <c r="BI30" i="53"/>
  <c r="AT76" i="53"/>
  <c r="AT69" i="53"/>
  <c r="AV69" i="53"/>
  <c r="AT70" i="53"/>
  <c r="AT68" i="53"/>
  <c r="AU67" i="53"/>
  <c r="AX146" i="53"/>
  <c r="AX123" i="53" s="1"/>
  <c r="AX48" i="52" s="1"/>
  <c r="AY147" i="53"/>
  <c r="AT119" i="50"/>
  <c r="AT124" i="50"/>
  <c r="AU121" i="50"/>
  <c r="AW56" i="52"/>
  <c r="AW54" i="52"/>
  <c r="BO64" i="53" l="1"/>
  <c r="AY84" i="50"/>
  <c r="AU84" i="50"/>
  <c r="AT192" i="7"/>
  <c r="AU191" i="7"/>
  <c r="AX49" i="52"/>
  <c r="AX50" i="52"/>
  <c r="AX51" i="52"/>
  <c r="BI38" i="53"/>
  <c r="BJ38" i="53" s="1"/>
  <c r="BK26" i="53"/>
  <c r="BI26" i="53"/>
  <c r="BI81" i="50"/>
  <c r="BI28" i="50" s="1"/>
  <c r="BI25" i="53"/>
  <c r="BJ197" i="7"/>
  <c r="BJ199" i="7" s="1"/>
  <c r="BI199" i="7"/>
  <c r="AW64" i="52"/>
  <c r="AX127" i="53"/>
  <c r="AZ79" i="50"/>
  <c r="AU54" i="52"/>
  <c r="AU56" i="52"/>
  <c r="BH27" i="51"/>
  <c r="BH84" i="50" s="1"/>
  <c r="BH32" i="50"/>
  <c r="AV50" i="52"/>
  <c r="AV51" i="52"/>
  <c r="AV49" i="52"/>
  <c r="AV55" i="52"/>
  <c r="AV56" i="52"/>
  <c r="AV54" i="52"/>
  <c r="AY149" i="53"/>
  <c r="AY127" i="53" s="1"/>
  <c r="AY53" i="52" s="1"/>
  <c r="BA150" i="53"/>
  <c r="AV29" i="52"/>
  <c r="AV30" i="52"/>
  <c r="AV24" i="52"/>
  <c r="AV31" i="52"/>
  <c r="BA84" i="50"/>
  <c r="AY140" i="53"/>
  <c r="AY117" i="53" s="1"/>
  <c r="AY33" i="52" s="1"/>
  <c r="BA141" i="53"/>
  <c r="BM39" i="53"/>
  <c r="BM67" i="53"/>
  <c r="BM41" i="53"/>
  <c r="BM40" i="53"/>
  <c r="AU44" i="52"/>
  <c r="AU208" i="7"/>
  <c r="AU46" i="52"/>
  <c r="AV191" i="7"/>
  <c r="AW192" i="7" s="1"/>
  <c r="AW194" i="7" s="1"/>
  <c r="AV208" i="7"/>
  <c r="AV46" i="52"/>
  <c r="AV44" i="52"/>
  <c r="AV63" i="52"/>
  <c r="AW65" i="52" s="1"/>
  <c r="AV45" i="52"/>
  <c r="BF27" i="51"/>
  <c r="BD32" i="50"/>
  <c r="BD27" i="51"/>
  <c r="BE27" i="51" s="1"/>
  <c r="BE28" i="50"/>
  <c r="BH67" i="53"/>
  <c r="BH41" i="53"/>
  <c r="BH40" i="53"/>
  <c r="BH39" i="53"/>
  <c r="AX208" i="7"/>
  <c r="AX45" i="52"/>
  <c r="AX191" i="7"/>
  <c r="AX44" i="52"/>
  <c r="AX46" i="52"/>
  <c r="AY146" i="53"/>
  <c r="AY123" i="53" s="1"/>
  <c r="BA147" i="53"/>
  <c r="BO31" i="53"/>
  <c r="BO29" i="53"/>
  <c r="AU51" i="52"/>
  <c r="AU49" i="52"/>
  <c r="AX130" i="50"/>
  <c r="AU36" i="52"/>
  <c r="AU34" i="52"/>
  <c r="AV35" i="52"/>
  <c r="AV34" i="52"/>
  <c r="AV36" i="52"/>
  <c r="AW30" i="52"/>
  <c r="AX117" i="53"/>
  <c r="BC70" i="53"/>
  <c r="BC69" i="53"/>
  <c r="BC68" i="53"/>
  <c r="BA69" i="53"/>
  <c r="AY70" i="53"/>
  <c r="AY68" i="53"/>
  <c r="AY69" i="53"/>
  <c r="BF40" i="53"/>
  <c r="BD40" i="53"/>
  <c r="BD39" i="53"/>
  <c r="BD67" i="53"/>
  <c r="BE67" i="53" s="1"/>
  <c r="BD41" i="53"/>
  <c r="BJ24" i="53"/>
  <c r="BO25" i="53" s="1"/>
  <c r="AY143" i="53"/>
  <c r="BA144" i="53"/>
  <c r="BO197" i="7"/>
  <c r="BO199" i="7" s="1"/>
  <c r="BN199" i="7"/>
  <c r="AU24" i="52"/>
  <c r="AU25" i="52" s="1"/>
  <c r="AT25" i="52"/>
  <c r="AT26" i="52"/>
  <c r="AT38" i="52"/>
  <c r="AU70" i="53"/>
  <c r="AU68" i="53"/>
  <c r="AT78" i="53"/>
  <c r="AT81" i="53" s="1"/>
  <c r="AU76" i="53"/>
  <c r="AT19" i="50"/>
  <c r="AV121" i="50"/>
  <c r="AV124" i="50" s="1"/>
  <c r="AU124" i="50"/>
  <c r="AV79" i="53"/>
  <c r="AW35" i="52"/>
  <c r="BC39" i="50"/>
  <c r="AZ32" i="50"/>
  <c r="AY39" i="50"/>
  <c r="AW26" i="52"/>
  <c r="AW38" i="52"/>
  <c r="AW25" i="52"/>
  <c r="AU63" i="52"/>
  <c r="AU64" i="52" s="1"/>
  <c r="AT65" i="52"/>
  <c r="AT64" i="52"/>
  <c r="AU82" i="50"/>
  <c r="AU83" i="50"/>
  <c r="AX31" i="52"/>
  <c r="AX29" i="52"/>
  <c r="AX30" i="52"/>
  <c r="AU39" i="50"/>
  <c r="AU119" i="50"/>
  <c r="AT11" i="51"/>
  <c r="BC84" i="50"/>
  <c r="AZ70" i="53"/>
  <c r="AZ68" i="53"/>
  <c r="AU31" i="52"/>
  <c r="AU29" i="52"/>
  <c r="AZ27" i="51"/>
  <c r="BO81" i="50"/>
  <c r="BM32" i="50"/>
  <c r="BM27" i="51"/>
  <c r="BM84" i="50" s="1"/>
  <c r="BN81" i="50"/>
  <c r="BN28" i="50" s="1"/>
  <c r="BN38" i="53"/>
  <c r="BN26" i="53"/>
  <c r="BN25" i="53"/>
  <c r="AU209" i="7"/>
  <c r="AU211" i="7" s="1"/>
  <c r="AT209" i="7"/>
  <c r="AT211" i="7" s="1"/>
  <c r="BE39" i="53"/>
  <c r="BE41" i="53"/>
  <c r="AY137" i="53"/>
  <c r="BA138" i="53"/>
  <c r="AZ140" i="53" l="1"/>
  <c r="AZ141" i="53" s="1"/>
  <c r="AZ146" i="53"/>
  <c r="AZ147" i="53" s="1"/>
  <c r="AV19" i="50"/>
  <c r="AW121" i="50"/>
  <c r="BE84" i="50"/>
  <c r="BE68" i="53"/>
  <c r="BE70" i="53"/>
  <c r="BE32" i="50"/>
  <c r="BD39" i="50"/>
  <c r="AY56" i="52"/>
  <c r="AY54" i="52"/>
  <c r="BH39" i="50"/>
  <c r="AZ149" i="53"/>
  <c r="AZ150" i="53" s="1"/>
  <c r="AT194" i="7"/>
  <c r="AU192" i="7"/>
  <c r="AU194" i="7" s="1"/>
  <c r="AY113" i="53"/>
  <c r="AZ137" i="53"/>
  <c r="AZ138" i="53" s="1"/>
  <c r="BB147" i="53"/>
  <c r="BA146" i="53"/>
  <c r="BF84" i="50"/>
  <c r="BA140" i="53"/>
  <c r="BB141" i="53"/>
  <c r="AV25" i="52"/>
  <c r="AV26" i="52"/>
  <c r="AV38" i="52"/>
  <c r="AW40" i="52" s="1"/>
  <c r="AX53" i="52"/>
  <c r="AZ127" i="53"/>
  <c r="AT89" i="53"/>
  <c r="AT82" i="53"/>
  <c r="AT86" i="53"/>
  <c r="AU86" i="53" s="1"/>
  <c r="AT88" i="53"/>
  <c r="AU81" i="53"/>
  <c r="AY120" i="53"/>
  <c r="AZ143" i="53"/>
  <c r="AZ144" i="53" s="1"/>
  <c r="BN67" i="53"/>
  <c r="BO67" i="53" s="1"/>
  <c r="BN41" i="53"/>
  <c r="BN39" i="53"/>
  <c r="BN40" i="53"/>
  <c r="AZ84" i="50"/>
  <c r="AW39" i="52"/>
  <c r="AW41" i="52"/>
  <c r="AW214" i="7" s="1"/>
  <c r="AW217" i="7" s="1"/>
  <c r="AW67" i="52"/>
  <c r="AW79" i="53"/>
  <c r="AV119" i="50"/>
  <c r="AV131" i="50"/>
  <c r="AT77" i="52"/>
  <c r="AU77" i="52" s="1"/>
  <c r="AU78" i="53"/>
  <c r="AU71" i="53"/>
  <c r="AY48" i="52"/>
  <c r="AZ123" i="53"/>
  <c r="BH70" i="53"/>
  <c r="BH69" i="53"/>
  <c r="BH68" i="53"/>
  <c r="AX209" i="7"/>
  <c r="AX211" i="7" s="1"/>
  <c r="AV209" i="7"/>
  <c r="AV211" i="7" s="1"/>
  <c r="AW209" i="7"/>
  <c r="AW211" i="7" s="1"/>
  <c r="AY36" i="52"/>
  <c r="AY34" i="52"/>
  <c r="BJ28" i="50"/>
  <c r="BK27" i="51"/>
  <c r="BI27" i="51"/>
  <c r="BI84" i="50" s="1"/>
  <c r="BI32" i="50"/>
  <c r="AZ39" i="50"/>
  <c r="AU19" i="50"/>
  <c r="BJ81" i="50"/>
  <c r="BJ25" i="53"/>
  <c r="AX33" i="52"/>
  <c r="AY35" i="52" s="1"/>
  <c r="AZ117" i="53"/>
  <c r="BE79" i="50"/>
  <c r="BO38" i="53"/>
  <c r="AX192" i="7"/>
  <c r="AX194" i="7" s="1"/>
  <c r="BM39" i="50"/>
  <c r="BA137" i="53"/>
  <c r="BB138" i="53"/>
  <c r="BN27" i="51"/>
  <c r="BN84" i="50" s="1"/>
  <c r="BN32" i="50"/>
  <c r="BO28" i="50"/>
  <c r="BO79" i="50" s="1"/>
  <c r="AZ71" i="53"/>
  <c r="AU11" i="51"/>
  <c r="BJ41" i="53"/>
  <c r="BJ39" i="53"/>
  <c r="AV64" i="52"/>
  <c r="AV65" i="52"/>
  <c r="AT41" i="52"/>
  <c r="AT214" i="7" s="1"/>
  <c r="AT217" i="7" s="1"/>
  <c r="AT218" i="7" s="1"/>
  <c r="AT67" i="52"/>
  <c r="AU38" i="52"/>
  <c r="AT39" i="52"/>
  <c r="AT40" i="52"/>
  <c r="BA143" i="53"/>
  <c r="BB144" i="53"/>
  <c r="BD69" i="53"/>
  <c r="BD70" i="53"/>
  <c r="BD68" i="53"/>
  <c r="BF69" i="53"/>
  <c r="AY130" i="50"/>
  <c r="BD84" i="50"/>
  <c r="BM68" i="53"/>
  <c r="BM69" i="53"/>
  <c r="BM70" i="53"/>
  <c r="BA149" i="53"/>
  <c r="BB150" i="53"/>
  <c r="AZ82" i="50"/>
  <c r="AZ83" i="50"/>
  <c r="BI67" i="53"/>
  <c r="BI41" i="53"/>
  <c r="BI40" i="53"/>
  <c r="BK40" i="53"/>
  <c r="BI39" i="53"/>
  <c r="AV192" i="7"/>
  <c r="AV194" i="7" s="1"/>
  <c r="BJ79" i="50" l="1"/>
  <c r="BJ82" i="50" s="1"/>
  <c r="BC138" i="53"/>
  <c r="BB137" i="53"/>
  <c r="BB113" i="53" s="1"/>
  <c r="BB28" i="52" s="1"/>
  <c r="BN69" i="53"/>
  <c r="BN70" i="53"/>
  <c r="BN68" i="53"/>
  <c r="AX55" i="52"/>
  <c r="AX54" i="52"/>
  <c r="AX56" i="52"/>
  <c r="AX63" i="52"/>
  <c r="AZ53" i="52"/>
  <c r="BA117" i="53"/>
  <c r="BA127" i="53"/>
  <c r="AU67" i="52"/>
  <c r="AT75" i="52"/>
  <c r="AT70" i="52"/>
  <c r="AT68" i="52"/>
  <c r="AT69" i="52"/>
  <c r="BA113" i="53"/>
  <c r="AX79" i="53"/>
  <c r="AV40" i="52"/>
  <c r="AV39" i="52"/>
  <c r="AV41" i="52"/>
  <c r="AV214" i="7" s="1"/>
  <c r="AV217" i="7" s="1"/>
  <c r="AV218" i="7" s="1"/>
  <c r="AV67" i="52"/>
  <c r="AW69" i="52" s="1"/>
  <c r="AY28" i="52"/>
  <c r="AZ113" i="53"/>
  <c r="AY55" i="52"/>
  <c r="BE71" i="53"/>
  <c r="BI68" i="53"/>
  <c r="BK69" i="53"/>
  <c r="BI70" i="53"/>
  <c r="BI69" i="53"/>
  <c r="AU39" i="52"/>
  <c r="AU41" i="52"/>
  <c r="AU214" i="7" s="1"/>
  <c r="AU217" i="7" s="1"/>
  <c r="AU218" i="7" s="1"/>
  <c r="AV11" i="51"/>
  <c r="BB143" i="53"/>
  <c r="BB120" i="53" s="1"/>
  <c r="BB43" i="52" s="1"/>
  <c r="BC144" i="53"/>
  <c r="BN39" i="50"/>
  <c r="BO32" i="50"/>
  <c r="BO39" i="50" s="1"/>
  <c r="BE83" i="50"/>
  <c r="BE82" i="50"/>
  <c r="BI39" i="50"/>
  <c r="BJ32" i="50"/>
  <c r="BJ39" i="50" s="1"/>
  <c r="AY51" i="52"/>
  <c r="AY49" i="52"/>
  <c r="AY50" i="52"/>
  <c r="AZ48" i="52"/>
  <c r="AY43" i="52"/>
  <c r="AZ120" i="53"/>
  <c r="BJ27" i="51"/>
  <c r="BJ84" i="50" s="1"/>
  <c r="BO70" i="53"/>
  <c r="BA120" i="53"/>
  <c r="AW131" i="50"/>
  <c r="AU89" i="53"/>
  <c r="AU82" i="53"/>
  <c r="AU88" i="53"/>
  <c r="BA123" i="53"/>
  <c r="AW119" i="50"/>
  <c r="AW11" i="51" s="1"/>
  <c r="BO27" i="51"/>
  <c r="BO84" i="50" s="1"/>
  <c r="BK84" i="50"/>
  <c r="BJ67" i="53"/>
  <c r="BO68" i="53" s="1"/>
  <c r="AW70" i="52"/>
  <c r="AW68" i="52"/>
  <c r="BB146" i="53"/>
  <c r="BB123" i="53" s="1"/>
  <c r="BB48" i="52" s="1"/>
  <c r="BC147" i="53"/>
  <c r="BB149" i="53"/>
  <c r="BB127" i="53" s="1"/>
  <c r="BB53" i="52" s="1"/>
  <c r="BC150" i="53"/>
  <c r="AZ130" i="50"/>
  <c r="BA130" i="50"/>
  <c r="BO41" i="53"/>
  <c r="BO39" i="53"/>
  <c r="AX36" i="52"/>
  <c r="AX34" i="52"/>
  <c r="AX35" i="52"/>
  <c r="AZ33" i="52"/>
  <c r="AX24" i="52"/>
  <c r="AW218" i="7"/>
  <c r="BB140" i="53"/>
  <c r="BB117" i="53" s="1"/>
  <c r="BB33" i="52" s="1"/>
  <c r="BC141" i="53"/>
  <c r="BE39" i="50"/>
  <c r="AW124" i="50"/>
  <c r="BJ83" i="50" l="1"/>
  <c r="BO83" i="50"/>
  <c r="BO82" i="50"/>
  <c r="AZ49" i="52"/>
  <c r="AZ51" i="52"/>
  <c r="AY79" i="53"/>
  <c r="AX25" i="52"/>
  <c r="AX26" i="52"/>
  <c r="AX38" i="52"/>
  <c r="BB63" i="52"/>
  <c r="BB208" i="7"/>
  <c r="BB46" i="52"/>
  <c r="BB191" i="7"/>
  <c r="BB44" i="52"/>
  <c r="AV69" i="52"/>
  <c r="AV70" i="52"/>
  <c r="AV68" i="52"/>
  <c r="BA53" i="52"/>
  <c r="BB55" i="52" s="1"/>
  <c r="AX65" i="52"/>
  <c r="AX64" i="52"/>
  <c r="BB56" i="52"/>
  <c r="BB54" i="52"/>
  <c r="AY30" i="52"/>
  <c r="AY24" i="52"/>
  <c r="AY29" i="52"/>
  <c r="AY31" i="52"/>
  <c r="AZ28" i="52"/>
  <c r="BA28" i="52"/>
  <c r="BB30" i="52" s="1"/>
  <c r="BC143" i="53"/>
  <c r="BC120" i="53" s="1"/>
  <c r="BC43" i="52" s="1"/>
  <c r="BD144" i="53"/>
  <c r="AZ54" i="52"/>
  <c r="AZ56" i="52"/>
  <c r="AZ36" i="52"/>
  <c r="AZ34" i="52"/>
  <c r="BC140" i="53"/>
  <c r="BC117" i="53" s="1"/>
  <c r="BC33" i="52" s="1"/>
  <c r="BD141" i="53"/>
  <c r="BB130" i="50"/>
  <c r="BD147" i="53"/>
  <c r="BC146" i="53"/>
  <c r="BC123" i="53" s="1"/>
  <c r="BC48" i="52" s="1"/>
  <c r="BB34" i="52"/>
  <c r="BB36" i="52"/>
  <c r="BB51" i="52"/>
  <c r="BB49" i="52"/>
  <c r="AW19" i="50"/>
  <c r="AX121" i="50"/>
  <c r="AX131" i="50" s="1"/>
  <c r="BJ68" i="53"/>
  <c r="BJ70" i="53"/>
  <c r="BA48" i="52"/>
  <c r="BB50" i="52" s="1"/>
  <c r="AY191" i="7"/>
  <c r="AY44" i="52"/>
  <c r="AY63" i="52"/>
  <c r="AZ63" i="52" s="1"/>
  <c r="AZ64" i="52" s="1"/>
  <c r="AY46" i="52"/>
  <c r="AY45" i="52"/>
  <c r="AY208" i="7"/>
  <c r="AZ43" i="52"/>
  <c r="AU75" i="52"/>
  <c r="AU78" i="52" s="1"/>
  <c r="AT80" i="52"/>
  <c r="AT78" i="52"/>
  <c r="BB31" i="52"/>
  <c r="BB29" i="52"/>
  <c r="BB24" i="52"/>
  <c r="BD150" i="53"/>
  <c r="BC149" i="53"/>
  <c r="BC127" i="53" s="1"/>
  <c r="BC53" i="52" s="1"/>
  <c r="BA43" i="52"/>
  <c r="AU70" i="52"/>
  <c r="AU68" i="52"/>
  <c r="BA33" i="52"/>
  <c r="BB35" i="52" s="1"/>
  <c r="BC137" i="53"/>
  <c r="BD138" i="53"/>
  <c r="BD143" i="53" l="1"/>
  <c r="BF144" i="53"/>
  <c r="BB64" i="52"/>
  <c r="BB25" i="52"/>
  <c r="BB38" i="52"/>
  <c r="AT10" i="51"/>
  <c r="AU80" i="52"/>
  <c r="AT87" i="52"/>
  <c r="AT88" i="52"/>
  <c r="AT81" i="52"/>
  <c r="AT85" i="52"/>
  <c r="AU85" i="52" s="1"/>
  <c r="AT42" i="50"/>
  <c r="BJ71" i="53"/>
  <c r="BC35" i="52"/>
  <c r="BC34" i="52"/>
  <c r="BC36" i="52"/>
  <c r="BC191" i="7"/>
  <c r="BC44" i="52"/>
  <c r="BC208" i="7"/>
  <c r="BC63" i="52"/>
  <c r="BC45" i="52"/>
  <c r="BC46" i="52"/>
  <c r="BO71" i="53"/>
  <c r="BD149" i="53"/>
  <c r="BD127" i="53" s="1"/>
  <c r="BD53" i="52" s="1"/>
  <c r="BF150" i="53"/>
  <c r="BD140" i="53"/>
  <c r="BF141" i="53"/>
  <c r="BC49" i="52"/>
  <c r="BC50" i="52"/>
  <c r="BC51" i="52"/>
  <c r="BA34" i="52"/>
  <c r="BA36" i="52"/>
  <c r="BA35" i="52"/>
  <c r="AX119" i="50"/>
  <c r="AZ31" i="52"/>
  <c r="AZ29" i="52"/>
  <c r="BA56" i="52"/>
  <c r="BA54" i="52"/>
  <c r="BA55" i="52"/>
  <c r="BA191" i="7"/>
  <c r="BB192" i="7" s="1"/>
  <c r="BB194" i="7" s="1"/>
  <c r="BA45" i="52"/>
  <c r="BA46" i="52"/>
  <c r="BA63" i="52"/>
  <c r="BB65" i="52" s="1"/>
  <c r="BA44" i="52"/>
  <c r="BA208" i="7"/>
  <c r="BD146" i="53"/>
  <c r="BD123" i="53" s="1"/>
  <c r="BF147" i="53"/>
  <c r="BA31" i="52"/>
  <c r="BA24" i="52"/>
  <c r="BA29" i="52"/>
  <c r="BA30" i="52"/>
  <c r="AY25" i="52"/>
  <c r="AY26" i="52"/>
  <c r="AY38" i="52"/>
  <c r="AZ38" i="52" s="1"/>
  <c r="AZ24" i="52"/>
  <c r="AZ25" i="52" s="1"/>
  <c r="AZ79" i="53"/>
  <c r="AY64" i="52"/>
  <c r="AY65" i="52"/>
  <c r="BF138" i="53"/>
  <c r="BD137" i="53"/>
  <c r="BD113" i="53" s="1"/>
  <c r="BD28" i="52" s="1"/>
  <c r="AZ46" i="52"/>
  <c r="AZ44" i="52"/>
  <c r="AZ208" i="7"/>
  <c r="BC113" i="53"/>
  <c r="AZ191" i="7"/>
  <c r="AY192" i="7"/>
  <c r="BB45" i="52"/>
  <c r="AX40" i="52"/>
  <c r="AX67" i="52"/>
  <c r="AX41" i="52"/>
  <c r="AX214" i="7" s="1"/>
  <c r="AX217" i="7" s="1"/>
  <c r="AX218" i="7" s="1"/>
  <c r="AX39" i="52"/>
  <c r="BC55" i="52"/>
  <c r="BC56" i="52"/>
  <c r="BC54" i="52"/>
  <c r="AY209" i="7"/>
  <c r="AY211" i="7" s="1"/>
  <c r="AZ209" i="7"/>
  <c r="AZ211" i="7" s="1"/>
  <c r="BA51" i="52"/>
  <c r="BA50" i="52"/>
  <c r="BA49" i="52"/>
  <c r="AX124" i="50"/>
  <c r="BC130" i="50"/>
  <c r="BE127" i="53" l="1"/>
  <c r="BE137" i="53"/>
  <c r="BE138" i="53" s="1"/>
  <c r="BE146" i="53"/>
  <c r="BE147" i="53" s="1"/>
  <c r="BC192" i="7"/>
  <c r="BC194" i="7" s="1"/>
  <c r="BD31" i="52"/>
  <c r="BD29" i="52"/>
  <c r="BA25" i="52"/>
  <c r="BA26" i="52"/>
  <c r="BA38" i="52"/>
  <c r="BA209" i="7"/>
  <c r="BA211" i="7" s="1"/>
  <c r="BC209" i="7"/>
  <c r="BC211" i="7" s="1"/>
  <c r="BB209" i="7"/>
  <c r="BB211" i="7" s="1"/>
  <c r="BD54" i="52"/>
  <c r="BD55" i="52"/>
  <c r="BD56" i="52"/>
  <c r="AT49" i="50"/>
  <c r="AU42" i="50"/>
  <c r="AU88" i="52"/>
  <c r="AU81" i="52"/>
  <c r="AU87" i="52"/>
  <c r="AX19" i="50"/>
  <c r="AY121" i="50"/>
  <c r="BC28" i="52"/>
  <c r="BD30" i="52" s="1"/>
  <c r="BE113" i="53"/>
  <c r="AY41" i="52"/>
  <c r="AY214" i="7" s="1"/>
  <c r="AY217" i="7" s="1"/>
  <c r="AY218" i="7" s="1"/>
  <c r="AY67" i="52"/>
  <c r="AZ67" i="52" s="1"/>
  <c r="AY40" i="52"/>
  <c r="AY39" i="52"/>
  <c r="BE149" i="53"/>
  <c r="BE150" i="53" s="1"/>
  <c r="BC64" i="52"/>
  <c r="BC65" i="52"/>
  <c r="AT32" i="51"/>
  <c r="AU10" i="51"/>
  <c r="BF143" i="53"/>
  <c r="BG144" i="53"/>
  <c r="BG150" i="53"/>
  <c r="BF149" i="53"/>
  <c r="AX69" i="52"/>
  <c r="AX68" i="52"/>
  <c r="AX70" i="52"/>
  <c r="AX11" i="51"/>
  <c r="BB67" i="52"/>
  <c r="BB41" i="52"/>
  <c r="BB214" i="7" s="1"/>
  <c r="BB217" i="7" s="1"/>
  <c r="BB39" i="52"/>
  <c r="BD120" i="53"/>
  <c r="BE143" i="53"/>
  <c r="BE144" i="53" s="1"/>
  <c r="AY194" i="7"/>
  <c r="AZ192" i="7"/>
  <c r="AZ194" i="7" s="1"/>
  <c r="BG138" i="53"/>
  <c r="BF137" i="53"/>
  <c r="BA192" i="7"/>
  <c r="BA194" i="7" s="1"/>
  <c r="BF146" i="53"/>
  <c r="BG147" i="53"/>
  <c r="BA65" i="52"/>
  <c r="BA64" i="52"/>
  <c r="BE53" i="52"/>
  <c r="BG141" i="53"/>
  <c r="BF140" i="53"/>
  <c r="BB26" i="52"/>
  <c r="BA79" i="53"/>
  <c r="BD130" i="50"/>
  <c r="AZ41" i="52"/>
  <c r="AZ214" i="7" s="1"/>
  <c r="AZ217" i="7" s="1"/>
  <c r="AZ218" i="7" s="1"/>
  <c r="AZ39" i="52"/>
  <c r="BD48" i="52"/>
  <c r="BE123" i="53"/>
  <c r="BD117" i="53"/>
  <c r="BE140" i="53"/>
  <c r="BE141" i="53" s="1"/>
  <c r="BB218" i="7" l="1"/>
  <c r="AY119" i="50"/>
  <c r="AY131" i="50"/>
  <c r="AZ121" i="50"/>
  <c r="BD43" i="52"/>
  <c r="BE120" i="53"/>
  <c r="BF127" i="53"/>
  <c r="AY69" i="52"/>
  <c r="AY68" i="52"/>
  <c r="AY70" i="52"/>
  <c r="BF123" i="53"/>
  <c r="AU32" i="51"/>
  <c r="AT98" i="50"/>
  <c r="AT99" i="50" s="1"/>
  <c r="AT67" i="51"/>
  <c r="AT78" i="51"/>
  <c r="AZ70" i="52"/>
  <c r="AZ68" i="52"/>
  <c r="BA39" i="52"/>
  <c r="BA40" i="52"/>
  <c r="BA41" i="52"/>
  <c r="BA214" i="7" s="1"/>
  <c r="BA217" i="7" s="1"/>
  <c r="BA218" i="7" s="1"/>
  <c r="BA67" i="52"/>
  <c r="BB69" i="52" s="1"/>
  <c r="BB79" i="53"/>
  <c r="BE54" i="52"/>
  <c r="BE56" i="52"/>
  <c r="BF113" i="53"/>
  <c r="BG149" i="53"/>
  <c r="BG127" i="53" s="1"/>
  <c r="BG53" i="52" s="1"/>
  <c r="BH150" i="53"/>
  <c r="BG137" i="53"/>
  <c r="BG113" i="53" s="1"/>
  <c r="BG28" i="52" s="1"/>
  <c r="BH138" i="53"/>
  <c r="AU49" i="50"/>
  <c r="AT50" i="50"/>
  <c r="BG140" i="53"/>
  <c r="BG117" i="53" s="1"/>
  <c r="BG33" i="52" s="1"/>
  <c r="BH141" i="53"/>
  <c r="BD50" i="52"/>
  <c r="BD51" i="52"/>
  <c r="BD49" i="52"/>
  <c r="BE48" i="52"/>
  <c r="BG143" i="53"/>
  <c r="BG120" i="53" s="1"/>
  <c r="BG43" i="52" s="1"/>
  <c r="BH144" i="53"/>
  <c r="BE130" i="50"/>
  <c r="BF130" i="50"/>
  <c r="BG130" i="50" s="1"/>
  <c r="BH130" i="50" s="1"/>
  <c r="BI130" i="50" s="1"/>
  <c r="BB40" i="52"/>
  <c r="BF120" i="53"/>
  <c r="BC31" i="52"/>
  <c r="BC24" i="52"/>
  <c r="BC29" i="52"/>
  <c r="BC30" i="52"/>
  <c r="BE28" i="52"/>
  <c r="BD33" i="52"/>
  <c r="BE117" i="53"/>
  <c r="BF117" i="53"/>
  <c r="BG146" i="53"/>
  <c r="BG123" i="53" s="1"/>
  <c r="BG48" i="52" s="1"/>
  <c r="BH147" i="53"/>
  <c r="BB68" i="52"/>
  <c r="BB70" i="52"/>
  <c r="AY124" i="50"/>
  <c r="BC26" i="52" l="1"/>
  <c r="BC38" i="52"/>
  <c r="BC25" i="52"/>
  <c r="BI138" i="53"/>
  <c r="BH137" i="53"/>
  <c r="BH113" i="53" s="1"/>
  <c r="BH28" i="52" s="1"/>
  <c r="BH140" i="53"/>
  <c r="BI141" i="53"/>
  <c r="BG29" i="52"/>
  <c r="BG31" i="52"/>
  <c r="BG24" i="52"/>
  <c r="AU67" i="51"/>
  <c r="AU98" i="50"/>
  <c r="AU99" i="50" s="1"/>
  <c r="BD191" i="7"/>
  <c r="BD208" i="7"/>
  <c r="BD63" i="52"/>
  <c r="BD46" i="52"/>
  <c r="BD44" i="52"/>
  <c r="BD45" i="52"/>
  <c r="BE43" i="52"/>
  <c r="AT81" i="51"/>
  <c r="AU78" i="51"/>
  <c r="BF43" i="52"/>
  <c r="BE29" i="52"/>
  <c r="BE31" i="52"/>
  <c r="BG191" i="7"/>
  <c r="BG208" i="7"/>
  <c r="BG63" i="52"/>
  <c r="BG44" i="52"/>
  <c r="BG46" i="52"/>
  <c r="BG34" i="52"/>
  <c r="BG36" i="52"/>
  <c r="BI150" i="53"/>
  <c r="BH149" i="53"/>
  <c r="BH127" i="53" s="1"/>
  <c r="BH53" i="52" s="1"/>
  <c r="BC79" i="53"/>
  <c r="BK130" i="50"/>
  <c r="BL130" i="50" s="1"/>
  <c r="BM130" i="50" s="1"/>
  <c r="BN130" i="50" s="1"/>
  <c r="BO130" i="50" s="1"/>
  <c r="BJ130" i="50"/>
  <c r="BD34" i="52"/>
  <c r="BD35" i="52"/>
  <c r="BD36" i="52"/>
  <c r="BE33" i="52"/>
  <c r="BD24" i="52"/>
  <c r="BE24" i="52" s="1"/>
  <c r="BE25" i="52" s="1"/>
  <c r="BA124" i="50"/>
  <c r="AY19" i="50"/>
  <c r="BA121" i="50"/>
  <c r="BA131" i="50" s="1"/>
  <c r="AZ124" i="50"/>
  <c r="BE49" i="52"/>
  <c r="BE51" i="52"/>
  <c r="AU50" i="50"/>
  <c r="BG54" i="52"/>
  <c r="BG56" i="52"/>
  <c r="AT69" i="51"/>
  <c r="BF48" i="52"/>
  <c r="BG50" i="52" s="1"/>
  <c r="BF53" i="52"/>
  <c r="AZ131" i="50"/>
  <c r="BH143" i="53"/>
  <c r="BI144" i="53"/>
  <c r="BH146" i="53"/>
  <c r="BH123" i="53" s="1"/>
  <c r="BH48" i="52" s="1"/>
  <c r="BI147" i="53"/>
  <c r="BG49" i="52"/>
  <c r="BG51" i="52"/>
  <c r="BF33" i="52"/>
  <c r="BG35" i="52" s="1"/>
  <c r="BA68" i="52"/>
  <c r="BA69" i="52"/>
  <c r="BA70" i="52"/>
  <c r="BF28" i="52"/>
  <c r="BG30" i="52" s="1"/>
  <c r="AY11" i="51"/>
  <c r="AZ119" i="50"/>
  <c r="AT10" i="50" l="1"/>
  <c r="AV68" i="51"/>
  <c r="AZ68" i="51" s="1"/>
  <c r="BI149" i="53"/>
  <c r="BK150" i="53"/>
  <c r="BH49" i="52"/>
  <c r="BH50" i="52"/>
  <c r="BH51" i="52"/>
  <c r="BF54" i="52"/>
  <c r="BF56" i="52"/>
  <c r="BF55" i="52"/>
  <c r="BE36" i="52"/>
  <c r="BE34" i="52"/>
  <c r="BG64" i="52"/>
  <c r="BF191" i="7"/>
  <c r="BG192" i="7" s="1"/>
  <c r="BG194" i="7" s="1"/>
  <c r="BF208" i="7"/>
  <c r="BF45" i="52"/>
  <c r="BF46" i="52"/>
  <c r="BF63" i="52"/>
  <c r="BG65" i="52" s="1"/>
  <c r="BF44" i="52"/>
  <c r="BI137" i="53"/>
  <c r="BI113" i="53" s="1"/>
  <c r="BI28" i="52" s="1"/>
  <c r="BJ28" i="52" s="1"/>
  <c r="BK138" i="53"/>
  <c r="BG38" i="52"/>
  <c r="BG25" i="52"/>
  <c r="AZ11" i="51"/>
  <c r="BF34" i="52"/>
  <c r="BF36" i="52"/>
  <c r="BF35" i="52"/>
  <c r="BI143" i="53"/>
  <c r="BI120" i="53" s="1"/>
  <c r="BI43" i="52" s="1"/>
  <c r="BK144" i="53"/>
  <c r="BG55" i="52"/>
  <c r="BH120" i="53"/>
  <c r="BF51" i="52"/>
  <c r="BF49" i="52"/>
  <c r="BF50" i="52"/>
  <c r="BA119" i="50"/>
  <c r="AT82" i="51"/>
  <c r="AT203" i="7" s="1"/>
  <c r="AT204" i="7" s="1"/>
  <c r="AT84" i="51"/>
  <c r="AT107" i="50"/>
  <c r="AU81" i="51"/>
  <c r="BD65" i="52"/>
  <c r="BD64" i="52"/>
  <c r="BE63" i="52"/>
  <c r="BE64" i="52" s="1"/>
  <c r="BK147" i="53"/>
  <c r="BI146" i="53"/>
  <c r="BI123" i="53" s="1"/>
  <c r="BI48" i="52" s="1"/>
  <c r="BJ48" i="52" s="1"/>
  <c r="BH30" i="52"/>
  <c r="BH31" i="52"/>
  <c r="BH29" i="52"/>
  <c r="BJ137" i="53"/>
  <c r="BJ138" i="53" s="1"/>
  <c r="AZ19" i="50"/>
  <c r="BD79" i="53"/>
  <c r="BG45" i="52"/>
  <c r="BE44" i="52"/>
  <c r="BE208" i="7"/>
  <c r="BE46" i="52"/>
  <c r="BE209" i="7"/>
  <c r="BE211" i="7" s="1"/>
  <c r="BD209" i="7"/>
  <c r="BD211" i="7" s="1"/>
  <c r="BI140" i="53"/>
  <c r="BI117" i="53" s="1"/>
  <c r="BI33" i="52" s="1"/>
  <c r="BK141" i="53"/>
  <c r="BC67" i="52"/>
  <c r="BC41" i="52"/>
  <c r="BC214" i="7" s="1"/>
  <c r="BC217" i="7" s="1"/>
  <c r="BC218" i="7" s="1"/>
  <c r="BC40" i="52"/>
  <c r="BC39" i="52"/>
  <c r="BF31" i="52"/>
  <c r="BF29" i="52"/>
  <c r="BF24" i="52"/>
  <c r="BF30" i="52"/>
  <c r="BD26" i="52"/>
  <c r="BD25" i="52"/>
  <c r="BD38" i="52"/>
  <c r="BE38" i="52" s="1"/>
  <c r="BJ113" i="53"/>
  <c r="BB121" i="50"/>
  <c r="BB124" i="50" s="1"/>
  <c r="BA19" i="50"/>
  <c r="BH54" i="52"/>
  <c r="BH55" i="52"/>
  <c r="BH56" i="52"/>
  <c r="BD192" i="7"/>
  <c r="BE191" i="7"/>
  <c r="AU69" i="51"/>
  <c r="BH117" i="53"/>
  <c r="BF192" i="7" l="1"/>
  <c r="BF194" i="7" s="1"/>
  <c r="BJ123" i="53"/>
  <c r="BJ140" i="53"/>
  <c r="BJ141" i="53" s="1"/>
  <c r="BJ49" i="52"/>
  <c r="BJ51" i="52"/>
  <c r="BI127" i="53"/>
  <c r="BJ149" i="53"/>
  <c r="BJ150" i="53" s="1"/>
  <c r="BB119" i="50"/>
  <c r="BB11" i="51" s="1"/>
  <c r="BF38" i="52"/>
  <c r="BG40" i="52" s="1"/>
  <c r="BF26" i="52"/>
  <c r="BF25" i="52"/>
  <c r="BG26" i="52"/>
  <c r="BH33" i="52"/>
  <c r="BJ117" i="53"/>
  <c r="BF65" i="52"/>
  <c r="BF64" i="52"/>
  <c r="BJ146" i="53"/>
  <c r="BJ147" i="53" s="1"/>
  <c r="BG67" i="52"/>
  <c r="BG39" i="52"/>
  <c r="BG41" i="52"/>
  <c r="BG214" i="7" s="1"/>
  <c r="BG217" i="7" s="1"/>
  <c r="AT16" i="50"/>
  <c r="AT155" i="53"/>
  <c r="AT56" i="50"/>
  <c r="AT58" i="50" s="1"/>
  <c r="AU10" i="50"/>
  <c r="AU75" i="51" s="1"/>
  <c r="AT71" i="51"/>
  <c r="AT73" i="51" s="1"/>
  <c r="BB19" i="50"/>
  <c r="BC121" i="50"/>
  <c r="AU84" i="51"/>
  <c r="AT113" i="50"/>
  <c r="AT85" i="51"/>
  <c r="BL138" i="53"/>
  <c r="BK137" i="53"/>
  <c r="BF209" i="7"/>
  <c r="BF211" i="7" s="1"/>
  <c r="BG209" i="7"/>
  <c r="BG211" i="7" s="1"/>
  <c r="AT75" i="51"/>
  <c r="BL147" i="53"/>
  <c r="BK146" i="53"/>
  <c r="BE79" i="53"/>
  <c r="BD41" i="52"/>
  <c r="BD214" i="7" s="1"/>
  <c r="BD217" i="7" s="1"/>
  <c r="BD218" i="7" s="1"/>
  <c r="BD40" i="52"/>
  <c r="BD67" i="52"/>
  <c r="BE67" i="52" s="1"/>
  <c r="BD39" i="52"/>
  <c r="BC69" i="52"/>
  <c r="BC70" i="52"/>
  <c r="BC68" i="52"/>
  <c r="BE192" i="7"/>
  <c r="BE194" i="7" s="1"/>
  <c r="BD194" i="7"/>
  <c r="BJ29" i="52"/>
  <c r="BJ31" i="52"/>
  <c r="BL141" i="53"/>
  <c r="BK140" i="53"/>
  <c r="AU82" i="51"/>
  <c r="AU203" i="7" s="1"/>
  <c r="AU204" i="7" s="1"/>
  <c r="AU107" i="50"/>
  <c r="AT109" i="50" s="1"/>
  <c r="BJ143" i="53"/>
  <c r="BJ144" i="53" s="1"/>
  <c r="BL144" i="53"/>
  <c r="BK143" i="53"/>
  <c r="BI24" i="52"/>
  <c r="BI29" i="52"/>
  <c r="BI31" i="52"/>
  <c r="BI30" i="52"/>
  <c r="BE39" i="52"/>
  <c r="BE41" i="52"/>
  <c r="BE214" i="7" s="1"/>
  <c r="BE217" i="7" s="1"/>
  <c r="BE218" i="7" s="1"/>
  <c r="BI36" i="52"/>
  <c r="BI34" i="52"/>
  <c r="BI50" i="52"/>
  <c r="BI49" i="52"/>
  <c r="BI51" i="52"/>
  <c r="AT108" i="50"/>
  <c r="AT111" i="50"/>
  <c r="BA11" i="51"/>
  <c r="BH43" i="52"/>
  <c r="BJ120" i="53"/>
  <c r="BI191" i="7"/>
  <c r="BI46" i="52"/>
  <c r="BI208" i="7"/>
  <c r="BI44" i="52"/>
  <c r="BL150" i="53"/>
  <c r="BK149" i="53"/>
  <c r="BB131" i="50"/>
  <c r="BC119" i="50" l="1"/>
  <c r="AT157" i="53"/>
  <c r="AU155" i="53"/>
  <c r="BG70" i="52"/>
  <c r="BG68" i="52"/>
  <c r="BH35" i="52"/>
  <c r="BH36" i="52"/>
  <c r="BH34" i="52"/>
  <c r="BH24" i="52"/>
  <c r="BI26" i="52" s="1"/>
  <c r="BJ33" i="52"/>
  <c r="BL149" i="53"/>
  <c r="BL127" i="53" s="1"/>
  <c r="BL53" i="52" s="1"/>
  <c r="BM150" i="53"/>
  <c r="BF79" i="53"/>
  <c r="BG79" i="53" s="1"/>
  <c r="BH79" i="53" s="1"/>
  <c r="BI79" i="53" s="1"/>
  <c r="BJ79" i="53" s="1"/>
  <c r="BK79" i="53" s="1"/>
  <c r="BL79" i="53" s="1"/>
  <c r="BM79" i="53" s="1"/>
  <c r="BN79" i="53" s="1"/>
  <c r="BO79" i="53" s="1"/>
  <c r="BC124" i="50"/>
  <c r="AU16" i="50"/>
  <c r="AT25" i="50"/>
  <c r="AU108" i="50"/>
  <c r="AU110" i="50" s="1"/>
  <c r="AU111" i="50"/>
  <c r="AR109" i="50"/>
  <c r="AS109" i="50"/>
  <c r="AQ109" i="50"/>
  <c r="AT114" i="50"/>
  <c r="BH191" i="7"/>
  <c r="BH44" i="52"/>
  <c r="BH45" i="52"/>
  <c r="BH208" i="7"/>
  <c r="BH46" i="52"/>
  <c r="BH63" i="52"/>
  <c r="BJ43" i="52"/>
  <c r="BL143" i="53"/>
  <c r="BL120" i="53" s="1"/>
  <c r="BL43" i="52" s="1"/>
  <c r="BM144" i="53"/>
  <c r="BK123" i="53"/>
  <c r="BG218" i="7"/>
  <c r="BI53" i="52"/>
  <c r="BJ127" i="53"/>
  <c r="BK120" i="53"/>
  <c r="BM141" i="53"/>
  <c r="BL140" i="53"/>
  <c r="BL117" i="53" s="1"/>
  <c r="BL33" i="52" s="1"/>
  <c r="BK127" i="53"/>
  <c r="BL137" i="53"/>
  <c r="BL113" i="53" s="1"/>
  <c r="BL28" i="52" s="1"/>
  <c r="BM138" i="53"/>
  <c r="BI45" i="52"/>
  <c r="BI35" i="52"/>
  <c r="BI25" i="52"/>
  <c r="BI38" i="52"/>
  <c r="BK117" i="53"/>
  <c r="BE68" i="52"/>
  <c r="BE70" i="52"/>
  <c r="BD69" i="52"/>
  <c r="BD70" i="52"/>
  <c r="BD68" i="52"/>
  <c r="BL146" i="53"/>
  <c r="BL123" i="53" s="1"/>
  <c r="BL48" i="52" s="1"/>
  <c r="BM147" i="53"/>
  <c r="AU113" i="50"/>
  <c r="AU85" i="51"/>
  <c r="AU71" i="51"/>
  <c r="AU73" i="51" s="1"/>
  <c r="AU56" i="50"/>
  <c r="AU58" i="50" s="1"/>
  <c r="BC131" i="50"/>
  <c r="BK113" i="53"/>
  <c r="BF67" i="52"/>
  <c r="BG69" i="52" s="1"/>
  <c r="BF41" i="52"/>
  <c r="BF214" i="7" s="1"/>
  <c r="BF217" i="7" s="1"/>
  <c r="BF218" i="7" s="1"/>
  <c r="BF40" i="52"/>
  <c r="BF39" i="52"/>
  <c r="BI54" i="52" l="1"/>
  <c r="BI56" i="52"/>
  <c r="BI55" i="52"/>
  <c r="BJ53" i="52"/>
  <c r="BI63" i="52"/>
  <c r="BJ63" i="52" s="1"/>
  <c r="BJ64" i="52" s="1"/>
  <c r="BK33" i="52"/>
  <c r="BL35" i="52" s="1"/>
  <c r="BL36" i="52"/>
  <c r="BL34" i="52"/>
  <c r="AU25" i="50"/>
  <c r="AT52" i="50"/>
  <c r="BN150" i="53"/>
  <c r="BN149" i="53" s="1"/>
  <c r="BN127" i="53" s="1"/>
  <c r="BN53" i="52" s="1"/>
  <c r="BM149" i="53"/>
  <c r="AU157" i="53"/>
  <c r="AU159" i="53" s="1"/>
  <c r="AV158" i="53"/>
  <c r="BJ209" i="7"/>
  <c r="BJ211" i="7" s="1"/>
  <c r="BH209" i="7"/>
  <c r="BH211" i="7" s="1"/>
  <c r="BI209" i="7"/>
  <c r="BI211" i="7" s="1"/>
  <c r="BI41" i="52"/>
  <c r="BI214" i="7" s="1"/>
  <c r="BI217" i="7" s="1"/>
  <c r="BI39" i="52"/>
  <c r="BM140" i="53"/>
  <c r="BN141" i="53"/>
  <c r="BN140" i="53" s="1"/>
  <c r="BN117" i="53" s="1"/>
  <c r="BN33" i="52" s="1"/>
  <c r="BL54" i="52"/>
  <c r="BL56" i="52"/>
  <c r="AS115" i="50"/>
  <c r="AQ115" i="50"/>
  <c r="AU114" i="50"/>
  <c r="AR115" i="50"/>
  <c r="BN138" i="53"/>
  <c r="BN137" i="53" s="1"/>
  <c r="BN113" i="53" s="1"/>
  <c r="BN28" i="52" s="1"/>
  <c r="BM137" i="53"/>
  <c r="BK48" i="52"/>
  <c r="BL50" i="52" s="1"/>
  <c r="BJ208" i="7"/>
  <c r="BJ44" i="52"/>
  <c r="BJ46" i="52"/>
  <c r="BH192" i="7"/>
  <c r="BH194" i="7" s="1"/>
  <c r="BJ191" i="7"/>
  <c r="BI192" i="7"/>
  <c r="BD121" i="50"/>
  <c r="BD131" i="50" s="1"/>
  <c r="BC19" i="50"/>
  <c r="BJ34" i="52"/>
  <c r="BJ36" i="52"/>
  <c r="BC11" i="51"/>
  <c r="BN147" i="53"/>
  <c r="BN146" i="53" s="1"/>
  <c r="BN123" i="53" s="1"/>
  <c r="BN48" i="52" s="1"/>
  <c r="BM146" i="53"/>
  <c r="BL31" i="52"/>
  <c r="BL29" i="52"/>
  <c r="BL24" i="52"/>
  <c r="BK43" i="52"/>
  <c r="BH65" i="52"/>
  <c r="BH64" i="52"/>
  <c r="BH26" i="52"/>
  <c r="BH25" i="52"/>
  <c r="BH38" i="52"/>
  <c r="BJ24" i="52"/>
  <c r="BJ25" i="52" s="1"/>
  <c r="BL46" i="52"/>
  <c r="BL63" i="52"/>
  <c r="BL208" i="7"/>
  <c r="BL191" i="7"/>
  <c r="BL44" i="52"/>
  <c r="BK28" i="52"/>
  <c r="BL30" i="52" s="1"/>
  <c r="BF70" i="52"/>
  <c r="BF68" i="52"/>
  <c r="BF69" i="52"/>
  <c r="BL49" i="52"/>
  <c r="BL51" i="52"/>
  <c r="BK53" i="52"/>
  <c r="BL55" i="52" s="1"/>
  <c r="BN144" i="53"/>
  <c r="BN143" i="53" s="1"/>
  <c r="BN120" i="53" s="1"/>
  <c r="BN43" i="52" s="1"/>
  <c r="BM143" i="53"/>
  <c r="BM120" i="53" s="1"/>
  <c r="BM43" i="52" s="1"/>
  <c r="AT115" i="50"/>
  <c r="BI67" i="52" l="1"/>
  <c r="BI70" i="52" s="1"/>
  <c r="BM45" i="52"/>
  <c r="BM44" i="52"/>
  <c r="BM46" i="52"/>
  <c r="BM191" i="7"/>
  <c r="BM208" i="7"/>
  <c r="BK50" i="52"/>
  <c r="BK51" i="52"/>
  <c r="BK49" i="52"/>
  <c r="BI218" i="7"/>
  <c r="BM127" i="53"/>
  <c r="BO149" i="53"/>
  <c r="BO150" i="53" s="1"/>
  <c r="BI65" i="52"/>
  <c r="BI64" i="52"/>
  <c r="BK30" i="52"/>
  <c r="BK29" i="52"/>
  <c r="BK24" i="52"/>
  <c r="BL26" i="52" s="1"/>
  <c r="BK31" i="52"/>
  <c r="BN191" i="7"/>
  <c r="BN45" i="52"/>
  <c r="BN63" i="52"/>
  <c r="BN44" i="52"/>
  <c r="BN46" i="52"/>
  <c r="BN208" i="7"/>
  <c r="BH41" i="52"/>
  <c r="BH214" i="7" s="1"/>
  <c r="BH217" i="7" s="1"/>
  <c r="BH218" i="7" s="1"/>
  <c r="BH40" i="52"/>
  <c r="BH67" i="52"/>
  <c r="BH39" i="52"/>
  <c r="BJ38" i="52"/>
  <c r="BM123" i="53"/>
  <c r="BO146" i="53"/>
  <c r="BO147" i="53" s="1"/>
  <c r="BD119" i="50"/>
  <c r="BE121" i="50"/>
  <c r="BO143" i="53"/>
  <c r="BO144" i="53" s="1"/>
  <c r="BN36" i="52"/>
  <c r="BN34" i="52"/>
  <c r="BN54" i="52"/>
  <c r="BN56" i="52"/>
  <c r="BJ54" i="52"/>
  <c r="BJ56" i="52"/>
  <c r="BI68" i="52"/>
  <c r="BN49" i="52"/>
  <c r="BN51" i="52"/>
  <c r="BD124" i="50"/>
  <c r="BM113" i="53"/>
  <c r="BO137" i="53"/>
  <c r="BO138" i="53" s="1"/>
  <c r="BM117" i="53"/>
  <c r="BO140" i="53"/>
  <c r="BO141" i="53" s="1"/>
  <c r="AU116" i="50"/>
  <c r="BO120" i="53"/>
  <c r="BK191" i="7"/>
  <c r="BK46" i="52"/>
  <c r="BO43" i="52"/>
  <c r="BK208" i="7"/>
  <c r="BK45" i="52"/>
  <c r="BK63" i="52"/>
  <c r="BL65" i="52" s="1"/>
  <c r="BK44" i="52"/>
  <c r="BK56" i="52"/>
  <c r="BK54" i="52"/>
  <c r="BK55" i="52"/>
  <c r="BL25" i="52"/>
  <c r="BL38" i="52"/>
  <c r="BI194" i="7"/>
  <c r="BJ192" i="7"/>
  <c r="BJ194" i="7" s="1"/>
  <c r="BN24" i="52"/>
  <c r="BN29" i="52"/>
  <c r="BN31" i="52"/>
  <c r="BK36" i="52"/>
  <c r="BK35" i="52"/>
  <c r="BK34" i="52"/>
  <c r="BL45" i="52"/>
  <c r="BE131" i="50"/>
  <c r="BL64" i="52"/>
  <c r="BI40" i="52"/>
  <c r="AV73" i="53"/>
  <c r="AU52" i="50"/>
  <c r="BI69" i="52" l="1"/>
  <c r="BK65" i="52"/>
  <c r="BK64" i="52"/>
  <c r="BH70" i="52"/>
  <c r="BH68" i="52"/>
  <c r="BH69" i="52"/>
  <c r="BJ67" i="52"/>
  <c r="BN64" i="52"/>
  <c r="BL67" i="52"/>
  <c r="BL39" i="52"/>
  <c r="BL41" i="52"/>
  <c r="BL214" i="7" s="1"/>
  <c r="BL217" i="7" s="1"/>
  <c r="BD11" i="51"/>
  <c r="BE119" i="50"/>
  <c r="BN25" i="52"/>
  <c r="BN38" i="52"/>
  <c r="BO191" i="7"/>
  <c r="BN192" i="7"/>
  <c r="BM192" i="7"/>
  <c r="BM194" i="7" s="1"/>
  <c r="BL192" i="7"/>
  <c r="BL194" i="7" s="1"/>
  <c r="BK192" i="7"/>
  <c r="BK194" i="7" s="1"/>
  <c r="BM53" i="52"/>
  <c r="BO127" i="53"/>
  <c r="AV72" i="52"/>
  <c r="AV76" i="53"/>
  <c r="BO209" i="7"/>
  <c r="BO211" i="7" s="1"/>
  <c r="BL209" i="7"/>
  <c r="BL211" i="7" s="1"/>
  <c r="BN209" i="7"/>
  <c r="BN211" i="7" s="1"/>
  <c r="BK209" i="7"/>
  <c r="BK211" i="7" s="1"/>
  <c r="BM209" i="7"/>
  <c r="BM211" i="7" s="1"/>
  <c r="BO208" i="7"/>
  <c r="BO44" i="52"/>
  <c r="BO46" i="52"/>
  <c r="BM28" i="52"/>
  <c r="BO113" i="53"/>
  <c r="BM48" i="52"/>
  <c r="BO123" i="53"/>
  <c r="BM33" i="52"/>
  <c r="BO117" i="53"/>
  <c r="BD19" i="50"/>
  <c r="BE124" i="50"/>
  <c r="BF121" i="50"/>
  <c r="BF124" i="50" s="1"/>
  <c r="BJ39" i="52"/>
  <c r="BJ41" i="52"/>
  <c r="BJ214" i="7" s="1"/>
  <c r="BJ217" i="7" s="1"/>
  <c r="BJ218" i="7" s="1"/>
  <c r="BK26" i="52"/>
  <c r="BK38" i="52"/>
  <c r="BK25" i="52"/>
  <c r="BG121" i="50" l="1"/>
  <c r="BG119" i="50" s="1"/>
  <c r="BG11" i="51" s="1"/>
  <c r="BF19" i="50"/>
  <c r="BM29" i="52"/>
  <c r="BM24" i="52"/>
  <c r="BM31" i="52"/>
  <c r="BM30" i="52"/>
  <c r="BN30" i="52"/>
  <c r="BO28" i="52"/>
  <c r="BN194" i="7"/>
  <c r="BO192" i="7"/>
  <c r="BO194" i="7" s="1"/>
  <c r="BE11" i="51"/>
  <c r="BL68" i="52"/>
  <c r="BL70" i="52"/>
  <c r="BE19" i="50"/>
  <c r="AV75" i="52"/>
  <c r="BM56" i="52"/>
  <c r="BM54" i="52"/>
  <c r="BM55" i="52"/>
  <c r="BO53" i="52"/>
  <c r="BN55" i="52"/>
  <c r="BM36" i="52"/>
  <c r="BM35" i="52"/>
  <c r="BM34" i="52"/>
  <c r="BO33" i="52"/>
  <c r="BN35" i="52"/>
  <c r="BF119" i="50"/>
  <c r="BF131" i="50"/>
  <c r="BN41" i="52"/>
  <c r="BN214" i="7" s="1"/>
  <c r="BN217" i="7" s="1"/>
  <c r="BN218" i="7" s="1"/>
  <c r="BN39" i="52"/>
  <c r="BN67" i="52"/>
  <c r="BL218" i="7"/>
  <c r="BJ70" i="52"/>
  <c r="BJ68" i="52"/>
  <c r="BK67" i="52"/>
  <c r="BL69" i="52" s="1"/>
  <c r="BK40" i="52"/>
  <c r="BK39" i="52"/>
  <c r="BK41" i="52"/>
  <c r="BK214" i="7" s="1"/>
  <c r="BK217" i="7" s="1"/>
  <c r="BK218" i="7" s="1"/>
  <c r="BM49" i="52"/>
  <c r="BM51" i="52"/>
  <c r="BM50" i="52"/>
  <c r="BO48" i="52"/>
  <c r="BM63" i="52"/>
  <c r="BN50" i="52"/>
  <c r="AV78" i="53"/>
  <c r="AV81" i="53" s="1"/>
  <c r="BL40" i="52"/>
  <c r="BG131" i="50" l="1"/>
  <c r="BG124" i="50"/>
  <c r="BH121" i="50" s="1"/>
  <c r="BM25" i="52"/>
  <c r="BM38" i="52"/>
  <c r="BM26" i="52"/>
  <c r="BN26" i="52"/>
  <c r="BO24" i="52"/>
  <c r="BO25" i="52" s="1"/>
  <c r="BO36" i="52"/>
  <c r="BO34" i="52"/>
  <c r="AV88" i="53"/>
  <c r="AV86" i="53"/>
  <c r="AV89" i="53"/>
  <c r="AV82" i="53"/>
  <c r="BM64" i="52"/>
  <c r="BM65" i="52"/>
  <c r="BO63" i="52"/>
  <c r="BO64" i="52" s="1"/>
  <c r="BN65" i="52"/>
  <c r="AV77" i="52"/>
  <c r="AV78" i="52" s="1"/>
  <c r="BO49" i="52"/>
  <c r="BO51" i="52"/>
  <c r="BN68" i="52"/>
  <c r="BN70" i="52"/>
  <c r="BF11" i="51"/>
  <c r="BO29" i="52"/>
  <c r="BO31" i="52"/>
  <c r="BK70" i="52"/>
  <c r="BK68" i="52"/>
  <c r="BK69" i="52"/>
  <c r="BO54" i="52"/>
  <c r="BO56" i="52"/>
  <c r="BH131" i="50" l="1"/>
  <c r="BG19" i="50"/>
  <c r="BH119" i="50"/>
  <c r="BH124" i="50"/>
  <c r="BM40" i="52"/>
  <c r="BM39" i="52"/>
  <c r="BM67" i="52"/>
  <c r="BM41" i="52"/>
  <c r="BM214" i="7" s="1"/>
  <c r="BM217" i="7" s="1"/>
  <c r="BM218" i="7" s="1"/>
  <c r="BN40" i="52"/>
  <c r="BO38" i="52"/>
  <c r="AV80" i="52"/>
  <c r="BO39" i="52" l="1"/>
  <c r="BO41" i="52"/>
  <c r="BO214" i="7" s="1"/>
  <c r="BO217" i="7" s="1"/>
  <c r="BO218" i="7" s="1"/>
  <c r="AV85" i="52"/>
  <c r="AV10" i="51"/>
  <c r="AV87" i="52"/>
  <c r="AV81" i="52"/>
  <c r="AV88" i="52"/>
  <c r="AV42" i="50"/>
  <c r="BH11" i="51"/>
  <c r="BH19" i="50"/>
  <c r="BI121" i="50"/>
  <c r="BI124" i="50" s="1"/>
  <c r="BM70" i="52"/>
  <c r="BM69" i="52"/>
  <c r="BM68" i="52"/>
  <c r="BO67" i="52"/>
  <c r="BN69" i="52"/>
  <c r="AV49" i="50" l="1"/>
  <c r="BJ124" i="50"/>
  <c r="BK121" i="50"/>
  <c r="BI19" i="50"/>
  <c r="BJ19" i="50" s="1"/>
  <c r="AV32" i="51"/>
  <c r="BO68" i="52"/>
  <c r="BO70" i="52"/>
  <c r="BI119" i="50"/>
  <c r="BJ121" i="50"/>
  <c r="BI131" i="50"/>
  <c r="AV98" i="50" l="1"/>
  <c r="AV99" i="50" s="1"/>
  <c r="AV78" i="51"/>
  <c r="AV67" i="51"/>
  <c r="BI11" i="51"/>
  <c r="BJ11" i="51" s="1"/>
  <c r="BJ119" i="50"/>
  <c r="AV50" i="50"/>
  <c r="BK119" i="50"/>
  <c r="BK131" i="50"/>
  <c r="BJ131" i="50"/>
  <c r="BK124" i="50"/>
  <c r="AV69" i="51" l="1"/>
  <c r="AV81" i="51"/>
  <c r="BK11" i="51"/>
  <c r="BL121" i="50"/>
  <c r="BL124" i="50" s="1"/>
  <c r="BK19" i="50"/>
  <c r="BL131" i="50" l="1"/>
  <c r="BM121" i="50"/>
  <c r="BM119" i="50" s="1"/>
  <c r="BM11" i="51" s="1"/>
  <c r="BL19" i="50"/>
  <c r="AV10" i="50"/>
  <c r="AV75" i="51" s="1"/>
  <c r="AW68" i="51"/>
  <c r="AV82" i="51"/>
  <c r="AV203" i="7" s="1"/>
  <c r="AV204" i="7" s="1"/>
  <c r="AV84" i="51"/>
  <c r="AV107" i="50"/>
  <c r="BL119" i="50"/>
  <c r="BM131" i="50" l="1"/>
  <c r="AV111" i="50"/>
  <c r="AV108" i="50"/>
  <c r="AV85" i="51"/>
  <c r="AV113" i="50"/>
  <c r="AV56" i="50"/>
  <c r="AV58" i="50" s="1"/>
  <c r="AV16" i="50"/>
  <c r="AV71" i="51"/>
  <c r="AV73" i="51" s="1"/>
  <c r="AV155" i="53"/>
  <c r="AV157" i="53" s="1"/>
  <c r="AW158" i="53" s="1"/>
  <c r="BM124" i="50"/>
  <c r="BL11" i="51"/>
  <c r="AW73" i="53" l="1"/>
  <c r="AV114" i="50"/>
  <c r="BN121" i="50"/>
  <c r="BM19" i="50"/>
  <c r="AV25" i="50"/>
  <c r="AV52" i="50" l="1"/>
  <c r="BN119" i="50"/>
  <c r="BO121" i="50"/>
  <c r="BN131" i="50"/>
  <c r="BO131" i="50" s="1"/>
  <c r="BN124" i="50"/>
  <c r="AW76" i="53"/>
  <c r="AW72" i="52"/>
  <c r="BN19" i="50" l="1"/>
  <c r="BO19" i="50" s="1"/>
  <c r="BO124" i="50"/>
  <c r="AW78" i="53"/>
  <c r="AW81" i="53" s="1"/>
  <c r="AW75" i="52"/>
  <c r="BN11" i="51"/>
  <c r="BO11" i="51" s="1"/>
  <c r="BO119" i="50"/>
  <c r="AW77" i="52" l="1"/>
  <c r="AW80" i="52" s="1"/>
  <c r="AW89" i="53"/>
  <c r="AW82" i="53"/>
  <c r="AW86" i="53"/>
  <c r="AW88" i="53"/>
  <c r="AW78" i="52" l="1"/>
  <c r="AW88" i="52"/>
  <c r="AW85" i="52"/>
  <c r="AW81" i="52"/>
  <c r="AW10" i="51"/>
  <c r="AW87" i="52"/>
  <c r="AW42" i="50"/>
  <c r="AW49" i="50" l="1"/>
  <c r="AW32" i="51"/>
  <c r="AW78" i="51" l="1"/>
  <c r="AW98" i="50"/>
  <c r="AW99" i="50" s="1"/>
  <c r="AW67" i="51"/>
  <c r="AW50" i="50"/>
  <c r="AW69" i="51" l="1"/>
  <c r="AW81" i="51"/>
  <c r="AW84" i="51" l="1"/>
  <c r="AW107" i="50"/>
  <c r="AW82" i="51"/>
  <c r="AW203" i="7" s="1"/>
  <c r="AW204" i="7" s="1"/>
  <c r="AW10" i="50"/>
  <c r="AX68" i="51"/>
  <c r="AW56" i="50" l="1"/>
  <c r="AW58" i="50" s="1"/>
  <c r="AW71" i="51"/>
  <c r="AW73" i="51" s="1"/>
  <c r="AW16" i="50"/>
  <c r="AW155" i="53"/>
  <c r="AW157" i="53" s="1"/>
  <c r="AX158" i="53" s="1"/>
  <c r="AW75" i="51"/>
  <c r="AW111" i="50"/>
  <c r="AW108" i="50"/>
  <c r="AW113" i="50"/>
  <c r="AW85" i="51"/>
  <c r="AW114" i="50" l="1"/>
  <c r="AX73" i="53"/>
  <c r="AW25" i="50"/>
  <c r="AW52" i="50" l="1"/>
  <c r="AX72" i="52"/>
  <c r="AX76" i="53"/>
  <c r="AX78" i="53" l="1"/>
  <c r="AX81" i="53" s="1"/>
  <c r="AX75" i="52"/>
  <c r="AX77" i="52" l="1"/>
  <c r="AX80" i="52" s="1"/>
  <c r="AX89" i="53"/>
  <c r="AX82" i="53"/>
  <c r="AX88" i="53"/>
  <c r="AX86" i="53"/>
  <c r="AX78" i="52" l="1"/>
  <c r="AX87" i="52"/>
  <c r="AX10" i="51"/>
  <c r="AX88" i="52"/>
  <c r="AX81" i="52"/>
  <c r="AX85" i="52"/>
  <c r="AX42" i="50"/>
  <c r="AX32" i="51" l="1"/>
  <c r="AX49" i="50"/>
  <c r="AX78" i="51" l="1"/>
  <c r="AX67" i="51"/>
  <c r="AX98" i="50"/>
  <c r="AX99" i="50" s="1"/>
  <c r="AX50" i="50"/>
  <c r="AX69" i="51" l="1"/>
  <c r="AX81" i="51"/>
  <c r="AX107" i="50" l="1"/>
  <c r="AX82" i="51"/>
  <c r="AX203" i="7" s="1"/>
  <c r="AX204" i="7" s="1"/>
  <c r="AX84" i="51"/>
  <c r="AX10" i="50"/>
  <c r="AY68" i="51"/>
  <c r="AX155" i="53" l="1"/>
  <c r="AX157" i="53" s="1"/>
  <c r="AY158" i="53" s="1"/>
  <c r="AX56" i="50"/>
  <c r="AX58" i="50" s="1"/>
  <c r="AX16" i="50"/>
  <c r="AX71" i="51"/>
  <c r="AX73" i="51" s="1"/>
  <c r="AX113" i="50"/>
  <c r="AX85" i="51"/>
  <c r="AX75" i="51"/>
  <c r="AX108" i="50"/>
  <c r="AX111" i="50"/>
  <c r="AX25" i="50" l="1"/>
  <c r="AX114" i="50"/>
  <c r="AY73" i="53"/>
  <c r="AZ158" i="53"/>
  <c r="AY72" i="52" l="1"/>
  <c r="AY76" i="53"/>
  <c r="AZ73" i="53"/>
  <c r="AX52" i="50"/>
  <c r="AY78" i="53" l="1"/>
  <c r="AZ76" i="53"/>
  <c r="AY75" i="52"/>
  <c r="AZ72" i="52"/>
  <c r="AY77" i="52" l="1"/>
  <c r="AZ77" i="52" s="1"/>
  <c r="AZ78" i="53"/>
  <c r="AZ75" i="52"/>
  <c r="AY81" i="53"/>
  <c r="AY80" i="52" l="1"/>
  <c r="AY85" i="52" s="1"/>
  <c r="AZ85" i="52" s="1"/>
  <c r="AY89" i="53"/>
  <c r="AY82" i="53"/>
  <c r="AY88" i="53"/>
  <c r="AY86" i="53"/>
  <c r="AZ86" i="53" s="1"/>
  <c r="AZ81" i="53"/>
  <c r="AZ78" i="52"/>
  <c r="AY78" i="52"/>
  <c r="AZ80" i="52" l="1"/>
  <c r="AZ87" i="52" s="1"/>
  <c r="AY81" i="52"/>
  <c r="AY87" i="52"/>
  <c r="AY88" i="52"/>
  <c r="AY42" i="50"/>
  <c r="AY49" i="50" s="1"/>
  <c r="AY10" i="51"/>
  <c r="AZ88" i="53"/>
  <c r="AZ82" i="53"/>
  <c r="AZ89" i="53"/>
  <c r="AZ88" i="52" l="1"/>
  <c r="AZ81" i="52"/>
  <c r="AZ10" i="51"/>
  <c r="AY32" i="51"/>
  <c r="AZ32" i="51" s="1"/>
  <c r="AZ42" i="50"/>
  <c r="AZ49" i="50"/>
  <c r="AY50" i="50"/>
  <c r="AY78" i="51" l="1"/>
  <c r="AZ78" i="51" s="1"/>
  <c r="AY67" i="51"/>
  <c r="AY69" i="51" s="1"/>
  <c r="AY98" i="50"/>
  <c r="AY99" i="50" s="1"/>
  <c r="AZ50" i="50"/>
  <c r="AZ67" i="51"/>
  <c r="AZ98" i="50"/>
  <c r="AZ99" i="50" s="1"/>
  <c r="AY81" i="51"/>
  <c r="AZ69" i="51" l="1"/>
  <c r="AY107" i="50"/>
  <c r="AY84" i="51"/>
  <c r="AY82" i="51"/>
  <c r="AY203" i="7" s="1"/>
  <c r="AY204" i="7" s="1"/>
  <c r="AZ81" i="51"/>
  <c r="AY10" i="50"/>
  <c r="AY75" i="51" s="1"/>
  <c r="BA68" i="51"/>
  <c r="BE68" i="51" s="1"/>
  <c r="AY85" i="51" l="1"/>
  <c r="AY113" i="50"/>
  <c r="AZ84" i="51"/>
  <c r="AY108" i="50"/>
  <c r="AY111" i="50"/>
  <c r="AY56" i="50"/>
  <c r="AY58" i="50" s="1"/>
  <c r="AY71" i="51"/>
  <c r="AY73" i="51" s="1"/>
  <c r="AY16" i="50"/>
  <c r="AZ10" i="50"/>
  <c r="AY155" i="53"/>
  <c r="AZ82" i="51"/>
  <c r="AZ203" i="7" s="1"/>
  <c r="AZ204" i="7" s="1"/>
  <c r="AZ107" i="50"/>
  <c r="AY109" i="50" s="1"/>
  <c r="AZ71" i="51" l="1"/>
  <c r="AZ73" i="51" s="1"/>
  <c r="AZ56" i="50"/>
  <c r="AZ58" i="50" s="1"/>
  <c r="AZ75" i="51"/>
  <c r="AY25" i="50"/>
  <c r="AZ16" i="50"/>
  <c r="AZ113" i="50"/>
  <c r="AY115" i="50" s="1"/>
  <c r="AZ85" i="51"/>
  <c r="AZ111" i="50"/>
  <c r="AZ108" i="50"/>
  <c r="AZ110" i="50" s="1"/>
  <c r="AV109" i="50"/>
  <c r="AW109" i="50"/>
  <c r="AX109" i="50"/>
  <c r="AY114" i="50"/>
  <c r="AZ155" i="53"/>
  <c r="AY157" i="53"/>
  <c r="AY52" i="50" l="1"/>
  <c r="AZ25" i="50"/>
  <c r="AZ157" i="53"/>
  <c r="AZ159" i="53" s="1"/>
  <c r="BA158" i="53"/>
  <c r="AZ114" i="50"/>
  <c r="AV115" i="50"/>
  <c r="AW115" i="50"/>
  <c r="AX115" i="50"/>
  <c r="BA73" i="53" l="1"/>
  <c r="AZ52" i="50"/>
  <c r="AZ116" i="50"/>
  <c r="BA72" i="52" l="1"/>
  <c r="BA76" i="53"/>
  <c r="BA78" i="53" l="1"/>
  <c r="BA75" i="52"/>
  <c r="BA77" i="52" l="1"/>
  <c r="BA78" i="52" s="1"/>
  <c r="BA81" i="53"/>
  <c r="BA82" i="53" l="1"/>
  <c r="BA89" i="53"/>
  <c r="BA88" i="53"/>
  <c r="BA86" i="53"/>
  <c r="BA80" i="52"/>
  <c r="BA10" i="51" l="1"/>
  <c r="BA85" i="52"/>
  <c r="BA88" i="52"/>
  <c r="BA81" i="52"/>
  <c r="BA87" i="52"/>
  <c r="BA42" i="50"/>
  <c r="BA49" i="50" l="1"/>
  <c r="BA32" i="51"/>
  <c r="BA50" i="50" l="1"/>
  <c r="BA78" i="51"/>
  <c r="BA67" i="51"/>
  <c r="BA98" i="50"/>
  <c r="BA99" i="50" s="1"/>
  <c r="BA69" i="51" l="1"/>
  <c r="BA81" i="51"/>
  <c r="BA84" i="51" l="1"/>
  <c r="BA107" i="50"/>
  <c r="BA82" i="51"/>
  <c r="BA203" i="7" s="1"/>
  <c r="BA204" i="7" s="1"/>
  <c r="BB68" i="51"/>
  <c r="BA10" i="50"/>
  <c r="BA75" i="51" s="1"/>
  <c r="BA108" i="50" l="1"/>
  <c r="BA111" i="50"/>
  <c r="BA113" i="50"/>
  <c r="BA85" i="51"/>
  <c r="BA71" i="51"/>
  <c r="BA73" i="51" s="1"/>
  <c r="BA16" i="50"/>
  <c r="BA155" i="53"/>
  <c r="BA157" i="53" s="1"/>
  <c r="BB158" i="53" s="1"/>
  <c r="BA56" i="50"/>
  <c r="BA58" i="50" s="1"/>
  <c r="BA114" i="50" l="1"/>
  <c r="BB73" i="53"/>
  <c r="BA25" i="50"/>
  <c r="BB72" i="52" l="1"/>
  <c r="BB76" i="53"/>
  <c r="BA52" i="50"/>
  <c r="BB78" i="53" l="1"/>
  <c r="BB75" i="52"/>
  <c r="BB77" i="52" l="1"/>
  <c r="BB81" i="53"/>
  <c r="BB80" i="52" l="1"/>
  <c r="BB78" i="52"/>
  <c r="BB89" i="53"/>
  <c r="BB88" i="53"/>
  <c r="BB82" i="53"/>
  <c r="BB86" i="53"/>
  <c r="BB10" i="51" l="1"/>
  <c r="BB87" i="52"/>
  <c r="BB85" i="52"/>
  <c r="BB81" i="52"/>
  <c r="BB88" i="52"/>
  <c r="BB42" i="50"/>
  <c r="BB32" i="51" l="1"/>
  <c r="BB49" i="50"/>
  <c r="BB98" i="50" l="1"/>
  <c r="BB99" i="50" s="1"/>
  <c r="BB67" i="51"/>
  <c r="BB78" i="51"/>
  <c r="BB50" i="50"/>
  <c r="BB69" i="51" l="1"/>
  <c r="BB81" i="51"/>
  <c r="BB107" i="50" l="1"/>
  <c r="BB82" i="51"/>
  <c r="BB203" i="7" s="1"/>
  <c r="BB204" i="7" s="1"/>
  <c r="BB84" i="51"/>
  <c r="BB10" i="50"/>
  <c r="BC68" i="51"/>
  <c r="BB155" i="53" l="1"/>
  <c r="BB157" i="53" s="1"/>
  <c r="BC158" i="53" s="1"/>
  <c r="BB56" i="50"/>
  <c r="BB58" i="50" s="1"/>
  <c r="BB71" i="51"/>
  <c r="BB73" i="51" s="1"/>
  <c r="BB16" i="50"/>
  <c r="BB113" i="50"/>
  <c r="BB85" i="51"/>
  <c r="BB75" i="51"/>
  <c r="BB111" i="50"/>
  <c r="BB108" i="50"/>
  <c r="BB114" i="50" l="1"/>
  <c r="BB25" i="50"/>
  <c r="BC73" i="53"/>
  <c r="BC72" i="52" l="1"/>
  <c r="BC76" i="53"/>
  <c r="BB52" i="50"/>
  <c r="BC78" i="53" l="1"/>
  <c r="BC75" i="52"/>
  <c r="BC77" i="52" l="1"/>
  <c r="BC80" i="52" s="1"/>
  <c r="BC81" i="53"/>
  <c r="BC78" i="52" l="1"/>
  <c r="BC86" i="53"/>
  <c r="BC88" i="53"/>
  <c r="BC82" i="53"/>
  <c r="BC89" i="53"/>
  <c r="BC10" i="51"/>
  <c r="BC81" i="52"/>
  <c r="BC85" i="52"/>
  <c r="BC87" i="52"/>
  <c r="BC88" i="52"/>
  <c r="BC42" i="50"/>
  <c r="BC49" i="50" l="1"/>
  <c r="BC32" i="51"/>
  <c r="BC50" i="50" l="1"/>
  <c r="BC67" i="51"/>
  <c r="BC78" i="51"/>
  <c r="BC98" i="50"/>
  <c r="BC99" i="50" s="1"/>
  <c r="BC81" i="51" l="1"/>
  <c r="BC69" i="51"/>
  <c r="BD68" i="51" l="1"/>
  <c r="BC10" i="50"/>
  <c r="BC75" i="51" s="1"/>
  <c r="BC107" i="50"/>
  <c r="BC82" i="51"/>
  <c r="BC203" i="7" s="1"/>
  <c r="BC204" i="7" s="1"/>
  <c r="BC84" i="51"/>
  <c r="BC113" i="50" l="1"/>
  <c r="BC85" i="51"/>
  <c r="BC111" i="50"/>
  <c r="BC108" i="50"/>
  <c r="BC155" i="53"/>
  <c r="BC157" i="53" s="1"/>
  <c r="BD158" i="53" s="1"/>
  <c r="BC71" i="51"/>
  <c r="BC73" i="51" s="1"/>
  <c r="BC56" i="50"/>
  <c r="BC58" i="50" s="1"/>
  <c r="BC16" i="50"/>
  <c r="BC25" i="50" l="1"/>
  <c r="BD73" i="53"/>
  <c r="BE158" i="53"/>
  <c r="BC114" i="50"/>
  <c r="BD72" i="52" l="1"/>
  <c r="BD76" i="53"/>
  <c r="BE73" i="53"/>
  <c r="BC52" i="50"/>
  <c r="BD78" i="53" l="1"/>
  <c r="BD81" i="53" s="1"/>
  <c r="BE76" i="53"/>
  <c r="BD75" i="52"/>
  <c r="BE72" i="52"/>
  <c r="BD86" i="53" l="1"/>
  <c r="BE86" i="53" s="1"/>
  <c r="BD89" i="53"/>
  <c r="BD88" i="53"/>
  <c r="BD82" i="53"/>
  <c r="BE81" i="53"/>
  <c r="BD77" i="52"/>
  <c r="BE77" i="52" s="1"/>
  <c r="BE78" i="53"/>
  <c r="BE75" i="52"/>
  <c r="BE78" i="52" l="1"/>
  <c r="BE89" i="53"/>
  <c r="BE88" i="53"/>
  <c r="BE82" i="53"/>
  <c r="BD78" i="52"/>
  <c r="BD80" i="52"/>
  <c r="BD87" i="52" l="1"/>
  <c r="BD81" i="52"/>
  <c r="BD85" i="52"/>
  <c r="BE85" i="52" s="1"/>
  <c r="BD10" i="51"/>
  <c r="BD88" i="52"/>
  <c r="BE80" i="52"/>
  <c r="BD42" i="50"/>
  <c r="BD32" i="51" l="1"/>
  <c r="BE10" i="51"/>
  <c r="BD49" i="50"/>
  <c r="BE42" i="50"/>
  <c r="BE88" i="52"/>
  <c r="BE87" i="52"/>
  <c r="BE81" i="52"/>
  <c r="BD67" i="51" l="1"/>
  <c r="BD98" i="50"/>
  <c r="BD99" i="50" s="1"/>
  <c r="BD78" i="51"/>
  <c r="BE32" i="51"/>
  <c r="BE49" i="50"/>
  <c r="BD50" i="50"/>
  <c r="BE98" i="50" l="1"/>
  <c r="BE99" i="50" s="1"/>
  <c r="BE67" i="51"/>
  <c r="BD81" i="51"/>
  <c r="BE78" i="51"/>
  <c r="BE50" i="50"/>
  <c r="BD69" i="51"/>
  <c r="BF68" i="51" l="1"/>
  <c r="BJ68" i="51" s="1"/>
  <c r="BD10" i="50"/>
  <c r="BE69" i="51"/>
  <c r="BD82" i="51"/>
  <c r="BD203" i="7" s="1"/>
  <c r="BD204" i="7" s="1"/>
  <c r="BD107" i="50"/>
  <c r="BD84" i="51"/>
  <c r="BE81" i="51"/>
  <c r="BD108" i="50" l="1"/>
  <c r="BD111" i="50"/>
  <c r="BD16" i="50"/>
  <c r="BD155" i="53"/>
  <c r="BD71" i="51"/>
  <c r="BD73" i="51" s="1"/>
  <c r="BD56" i="50"/>
  <c r="BD58" i="50" s="1"/>
  <c r="BE10" i="50"/>
  <c r="BD113" i="50"/>
  <c r="BD85" i="51"/>
  <c r="BE84" i="51"/>
  <c r="BD75" i="51"/>
  <c r="BE82" i="51"/>
  <c r="BE203" i="7" s="1"/>
  <c r="BE204" i="7" s="1"/>
  <c r="BE107" i="50"/>
  <c r="BD25" i="50" l="1"/>
  <c r="BE16" i="50"/>
  <c r="BE111" i="50"/>
  <c r="BE108" i="50"/>
  <c r="BE110" i="50" s="1"/>
  <c r="BA109" i="50"/>
  <c r="BB109" i="50"/>
  <c r="BC109" i="50"/>
  <c r="BD114" i="50"/>
  <c r="BE56" i="50"/>
  <c r="BE58" i="50" s="1"/>
  <c r="BE71" i="51"/>
  <c r="BE73" i="51" s="1"/>
  <c r="BD109" i="50"/>
  <c r="BE85" i="51"/>
  <c r="BE113" i="50"/>
  <c r="BD115" i="50" s="1"/>
  <c r="BE155" i="53"/>
  <c r="BD157" i="53"/>
  <c r="BE75" i="51"/>
  <c r="BE25" i="50" l="1"/>
  <c r="BD52" i="50"/>
  <c r="BF158" i="53"/>
  <c r="BE157" i="53"/>
  <c r="BE159" i="53" s="1"/>
  <c r="BE114" i="50"/>
  <c r="BA115" i="50"/>
  <c r="BB115" i="50"/>
  <c r="BC115" i="50"/>
  <c r="BE116" i="50" l="1"/>
  <c r="BE52" i="50"/>
  <c r="BF73" i="53"/>
  <c r="BF72" i="52" l="1"/>
  <c r="BF76" i="53"/>
  <c r="BF78" i="53" l="1"/>
  <c r="BF81" i="53" s="1"/>
  <c r="BF75" i="52"/>
  <c r="BF89" i="53" l="1"/>
  <c r="BF82" i="53"/>
  <c r="BF86" i="53"/>
  <c r="BF88" i="53"/>
  <c r="BF77" i="52"/>
  <c r="BF78" i="52" l="1"/>
  <c r="BF80" i="52"/>
  <c r="BF88" i="52" l="1"/>
  <c r="BF81" i="52"/>
  <c r="BF87" i="52"/>
  <c r="BF85" i="52"/>
  <c r="BF10" i="51"/>
  <c r="BF42" i="50"/>
  <c r="BF32" i="51" l="1"/>
  <c r="BF49" i="50"/>
  <c r="BF50" i="50" s="1"/>
  <c r="BF78" i="51" l="1"/>
  <c r="BF98" i="50"/>
  <c r="BF99" i="50" s="1"/>
  <c r="BF67" i="51"/>
  <c r="BF69" i="51" s="1"/>
  <c r="BF10" i="50" l="1"/>
  <c r="BF75" i="51" s="1"/>
  <c r="BG68" i="51"/>
  <c r="BF81" i="51"/>
  <c r="BF107" i="50" l="1"/>
  <c r="BF84" i="51"/>
  <c r="BF82" i="51"/>
  <c r="BF203" i="7" s="1"/>
  <c r="BF204" i="7" s="1"/>
  <c r="BF56" i="50"/>
  <c r="BF58" i="50" s="1"/>
  <c r="BF16" i="50"/>
  <c r="BF25" i="50" s="1"/>
  <c r="BF52" i="50" s="1"/>
  <c r="BF155" i="53"/>
  <c r="BF157" i="53" s="1"/>
  <c r="BG158" i="53" s="1"/>
  <c r="BF71" i="51"/>
  <c r="BF73" i="51" s="1"/>
  <c r="BF85" i="51" l="1"/>
  <c r="BF113" i="50"/>
  <c r="BF108" i="50"/>
  <c r="BF111" i="50"/>
  <c r="BG73" i="53"/>
  <c r="BF114" i="50" l="1"/>
  <c r="BG72" i="52"/>
  <c r="BG76" i="53"/>
  <c r="BG78" i="53" l="1"/>
  <c r="BG75" i="52"/>
  <c r="BG77" i="52" l="1"/>
  <c r="BG81" i="53"/>
  <c r="BG89" i="53" l="1"/>
  <c r="BG82" i="53"/>
  <c r="BG86" i="53"/>
  <c r="BG88" i="53"/>
  <c r="BG78" i="52"/>
  <c r="BG80" i="52"/>
  <c r="BG81" i="52" l="1"/>
  <c r="BG87" i="52"/>
  <c r="BG88" i="52"/>
  <c r="BG10" i="51"/>
  <c r="BG85" i="52"/>
  <c r="BG42" i="50"/>
  <c r="BG32" i="51" l="1"/>
  <c r="BG49" i="50"/>
  <c r="BG50" i="50" s="1"/>
  <c r="BG67" i="51" l="1"/>
  <c r="BG69" i="51" s="1"/>
  <c r="BG98" i="50"/>
  <c r="BG99" i="50" s="1"/>
  <c r="BG78" i="51"/>
  <c r="BG81" i="51" l="1"/>
  <c r="BG10" i="50"/>
  <c r="BH68" i="51"/>
  <c r="BG71" i="51" l="1"/>
  <c r="BG73" i="51" s="1"/>
  <c r="BG155" i="53"/>
  <c r="BG157" i="53" s="1"/>
  <c r="BH158" i="53" s="1"/>
  <c r="BG56" i="50"/>
  <c r="BG58" i="50" s="1"/>
  <c r="BG16" i="50"/>
  <c r="BG25" i="50" s="1"/>
  <c r="BG52" i="50" s="1"/>
  <c r="BG75" i="51"/>
  <c r="BG82" i="51"/>
  <c r="BG203" i="7" s="1"/>
  <c r="BG204" i="7" s="1"/>
  <c r="BG107" i="50"/>
  <c r="BG84" i="51"/>
  <c r="BG113" i="50" l="1"/>
  <c r="BG85" i="51"/>
  <c r="BH73" i="53"/>
  <c r="BG108" i="50"/>
  <c r="BG111" i="50"/>
  <c r="BH72" i="52" l="1"/>
  <c r="BH76" i="53"/>
  <c r="BG114" i="50"/>
  <c r="BH78" i="53" l="1"/>
  <c r="BH75" i="52"/>
  <c r="BH77" i="52" l="1"/>
  <c r="BH81" i="53"/>
  <c r="BH89" i="53" l="1"/>
  <c r="BH82" i="53"/>
  <c r="BH88" i="53"/>
  <c r="BH86" i="53"/>
  <c r="BH80" i="52"/>
  <c r="BH78" i="52"/>
  <c r="BH88" i="52" l="1"/>
  <c r="BH10" i="51"/>
  <c r="BH85" i="52"/>
  <c r="BH81" i="52"/>
  <c r="BH87" i="52"/>
  <c r="BH42" i="50"/>
  <c r="BH32" i="51" l="1"/>
  <c r="BH49" i="50"/>
  <c r="BH50" i="50" s="1"/>
  <c r="BH78" i="51" l="1"/>
  <c r="BH67" i="51"/>
  <c r="BH69" i="51" s="1"/>
  <c r="BH98" i="50"/>
  <c r="BH99" i="50" s="1"/>
  <c r="BH10" i="50" l="1"/>
  <c r="BH75" i="51" s="1"/>
  <c r="BI68" i="51"/>
  <c r="BH81" i="51"/>
  <c r="BH82" i="51" l="1"/>
  <c r="BH203" i="7" s="1"/>
  <c r="BH204" i="7" s="1"/>
  <c r="BH84" i="51"/>
  <c r="BH107" i="50"/>
  <c r="BH155" i="53"/>
  <c r="BH157" i="53" s="1"/>
  <c r="BI158" i="53" s="1"/>
  <c r="BH16" i="50"/>
  <c r="BH25" i="50" s="1"/>
  <c r="BH52" i="50" s="1"/>
  <c r="BH71" i="51"/>
  <c r="BH73" i="51" s="1"/>
  <c r="BH56" i="50"/>
  <c r="BH58" i="50" s="1"/>
  <c r="BH85" i="51" l="1"/>
  <c r="BH113" i="50"/>
  <c r="BI73" i="53"/>
  <c r="BJ158" i="53"/>
  <c r="BH111" i="50"/>
  <c r="BH108" i="50"/>
  <c r="BH114" i="50" l="1"/>
  <c r="BI72" i="52"/>
  <c r="BI76" i="53"/>
  <c r="BJ73" i="53"/>
  <c r="BI78" i="53" l="1"/>
  <c r="BI81" i="53" s="1"/>
  <c r="BJ76" i="53"/>
  <c r="BI75" i="52"/>
  <c r="BJ72" i="52"/>
  <c r="BJ75" i="52" l="1"/>
  <c r="BI86" i="53"/>
  <c r="BJ86" i="53" s="1"/>
  <c r="BI88" i="53"/>
  <c r="BI89" i="53"/>
  <c r="BI82" i="53"/>
  <c r="BJ81" i="53"/>
  <c r="BI77" i="52"/>
  <c r="BJ77" i="52" s="1"/>
  <c r="BJ78" i="53"/>
  <c r="BJ89" i="53" l="1"/>
  <c r="BJ82" i="53"/>
  <c r="BJ88" i="53"/>
  <c r="BJ78" i="52"/>
  <c r="BI80" i="52"/>
  <c r="BI78" i="52"/>
  <c r="BI85" i="52" l="1"/>
  <c r="BJ85" i="52" s="1"/>
  <c r="BI81" i="52"/>
  <c r="BI10" i="51"/>
  <c r="BI87" i="52"/>
  <c r="BI88" i="52"/>
  <c r="BJ80" i="52"/>
  <c r="BI42" i="50"/>
  <c r="BJ81" i="52" l="1"/>
  <c r="BJ87" i="52"/>
  <c r="BJ88" i="52"/>
  <c r="BI32" i="51"/>
  <c r="BJ10" i="51"/>
  <c r="BI49" i="50"/>
  <c r="BJ42" i="50"/>
  <c r="BJ49" i="50" l="1"/>
  <c r="BI50" i="50"/>
  <c r="BJ50" i="50" s="1"/>
  <c r="BI78" i="51"/>
  <c r="BI67" i="51"/>
  <c r="BI69" i="51" s="1"/>
  <c r="BI98" i="50"/>
  <c r="BI99" i="50" s="1"/>
  <c r="BJ32" i="51"/>
  <c r="BI81" i="51" l="1"/>
  <c r="BJ78" i="51"/>
  <c r="BJ98" i="50"/>
  <c r="BJ99" i="50" s="1"/>
  <c r="BJ67" i="51"/>
  <c r="BJ69" i="51" s="1"/>
  <c r="BI10" i="50"/>
  <c r="BK68" i="51"/>
  <c r="BO68" i="51" s="1"/>
  <c r="BI155" i="53" l="1"/>
  <c r="BJ10" i="50"/>
  <c r="BI16" i="50"/>
  <c r="BI56" i="50"/>
  <c r="BI58" i="50" s="1"/>
  <c r="BI71" i="51"/>
  <c r="BI73" i="51" s="1"/>
  <c r="BI75" i="51"/>
  <c r="BI107" i="50"/>
  <c r="BI84" i="51"/>
  <c r="BI82" i="51"/>
  <c r="BI203" i="7" s="1"/>
  <c r="BI204" i="7" s="1"/>
  <c r="BJ81" i="51"/>
  <c r="BJ107" i="50" l="1"/>
  <c r="BI109" i="50" s="1"/>
  <c r="BJ82" i="51"/>
  <c r="BJ203" i="7" s="1"/>
  <c r="BJ204" i="7" s="1"/>
  <c r="BJ16" i="50"/>
  <c r="BI25" i="50"/>
  <c r="BI113" i="50"/>
  <c r="BI85" i="51"/>
  <c r="BJ84" i="51"/>
  <c r="BJ71" i="51"/>
  <c r="BJ73" i="51" s="1"/>
  <c r="BJ56" i="50"/>
  <c r="BJ58" i="50" s="1"/>
  <c r="BI108" i="50"/>
  <c r="BI111" i="50"/>
  <c r="BI157" i="53"/>
  <c r="BJ155" i="53"/>
  <c r="BJ75" i="51"/>
  <c r="BI114" i="50" l="1"/>
  <c r="BI52" i="50"/>
  <c r="BJ25" i="50"/>
  <c r="BJ52" i="50" s="1"/>
  <c r="BK158" i="53"/>
  <c r="BJ157" i="53"/>
  <c r="BJ159" i="53" s="1"/>
  <c r="BJ113" i="50"/>
  <c r="BI115" i="50" s="1"/>
  <c r="BJ85" i="51"/>
  <c r="BJ111" i="50"/>
  <c r="BJ108" i="50"/>
  <c r="BJ110" i="50" s="1"/>
  <c r="BF109" i="50"/>
  <c r="BG109" i="50"/>
  <c r="BH109" i="50"/>
  <c r="BK73" i="53" l="1"/>
  <c r="BJ114" i="50"/>
  <c r="BF115" i="50"/>
  <c r="BG115" i="50"/>
  <c r="BH115" i="50"/>
  <c r="BJ116" i="50" l="1"/>
  <c r="BK72" i="52"/>
  <c r="BK76" i="53"/>
  <c r="BK75" i="52" l="1"/>
  <c r="BK78" i="53"/>
  <c r="BK81" i="53" s="1"/>
  <c r="BK89" i="53" l="1"/>
  <c r="BK86" i="53"/>
  <c r="BK82" i="53"/>
  <c r="BK88" i="53"/>
  <c r="BK77" i="52"/>
  <c r="BK80" i="52" l="1"/>
  <c r="BK78" i="52"/>
  <c r="BK87" i="52" l="1"/>
  <c r="BK10" i="51"/>
  <c r="BK85" i="52"/>
  <c r="BK88" i="52"/>
  <c r="BK81" i="52"/>
  <c r="BK42" i="50"/>
  <c r="BK32" i="51" l="1"/>
  <c r="BK49" i="50"/>
  <c r="BK50" i="50" s="1"/>
  <c r="BK78" i="51" l="1"/>
  <c r="BK98" i="50"/>
  <c r="BK99" i="50" s="1"/>
  <c r="BK67" i="51"/>
  <c r="BK69" i="51" s="1"/>
  <c r="BL68" i="51" l="1"/>
  <c r="BK10" i="50"/>
  <c r="BK81" i="51"/>
  <c r="BK84" i="51" l="1"/>
  <c r="BK82" i="51"/>
  <c r="BK203" i="7" s="1"/>
  <c r="BK204" i="7" s="1"/>
  <c r="BK107" i="50"/>
  <c r="BK155" i="53"/>
  <c r="BK157" i="53" s="1"/>
  <c r="BL158" i="53" s="1"/>
  <c r="BK71" i="51"/>
  <c r="BK73" i="51" s="1"/>
  <c r="BK16" i="50"/>
  <c r="BK25" i="50" s="1"/>
  <c r="BK52" i="50" s="1"/>
  <c r="BK56" i="50"/>
  <c r="BK58" i="50" s="1"/>
  <c r="BK75" i="51"/>
  <c r="BL73" i="53" l="1"/>
  <c r="BK113" i="50"/>
  <c r="BK85" i="51"/>
  <c r="BK111" i="50"/>
  <c r="BK108" i="50"/>
  <c r="BK114" i="50" l="1"/>
  <c r="BL76" i="53"/>
  <c r="BL72" i="52"/>
  <c r="BL78" i="53" l="1"/>
  <c r="BL75" i="52"/>
  <c r="BL77" i="52" l="1"/>
  <c r="BL81" i="53"/>
  <c r="BL86" i="53" l="1"/>
  <c r="BL82" i="53"/>
  <c r="BL88" i="53"/>
  <c r="BL89" i="53"/>
  <c r="BL78" i="52"/>
  <c r="BL80" i="52"/>
  <c r="BL85" i="52" l="1"/>
  <c r="BL10" i="51"/>
  <c r="BL81" i="52"/>
  <c r="BL87" i="52"/>
  <c r="BL88" i="52"/>
  <c r="BL42" i="50"/>
  <c r="BL32" i="51" l="1"/>
  <c r="BL49" i="50"/>
  <c r="BL50" i="50" s="1"/>
  <c r="BL78" i="51" l="1"/>
  <c r="BL98" i="50"/>
  <c r="BL99" i="50" s="1"/>
  <c r="BL67" i="51"/>
  <c r="BL69" i="51" s="1"/>
  <c r="BL10" i="50" l="1"/>
  <c r="BL75" i="51" s="1"/>
  <c r="BM68" i="51"/>
  <c r="BL81" i="51"/>
  <c r="BL84" i="51" l="1"/>
  <c r="BL82" i="51"/>
  <c r="BL203" i="7" s="1"/>
  <c r="BL204" i="7" s="1"/>
  <c r="BL107" i="50"/>
  <c r="BL56" i="50"/>
  <c r="BL58" i="50" s="1"/>
  <c r="BL71" i="51"/>
  <c r="BL73" i="51" s="1"/>
  <c r="BL155" i="53"/>
  <c r="BL157" i="53" s="1"/>
  <c r="BM158" i="53" s="1"/>
  <c r="BL16" i="50"/>
  <c r="BL25" i="50" s="1"/>
  <c r="BL52" i="50" s="1"/>
  <c r="BL111" i="50" l="1"/>
  <c r="BL108" i="50"/>
  <c r="BM73" i="53"/>
  <c r="BL85" i="51"/>
  <c r="BL113" i="50"/>
  <c r="BM72" i="52" l="1"/>
  <c r="BM76" i="53"/>
  <c r="BL114" i="50"/>
  <c r="BM78" i="53" l="1"/>
  <c r="BM75" i="52"/>
  <c r="BM77" i="52" l="1"/>
  <c r="BM81" i="53"/>
  <c r="BM88" i="53" l="1"/>
  <c r="BM82" i="53"/>
  <c r="BM89" i="53"/>
  <c r="BM86" i="53"/>
  <c r="BM78" i="52"/>
  <c r="BM80" i="52"/>
  <c r="BM10" i="51" l="1"/>
  <c r="BM87" i="52"/>
  <c r="BM88" i="52"/>
  <c r="BM81" i="52"/>
  <c r="BM85" i="52"/>
  <c r="BM42" i="50"/>
  <c r="BM32" i="51" l="1"/>
  <c r="BM49" i="50"/>
  <c r="BM50" i="50" s="1"/>
  <c r="BM78" i="51" l="1"/>
  <c r="BM67" i="51"/>
  <c r="BM69" i="51" s="1"/>
  <c r="BM98" i="50"/>
  <c r="BM99" i="50" s="1"/>
  <c r="BM10" i="50" l="1"/>
  <c r="BM75" i="51" s="1"/>
  <c r="BN68" i="51"/>
  <c r="BM81" i="51"/>
  <c r="BM107" i="50" l="1"/>
  <c r="BM82" i="51"/>
  <c r="BM203" i="7" s="1"/>
  <c r="BM204" i="7" s="1"/>
  <c r="BM84" i="51"/>
  <c r="BM71" i="51"/>
  <c r="BM73" i="51" s="1"/>
  <c r="BM16" i="50"/>
  <c r="BM25" i="50" s="1"/>
  <c r="BM52" i="50" s="1"/>
  <c r="BM155" i="53"/>
  <c r="BM157" i="53" s="1"/>
  <c r="BN158" i="53" s="1"/>
  <c r="BM56" i="50"/>
  <c r="BM58" i="50" s="1"/>
  <c r="BM85" i="51" l="1"/>
  <c r="BM113" i="50"/>
  <c r="BN73" i="53"/>
  <c r="BO158" i="53"/>
  <c r="BM111" i="50"/>
  <c r="BM108" i="50"/>
  <c r="BN72" i="52" l="1"/>
  <c r="BN76" i="53"/>
  <c r="BO73" i="53"/>
  <c r="BM114" i="50"/>
  <c r="BN78" i="53" l="1"/>
  <c r="BO76" i="53"/>
  <c r="BN75" i="52"/>
  <c r="BO72" i="52"/>
  <c r="BO75" i="52" l="1"/>
  <c r="BN77" i="52"/>
  <c r="BO77" i="52" s="1"/>
  <c r="BO78" i="53"/>
  <c r="BN81" i="53"/>
  <c r="BN89" i="53" l="1"/>
  <c r="BN82" i="53"/>
  <c r="BN86" i="53"/>
  <c r="BO86" i="53" s="1"/>
  <c r="BN88" i="53"/>
  <c r="BO81" i="53"/>
  <c r="BO78" i="52"/>
  <c r="BN80" i="52"/>
  <c r="BN78" i="52"/>
  <c r="BO88" i="53" l="1"/>
  <c r="BO89" i="53"/>
  <c r="BO82" i="53"/>
  <c r="BN87" i="52"/>
  <c r="BN85" i="52"/>
  <c r="BO85" i="52" s="1"/>
  <c r="BN81" i="52"/>
  <c r="BN88" i="52"/>
  <c r="BN10" i="51"/>
  <c r="BO80" i="52"/>
  <c r="BN42" i="50"/>
  <c r="BN49" i="50" l="1"/>
  <c r="BO42" i="50"/>
  <c r="BO81" i="52"/>
  <c r="BO88" i="52"/>
  <c r="BO87" i="52"/>
  <c r="BN32" i="51"/>
  <c r="BO10" i="51"/>
  <c r="BN67" i="51" l="1"/>
  <c r="BN69" i="51" s="1"/>
  <c r="BN78" i="51"/>
  <c r="BN98" i="50"/>
  <c r="BN99" i="50" s="1"/>
  <c r="BO32" i="51"/>
  <c r="BO49" i="50"/>
  <c r="BN50" i="50"/>
  <c r="BO50" i="50" s="1"/>
  <c r="BO67" i="51" l="1"/>
  <c r="BO69" i="51" s="1"/>
  <c r="BO98" i="50"/>
  <c r="BO99" i="50" s="1"/>
  <c r="BN81" i="51"/>
  <c r="BO78" i="51"/>
  <c r="BN10" i="50"/>
  <c r="BN75" i="51" s="1"/>
  <c r="BN16" i="50" l="1"/>
  <c r="BN71" i="51"/>
  <c r="BN73" i="51" s="1"/>
  <c r="BN155" i="53"/>
  <c r="BN56" i="50"/>
  <c r="BN58" i="50" s="1"/>
  <c r="BO10" i="50"/>
  <c r="BN82" i="51"/>
  <c r="BN203" i="7" s="1"/>
  <c r="BN204" i="7" s="1"/>
  <c r="BN107" i="50"/>
  <c r="BN84" i="51"/>
  <c r="BO81" i="51"/>
  <c r="BO56" i="50" l="1"/>
  <c r="BO58" i="50" s="1"/>
  <c r="BO71" i="51"/>
  <c r="BO73" i="51" s="1"/>
  <c r="BO75" i="51"/>
  <c r="BO82" i="51"/>
  <c r="BO203" i="7" s="1"/>
  <c r="BO204" i="7" s="1"/>
  <c r="BO107" i="50"/>
  <c r="BN109" i="50" s="1"/>
  <c r="BO155" i="53"/>
  <c r="BN157" i="53"/>
  <c r="BO157" i="53" s="1"/>
  <c r="BO159" i="53" s="1"/>
  <c r="BN85" i="51"/>
  <c r="BN113" i="50"/>
  <c r="BO84" i="51"/>
  <c r="BN111" i="50"/>
  <c r="BN108" i="50"/>
  <c r="BO16" i="50"/>
  <c r="BN25" i="50"/>
  <c r="BO108" i="50" l="1"/>
  <c r="BO110" i="50" s="1"/>
  <c r="BO111" i="50"/>
  <c r="BK109" i="50"/>
  <c r="BL109" i="50"/>
  <c r="BM109" i="50"/>
  <c r="BO85" i="51"/>
  <c r="BO113" i="50"/>
  <c r="BN115" i="50" s="1"/>
  <c r="BN114" i="50"/>
  <c r="BO25" i="50"/>
  <c r="BO52" i="50" s="1"/>
  <c r="BN52" i="50"/>
  <c r="BO114" i="50" l="1"/>
  <c r="BK115" i="50"/>
  <c r="BL115" i="50"/>
  <c r="BM115" i="50"/>
  <c r="BO116" i="50" l="1"/>
  <c r="AU152" i="53" l="1"/>
  <c r="AU144" i="53" l="1"/>
  <c r="AU141" i="53"/>
  <c r="AU147" i="53"/>
  <c r="AU138" i="53"/>
  <c r="AU150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3EFE92F8-AA42-4782-B5E8-12C8400E00EF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Timestamp="1764825348"&gt;&lt;FQL&gt;&lt;Q&gt;SNOW^FE_ESTIMATE(NEW_ORDERS_VALUE,MEAN,ANNUAL_ROLL,2027,45993,,,'')&lt;/Q&gt;&lt;R&gt;1&lt;/R&gt;&lt;C&gt;1&lt;/C&gt;&lt;D xsi:type="xsd:double"&gt;7644.257&lt;/D&gt;&lt;/FQL&gt;&lt;FQL&gt;&lt;Q&gt;SNOW^FE_ESTIMATE(NEW_ORDERS_VALUE,MEAN,QUARTERLY_ROLL,2027/4F,45993,,,'')&lt;/Q&gt;&lt;R&gt;1&lt;/R&gt;&lt;C&gt;1&lt;/C&gt;&lt;D xsi:type="xsd:double"&gt;2887.2&lt;/D&gt;&lt;/FQL&gt;&lt;FQL&gt;&lt;Q&gt;SNOW^FE_ESTIMATE(NEW_ORDERS_VALUE,MEAN,QUARTERLY_ROLL,2027/3F,45993,,,'')&lt;/Q&gt;&lt;R&gt;1&lt;/R&gt;&lt;C&gt;1&lt;/C&gt;&lt;D xsi:type="xsd:double"&gt;1942.4&lt;/D&gt;&lt;/FQL&gt;&lt;FQL&gt;&lt;Q&gt;SNOW^FE_ESTIMATE(NEW_ORDERS_VALUE,MEAN,QUARTERLY_ROLL,2027/2F,45993,,,'')&lt;/Q&gt;&lt;R&gt;1&lt;/R&gt;&lt;C&gt;1&lt;/C&gt;&lt;D xsi:type="xsd:double"&gt;1544.9&lt;/D&gt;&lt;/FQL&gt;&lt;FQL&gt;&lt;Q&gt;SNOW^FE_ESTIMATE(NEW_ORDERS_VALUE,MEAN,QUARTERLY_ROLL,2027/1F,45993,,,'')&lt;/Q&gt;&lt;R&gt;1&lt;/R&gt;&lt;C&gt;1&lt;/C&gt;&lt;D xsi:type="xsd:double"&gt;1073.9&lt;/D&gt;&lt;/FQL&gt;&lt;FQL&gt;&lt;Q&gt;SNOW^FE_ESTIMATE(NEW_ORDERS_VALUE,MEAN,ANNUAL_ROLL,2026,45993,,,'')&lt;/Q&gt;&lt;R&gt;1&lt;/R&gt;&lt;C&gt;1&lt;/C&gt;&lt;D xsi:type="xsd:double"&gt;6427.672&lt;/D&gt;&lt;/FQL&gt;&lt;FQL&gt;&lt;Q&gt;SNOW^FE_ESTIMATE(NEW_ORDERS_VALUE,MEAN,QUARTERLY_ROLL,2026/4F,45993,,,'')&lt;/Q&gt;&lt;R&gt;1&lt;/R&gt;&lt;C&gt;1&lt;/C&gt;&lt;D xsi:type="xsd:double"&gt;2448.6572&lt;/D&gt;&lt;/FQL&gt;&lt;FQL&gt;&lt;Q&gt;SNOW^FE_ESTIMATE(NEW_ORDERS_VALUE,MEAN,QUARTERLY_ROLL,2026/3F,45993,,,'')&lt;/Q&gt;&lt;R&gt;1&lt;/R&gt;&lt;C&gt;1&lt;/C&gt;&lt;D xsi:type="xsd:double"&gt;1651.5714&lt;/D&gt;&lt;/FQL&gt;&lt;FQL&gt;&lt;Q&gt;SNOW^FE_ESTIMATE(NEW_ORDERS_VALUE,MEAN,QUARTERLY_ROLL,2026/2F,45993,,,'')&lt;/Q&gt;&lt;R&gt;1&lt;/R&gt;&lt;C&gt;1&lt;/C&gt;&lt;D xsi:type="xsd:double"&gt;1323.3&lt;/D&gt;&lt;/FQL&gt;&lt;FQL&gt;&lt;Q&gt;SNOW^FE_ESTIMATE(NEW_ORDERS_VALUE,MEAN,QUARTERLY_ROLL,2026/1F,45993,,,'')&lt;/Q&gt;&lt;R&gt;1&lt;/R&gt;&lt;C&gt;1&lt;/C&gt;&lt;D xsi:type="xsd:double"&gt;972.9286&lt;/D&gt;&lt;/FQL&gt;&lt;FQL&gt;&lt;Q&gt;SNOW^FE_ESTIMATE(NEW_ORDERS_VALUE,MEAN,ANNUAL_ROLL,2025,45993,,,'')&lt;/Q&gt;&lt;R&gt;1&lt;/R&gt;&lt;C&gt;1&lt;/C&gt;&lt;D xsi:type="xsd:double"&gt;5217.837&lt;/D&gt;&lt;/FQL&gt;&lt;FQL&gt;&lt;Q&gt;SNOW^FE_ESTIMATE(NEW_ORDERS_VALUE,MEAN,QUARTERLY_ROLL,2025/4F,45993,,,'')&lt;/Q&gt;&lt;R&gt;1&lt;/R&gt;&lt;C&gt;1&lt;/C&gt;&lt;D xsi:type="xsd:double"&gt;2007.1421&lt;/D&gt;&lt;/FQL&gt;&lt;FQL&gt;&lt;Q&gt;SNOW^FE_ESTIMATE(NEW_ORDERS_VALUE,MEAN,QUARTERLY_ROLL,2025/3F,45993,,,'')&lt;/Q&gt;&lt;R&gt;1&lt;/R&gt;&lt;C&gt;1&lt;/C&gt;&lt;D xsi:type="xsd:double"&gt;1339.3026&lt;/D&gt;&lt;/FQL&gt;&lt;FQL&gt;&lt;Q&gt;SNOW^FE_ESTIMATE(NEW_ORDERS_VALUE,MEAN,QUARTERLY_ROLL,2025/2F,45993,,,'')&lt;/Q&gt;&lt;R&gt;1&lt;/R&gt;&lt;C&gt;1&lt;/C&gt;&lt;D xsi:type="xsd:double"&gt;1101.352&lt;/D&gt;&lt;/FQL&gt;&lt;FQL&gt;&lt;Q&gt;SNOW^FE_ESTIMATE(NEW_ORDERS_VALUE,MEAN,QUARTERLY_ROLL,2025/1F,45993,,,'')&lt;/Q&gt;&lt;R&gt;1&lt;/R&gt;&lt;C&gt;1&lt;/C&gt;&lt;D xsi:type="xsd:double"&gt;770.08453&lt;/D&gt;&lt;/FQL&gt;&lt;FQL&gt;&lt;Q&gt;SNOW^FE_ESTIMATE(NEW_ORDERS_VALUE,MEAN,ANNUAL_ROLL,2024,45993,,,'')&lt;/Q&gt;&lt;R&gt;1&lt;/R&gt;&lt;C&gt;1&lt;/C&gt;&lt;D xsi:type="xsd:double"&gt;4008.8535&lt;/D&gt;&lt;/FQL&gt;&lt;FQL&gt;&lt;Q&gt;SNOW^FE_ESTIMATE(NEW_ORDERS_VALUE,MEAN,QUARTERLY_ROLL,2024/4F,45993,,,'')&lt;/Q&gt;&lt;R&gt;1&lt;/R&gt;&lt;C&gt;1&lt;/C&gt;&lt;D xsi:type="xsd:double"&gt;1595.3503&lt;/D&gt;&lt;/FQL&gt;&lt;FQL&gt;&lt;Q&gt;SNOW^FE_ESTIMATE(NEW_ORDERS_VALUE,MEAN,QUARTERLY_ROLL,2024/3F,45993,,,'')&lt;/Q&gt;&lt;R&gt;1&lt;/R&gt;&lt;C&gt;1&lt;/C&gt;&lt;D xsi:type="xsd:double"&gt;1068.2635&lt;/D&gt;&lt;/FQL&gt;&lt;FQL&gt;&lt;Q&gt;SNOW^FE_ESTIMATE(NEW_ORDERS_VALUE,MEAN,QUARTERLY_ROLL,2024/2F,45993,,,'')&lt;/Q&gt;&lt;R&gt;1&lt;/R&gt;&lt;C&gt;1&lt;/C&gt;&lt;D xsi:type="xsd:double"&gt;779.10645&lt;/D&gt;&lt;/FQL&gt;&lt;FQL&gt;&lt;Q&gt;SNOW^FE_ESTIMATE(NEW_ORDERS_VALUE,MEAN,QUARTERLY_ROLL,2024/1F,45993,,,'')&lt;/Q&gt;&lt;R&gt;1&lt;/R&gt;&lt;C&gt;1&lt;/C&gt;&lt;D xsi:type="xsd:double"&gt;565.9045&lt;/D&gt;&lt;/FQL&gt;&lt;FQL&gt;&lt;Q&gt;SNOW^FE_ESTIMATE(NEW_ORDERS_VALUE,MEAN,ANNUAL_ROLL,2023,45993,,,'')&lt;/Q&gt;&lt;R&gt;1&lt;/R&gt;&lt;C&gt;1&lt;/C&gt;&lt;D xsi:type="xsd:double"&gt;3334.6917&lt;/D&gt;&lt;/FQL&gt;&lt;FQL&gt;&lt;Q&gt;SNOW^FE_ESTIMATE(NEW_ORDERS_VALUE,MEAN,QUARTERLY_ROLL,2023/4F,45993,,,'')&lt;/Q&gt;&lt;R&gt;1&lt;/R&gt;&lt;C&gt;1&lt;/C&gt;&lt;D xsi:type="xsd:double"&gt;1370.1062&lt;/D&gt;&lt;/FQL&gt;&lt;FQL&gt;&lt;Q&gt;SNOW^FE_ESTIMATE(NEW_ORDERS_VALUE,MEAN,QUARTERLY_ROLL,2023/3F,45993,,,'')&lt;/Q&gt;&lt;R&gt;1&lt;/R&gt;&lt;C&gt;1&lt;/C&gt;&lt;D xsi:type="xsd:double"&gt;816.295&lt;/D&gt;&lt;/FQL&gt;&lt;FQL&gt;&lt;Q&gt;SNOW^FE_ESTIMATE(NEW_ORDERS_VALUE,MEAN,QUARTERLY_ROLL,2023/2F,45993,,,'')&lt;/Q&gt;&lt;R&gt;1&lt;/R&gt;&lt;C&gt;1&lt;/C&gt;&lt;D xsi:type="xsd:double"&gt;634.9957&lt;/D&gt;&lt;/FQL&gt;&lt;FQL&gt;&lt;Q&gt;SNOW^FE_ESTIMATE(NEW_ORDERS_VALUE,MEAN,QUARTERLY_ROLL,2023/1F,45993,,,'')&lt;/Q&gt;&lt;R&gt;1&lt;/R&gt;&lt;C&gt;1&lt;/C&gt;&lt;D xsi:type="xsd:double"&gt;513.3&lt;/D&gt;&lt;/FQL&gt;&lt;FQL&gt;&lt;Q&gt;SNOW^FE_ESTIMATE(NEW_ORDERS_VALUE,MEAN,ANNUAL_ROLL,2022,45993,,,'')&lt;/Q&gt;&lt;R&gt;1&lt;/R&gt;&lt;C&gt;1&lt;/C&gt;&lt;D xsi:type="xsd:double"&gt;2560.3257&lt;/D&gt;&lt;/FQL&gt;&lt;FQL&gt;&lt;Q&gt;SNOW^FE_ESTIMATE(NEW_ORDERS_VALUE,MEAN,QUARTERLY_ROLL,2022/4F,45993,,,'')&lt;/Q&gt;&lt;R&gt;1&lt;/R&gt;&lt;C&gt;1&lt;/C&gt;&lt;D xsi:type="xsd:double"&gt;1062.4221&lt;/D&gt;&lt;/FQL&gt;&lt;FQL&gt;&lt;Q&gt;SNOW^FE_ESTIMATE(NEW_ORDERS_VALUE,MEAN,QUARTERLY_ROLL,2022/3F,45993,,,'')&lt;/Q&gt;&lt;R&gt;1&lt;/R&gt;&lt;C&gt;1&lt;/C&gt;&lt;D xsi:type="xsd:double"&gt;604.08856&lt;/D&gt;&lt;/FQL&gt;&lt;FQL&gt;&lt;Q&gt;SNOW^FE_ESTIMATE(NEW_ORDERS_VALUE,MEAN,QUARTERLY_ROLL,2022/2F,45993,,,'')&lt;/Q&gt;&lt;R&gt;1&lt;/R&gt;&lt;C&gt;1&lt;/C&gt;&lt;D xsi:type="xsd:double"&gt;502.53384&lt;/D&gt;&lt;/FQL&gt;&lt;FQL&gt;&lt;Q&gt;SNOW^FE_ESTIMATE(NEW_ORDERS_VALUE,MEAN,QUARTERLY_ROLL,2022/1F,45993,,,'')&lt;/Q&gt;&lt;R&gt;1&lt;/R&gt;&lt;C&gt;1&lt;/C&gt;&lt;D xsi:type="xsd:double"&gt;393.05685&lt;/D&gt;&lt;/FQL&gt;&lt;FQL&gt;&lt;Q&gt;SNOW^FE_ESTIMATE(NEW_ORDERS_VALUE,MEAN,ANNUAL_ROLL,2021,45993,,,'')&lt;/Q&gt;&lt;R&gt;1&lt;/R&gt;&lt;C&gt;1&lt;/C&gt;&lt;D xsi:type="xsd:double"&gt;1745.5096&lt;/D&gt;&lt;/FQL&gt;&lt;FQL&gt;&lt;Q&gt;SNOW^FE_ESTIMATE(NEW_ORDERS_VALUE,MEAN,QUARTERLY_ROLL,2021/4F,45993,,,'')&lt;/Q&gt;&lt;R&gt;1&lt;/R&gt;&lt;C&gt;1&lt;/C&gt;&lt;D xsi:type="xsd:double"&gt;785.993&lt;/D&gt;&lt;/FQL&gt;&lt;FQL&gt;&lt;Q&gt;SNOW^FE_ESTIMATE(NEW_ORDERS_VALUE,MEAN,QUARTERLY_ROLL,2021/3F,45993,,,'')&lt;/Q&gt;&lt;R&gt;1&lt;/R&gt;&lt;C&gt;1&lt;/C&gt;&lt;D xsi:type="xsd:double"&gt;392.5&lt;/D&gt;&lt;/FQL&gt;&lt;FQL&gt;&lt;Q&gt;SNOW^FE_ESTIMATE(NEW_ORDERS_VALUE,MEAN,QUARTERLY_ROLL,2021/2F,45993,,,'')&lt;/Q&gt;&lt;R&gt;1&lt;/R&gt;&lt;C&gt;1&lt;/C&gt;&lt;D xsi:type="xsd:double"&gt;342.24&lt;/D&gt;&lt;/FQL&gt;&lt;FQL&gt;&lt;Q&gt;SNOW^FE_ESTIMATE(NEW_ORDERS_VALUE,MEAN,QUARTERLY_ROLL,2021/1F,45993,,,'')&lt;/Q&gt;&lt;R&gt;1&lt;/R&gt;&lt;C&gt;1&lt;/C&gt;&lt;D xsi:type="xsd:double"&gt;224.84&lt;/D&gt;&lt;/FQL&gt;&lt;FQL&gt;&lt;Q&gt;SNOW^FE_ESTIMATE(NEW_ORDERS_VALUE,MEAN,ANNUAL_ROLL,2020,45993,,,'')&lt;/Q&gt;&lt;R&gt;1&lt;/R&gt;&lt;C&gt;1&lt;/C&gt;&lt;D xsi:type="xsd:double"&gt;904.9&lt;/D&gt;&lt;/FQL&gt;&lt;FQL&gt;&lt;Q&gt;SNOW^FE_ESTIMATE(NEW_ORDERS_VALUE,MEAN,QUARTERLY_ROLL,2020/4F,45993,,,'')&lt;/Q&gt;&lt;R&gt;1&lt;/R&gt;&lt;C&gt;1&lt;/C&gt;&lt;D xsi:type="xsd:double"&gt;391.7&lt;/D&gt;&lt;/FQL&gt;&lt;FQL&gt;&lt;Q&gt;SNOW^FE_ESTIMATE(NEW_ORDERS_VALUE,MEAN,QUARTERLY_ROLL,2020/3F,45993,,,'')&lt;/Q&gt;&lt;R&gt;1&lt;/R&gt;&lt;C&gt;1&lt;/C&gt;&lt;D xsi:type="xsd:double"&gt;224.6&lt;/D&gt;&lt;/FQL&gt;&lt;FQL&gt;&lt;Q&gt;SNOW^FE_ESTIMATE(NEW_ORDERS_VALUE,MEAN,QUARTERLY_ROLL,2020/2F,45993,,,'')&lt;/Q&gt;&lt;R&gt;1&lt;/R&gt;&lt;C&gt;1&lt;/C&gt;&lt;D xsi:type="xsd:double"&gt;182.6&lt;/D&gt;&lt;/FQL&gt;&lt;FQL&gt;&lt;Q&gt;SNOW^FE_ESTIMATE(NEW_ORDERS_VALUE,MEAN,QUARTERLY_ROLL,2020/1F,45993,,,'')&lt;/Q&gt;&lt;R&gt;0&lt;/R&gt;&lt;C&gt;0&lt;/C&gt;&lt;/FQL&gt;&lt;FQL&gt;&lt;Q&gt;SNOW^FE_ESTIMATE(NEW_ORDERS_VALUE,MEAN,ANNUAL_ROLL,2019,45993,,,'')&lt;/Q&gt;&lt;R&gt;0&lt;/R&gt;&lt;C&gt;0&lt;/C&gt;&lt;/FQL&gt;&lt;FQL&gt;&lt;Q&gt;SNOW^FE_ESTIMATE(NEW_ORDERS_VALUE,MEAN,QUARTERLY_ROLL,2019/4F,45993,,,'')&lt;/Q&gt;&lt;R&gt;0&lt;/R&gt;&lt;C&gt;0&lt;/C&gt;&lt;/FQL&gt;&lt;FQL&gt;&lt;Q&gt;SNOW^FE_ESTIMATE(NEW_ORDERS_VALUE,MEAN,QUARTERLY_ROLL,2019/3F,45993,,,'')&lt;/Q&gt;&lt;R&gt;0&lt;/R&gt;&lt;C&gt;0&lt;/C&gt;&lt;/FQL&gt;&lt;FQL&gt;&lt;Q&gt;SNOW^FE_ESTIMATE(NEW_ORDERS_VALUE,MEAN,QUARTERLY_ROLL,2019/2F,45993,,,'')&lt;/Q&gt;&lt;R&gt;0&lt;/R&gt;&lt;C&gt;0&lt;/C&gt;&lt;/FQL&gt;&lt;FQL&gt;&lt;Q&gt;SNOW^FE_ESTIMATE(NEW_ORDERS_VALUE,MEAN,QUARTERLY_ROLL,2019/1F,45993,,,'')&lt;/Q&gt;&lt;R&gt;0&lt;/R&gt;&lt;C&gt;0&lt;/C&gt;&lt;/FQL&gt;&lt;FQL&gt;&lt;Q&gt;SNOW^FE_ESTIMATE(NEW_ORDERS_VALUE,MEAN,ANNUAL_ROLL,2018,45993,,,'')&lt;/Q&gt;&lt;R&gt;0&lt;/R&gt;&lt;C&gt;0&lt;/C&gt;&lt;/FQL&gt;&lt;FQL&gt;&lt;Q&gt;SNOW^FE_ESTIMATE(NEW_ORDERS_VALUE,MEAN,QUARTERLY_ROLL,2018/4F,45993,,,'')&lt;/Q&gt;&lt;R&gt;0&lt;/R&gt;&lt;C&gt;0&lt;/C&gt;&lt;/FQL&gt;&lt;FQL&gt;&lt;Q&gt;SNOW^FE_ESTIMATE(NEW_ORDERS_VALUE,MEAN,QUARTERLY_ROLL,2018/3F,45993,,,'')&lt;/Q&gt;&lt;R&gt;0&lt;/R&gt;&lt;C&gt;0&lt;/C&gt;&lt;/FQL&gt;&lt;FQL&gt;&lt;Q&gt;SNOW^FE_ESTIMATE(NEW_ORDERS_VALUE,MEAN,QUARTERLY_ROLL,2018/2F,45993,,,'')&lt;/Q&gt;&lt;R&gt;0&lt;/R&gt;&lt;C&gt;0&lt;/C&gt;&lt;/FQL&gt;&lt;FQL&gt;&lt;Q&gt;SNOW^FE_ESTIMATE(NEW_ORDERS_VALUE,MEAN,QUARTERLY_ROLL,2018/1F,45993,,,'')&lt;/Q&gt;&lt;R&gt;0&lt;/R&gt;&lt;C&gt;0&lt;/C&gt;&lt;/FQL&gt;&lt;FQL&gt;&lt;Q&gt;SNOW^FE_ESTIMATE(NEW_ORDERS_VALUE,MEAN,ANNUAL_ROLL,2017,45993,,,'')&lt;/Q&gt;&lt;R&gt;0&lt;/R&gt;&lt;C&gt;0&lt;/C&gt;&lt;/FQL&gt;&lt;FQL&gt;&lt;Q&gt;SNOW^FE_ESTIMATE(NEW_ORDERS_VALUE,MEAN,QUARTERLY_ROLL,2017/4F,45993,,,'')&lt;/Q&gt;&lt;R&gt;0&lt;/R&gt;&lt;C&gt;0&lt;/C&gt;&lt;/FQL&gt;&lt;FQL&gt;&lt;Q&gt;SNOW^FE_ESTIMATE(NEW_ORDERS_VALUE,MEAN,QUARTERLY_ROLL,2017/3F,45993,,,'')&lt;/Q&gt;&lt;R&gt;0&lt;/R&gt;&lt;C&gt;0&lt;/C&gt;&lt;/FQL&gt;&lt;FQL&gt;&lt;Q&gt;SNOW^FE_ESTIMATE(NEW_ORDERS_VALUE,MEAN,QUARTERLY_ROLL,2017/2F,45993,,,'')&lt;/Q&gt;&lt;R&gt;0&lt;/R&gt;&lt;C&gt;0&lt;/C&gt;&lt;/FQL&gt;&lt;FQL&gt;&lt;Q&gt;SNOW^FE_ESTIMATE(NEW_ORDERS_VALUE,MEAN,QUARTERLY_ROLL,2017/1F,45993,,,'')&lt;/Q&gt;&lt;R&gt;0&lt;/R&gt;&lt;C&gt;0&lt;/C&gt;&lt;/FQL&gt;&lt;FQL&gt;&lt;Q&gt;SNOW^FE_ESTIMATE(NEW_ORDERS_VALUE,MEAN,ANNUAL_ROLL,2016,45993,,,'')&lt;/Q&gt;&lt;R&gt;0&lt;/R&gt;&lt;C&gt;0&lt;/C&gt;&lt;/FQL&gt;&lt;FQL&gt;&lt;Q&gt;SNOW^FE_ESTIMATE(NEW_ORDERS_VALUE,MEAN,QUARTERLY_ROLL,2016/4F,45993,,,'')&lt;/Q&gt;&lt;R&gt;0&lt;/R&gt;&lt;C&gt;0&lt;/C&gt;&lt;/FQL&gt;&lt;FQL&gt;&lt;Q&gt;SNOW^FE_ESTIMATE(NEW_ORDERS_VALUE,MEAN,QUARTERLY_ROLL,2016/3F,45993,,,'')&lt;/Q&gt;&lt;R&gt;0&lt;/R&gt;&lt;C&gt;0&lt;/C&gt;&lt;/FQL&gt;&lt;FQL&gt;&lt;Q&gt;SNOW^FE_ESTIMATE(NEW_ORDERS_VALUE,MEAN,QUARTERLY_ROLL,2016/2F,45993,,,'')&lt;/Q&gt;&lt;R&gt;0&lt;/R&gt;&lt;C&gt;0&lt;/C&gt;&lt;/FQL&gt;&lt;FQL&gt;&lt;Q&gt;SNOW^FE_ESTIMATE(NEW_ORDERS_VALUE,MEAN,QUARTERLY_ROLL,2016/1F,45993,,,'')&lt;/Q&gt;&lt;R&gt;0&lt;/R&gt;&lt;C&gt;0&lt;/C&gt;&lt;/FQL&gt;&lt;FQL&gt;&lt;Q&gt;SNOW^FE_ESTIMATE(DEFREVENUE,MEAN,ANNUAL_ROLL,2027,45993,,,'')&lt;/Q&gt;&lt;R&gt;1&lt;/R&gt;&lt;C&gt;1&lt;/C&gt;&lt;D xsi:type="xsd:double"&gt;4734.14&lt;/D&gt;&lt;/FQL&gt;&lt;FQL&gt;&lt;Q&gt;SNOW^FE_ESTIMATE(DEFREVENUE,MEAN,QUARTERLY_ROLL,2027/4F,45993,,,'')&lt;/Q&gt;&lt;R&gt;1&lt;/R&gt;&lt;C&gt;1&lt;/C&gt;&lt;D xsi:type="xsd:double"&gt;4782.4&lt;/D&gt;&lt;/FQL&gt;&lt;FQL&gt;&lt;Q&gt;SNOW^FE_ESTIMATE(DEFREVENUE,MEAN,QUARTERLY_ROLL,2027/3F,45993,,,'')&lt;/Q&gt;&lt;R&gt;1&lt;/R&gt;&lt;C&gt;1&lt;/C&gt;&lt;D xsi:type="xsd:double"&gt;3736.2&lt;/D&gt;&lt;/FQL&gt;&lt;FQL&gt;&lt;Q&gt;SNOW^FE_ESTIMATE(DEFREVENUE,MEAN,QUARTERLY_ROLL,2027/2F,45993,,,'')&lt;/Q&gt;&lt;R&gt;1&lt;/R&gt;&lt;C&gt;1&lt;/C&gt;&lt;D xsi:type="xsd:double"&gt;3524.8&lt;/D&gt;&lt;/FQL&gt;&lt;FQL&gt;&lt;Q&gt;SNOW^FE_ESTIMATE(DEFREVENUE,MEAN,QUARTERLY_ROLL,2027/1F,45993,,,'')&lt;/Q&gt;&lt;R&gt;1&lt;/R&gt;&lt;C&gt;1&lt;/C&gt;&lt;D xsi:type="xsd:double"&gt;3596.5&lt;/D&gt;&lt;/FQL&gt;&lt;FQL&gt;&lt;Q&gt;SNOW^FE_ESTIMATE(DEFREVENUE,MEAN,ANNUAL_ROLL,2026,45993,,,'')&lt;/Q&gt;&lt;R&gt;1&lt;/R&gt;&lt;C&gt;1&lt;/C&gt;&lt;D xsi:type="xsd:double"&gt;3702.5793&lt;/D&gt;&lt;/FQL&gt;&lt;FQL&gt;&lt;Q&gt;SNOW^FE_ESTIMATE(DEFREVENUE,MEAN,QUARTERLY_ROLL,2026/4F,45993,,,'')&lt;/Q&gt;&lt;R&gt;1&lt;/R&gt;&lt;C&gt;1&lt;/C&gt;&lt;D xsi:type="xsd:double"&gt;3802.4482&lt;/D&gt;&lt;/FQL&gt;&lt;FQL&gt;&lt;Q&gt;SNOW^FE_ESTIMATE(DEFREVENUE,MEAN,QUARTERLY_ROLL,2026/3F,45993,,,'')&lt;/Q&gt;&lt;R&gt;1&lt;/R&gt;&lt;C&gt;1&lt;/C&gt;&lt;D xsi:type="xsd:double"&gt;2970.9907&lt;/D&gt;&lt;/FQL&gt;&lt;FQL&gt;&lt;Q&gt;SNOW^FE_ESTIMATE(DEFREVENUE,MEAN,QUARTERLY_ROLL,2026/2F,45993,,,'')&lt;/Q&gt;&lt;R&gt;1&lt;/R&gt;&lt;C&gt;1&lt;/C&gt;&lt;D xsi:type="xsd:double"&gt;2849.6362&lt;/D&gt;&lt;/FQL&gt;&lt;FQL&gt;&lt;Q&gt;SNOW^FE_ESTIMATE(DEFREVENUE,MEAN,QUARTERLY_ROLL,2026/1F,45993,,,'')&lt;/Q&gt;&lt;R&gt;1&lt;/R&gt;&lt;C&gt;1&lt;/C&gt;&lt;D xsi:type="xsd:double"&gt;2929.2551&lt;/D&gt;&lt;/FQL&gt;&lt;FQL&gt;&lt;Q&gt;SNOW^FE_ESTIMATE(DEFREVENUE,MEAN,ANNUAL_ROLL,2025,45993,,,'')&lt;/Q&gt;&lt;R&gt;1&lt;/R&gt;&lt;C&gt;1&lt;/C&gt;&lt;D xsi:type="xsd:double"&gt;3114.3196&lt;/D&gt;&lt;/FQL&gt;&lt;FQL&gt;&lt;Q&gt;SNOW^FE_ESTIMATE(DEFREVENUE,MEAN,QUARTERLY_ROLL,2025/4F,45993,,,'')&lt;/Q&gt;&lt;R&gt;1&lt;/R&gt;&lt;C&gt;1&lt;/C&gt;&lt;D xsi:type="xsd:double"&gt;3180.2546&lt;/D&gt;&lt;/FQL&gt;&lt;FQL&gt;&lt;Q&gt;SNOW^FE_ESTIMATE(DEFREVENUE,MEAN,QUARTERLY_ROLL,2025/3F,45993,,,'')&lt;/Q&gt;&lt;R&gt;1&lt;/R&gt;&lt;C&gt;1&lt;/C&gt;&lt;D xsi:type="xsd:double"&gt;2461.412&lt;/D&gt;&lt;/FQL&gt;&lt;FQL&gt;&lt;Q&gt;SNOW^FE_ESTIMATE(DEFREVENUE,MEAN,QUARTERLY_ROLL,2025/2F,45993,,,'')&lt;/Q&gt;&lt;R&gt;1&lt;/R&gt;&lt;C&gt;1&lt;/C&gt;&lt;D xsi:type="xsd:double"&gt;2279.915&lt;/D&gt;&lt;/FQL&gt;&lt;FQL&gt;&lt;Q&gt;SNOW^FE_ESTIMATE(DEFREVENUE,MEAN,QUARTERLY_ROLL,2025/1F,45993,,,'')&lt;/Q&gt;&lt;R&gt;1&lt;/R&gt;&lt;C&gt;1&lt;/C&gt;&lt;D xsi:type="xsd:double"&gt;2323.5447&lt;/D&gt;&lt;/FQL&gt;&lt;FQL&gt;&lt;Q&gt;SNOW^FE_ESTIMATE(DEFREVENUE,MEAN,ANNUAL_ROLL,2024,45993,,,'')&lt;/Q&gt;&lt;R&gt;1&lt;/R&gt;&lt;C&gt;1&lt;/C&gt;&lt;D xsi:type="xsd:double"&gt;2595.6245&lt;/D&gt;&lt;/FQL&gt;&lt;FQL&gt;&lt;Q&gt;SNOW^FE_ESTIMATE(DEFREVENUE,MEAN,QUARTERLY_ROLL,2024/4F,45993,,,'')&lt;/Q&gt;&lt;R&gt;1&lt;/R&gt;&lt;C&gt;1&lt;/C&gt;&lt;D xsi:type="xsd:double"&gt;2595.5862&lt;/D&gt;&lt;/FQL&gt;&lt;FQL&gt;&lt;Q&gt;SNOW^FE_ESTIMATE(DEFREVENUE,MEAN,QUARTERLY_ROLL,2024/3F,45993,,,'')&lt;/Q&gt;&lt;R&gt;1&lt;/R&gt;&lt;C&gt;1&lt;/C&gt;&lt;D xsi:type="xsd:double"&gt;2006.913&lt;/D&gt;&lt;/FQL&gt;&lt;FQL&gt;&lt;Q&gt;SNOW^FE_ESTIMATE(DEFREVENUE,MEAN,QUARTERLY_ROLL,2024/2F,45993,,,'')&lt;/Q&gt;&lt;R&gt;1&lt;/R&gt;&lt;C&gt;1&lt;/C&gt;&lt;D xsi:type="xsd:double"&gt;1860.6326&lt;/D&gt;&lt;/FQL&gt;&lt;FQL&gt;&lt;Q&gt;SNOW^FE_ESTIMATE(DEFREVENUE,MEAN,QUARTERLY_ROLL,2024/1F,45993,,,'')&lt;/Q&gt;&lt;R&gt;1&lt;/R&gt;&lt;C&gt;1&lt;/C&gt;&lt;D xsi:type="xsd:double"&gt;1950.3643&lt;/D&gt;&lt;/FQL&gt;&lt;FQL&gt;&lt;Q&gt;SNOW^FE_ESTIMATE(DEFREVENUE,MEAN,ANNUAL_ROLL,2023,45993,,,'')&lt;/Q&gt;&lt;R&gt;1&lt;/R&gt;&lt;C&gt;1&lt;/C&gt;&lt;D xsi:type="xsd:double"&gt;2213.0945&lt;/D&gt;&lt;/FQL&gt;&lt;FQL&gt;&lt;Q&gt;SNOW^FE_ESTIMATE(DEFREVENUE,MEAN,QUARTERLY_ROLL,2023/4F,45993,,,'')&lt;/Q&gt;&lt;R&gt;1&lt;/R&gt;&lt;C&gt;1&lt;/C&gt;&lt;D xsi:type="xsd:double"&gt;2213.0945&lt;/D&gt;&lt;/FQL&gt;&lt;FQL&gt;&lt;Q&gt;SNOW^FE_ESTIMATE(DEFREVENUE,MEAN,QUARTERLY_ROLL,2023/3F,45993,,,'')&lt;/Q&gt;&lt;R&gt;1&lt;/R&gt;&lt;C&gt;1&lt;/C&gt;&lt;D xsi:type="xsd:double"&gt;1617.6887&lt;/D&gt;&lt;/FQL&gt;&lt;FQL&gt;&lt;Q&gt;SNOW^FE_ESTIMATE(DEFREVENUE,MEAN,QUARTERLY_ROLL,2023/2F,45993,,,'')&lt;/Q&gt;&lt;R&gt;1&lt;/R&gt;&lt;C&gt;1&lt;/C&gt;&lt;D xsi:type="xsd:double"&gt;1535.5316&lt;/D&gt;&lt;/FQL&gt;&lt;FQL&gt;&lt;Q&gt;SNOW^FE_ESTIMATE(DEFREVENUE,MEAN,QUARTERLY_ROLL,2023/1F,45993,,,'')&lt;/Q&gt;&lt;R&gt;1&lt;/R&gt;&lt;C&gt;1&lt;/C&gt;&lt;D xsi:type="xsd:double"&gt;1574.5447&lt;/D&gt;&lt;/FQL&gt;&lt;FQL&gt;&lt;Q&gt;SNOW^FE_ESTIMATE(DEFREVENUE,MEAN,ANNUAL_ROLL,2022,45993,,,'')&lt;/Q&gt;&lt;R&gt;1&lt;/R&gt;&lt;C&gt;1&lt;/C&gt;&lt;D xsi:type="xsd:double"&gt;1684.8467&lt;/D&gt;&lt;/FQL&gt;&lt;FQL&gt;&lt;Q&gt;SNOW^FE_ESTIMATE(DEFREVENUE,MEAN,QUARTERLY_ROLL,2022/4F,45993,,,'')&lt;/Q&gt;&lt;R&gt;1&lt;/R&gt;&lt;C&gt;1&lt;/C&gt;&lt;D xsi:type="xsd:double"&gt;1684.8467&lt;/D&gt;&lt;/FQL&gt;&lt;FQL&gt;&lt;Q&gt;SNOW^FE_ESTIMATE(DEFREVENUE,MEAN,QUARTERLY_ROLL,2022/3F,45993,,,'')&lt;/Q&gt;&lt;R&gt;1&lt;/R&gt;&lt;C&gt;1&lt;/C&gt;&lt;D xsi:type="xsd:double"&gt;1213.8502&lt;/D&gt;&lt;/FQL&gt;&lt;FQL&gt;&lt;Q&gt;SNOW^FE_ESTIMATE(DEFREVENUE,MEAN,QUARTERLY_ROLL,2022/2F,45993,,,'')&lt;/Q&gt;&lt;R&gt;1&lt;/R&gt;&lt;C&gt;1&lt;/C&gt;&lt;D xsi:type="xsd:double"&gt;1153.6271&lt;/D&gt;&lt;/FQL&gt;&lt;FQL&gt;&lt;Q&gt;SNOW^FE_ESTIMATE(DEFREVENUE,MEAN,QUARTERLY_ROLL,2022/1F,45993,,,'')&lt;/Q&gt;&lt;R&gt;1&lt;/R&gt;&lt;C&gt;1&lt;/C&gt;&lt;D xsi:type="xsd:double"&gt;1143.0962&lt;/D&gt;&lt;/FQL&gt;&lt;FQL&gt;&lt;Q&gt;SNOW^FE_ESTIMATE(DEFREVENUE,MEAN,ANNUAL_ROLL,2021,45993,,,'')&lt;/Q&gt;&lt;R&gt;1&lt;/R&gt;&lt;C&gt;1&lt;/C&gt;&lt;D xsi:type="xsd:double"&gt;1088.7208&lt;/D&gt;&lt;/FQL&gt;&lt;FQL&gt;&lt;Q&gt;SNOW^FE_ESTIMATE(DEFREVENUE,MEAN,QUARTERLY_ROLL,2021/4F,45993,,,'')&lt;/Q&gt;&lt;R&gt;1&lt;/R&gt;&lt;C&gt;1&lt;/C&gt;&lt;D xsi:type="xsd:double"&gt;1169.081&lt;/D&gt;&lt;/FQL&gt;&lt;FQL&gt;&lt;Q&gt;SNOW^FE_ESTIMATE(DEFREVENUE,MEAN,QUARTERLY_ROLL,2021/3F,45993,,,'')&lt;/Q&gt;&lt;R&gt;1&lt;/R&gt;&lt;C&gt;1&lt;/C&gt;&lt;D xsi:type="xsd:double"&gt;766.8552&lt;/D&gt;&lt;/FQL&gt;&lt;FQL&gt;&lt;Q&gt;SNOW^FE_ESTIMATE(DEFREVENUE,MEAN,QUARTERLY_ROLL,2021/2F,45993,,,'')&lt;/Q&gt;&lt;R&gt;1&lt;/R&gt;&lt;C&gt;1&lt;/C&gt;&lt;D xsi:type="xsd:double"&gt;707.70966&lt;/D&gt;&lt;/FQL&gt;&lt;FQL&gt;&lt;Q&gt;SNOW^FE_ESTIMATE(DEFREVENUE,MEAN,QUARTERLY_ROLL,2021/1F,45993,,,'')&lt;/Q&gt;&lt;R&gt;1&lt;/R&gt;&lt;C&gt;1&lt;/C&gt;&lt;D xsi:type="xsd:double"&gt;638.756&lt;/D&gt;&lt;/FQL&gt;&lt;FQL&gt;&lt;Q&gt;SNOW^FE_ESTIMATE(DEFREVENUE,MEAN,ANNUAL_ROLL,2020,45993,,,'')&lt;/Q&gt;&lt;R&gt;1&lt;/R&gt;&lt;C&gt;1&lt;/C&gt;&lt;D xsi:type="xsd:double"&gt;601.6182&lt;/D&gt;&lt;/FQL&gt;&lt;FQL&gt;&lt;Q&gt;SNOW^FE_ESTIMATE(DEFREVENUE,MEAN,QUARTERLY_ROLL,2020/4F,45993,,,'')&lt;/Q&gt;&lt;R&gt;1&lt;/R&gt;&lt;C&gt;1&lt;/C&gt;&lt;D xsi:type="xsd:double"&gt;642.8637&lt;/D&gt;&lt;/FQL&gt;&lt;FQL&gt;&lt;Q&gt;SNOW^FE_ESTIMATE(DEFREVENUE,MEAN,QUARTERLY_ROLL,2020/3F,45993,,,'')&lt;/Q&gt;&lt;R&gt;1&lt;/R&gt;&lt;C&gt;1&lt;/C&gt;&lt;D xsi:type="xsd:double"&gt;441.7009&lt;/D&gt;&lt;/FQL&gt;&lt;FQL&gt;&lt;Q&gt;SNOW^FE_ESTIMATE(DEFREVENUE,MEAN,QUARTERLY_ROLL,2020/2F,45993,,,'')&lt;/Q&gt;&lt;R&gt;1&lt;/R&gt;&lt;C&gt;1&lt;/C&gt;&lt;D xsi:type="xsd:double"&gt;376.70667&lt;/D&gt;&lt;/FQL&gt;&lt;FQL&gt;&lt;Q&gt;SNOW^FE_ESTIMATE(DEFREVENUE,MEAN,QUARTERLY_ROLL,2020/1F,45993,,,'')&lt;/Q&gt;&lt;R&gt;0&lt;/R&gt;&lt;C&gt;0&lt;/C&gt;&lt;/FQL&gt;&lt;FQL&gt;&lt;Q&gt;SNOW^FE_ESTIMATE(DEFREVENUE,MEAN,ANNUAL_ROLL,2019,45993,,,'')&lt;/Q&gt;&lt;R&gt;0&lt;/R&gt;&lt;C&gt;0&lt;/C&gt;&lt;/FQL&gt;&lt;FQL&gt;&lt;Q&gt;SNOW^FE_ESTIMATE(DEFREVENUE,MEAN,QUARTERLY_ROLL,2019/4F,45993,,,'')&lt;/Q&gt;&lt;R&gt;0&lt;/R&gt;&lt;C&gt;0&lt;/C&gt;&lt;/FQL&gt;&lt;FQL&gt;&lt;Q&gt;SNOW^FE_ESTIMATE(DEFREVENUE,MEAN,QUARTERLY_ROLL,2019/3F,45993,,,'')&lt;/Q&gt;&lt;R&gt;0&lt;/R&gt;&lt;C&gt;0&lt;/C&gt;&lt;/FQL&gt;&lt;FQL&gt;&lt;Q&gt;SNOW^FE_ESTIMATE(DEFREVENUE,MEAN,QUARTERLY_ROLL,2019/2F,45993,,,'')&lt;/Q&gt;&lt;R&gt;0&lt;/R&gt;&lt;C&gt;0&lt;/C&gt;&lt;/FQL&gt;&lt;FQL&gt;&lt;Q&gt;SNOW^FE_ESTIMATE(DEFREVENUE,MEAN,QUARTERLY_ROLL,2019/1F,45993,,,'')&lt;/Q&gt;&lt;R&gt;0&lt;/R&gt;&lt;C&gt;0&lt;/C&gt;&lt;/FQL&gt;&lt;FQL&gt;&lt;Q&gt;SNOW^FE_ESTIMATE(DEFREVENUE,MEAN,ANNUAL_ROLL,2018,45993,,,'')&lt;/Q&gt;&lt;R&gt;0&lt;/R&gt;&lt;C&gt;0&lt;/C&gt;&lt;/FQL&gt;&lt;FQL&gt;&lt;Q&gt;SNOW^FE_ESTIMATE(DEFREVENUE,MEAN,QUARTERLY_ROLL,2018/4F,45993,,,'')&lt;/Q&gt;&lt;R&gt;0&lt;/R&gt;&lt;C&gt;0&lt;/C&gt;&lt;/FQL&gt;&lt;FQL&gt;&lt;Q&gt;SNOW^FE_ESTIMATE(DEFREVENUE,MEAN,QUARTERLY_ROLL,2018/3F,45993,,,'')&lt;/Q&gt;&lt;R&gt;0&lt;/R&gt;&lt;C&gt;0&lt;/C&gt;&lt;/FQL&gt;&lt;FQL&gt;&lt;Q&gt;SNOW^FE_ESTIMATE(DEFREVENUE,MEAN,QUARTERLY_ROLL,2018/2F,45993,,,'')&lt;/Q&gt;&lt;R&gt;0&lt;/R&gt;&lt;C&gt;0&lt;/C&gt;&lt;/FQL&gt;&lt;FQL&gt;&lt;Q&gt;SNOW^FE_ESTIMATE(DEFREVENUE,MEAN,QUARTERLY_ROLL,2018/1F,45993,,,'')&lt;/Q&gt;&lt;R&gt;0&lt;/R&gt;&lt;C&gt;0&lt;/C&gt;&lt;/FQL&gt;&lt;FQL&gt;&lt;Q&gt;SNOW^FE_ESTIMATE(DEFREVENUE,MEAN,ANNUAL_ROLL,2017,45993,,,'')&lt;/Q&gt;&lt;R&gt;0&lt;/R&gt;&lt;C&gt;0&lt;/C&gt;&lt;/FQL&gt;&lt;FQL&gt;&lt;Q&gt;SNOW^FE_ESTIMATE(DEFREVENUE,MEAN,QUARTERLY_ROLL,2017/4F,45993,,,'')&lt;/Q&gt;&lt;R&gt;0&lt;/R&gt;&lt;C&gt;0&lt;/C&gt;&lt;/FQL&gt;&lt;FQL&gt;&lt;Q&gt;SNOW^FE_ESTIMATE(DEFREVENUE,MEAN,QUARTERLY_ROLL,2017/3F,45993,,,'')&lt;/Q&gt;&lt;R&gt;0&lt;/R&gt;&lt;C&gt;0&lt;/C&gt;&lt;/FQL&gt;&lt;FQL&gt;&lt;Q&gt;SNOW^FE_ESTIMATE(DEFREVENUE,MEAN,QUARTERLY_ROLL,2017/2F,45993,,,'')&lt;/Q&gt;&lt;R&gt;0&lt;/R&gt;&lt;C&gt;0&lt;/C&gt;&lt;/FQL&gt;&lt;FQL&gt;&lt;Q&gt;SNOW^FE_ESTIMATE(DEFREVENUE,MEAN,QUARTERLY_ROLL,2017/1F,45993,,,'')&lt;/Q&gt;&lt;R&gt;0&lt;/R&gt;&lt;C&gt;0&lt;/C&gt;&lt;/FQL&gt;&lt;FQL&gt;&lt;Q&gt;SNOW^FE_ESTIMATE(DEFREVENUE,MEAN,ANNUAL_ROLL,2016,45993,,,'')&lt;/Q&gt;&lt;R&gt;0&lt;/R&gt;&lt;C&gt;0&lt;/C&gt;&lt;/FQL&gt;&lt;FQL&gt;&lt;Q&gt;SNOW^FE_ESTIMATE(DEFREVENUE,MEAN,QUARTERLY_ROLL,2016/4F,45993,,,'')&lt;/Q&gt;&lt;R&gt;0&lt;/R&gt;&lt;C&gt;0&lt;/C&gt;&lt;/FQL&gt;&lt;FQL&gt;&lt;Q&gt;SNOW^FE_ESTIMATE(DEFREVENUE,MEAN,QUARTERLY_ROLL,2016/3F,45993,,,'')&lt;/Q&gt;&lt;R&gt;0&lt;/R&gt;&lt;C&gt;0&lt;/C&gt;&lt;/FQL&gt;&lt;FQL&gt;&lt;Q&gt;SNOW^FE_ESTIMATE(DEFREVENUE,MEAN,QUARTERLY_ROLL,2016/2F,45993,,,'')&lt;/Q&gt;&lt;R&gt;0&lt;/R&gt;&lt;C&gt;0&lt;/C&gt;&lt;/FQL&gt;&lt;FQL&gt;&lt;Q&gt;SNOW^FE_ESTIMATE(DEFREVENUE,MEAN,QUARTERLY_ROLL,2016/1F,45993,,,'')&lt;/Q&gt;&lt;R&gt;0&lt;/R&gt;&lt;C&gt;0&lt;/C&gt;&lt;/FQL&gt;&lt;FQL&gt;&lt;Q&gt;SNOW^FE_ESTIMATE(DEFREVENUE_LT,MEAN,ANNUAL_ROLL,2027,45993,,,'')&lt;/Q&gt;&lt;R&gt;1&lt;/R&gt;&lt;C&gt;1&lt;/C&gt;&lt;D xsi:type="xsd:double"&gt;15.9&lt;/D&gt;&lt;/FQL&gt;&lt;FQL&gt;&lt;Q&gt;SNOW^FE_ESTIMATE(DEFREVENUE_LT,MEAN,QUARTERLY_ROLL,2027/4F,45993,,,'')&lt;/Q&gt;&lt;R&gt;0&lt;/R&gt;&lt;C&gt;0&lt;/C&gt;&lt;/FQL&gt;&lt;FQL&gt;&lt;Q&gt;SNOW^FE_ESTIMATE(DEFREVENUE_LT,MEAN,QUARTERLY_ROLL,2027/3F,45993,,,'')&lt;/Q&gt;&lt;R&gt;0&lt;/R&gt;&lt;C&gt;0&lt;/C&gt;&lt;/FQL&gt;&lt;FQL&gt;&lt;Q&gt;SNOW^FE_ESTIMATE(DEFREVENUE_LT,MEAN,QUARTERLY_ROLL,2027/2F,45993,,,'')&lt;/Q&gt;&lt;R&gt;0&lt;/R&gt;&lt;C&gt;0&lt;/C&gt;&lt;/FQL&gt;&lt;FQL&gt;&lt;Q&gt;SNOW^FE_ESTIMATE(DEFREVENUE_LT,MEAN,QUARTERLY_ROLL,2027/1F,45993,,,'')&lt;/Q&gt;&lt;R&gt;0&lt;/R&gt;&lt;C&gt;0&lt;/C&gt;&lt;/FQL&gt;&lt;FQL&gt;&lt;Q&gt;SNOW^FE_ESTIMATE(DEFREVENUE_LT,MEAN,ANNUAL_ROLL,2026,45993,,,'')&lt;/Q&gt;&lt;R&gt;1&lt;/R&gt;&lt;C&gt;1&lt;/C&gt;&lt;D xsi:type="xsd:double"&gt;15.357223&lt;/D&gt;&lt;/FQL&gt;&lt;FQL&gt;&lt;Q&gt;SNOW^FE_ESTIMATE(DEFREVENUE_LT,MEAN,QUARTERLY_ROLL,2026/4F,45993,,,'')&lt;/Q&gt;&lt;R&gt;1&lt;/R&gt;&lt;C&gt;1&lt;/C&gt;&lt;D xsi:type="xsd:double"&gt;14.959286&lt;/D&gt;&lt;/FQL&gt;&lt;FQL&gt;&lt;Q&gt;SNOW^FE_ESTIMATE(DEFREVENUE_LT,MEAN,QUARTERLY_ROLL,2026/3F,45993,,,'')&lt;/Q&gt;&lt;R&gt;1&lt;/R&gt;&lt;C&gt;1&lt;/C&gt;&lt;D xsi:type="xsd:double"&gt;12.554&lt;/D&gt;&lt;/FQL&gt;&lt;FQL&gt;&lt;Q&gt;SNOW^FE_ESTIMATE(DEFREVENUE_LT,MEAN,QUARTERLY_ROLL,2026/2F,45993,,,'')&lt;/Q&gt;&lt;R&gt;1&lt;/R&gt;&lt;C&gt;1&lt;/C&gt;&lt;D xsi:type="xsd:double"&gt;12.415571&lt;/D&gt;&lt;/FQL&gt;&lt;FQL&gt;&lt;Q&gt;SNOW^FE_ESTIMATE(DEFREVENUE_LT,MEAN,QUARTERLY_ROLL,2026/1F,45993,,,'')&lt;/Q&gt;&lt;R&gt;1&lt;/R&gt;&lt;C&gt;1&lt;/C&gt;&lt;D xsi:type="xsd:double"&gt;13.412143&lt;/D&gt;&lt;/FQL&gt;&lt;FQL&gt;&lt;Q&gt;SNOW^FE_ESTIMATE(DEFREVENUE_LT,MEAN,ANNUAL_ROLL,2025,45993,,,'')&lt;/Q&gt;&lt;R&gt;1&lt;/R&gt;&lt;C&gt;1&lt;/C&gt;&lt;D xsi:type="xsd:double"&gt;15.049111&lt;/D&gt;&lt;/FQL&gt;&lt;FQL&gt;&lt;Q&gt;SNOW^FE_ESTIMATE(DEFREVENUE_LT,MEAN,QUARTERLY_ROLL,2025/4F,45993,,,'')&lt;/Q&gt;&lt;R&gt;1&lt;/R&gt;&lt;C&gt;1&lt;/C&gt;&lt;D xsi:type="xsd:double"&gt;15.21775&lt;/D&gt;&lt;/FQL&gt;&lt;FQL&gt;&lt;Q&gt;SNOW^FE_ESTIMATE(DEFREVENUE_LT,MEAN,QUARTERLY_ROLL,2025/3F,45993,,,'')&lt;/Q&gt;&lt;R&gt;1&lt;/R&gt;&lt;C&gt;1&lt;/C&gt;&lt;D xsi:type="xsd:double"&gt;12.083&lt;/D&gt;&lt;/FQL&gt;&lt;FQL&gt;&lt;Q&gt;SNOW^FE_ESTIMATE(DEFREVENUE_LT,MEAN,QUARTERLY_ROLL,2025/2F,45993,,,'')&lt;/Q&gt;&lt;R&gt;1&lt;/R&gt;&lt;C&gt;1&lt;/C&gt;&lt;D xsi:type="xsd:double"&gt;11.515&lt;/D&gt;&lt;/FQL&gt;&lt;FQL&gt;&lt;Q&gt;SNOW^FE_ESTIMATE(DEFREVENUE_LT,MEAN,QUARTERLY_ROLL,2025/1F,45993,,,'')&lt;/Q&gt;&lt;R&gt;1&lt;/R&gt;&lt;C&gt;1&lt;/C&gt;&lt;D xsi:type="xsd:double"&gt;13.708&lt;/D&gt;&lt;/FQL&gt;&lt;FQL&gt;&lt;Q&gt;SNOW^FE_ESTIMATE(DEFREVENUE_LT,MEAN,ANNUAL_ROLL,2024,45993,,,'')&lt;/Q&gt;&lt;R&gt;1&lt;/R&gt;&lt;C&gt;1&lt;/C&gt;&lt;D xsi:type="xsd:double"&gt;15.555889&lt;/D&gt;&lt;/FQL&gt;&lt;FQL&gt;&lt;Q&gt;SNOW^FE_ESTIMATE(DEFREVENUE_LT,MEAN,QUARTERLY_ROLL,2024/4F,45993,,,'')&lt;/Q&gt;&lt;R&gt;1&lt;/R&gt;&lt;C&gt;1&lt;/C&gt;&lt;D xsi:type="xsd:double"&gt;15.555889&lt;/D&gt;&lt;/FQL&gt;&lt;FQL&gt;&lt;Q&gt;SNOW^FE_ESTIMATE(DEFREVENUE_LT,MEAN,QUARTERLY_ROLL,2024/3F,45993,,,'')&lt;/Q&gt;&lt;R&gt;1&lt;/R&gt;&lt;C&gt;1&lt;/C&gt;&lt;D xsi:type="xsd:double"&gt;11.9919&lt;/D&gt;&lt;/FQL&gt;&lt;FQL&gt;&lt;Q&gt;SNOW^FE_ESTIMATE(DEFREVENUE_LT,MEAN,QUARTERLY_ROLL,2024/2F,45993,,,'')&lt;/Q&gt;&lt;R&gt;1&lt;/R&gt;&lt;C&gt;1&lt;/C&gt;&lt;D xsi:type="xsd:double"&gt;12.264&lt;/D&gt;&lt;/FQL&gt;&lt;FQL&gt;&lt;Q&gt;SNOW^FE_ESTIMATE(DEFREVENUE_LT,MEAN,QUARTERLY_ROLL,2024/1F,45993,,,'')&lt;/Q&gt;&lt;R&gt;1&lt;/R&gt;&lt;C&gt;1&lt;/C&gt;&lt;D xsi:type="xsd:double"&gt;14.7276&lt;/D&gt;&lt;/FQL&gt;&lt;FQL&gt;&lt;Q&gt;SNOW^FE_ESTIMATE(DEFREVENUE_LT,MEAN,ANNUAL_ROLL,2023,45993,,,'')&lt;/Q&gt;&lt;R&gt;1&lt;/R&gt;&lt;C&gt;1&lt;/C&gt;&lt;D xsi:type="xsd:double"&gt;14.3606&lt;/D&gt;&lt;/FQL&gt;&lt;FQL&gt;&lt;Q&gt;SNOW^FE_ESTIMATE(DEFREVENUE_LT,MEAN,QUARTERLY_ROLL,2023/4F,45993,,,'')&lt;/Q&gt;&lt;R&gt;1&lt;/R&gt;&lt;C&gt;1&lt;/C&gt;&lt;D xsi:type="xsd:double"&gt;14.3606&lt;/D&gt;&lt;/FQL&gt;&lt;FQL&gt;&lt;Q&gt;SNOW^FE_ESTIMATE(DEFREVENUE_LT,MEAN,QUARTERLY_ROLL,2023/3F,45993,,,'')&lt;/Q&gt;&lt;R&gt;1&lt;/R&gt;&lt;C&gt;1&lt;/C&gt;&lt;D xsi:type="xsd:double"&gt;12.09325&lt;/D&gt;&lt;/FQL&gt;&lt;FQL&gt;&lt;Q&gt;SNOW^FE_ESTIMATE(DEFREVENUE_LT,MEAN,QUARTERLY_ROLL,2023/2F,45993,,,'')&lt;/Q&gt;&lt;R&gt;1&lt;/R&gt;&lt;C&gt;1&lt;/C&gt;&lt;D xsi:type="xsd:double"&gt;12.436778&lt;/D&gt;&lt;/FQL&gt;&lt;FQL&gt;&lt;Q&gt;SNOW^FE_ESTIMATE(DEFREVENUE_LT,MEAN,QUARTERLY_ROLL,2023/1F,45993,,,'')&lt;/Q&gt;&lt;R&gt;1&lt;/R&gt;&lt;C&gt;1&lt;/C&gt;&lt;D xsi:type="xsd:double"&gt;14.167111&lt;/D&gt;&lt;/FQL&gt;&lt;FQL&gt;&lt;Q&gt;SNOW^FE_ESTIMATE(DEFREVENUE_LT,MEAN,ANNUAL_ROLL,2022,45993,,,'')&lt;/Q&gt;&lt;R&gt;1&lt;/R&gt;&lt;C&gt;1&lt;/C&gt;&lt;D xsi:type="xsd:double"&gt;11.425111&lt;/D&gt;&lt;/FQL&gt;&lt;FQL&gt;&lt;Q&gt;SNOW^FE_ESTIMATE(DEFREVENUE_LT,MEAN,QUARTERLY_ROLL,2022/4F,45993,,,'')&lt;/Q&gt;&lt;R&gt;1&lt;/R&gt;&lt;C&gt;1&lt;/C&gt;&lt;D xsi:type="xsd:double"&gt;11.425111&lt;/D&gt;&lt;/FQL&gt;&lt;FQL&gt;&lt;Q&gt;SNOW^FE_ESTIMATE(DEFREVENUE_LT,MEAN,QUARTERLY_ROLL,2022/3F,45993,,,'')&lt;/Q&gt;&lt;R&gt;1&lt;/R&gt;&lt;C&gt;1&lt;/C&gt;&lt;D xsi:type="xsd:double"&gt;7.3094287&lt;/D&gt;&lt;/FQL&gt;&lt;FQL&gt;&lt;Q&gt;SNOW^FE_ESTIMATE(DEFREVENUE_LT,MEAN,QUARTERLY_ROLL,2022/2F,45993,,,'')&lt;/Q&gt;&lt;R&gt;1&lt;/R&gt;&lt;C&gt;1&lt;/C&gt;&lt;D xsi:type="xsd:double"&gt;8.820666&lt;/D&gt;&lt;/FQL&gt;&lt;FQL&gt;&lt;Q&gt;SNOW^FE_ESTIMATE(DEFREVENUE_LT,MEAN,QUARTERLY_ROLL,2022/1F,45993,,,'')&lt;/Q&gt;&lt;R&gt;1&lt;/R&gt;&lt;C&gt;1&lt;/C&gt;&lt;D xsi:type="xsd:double"&gt;10.35425&lt;/D&gt;&lt;/FQL&gt;&lt;FQL&gt;&lt;Q&gt;SNOW^FE_ESTIMATE(DEFREVENUE_LT,MEAN,ANNUAL_ROLL,2021,45993,,,'')&lt;/Q&gt;&lt;R&gt;1&lt;/R&gt;&lt;C&gt;1&lt;/C&gt;&lt;D xsi:type="xsd:double"&gt;11.168571&lt;/D&gt;&lt;/FQL&gt;&lt;FQL&gt;&lt;Q&gt;SNOW^FE_ESTIMATE(DEFREVENUE_LT,MEAN,QUARTERLY_ROLL,2021/4F,45993,,,'')&lt;/Q&gt;&lt;R&gt;1&lt;/R&gt;&lt;C&gt;1&lt;/C&gt;&lt;D xsi:type="xsd:double"&gt;11.163333&lt;/D&gt;&lt;/FQL&gt;&lt;FQL&gt;&lt;Q&gt;SNOW^FE_ESTIMATE(DEFREVENUE_LT,MEAN,QUARTERLY_ROLL,2021/3F,45993,,,'')&lt;/Q&gt;&lt;R&gt;1&lt;/R&gt;&lt;C&gt;1&lt;/C&gt;&lt;D xsi:type="xsd:double"&gt;7.108&lt;/D&gt;&lt;/FQL&gt;&lt;FQL&gt;&lt;Q&gt;SNOW^FE_ESTIMATE(DEFREVENUE_LT,MEAN,QUARTERLY_ROLL,2021/2F,45993,,,'')&lt;/Q&gt;&lt;R&gt;1&lt;/R&gt;&lt;C&gt;1&lt;/C&gt;&lt;D xsi:type="xsd:double"&gt;7.1&lt;/D&gt;&lt;/FQL&gt;&lt;FQL&gt;&lt;Q&gt;SNOW^FE_ESTIMATE(DEFREVENUE_LT,MEAN,QUARTERLY_ROLL,2021/1F,45993,,,'')&lt;/Q&gt;&lt;R&gt;1&lt;/R&gt;&lt;C&gt;1&lt;/C&gt;&lt;D xsi:type="xsd:double"&gt;3.69&lt;/D&gt;&lt;/FQL&gt;&lt;FQL&gt;&lt;Q&gt;SNOW^FE_ESTIMATE(DEFREVENUE_LT,MEAN,ANNUAL_ROLL,2020,45993,,,'')&lt;/Q&gt;&lt;R&gt;1&lt;/R&gt;&lt;C&gt;1&lt;/C&gt;&lt;D xsi:type="xsd:double"&gt;4.199143&lt;/D&gt;&lt;/FQL&gt;&lt;FQL&gt;&lt;Q&gt;SNOW^FE_ESTIMATE(DEFREVENUE_LT,MEAN,QUARTERLY_ROLL,2020/4F,45993,,,'')&lt;/Q&gt;&lt;R&gt;1&lt;/R&gt;&lt;C&gt;1&lt;/C&gt;&lt;D xsi:type="xsd:double"&gt;4.199&lt;/D&gt;&lt;/FQL&gt;&lt;FQL&gt;&lt;Q&gt;SNOW^FE_ESTIMATE(DEFREVENUE_LT,MEAN,QUARTERLY_ROLL,2020/3F,45993,,,'')&lt;/Q&gt;&lt;R&gt;1&lt;/R&gt;&lt;C&gt;1&lt;/C&gt;&lt;D xsi:type="xsd:double"&gt;3.49425&lt;/D&gt;&lt;/FQL&gt;&lt;FQL&gt;&lt;Q&gt;SNOW^FE_ESTIMATE(DEFREVENUE_LT,MEAN,QUARTERLY_ROLL,2020/2F,45993,,,'')&lt;/Q&gt;&lt;R&gt;1&lt;/R&gt;&lt;C&gt;1&lt;/C&gt;&lt;D xsi:type="xsd:double"&gt;3.114&lt;/D&gt;&lt;/FQL&gt;&lt;FQL&gt;&lt;Q&gt;SNOW^FE_ESTIMATE(DEFREVENUE_LT,MEAN,QUARTERLY_ROLL,2020/1F,45993,,,'')&lt;/Q&gt;&lt;R&gt;0&lt;/R&gt;&lt;C&gt;0&lt;/C&gt;&lt;/FQL&gt;&lt;FQL&gt;&lt;Q&gt;SNOW^FE_ESTIMATE(DEFREVENUE_LT,MEAN,ANNUAL_ROLL,2019,45993,,,'')&lt;/Q&gt;&lt;R&gt;0&lt;/R&gt;&lt;C&gt;0&lt;/C&gt;&lt;/FQL&gt;&lt;FQL&gt;&lt;Q&gt;SNOW^FE_ESTIMATE(DEFREVENUE_LT,MEAN,QUARTERLY_ROLL,2019/4F,45993,,,'')&lt;/Q&gt;&lt;R&gt;0&lt;/R&gt;&lt;C&gt;0&lt;/C&gt;&lt;/FQL&gt;&lt;FQL&gt;&lt;Q&gt;SNOW^FE_ESTIMATE(DEFREVENUE_LT,MEAN,QUARTERLY_ROLL,2019/3F,45993,,,'')&lt;/Q&gt;&lt;R&gt;0&lt;/R&gt;&lt;C&gt;0&lt;/C&gt;&lt;/FQL&gt;&lt;FQL&gt;&lt;Q&gt;SNOW^FE_ESTIMATE(DEFREVENUE_LT,MEAN,QUARTERLY_ROLL,2019/2F,45993,,,'')&lt;/Q&gt;&lt;R&gt;0&lt;/R&gt;&lt;C&gt;0&lt;/C&gt;&lt;/FQL&gt;&lt;FQL&gt;&lt;Q&gt;SNOW^FE_ESTIMATE(DEFREVENUE_LT,MEAN,QUARTERLY_ROLL,2019/1F,45993,,,'')&lt;/Q&gt;&lt;R&gt;0&lt;/R&gt;&lt;C&gt;0&lt;/C&gt;&lt;/FQL&gt;&lt;FQL&gt;&lt;Q&gt;SNOW^FE_ESTIMATE(DEFREVENUE_LT,MEAN,ANNUAL_ROLL,2018,45993,,,'')&lt;/Q&gt;&lt;R&gt;0&lt;/R&gt;&lt;C&gt;0&lt;/C&gt;&lt;/FQL&gt;&lt;FQL&gt;&lt;Q&gt;SNOW^FE_ESTIMATE(DEFREVENUE_LT,MEAN,QUARTERLY_ROLL,2018/4F,45993,,,'')&lt;/Q&gt;&lt;R&gt;0&lt;/R&gt;&lt;C&gt;0&lt;/C&gt;&lt;/FQL&gt;&lt;FQL&gt;&lt;Q&gt;SNOW^FE_ESTIMATE(DEFREVENUE_LT,MEAN,QUARTERLY_ROLL,2018/3F,45993,,,'')&lt;/Q&gt;&lt;R&gt;0&lt;/R&gt;&lt;C&gt;0&lt;/C&gt;&lt;/FQL&gt;&lt;FQL&gt;&lt;Q&gt;SNOW^FE_ESTIMATE(DEFREVENUE_LT,MEAN,QUARTERLY_ROLL,2018/2F,45993,,,'')&lt;/Q&gt;&lt;R&gt;0&lt;/R&gt;&lt;C&gt;0&lt;/C&gt;&lt;/FQL&gt;&lt;FQL&gt;&lt;Q&gt;SNOW^FE_ESTIMATE(DEFREVENUE_LT,MEAN,QUARTERLY_ROLL,2018/1F,45993,,,'')&lt;/Q&gt;&lt;R&gt;0&lt;/R&gt;&lt;C&gt;0&lt;/C&gt;&lt;/FQL&gt;&lt;FQL&gt;&lt;Q&gt;SNOW^FE_ESTIMATE(DEFREVENUE_LT,MEAN,ANNUAL_ROLL,2017,45993,,,'')&lt;/Q&gt;&lt;R&gt;0&lt;/R&gt;&lt;C&gt;0&lt;/C&gt;&lt;/FQL&gt;&lt;FQL&gt;&lt;Q&gt;SNOW^FE_ESTIMATE(DEFREVENUE_LT,MEAN,QUARTERLY_ROLL,2017/4F,45993,,,'')&lt;/Q&gt;&lt;R&gt;0&lt;/R&gt;&lt;C&gt;0&lt;/C&gt;&lt;/FQL&gt;&lt;FQL&gt;&lt;Q&gt;SNOW^FE_ESTIMATE(DEFREVENUE_LT,MEAN,QUARTERLY_ROLL,2017/3F,45993,,,'')&lt;/Q&gt;&lt;R&gt;0&lt;/R&gt;&lt;C&gt;0&lt;/C&gt;&lt;/FQL&gt;&lt;FQL&gt;&lt;Q&gt;SNOW^FE_ESTIMATE(DEFREVENUE_LT,MEAN,QUARTERLY_ROLL,2017/2F,45993,,,'')&lt;/Q&gt;&lt;R&gt;0&lt;/R&gt;&lt;C&gt;0&lt;/C&gt;&lt;/FQL&gt;&lt;FQL&gt;&lt;Q&gt;SNOW^FE_ESTIMATE(DEFREVENUE_LT,MEAN,QUARTERLY_ROLL,2017/1F,45993,,,'')&lt;/Q&gt;&lt;R&gt;0&lt;/R&gt;&lt;C&gt;0&lt;/C&gt;&lt;/FQL&gt;&lt;FQL&gt;&lt;Q&gt;SNOW^FE_ESTIMATE(DEFREVENUE_LT,MEAN,ANNUAL_ROLL,2016,45993,,,'')&lt;/Q&gt;&lt;R&gt;0&lt;/R&gt;&lt;C&gt;0&lt;/C&gt;&lt;/FQL&gt;&lt;FQL&gt;&lt;Q&gt;SNOW^FE_ESTIMATE(DEFREVENUE_LT,MEAN,QUARTERLY_ROLL,2016/4F,45993,,,'')&lt;/Q&gt;&lt;R&gt;0&lt;/R&gt;&lt;C&gt;0&lt;/C&gt;&lt;/FQL&gt;&lt;FQL&gt;&lt;Q&gt;SNOW^FE_ESTIMATE(DEFREVENUE_LT,MEAN,QUARTERLY_ROLL,2016/3F,45993,,,'')&lt;/Q&gt;&lt;R&gt;0&lt;/R&gt;&lt;C&gt;0&lt;/C&gt;&lt;/FQL&gt;&lt;FQL&gt;&lt;Q&gt;SNOW^FE_ESTIMATE(DEFREVENUE_LT,MEAN,QUARTERLY_ROLL,2016/2F,45993,,,'')&lt;/Q&gt;&lt;R&gt;0&lt;/R&gt;&lt;C&gt;0&lt;/C&gt;&lt;/FQL&gt;&lt;FQL&gt;&lt;Q&gt;SNOW^FE_ESTIMATE(DEFREVENUE_LT,MEAN,QUARTERLY_ROLL,2016/1F,45993,,,'')&lt;/Q&gt;&lt;R&gt;0&lt;/R&gt;&lt;C&gt;0&lt;/C&gt;&lt;/FQL&gt;&lt;FQL&gt;&lt;Q&gt;SNOW^FE_ESTIMATE(DEFREVENUE_ST,MEAN,ANNUAL_ROLL,2027,45993,,,'')&lt;/Q&gt;&lt;R&gt;1&lt;/R&gt;&lt;C&gt;1&lt;/C&gt;&lt;D xsi:type="xsd:double"&gt;4479.25&lt;/D&gt;&lt;/FQL&gt;&lt;FQL&gt;&lt;Q&gt;SNOW^FE_ESTIMATE(DEFREVENUE_ST,MEAN,QUARTERLY_ROLL,2027/4F,45993,,,'')&lt;/Q&gt;&lt;R&gt;0&lt;/R&gt;&lt;C&gt;0&lt;/C&gt;&lt;/FQL&gt;&lt;FQL&gt;&lt;Q&gt;SNOW^FE_ESTIMATE(DEFREVENUE_ST,MEAN,QUARTERLY_ROLL,2027/3F,45993,,,'')&lt;/Q&gt;&lt;R&gt;0&lt;/R&gt;&lt;C&gt;0&lt;/C&gt;&lt;/FQL&gt;&lt;FQL&gt;&lt;Q&gt;SNOW^FE_ESTIMATE(DEFREVENUE_ST,MEAN,QUARTERLY_ROLL,2027/2F,45993,,,'')&lt;/Q&gt;&lt;R&gt;0&lt;/R&gt;&lt;C&gt;0&lt;/C&gt;&lt;/FQL&gt;&lt;FQL&gt;&lt;Q&gt;SNOW^FE_ESTIMATE(DEFREVENUE_ST,MEAN,QUARTERLY_ROLL,2027/1F,45993,,,'')&lt;/Q&gt;&lt;R&gt;0&lt;/R&gt;&lt;C&gt;0&lt;/C&gt;&lt;/FQL&gt;&lt;FQL&gt;&lt;Q&gt;SNOW^FE_ESTIMATE(DEFREVENUE_ST,MEAN,ANNUAL_ROLL,2026,45993,,,'')&lt;/Q&gt;&lt;R&gt;1&lt;/R&gt;&lt;C&gt;1&lt;/C&gt;&lt;D xsi:type="xsd:double"&gt;3568.723&lt;/D&gt;&lt;/FQL&gt;&lt;FQL&gt;&lt;Q&gt;SNOW^FE_ESTIMATE(DEFREVENUE_ST,MEAN,QUARTERLY_ROLL,2026/4F,45993,,,'')&lt;/Q&gt;&lt;R&gt;1&lt;/R&gt;&lt;C&gt;1&lt;/C&gt;&lt;D xsi:type="xsd:double"&gt;3678.5164&lt;/D&gt;&lt;/FQL&gt;&lt;FQL&gt;&lt;Q&gt;SNOW^FE_ESTIMATE(DEFREVENUE_ST,MEAN,QUARTERLY_ROLL,2026/3F,45993,,,'')&lt;/Q&gt;&lt;R&gt;1&lt;/R&gt;&lt;C&gt;1&lt;/C&gt;&lt;D xsi:type="xsd:double"&gt;2921.7456&lt;/D&gt;&lt;/FQL&gt;&lt;FQL&gt;&lt;Q&gt;SNOW^FE_ESTIMATE(DEFREVENUE_ST,MEAN,QUARTERLY_ROLL,2026/2F,45993,,,'')&lt;/Q&gt;&lt;R&gt;1&lt;/R&gt;&lt;C&gt;1&lt;/C&gt;&lt;D xsi:type="xsd:double"&gt;2847.6414&lt;/D&gt;&lt;/FQL&gt;&lt;FQL&gt;&lt;Q&gt;SNOW^FE_ESTIMATE(DEFREVENUE_ST,MEAN,QUARTERLY_ROLL,2026/1F,45993,,,'')&lt;/Q&gt;&lt;R&gt;1&lt;/R&gt;&lt;C&gt;1&lt;/C&gt;&lt;D xsi:type="xsd:double"&gt;2931.503&lt;/D&gt;&lt;/FQL&gt;&lt;FQL&gt;&lt;Q&gt;SNOW^FE_ESTIMATE(DEFREVENUE_ST,MEAN,ANNUAL_ROLL,2025,45993,,,'')&lt;/Q&gt;&lt;R&gt;1&lt;/R&gt;&lt;C&gt;1&lt;/C&gt;&lt;D xsi:type="xsd:double"&gt;3056.114&lt;/D&gt;&lt;/FQL&gt;&lt;FQL&gt;&lt;Q&gt;SNOW^FE_ESTIMATE(DEFREVENUE_ST,MEAN,QUARTERLY_ROLL,2025/4F,45993,,,'')&lt;/Q&gt;&lt;R&gt;1&lt;/R&gt;&lt;C&gt;1&lt;/C&gt;&lt;D xsi:type="xsd:double"&gt;3139.0378&lt;/D&gt;&lt;/FQL&gt;&lt;FQL&gt;&lt;Q&gt;SNOW^FE_ESTIMATE(DEFREVENUE_ST,MEAN,QUARTERLY_ROLL,2025/3F,45993,,,'')&lt;/Q&gt;&lt;R&gt;1&lt;/R&gt;&lt;C&gt;1&lt;/C&gt;&lt;D xsi:type="xsd:double"&gt;2452.4343&lt;/D&gt;&lt;/FQL&gt;&lt;FQL&gt;&lt;Q&gt;SNOW^FE_ESTIMATE(DEFREVENUE_ST,MEAN,QUARTERLY_ROLL,2025/2F,45993,,,'')&lt;/Q&gt;&lt;R&gt;1&lt;/R&gt;&lt;C&gt;1&lt;/C&gt;&lt;D xsi:type="xsd:double"&gt;2269.6765&lt;/D&gt;&lt;/FQL&gt;&lt;FQL&gt;&lt;Q&gt;SNOW^FE_ESTIMATE(DEFREVENUE_ST,MEAN,QUARTERLY_ROLL,2025/1F,45993,,,'')&lt;/Q&gt;&lt;R&gt;1&lt;/R&gt;&lt;C&gt;1&lt;/C&gt;&lt;D xsi:type="xsd:double"&gt;2311.1736&lt;/D&gt;&lt;/FQL&gt;&lt;FQL&gt;&lt;Q&gt;SNOW^FE_ESTIMATE(DEFREVENUE_ST,MEAN,ANNUAL_ROLL,2024,45993,,,'')&lt;/Q&gt;&lt;R&gt;1&lt;/R&gt;&lt;C&gt;1&lt;/C&gt;&lt;D xsi:type="xsd:double"&gt;2581.5657&lt;/D&gt;&lt;/FQL&gt;&lt;FQL&gt;&lt;Q&gt;SNOW^FE_ESTIMATE(DEFREVENUE_ST,MEAN,QUARTERLY_ROLL,2024/4F,45993,,,'')&lt;/Q&gt;&lt;R&gt;1&lt;/R&gt;&lt;C&gt;1&lt;/C&gt;&lt;D xsi:type="xsd:double"&gt;2581.5657&lt;/D&gt;&lt;/FQL&gt;&lt;FQL&gt;&lt;Q&gt;SNOW^FE_ESTIMATE(DEFREVENUE_ST,MEAN,QUARTERLY_ROLL,2024/3F,45993,,,'')&lt;/Q&gt;&lt;R&gt;1&lt;/R&gt;&lt;C&gt;1&lt;/C&gt;&lt;D xsi:type="xsd:double"&gt;1974.9202&lt;/D&gt;&lt;/FQL&gt;&lt;FQL&gt;&lt;Q&gt;SNOW^FE_ESTIMATE(DEFREVENUE_ST,MEAN,QUARTERLY_ROLL,2024/2F,45993,,,'')&lt;/Q&gt;&lt;R&gt;1&lt;/R&gt;&lt;C&gt;1&lt;/C&gt;&lt;D xsi:type="xsd:double"&gt;1848.3528&lt;/D&gt;&lt;/FQL&gt;&lt;FQL&gt;&lt;Q&gt;SNOW^FE_ESTIMATE(DEFREVENUE_ST,MEAN,QUARTERLY_ROLL,2024/1F,45993,,,'')&lt;/Q&gt;&lt;R&gt;1&lt;/R&gt;&lt;C&gt;1&lt;/C&gt;&lt;D xsi:type="xsd:double"&gt;1935.6526&lt;/D&gt;&lt;/FQL&gt;&lt;FQL&gt;&lt;Q&gt;SNOW^FE_ESTIMATE(DEFREVENUE_ST,MEAN,ANNUAL_ROLL,2023,45993,,,'')&lt;/Q&gt;&lt;R&gt;1&lt;/R&gt;&lt;C&gt;1&lt;/C&gt;&lt;D xsi:type="xsd:double"&gt;2198.7314&lt;/D&gt;&lt;/FQL&gt;&lt;FQL&gt;&lt;Q&gt;SNOW^FE_ESTIMATE(DEFREVENUE_ST,MEAN,QUARTERLY_ROLL,2023/4F,45993,,,'')&lt;/Q&gt;&lt;R&gt;1&lt;/R&gt;&lt;C&gt;1&lt;/C&gt;&lt;D xsi:type="xsd:double"&gt;2198.7314&lt;/D&gt;&lt;/FQL&gt;&lt;FQL&gt;&lt;Q&gt;SNOW^FE_ESTIMATE(DEFREVENUE_ST,MEAN,QUARTERLY_ROLL,2023/3F,45993,,,'')&lt;/Q&gt;&lt;R&gt;1&lt;/R&gt;&lt;C&gt;1&lt;/C&gt;&lt;D xsi:type="xsd:double"&gt;1605.5951&lt;/D&gt;&lt;/FQL&gt;&lt;FQL&gt;&lt;Q&gt;SNOW^FE_ESTIMATE(DEFREVENUE_ST,MEAN,QUARTERLY_ROLL,2023/2F,45993,,,'')&lt;/Q&gt;&lt;R&gt;1&lt;/R&gt;&lt;C&gt;1&lt;/C&gt;&lt;D xsi:type="xsd:double"&gt;1523.0839&lt;/D&gt;&lt;/FQL&gt;&lt;FQL&gt;&lt;Q&gt;SNOW^FE_ESTIMATE(DEFREVENUE_ST,MEAN,QUARTERLY_ROLL,2023/1F,45993,,,'')&lt;/Q&gt;&lt;R&gt;1&lt;/R&gt;&lt;C&gt;1&lt;/C&gt;&lt;D xsi:type="xsd:double"&gt;1560.3656&lt;/D&gt;&lt;/FQL&gt;&lt;FQL&gt;&lt;Q&gt;SNOW^FE_ESTIMATE(DEFREVENUE_ST,MEAN,ANNUAL_ROLL,2022,45993,,,'')&lt;/Q&gt;&lt;R&gt;1&lt;/R&gt;&lt;C&gt;1&lt;/C&gt;&lt;D xsi:type="xsd:double"&gt;1673.3722&lt;/D&gt;&lt;/FQL&gt;&lt;FQL&gt;&lt;Q&gt;SNOW^FE_ESTIMATE(DEFREVENUE_ST,MEAN,QUARTERLY_ROLL,2022/4F,45993,,,'')&lt;/Q&gt;&lt;R&gt;1&lt;/R&gt;&lt;C&gt;1&lt;/C&gt;&lt;D xsi:type="xsd:double"&gt;1673.4277&lt;/D&gt;&lt;/FQL&gt;&lt;FQL&gt;&lt;Q&gt;SNOW^FE_ESTIMATE(DEFREVENUE_ST,MEAN,QUARTERLY_ROLL,2022/3F,45993,,,'')&lt;/Q&gt;&lt;R&gt;1&lt;/R&gt;&lt;C&gt;1&lt;/C&gt;&lt;D xsi:type="xsd:double"&gt;1205.5114&lt;/D&gt;&lt;/FQL&gt;&lt;FQL&gt;&lt;Q&gt;SNOW^FE_ESTIMATE(DEFREVENUE_ST,MEAN,QUARTERLY_ROLL,2022/2F,45993,,,'')&lt;/Q&gt;&lt;R&gt;1&lt;/R&gt;&lt;C&gt;1&lt;/C&gt;&lt;D xsi:type="xsd:double"&gt;1144.8162&lt;/D&gt;&lt;/FQL&gt;&lt;FQL&gt;&lt;Q&gt;SNOW^FE_ESTIMATE(DEFREVENUE_ST,MEAN,QUARTERLY_ROLL,2022/1F,45993,,,'')&lt;/Q&gt;&lt;R&gt;1&lt;/R&gt;&lt;C&gt;1&lt;/C&gt;&lt;D xsi:type="xsd:double"&gt;1132.7372&lt;/D&gt;&lt;/FQL&gt;&lt;FQL&gt;&lt;Q&gt;SNOW^FE_ESTIMATE(DEFREVENUE_ST,MEAN,ANNUAL_ROLL,2021,45993,,,'')&lt;/Q&gt;&lt;R&gt;1&lt;/R&gt;&lt;C&gt;1&lt;/C&gt;&lt;D xsi:type="xsd:double"&gt;1157.9093&lt;/D&gt;&lt;/FQL&gt;&lt;FQL&gt;&lt;Q&gt;SNOW^FE_ESTIMATE(DEFREVENUE_ST,MEAN,QUARTERLY_ROLL,2021/4F,45993,,,'')&lt;/Q&gt;&lt;R&gt;1&lt;/R&gt;&lt;C&gt;1&lt;/C&gt;&lt;D xsi:type="xsd:double"&gt;1157.9105&lt;/D&gt;&lt;/FQL&gt;&lt;FQL&gt;&lt;Q&gt;SNOW^FE_ESTIMATE(DEFREVENUE_ST,MEAN,QUARTERLY_ROLL,2021/3F,45993,,,'')&lt;/Q&gt;&lt;R&gt;1&lt;/R&gt;&lt;C&gt;1&lt;/C&gt;&lt;D xsi:type="xsd:double"&gt;759.711&lt;/D&gt;&lt;/FQL&gt;&lt;FQL&gt;&lt;Q&gt;SNOW^FE_ESTIMATE(DEFREVENUE_ST,MEAN,QUARTERLY_ROLL,2021/2F,45993,,,'')&lt;/Q&gt;&lt;R&gt;1&lt;/R&gt;&lt;C&gt;1&lt;/C&gt;&lt;D xsi:type="xsd:double"&gt;701.7895&lt;/D&gt;&lt;/FQL&gt;&lt;FQL&gt;&lt;Q&gt;SNOW^FE_ESTIMATE(DEFREVENUE_ST,MEAN,QUARTERLY_ROLL,2021/1F,45993,,,'')&lt;/Q&gt;&lt;R&gt;1&lt;/R&gt;&lt;C&gt;1&lt;/C&gt;&lt;D xsi:type="xsd:double"&gt;635.0972&lt;/D&gt;&lt;/FQL&gt;&lt;FQL&gt;&lt;Q&gt;SNOW^FE_ESTIMATE(DEFREVENUE_ST,MEAN,ANNUAL_ROLL,2020,45993,,,'')&lt;/Q&gt;&lt;R&gt;1&lt;/R&gt;&lt;C&gt;1&lt;/C&gt;&lt;D xsi:type="xsd:double"&gt;638.6931&lt;/D&gt;&lt;/FQL&gt;&lt;FQL&gt;&lt;Q&gt;SNOW^FE_ESTIMATE(DEFREVENUE_ST,MEAN,QUARTERLY_ROLL,2020/4F,45993,,,'')&lt;/Q&gt;&lt;R&gt;1&lt;/R&gt;&lt;C&gt;1&lt;/C&gt;&lt;D xsi:type="xsd:double"&gt;638.692&lt;/D&gt;&lt;/FQL&gt;&lt;FQL&gt;&lt;Q&gt;SNOW^FE_ESTIMATE(DEFREVENUE_ST,MEAN,QUARTERLY_ROLL,2020/3F,45993,,,'')&lt;/Q&gt;&lt;R&gt;1&lt;/R&gt;&lt;C&gt;1&lt;/C&gt;&lt;D xsi:type="xsd:double"&gt;438.20676&lt;/D&gt;&lt;/FQL&gt;&lt;FQL&gt;&lt;Q&gt;SNOW^FE_ESTIMATE(DEFREVENUE_ST,MEAN,QUARTERLY_ROLL,2020/2F,45993,,,'')&lt;/Q&gt;&lt;R&gt;1&lt;/R&gt;&lt;C&gt;1&lt;/C&gt;&lt;D xsi:type="xsd:double"&gt;373.594&lt;/D&gt;&lt;/FQL&gt;&lt;FQL&gt;&lt;Q&gt;SNOW^FE_ESTIMATE(DEFREVENUE_ST,MEAN,QUARTERLY_ROLL,2020/1F,45993,,,'')&lt;/Q&gt;&lt;R&gt;0&lt;/R&gt;&lt;C&gt;0&lt;/C&gt;&lt;/FQL&gt;&lt;FQL&gt;&lt;Q&gt;SNOW^FE_ESTIMATE(DEFREVENUE_ST,MEAN,ANNUAL_ROLL,2019,45993,,,'')&lt;/Q&gt;&lt;R&gt;0&lt;/R&gt;&lt;C&gt;0&lt;/C&gt;&lt;/FQL&gt;&lt;FQL&gt;&lt;Q&gt;SNOW^FE_ESTIMATE(DEFREVENUE_ST,MEAN,QUARTERLY_ROLL,2019/4F,45993,,,'')&lt;/Q&gt;&lt;R&gt;0&lt;/R&gt;&lt;C&gt;0&lt;/C&gt;&lt;/FQL&gt;&lt;FQL&gt;&lt;Q&gt;SNOW^FE_ESTIMATE(DEFREVENUE_ST,MEAN,QUARTERLY_ROLL,2019/3F,45993,,,'')&lt;/Q&gt;&lt;R&gt;0&lt;/R&gt;&lt;C&gt;0&lt;/C&gt;&lt;/FQL&gt;&lt;FQL&gt;&lt;Q&gt;SNOW^FE_ESTIMATE(DEFREVENUE_ST,MEAN,QUARTERLY_ROLL,2019/2F,45993,,,'')&lt;/Q&gt;&lt;R&gt;0&lt;/R&gt;&lt;C&gt;0&lt;/C&gt;&lt;/FQL&gt;&lt;FQL&gt;&lt;Q&gt;SNOW^FE_ESTIMATE(DEFREVENUE_ST,MEAN,QUARTERLY_ROLL,2019/1F,45993,,,'')&lt;/Q&gt;&lt;R&gt;0&lt;/R&gt;&lt;C&gt;0&lt;/C&gt;&lt;/FQL&gt;&lt;FQL&gt;&lt;Q&gt;SNOW^FE_ESTIMATE(DEFREVENUE_ST,MEAN,ANNUAL_ROLL,2018,45993,,,'')&lt;/Q&gt;&lt;R&gt;0&lt;/R&gt;&lt;C&gt;0&lt;/C&gt;&lt;/FQL&gt;&lt;FQL&gt;&lt;Q&gt;SNOW^FE_ESTIMATE(DEFREVENUE_ST,MEAN,QUARTERLY_ROLL,2018/4F,45993,,,'')&lt;/Q&gt;&lt;R&gt;0&lt;/R&gt;&lt;C&gt;0&lt;/C&gt;&lt;/FQL&gt;&lt;FQL&gt;&lt;Q&gt;SNOW^FE_ESTIMATE(DEFREVENUE_ST,MEAN,QUARTERLY_ROLL,2018/3F,45993,,,'')&lt;/Q&gt;&lt;R&gt;0&lt;/R&gt;&lt;C&gt;0&lt;/C&gt;&lt;/FQL&gt;&lt;FQL&gt;&lt;Q&gt;SNOW^FE_ESTIMATE(DEFREVENUE_ST,MEAN,QUARTERLY_ROLL,2018/2F,45993,,,'')&lt;/Q&gt;&lt;R&gt;0&lt;/R&gt;&lt;C&gt;0&lt;/C&gt;&lt;/FQL&gt;&lt;FQL&gt;&lt;Q&gt;SNOW^FE_ESTIMATE(DEFREVENUE_ST,MEAN,QUARTERLY_ROLL,2018/1F,45993,,,'')&lt;/Q&gt;&lt;R&gt;0&lt;/R&gt;&lt;C&gt;0&lt;/C&gt;&lt;/FQL&gt;&lt;FQL&gt;&lt;Q&gt;SNOW^FE_ESTIMATE(DEFREVENUE_ST,MEAN,ANNUAL_ROLL,2017,45993,,,'')&lt;/Q&gt;&lt;R&gt;0&lt;/R&gt;&lt;C&gt;0&lt;/C&gt;&lt;/FQL&gt;&lt;FQL&gt;&lt;Q&gt;SNOW^FE_ESTIMATE(DEFREVENUE_ST,MEAN,QUARTERLY_ROLL,2017/4F,45993,,,'')&lt;/Q&gt;&lt;R&gt;0&lt;/R&gt;&lt;C&gt;0&lt;/C&gt;&lt;/FQL&gt;&lt;FQL&gt;&lt;Q&gt;SNOW^FE_ESTIMATE(DEFREVENUE_ST,MEAN,QUARTERLY_ROLL,2017/3F,45993,,,'')&lt;/Q&gt;&lt;R&gt;0&lt;/R&gt;&lt;C&gt;0&lt;/C&gt;&lt;/FQL&gt;&lt;FQL&gt;&lt;Q&gt;SNOW^FE_ESTIMATE(DEFREVENUE_ST,MEAN,QUARTERLY_ROLL,2017/2F,45993,,,'')&lt;/Q&gt;&lt;R&gt;0&lt;/R&gt;&lt;C&gt;0&lt;/C&gt;&lt;/FQL&gt;&lt;FQL&gt;&lt;Q&gt;SNOW^FE_ESTIMATE(DEFREVENUE_ST,MEAN,QUARTERLY_ROLL,2017/1F,45993,,,'')&lt;/Q&gt;&lt;R&gt;0&lt;/R&gt;&lt;C&gt;0&lt;/C&gt;&lt;/FQL&gt;&lt;FQL&gt;&lt;Q&gt;SNOW^FE_ESTIMATE(DEFREVENUE_ST,MEAN,ANNUAL_ROLL,2016,45993,,,'')&lt;/Q&gt;&lt;R&gt;0&lt;/R&gt;&lt;C&gt;0&lt;/C&gt;&lt;/FQL&gt;&lt;FQL&gt;&lt;Q&gt;SNOW^FE_ESTIMATE(DEFREVENUE_ST,MEAN,QUARTERLY_ROLL,2016/4F,45993,,,'')&lt;/Q&gt;&lt;R&gt;0&lt;/R&gt;&lt;C&gt;0&lt;/C&gt;&lt;/FQL&gt;&lt;FQL&gt;&lt;Q&gt;SNOW^FE_ESTIMATE(DEFREVENUE_ST,MEAN,QUARTERLY_ROLL,2016/3F,45993,,,'')&lt;/Q&gt;&lt;R&gt;0&lt;/R&gt;&lt;C&gt;0&lt;/C&gt;&lt;/FQL&gt;&lt;FQL&gt;&lt;Q&gt;SNOW^FE_ESTIMATE(DEFREVENUE_ST,MEAN,QUARTERLY_ROLL,2016/2F,45993,,,'')&lt;/Q&gt;&lt;R&gt;0&lt;/R&gt;&lt;C&gt;0&lt;/C&gt;&lt;/FQL&gt;&lt;FQL&gt;&lt;Q&gt;SNOW^FE_ESTIMATE(DEFREVENUE_ST,MEAN,QUARTERLY_ROLL,2016/1F,45993,,,'')&lt;/Q&gt;&lt;R&gt;0&lt;/R&gt;&lt;C&gt;0&lt;/C&gt;&lt;/FQL&gt;&lt;FQL&gt;&lt;Q&gt;SNOW^FE_ESTIMATE(FCF,MEAN,ANNUAL_ROLL,2027,45993,,,'')&lt;/Q&gt;&lt;R&gt;1&lt;/R&gt;&lt;C&gt;1&lt;/C&gt;&lt;D xsi:type="xsd:double"&gt;1912.4612&lt;/D&gt;&lt;/FQL&gt;&lt;FQL&gt;&lt;Q&gt;SNOW^FE_ESTIMATE(FCF,MEAN,QUARTERLY_ROLL,2027/4F,45993,,,'')&lt;/Q&gt;&lt;R&gt;1&lt;/R&gt;&lt;C&gt;1&lt;/C&gt;&lt;D xsi:type="xsd:double"&gt;821.674&lt;/D&gt;&lt;/FQL&gt;&lt;FQL&gt;&lt;Q&gt;SNOW^FE_ESTIMATE(FCF,MEAN,QUARTERLY_ROLL,2027/3F,45993,,,'')&lt;/Q&gt;&lt;R&gt;1&lt;/R&gt;&lt;C&gt;1&lt;/C&gt;&lt;D xsi:type="xsd:double"&gt;292.67&lt;/D&gt;&lt;/FQL&gt;&lt;FQL&gt;&lt;Q&gt;SNOW^FE_ESTIMATE(FCF,MEAN,QUARTERLY_ROLL,2027/2F,45993,,,'')&lt;/Q&gt;&lt;R&gt;1&lt;/R&gt;&lt;C&gt;1&lt;/C&gt;&lt;D xsi:type="xsd:double"&gt;192.73666&lt;/D&gt;&lt;/FQL&gt;&lt;FQL&gt;&lt;Q&gt;SNOW^FE_ESTIMATE(FCF,MEAN,QUARTERLY_ROLL,2027/1F,45993,,,'')&lt;/Q&gt;&lt;R&gt;1&lt;/R&gt;&lt;C&gt;1&lt;/C&gt;&lt;D xsi:type="xsd:double"&gt;555.68536&lt;/D&gt;&lt;/FQL&gt;&lt;FQL&gt;&lt;Q&gt;SNOW^FE_ESTIMATE(FCF,MEAN,ANNUAL_ROLL,2026,45993,,,'')&lt;/Q&gt;&lt;R&gt;1&lt;/R&gt;&lt;C&gt;1&lt;/C&gt;&lt;D xsi:type="xsd:double"&gt;1386.6895&lt;/D&gt;&lt;/FQL&gt;&lt;FQL&gt;&lt;Q&gt;SNOW^FE_ESTIMATE(FCF,MEAN,QUARTERLY_ROLL,2026/4F,45993,,,'')&lt;/Q&gt;&lt;R&gt;1&lt;/R&gt;&lt;C&gt;1&lt;/C&gt;&lt;D xsi:type="xsd:double"&gt;658.22095&lt;/D&gt;&lt;/FQL&gt;&lt;FQL&gt;&lt;Q&gt;SNOW^FE_ESTIMATE(FCF,MEAN,QUARTERLY_ROLL,2026/3F,45993,,,'')&lt;/Q&gt;&lt;R&gt;1&lt;/R&gt;&lt;C&gt;1&lt;/C&gt;&lt;D xsi:type="xsd:double"&gt;222.06406&lt;/D&gt;&lt;/FQL&gt;&lt;FQL&gt;&lt;Q&gt;SNOW^FE_ESTIMATE(FCF,MEAN,QUARTERLY_ROLL,2026/2F,45993,,,'')&lt;/Q&gt;&lt;R&gt;1&lt;/R&gt;&lt;C&gt;1&lt;/C&gt;&lt;D xsi:type="xsd:double"&gt;149.34845&lt;/D&gt;&lt;/FQL&gt;&lt;FQL&gt;&lt;Q&gt;SNOW^FE_ESTIMATE(FCF,MEAN,QUARTERLY_ROLL,2026/1F,45993,,,'')&lt;/Q&gt;&lt;R&gt;1&lt;/R&gt;&lt;C&gt;1&lt;/C&gt;&lt;D xsi:type="xsd:double"&gt;361.71786&lt;/D&gt;&lt;/FQL&gt;&lt;FQL&gt;&lt;Q&gt;SNOW^FE_ESTIMATE(FCF,MEAN,ANNUAL_ROLL,2025,45993,,,'')&lt;/Q&gt;&lt;R&gt;1&lt;/R&gt;&lt;C&gt;1&lt;/C&gt;&lt;D xsi:type="xsd:double"&gt;1063.4868&lt;/D&gt;&lt;/FQL&gt;&lt;FQL&gt;&lt;Q&gt;SNOW^FE_ESTIMATE(FCF,MEAN,QUARTERLY_ROLL,2025/4F,45993,,,'')&lt;/Q&gt;&lt;R&gt;1&lt;/R&gt;&lt;C&gt;1&lt;/C&gt;&lt;D xsi:type="xsd:double"&gt;603.96045&lt;/D&gt;&lt;/FQL&gt;&lt;FQL&gt;&lt;Q&gt;SNOW^FE_ESTIMATE(FCF,MEAN,QUARTERLY_ROLL,2025/3F,45993,,,'')&lt;/Q&gt;&lt;R&gt;1&lt;/R&gt;&lt;C&gt;1&lt;/C&gt;&lt;D xsi:type="xsd:double"&gt;306.11685&lt;/D&gt;&lt;/FQL&gt;&lt;FQL&gt;&lt;Q&gt;SNOW^FE_ESTIMATE(FCF,MEAN,QUARTERLY_ROLL,2025/2F,45993,,,'')&lt;/Q&gt;&lt;R&gt;1&lt;/R&gt;&lt;C&gt;1&lt;/C&gt;&lt;D xsi:type="xsd:double"&gt;62.3926&lt;/D&gt;&lt;/FQL&gt;&lt;FQL&gt;&lt;Q&gt;SNOW^FE_ESTIMATE(FCF,MEAN,QUARTERLY_ROLL,2025/1F,45993,,,'')&lt;/Q&gt;&lt;R&gt;1&lt;/R&gt;&lt;C&gt;1&lt;/C&gt;&lt;D xsi:type="xsd:double"&gt;192.0944&lt;/D&gt;&lt;/FQL&gt;&lt;FQL&gt;&lt;Q&gt;SNOW^FE_ESTIMATE(FCF,MEAN,ANNUAL_ROLL,2024,45993,,,'')&lt;/Q&gt;&lt;R&gt;1&lt;/R&gt;&lt;C&gt;1&lt;/C&gt;&lt;D xsi:type="xsd:double"&gt;902.7816&lt;/D&gt;&lt;/FQL&gt;&lt;FQL&gt;&lt;Q&gt;SNOW^FE_ESTIMATE(FCF,MEAN,QUARTERLY_ROLL,2024/4F,45993,,,'')&lt;/Q&gt;&lt;R&gt;1&lt;/R&gt;&lt;C&gt;1&lt;/C&gt;&lt;D xsi:type="xsd:double"&gt;417.53946&lt;/D&gt;&lt;/FQL&gt;&lt;FQL&gt;&lt;Q&gt;SNOW^FE_ESTIMATE(FCF,MEAN,QUARTERLY_ROLL,2024/3F,45993,,,'')&lt;/Q&gt;&lt;R&gt;1&lt;/R&gt;&lt;C&gt;1&lt;/C&gt;&lt;D xsi:type="xsd:double"&gt;80.335434&lt;/D&gt;&lt;/FQL&gt;&lt;FQL&gt;&lt;Q&gt;SNOW^FE_ESTIMATE(FCF,MEAN,QUARTERLY_ROLL,2024/2F,45993,,,'')&lt;/Q&gt;&lt;R&gt;1&lt;/R&gt;&lt;C&gt;1&lt;/C&gt;&lt;D xsi:type</t>
        </r>
      </text>
    </comment>
    <comment ref="A2" authorId="0" shapeId="0" xr:uid="{94850193-EC7B-453E-9C4E-09465F4D1D17}">
      <text>
        <r>
          <rPr>
            <b/>
            <sz val="9"/>
            <color indexed="81"/>
            <rFont val="Tahoma"/>
            <charset val="1"/>
          </rPr>
          <t>="xsd:double"&gt;60.857&lt;/D&gt;&lt;/FQL&gt;&lt;FQL&gt;&lt;Q&gt;SNOW^FE_ESTIMATE(FCF,MEAN,QUARTERLY_ROLL,2024/1F,45993,,,'')&lt;/Q&gt;&lt;R&gt;1&lt;/R&gt;&lt;C&gt;1&lt;/C&gt;&lt;D xsi:type="xsd:double"&gt;331.545&lt;/D&gt;&lt;/FQL&gt;&lt;FQL&gt;&lt;Q&gt;SNOW^FE_ESTIMATE(FCF,MEAN,ANNUAL_ROLL,2023,45993,,,'')&lt;/Q&gt;&lt;R&gt;1&lt;/R&gt;&lt;C&gt;1&lt;/C&gt;&lt;D xsi:type="xsd:double"&gt;810.2&lt;/D&gt;&lt;/FQL&gt;&lt;FQL&gt;&lt;Q&gt;SNOW^FE_ESTIMATE(FCF,MEAN,QUARTERLY_ROLL,2023/4F,45993,,,'')&lt;/Q&gt;&lt;R&gt;1&lt;/R&gt;&lt;C&gt;1&lt;/C&gt;&lt;D xsi:type="xsd:double"&gt;324.3&lt;/D&gt;&lt;/FQL&gt;&lt;FQL&gt;&lt;Q&gt;SNOW^FE_ESTIMATE(FCF,MEAN,QUARTERLY_ROLL,2023/3F,45993,,,'')&lt;/Q&gt;&lt;R&gt;1&lt;/R&gt;&lt;C&gt;1&lt;/C&gt;&lt;D xsi:type="xsd:double"&gt;105.1286&lt;/D&gt;&lt;/FQL&gt;&lt;FQL&gt;&lt;Q&gt;SNOW^FE_ESTIMATE(FCF,MEAN,QUARTERLY_ROLL,2023/2F,45993,,,'')&lt;/Q&gt;&lt;R&gt;1&lt;/R&gt;&lt;C&gt;1&lt;/C&gt;&lt;D xsi:type="xsd:double"&gt;69.80543&lt;/D&gt;&lt;/FQL&gt;&lt;FQL&gt;&lt;Q&gt;SNOW^FE_ESTIMATE(FCF,MEAN,QUARTERLY_ROLL,2023/1F,45993,,,'')&lt;/Q&gt;&lt;R&gt;1&lt;/R&gt;&lt;C&gt;1&lt;/C&gt;&lt;D xsi:type="xsd:double"&gt;284.11017&lt;/D&gt;&lt;/FQL&gt;&lt;FQL&gt;&lt;Q&gt;SNOW^FE_ESTIMATE(FCF,MEAN,ANNUAL_ROLL,2022,45993,,,'')&lt;/Q&gt;&lt;R&gt;1&lt;/R&gt;&lt;C&gt;1&lt;/C&gt;&lt;D xsi:type="xsd:double"&gt;499.1073&lt;/D&gt;&lt;/FQL&gt;&lt;FQL&gt;&lt;Q&gt;SNOW^FE_ESTIMATE(FCF,MEAN,QUARTERLY_ROLL,2022/4F,45993,,,'')&lt;/Q&gt;&lt;R&gt;1&lt;/R&gt;&lt;C&gt;1&lt;/C&gt;&lt;D xsi:type="xsd:double"&gt;205.28581&lt;/D&gt;&lt;/FQL&gt;&lt;FQL&gt;&lt;Q&gt;SNOW^FE_ESTIMATE(FCF,MEAN,QUARTERLY_ROLL,2022/3F,45993,,,'')&lt;/Q&gt;&lt;R&gt;1&lt;/R&gt;&lt;C&gt;1&lt;/C&gt;&lt;D xsi:type="xsd:double"&gt;65.55775&lt;/D&gt;&lt;/FQL&gt;&lt;FQL&gt;&lt;Q&gt;SNOW^FE_ESTIMATE(FCF,MEAN,QUARTERLY_ROLL,2022/2F,45993,,,'')&lt;/Q&gt;&lt;R&gt;1&lt;/R&gt;&lt;C&gt;1&lt;/C&gt;&lt;D xsi:type="xsd:double"&gt;41.698616&lt;/D&gt;&lt;/FQL&gt;&lt;FQL&gt;&lt;Q&gt;SNOW^FE_ESTIMATE(FCF,MEAN,QUARTERLY_ROLL,2022/1F,45993,,,'')&lt;/Q&gt;&lt;R&gt;1&lt;/R&gt;&lt;C&gt;1&lt;/C&gt;&lt;D xsi:type="xsd:double"&gt;176.87659&lt;/D&gt;&lt;/FQL&gt;&lt;FQL&gt;&lt;Q&gt;SNOW^FE_ESTIMATE(FCF,MEAN,ANNUAL_ROLL,2021,45993,,,'')&lt;/Q&gt;&lt;R&gt;1&lt;/R&gt;&lt;C&gt;1&lt;/C&gt;&lt;D xsi:type="xsd:double"&gt;94.710304&lt;/D&gt;&lt;/FQL&gt;&lt;FQL&gt;&lt;Q&gt;SNOW^FE_ESTIMATE(FCF,MEAN,QUARTERLY_ROLL,2021/4F,45993,,,'')&lt;/Q&gt;&lt;R&gt;1&lt;/R&gt;&lt;C&gt;1&lt;/C&gt;&lt;D xsi:type="xsd:double"&gt;82.12127&lt;/D&gt;&lt;/FQL&gt;&lt;FQL&gt;&lt;Q&gt;SNOW^FE_ESTIMATE(FCF,MEAN,QUARTERLY_ROLL,2021/3F,45993,,,'')&lt;/Q&gt;&lt;R&gt;1&lt;/R&gt;&lt;C&gt;1&lt;/C&gt;&lt;D xsi:type="xsd:double"&gt;12.583333&lt;/D&gt;&lt;/FQL&gt;&lt;FQL&gt;&lt;Q&gt;SNOW^FE_ESTIMATE(FCF,MEAN,QUARTERLY_ROLL,2021/2F,45993,,,'')&lt;/Q&gt;&lt;R&gt;1&lt;/R&gt;&lt;C&gt;1&lt;/C&gt;&lt;D xsi:type="xsd:double"&gt;-6.792889&lt;/D&gt;&lt;/FQL&gt;&lt;FQL&gt;&lt;Q&gt;SNOW^FE_ESTIMATE(FCF,MEAN,QUARTERLY_ROLL,2021/1F,45993,,,'')&lt;/Q&gt;&lt;R&gt;1&lt;/R&gt;&lt;C&gt;1&lt;/C&gt;&lt;D xsi:type="xsd:double"&gt;14.532125&lt;/D&gt;&lt;/FQL&gt;&lt;FQL&gt;&lt;Q&gt;SNOW^FE_ESTIMATE(FCF,MEAN,ANNUAL_ROLL,2020,45993,,,'')&lt;/Q&gt;&lt;R&gt;1&lt;/R&gt;&lt;C&gt;1&lt;/C&gt;&lt;D xsi:type="xsd:double"&gt;-83.85561&lt;/D&gt;&lt;/FQL&gt;&lt;FQL&gt;&lt;Q&gt;SNOW^FE_ESTIMATE(FCF,MEAN,QUARTERLY_ROLL,2020/4F,45993,,,'')&lt;/Q&gt;&lt;R&gt;1&lt;/R&gt;&lt;C&gt;1&lt;/C&gt;&lt;D xsi:type="xsd:double"&gt;8.513667&lt;/D&gt;&lt;/FQL&gt;&lt;FQL&gt;&lt;Q&gt;SNOW^FE_ESTIMATE(FCF,MEAN,QUARTERLY_ROLL,2020/3F,45993,,,'')&lt;/Q&gt;&lt;R&gt;1&lt;/R&gt;&lt;C&gt;1&lt;/C&gt;&lt;D xsi:type="xsd:double"&gt;-37.558&lt;/D&gt;&lt;/FQL&gt;&lt;FQL&gt;&lt;Q&gt;SNOW^FE_ESTIMATE(FCF,MEAN,QUARTERLY_ROLL,2020/2F,45993,,,'')&lt;/Q&gt;&lt;R&gt;1&lt;/R&gt;&lt;C&gt;1&lt;/C&gt;&lt;D xsi:type="xsd:double"&gt;-44.199333&lt;/D&gt;&lt;/FQL&gt;&lt;FQL&gt;&lt;Q&gt;SNOW^FE_ESTIMATE(FCF,MEAN,QUARTERLY_ROLL,2020/1F,45993,,,'')&lt;/Q&gt;&lt;R&gt;1&lt;/R&gt;&lt;C&gt;1&lt;/C&gt;&lt;D xsi:type="xsd:double"&gt;-10.8&lt;/D&gt;&lt;/FQL&gt;&lt;FQL&gt;&lt;Q&gt;SNOW^FE_ESTIMATE(FCF,MEAN,ANNUAL_ROLL,2019,45993,,,'')&lt;/Q&gt;&lt;R&gt;0&lt;/R&gt;&lt;C&gt;0&lt;/C&gt;&lt;/FQL&gt;&lt;FQL&gt;&lt;Q&gt;SNOW^FE_ESTIMATE(FCF,MEAN,QUARTERLY_ROLL,2019/4F,45993,,,'')&lt;/Q&gt;&lt;R&gt;0&lt;/R&gt;&lt;C&gt;0&lt;/C&gt;&lt;/FQL&gt;&lt;FQL&gt;&lt;Q&gt;SNOW^FE_ESTIMATE(FCF,MEAN,QUARTERLY_ROLL,2019/3F,45993,,,'')&lt;/Q&gt;&lt;R&gt;0&lt;/R&gt;&lt;C&gt;0&lt;/C&gt;&lt;/FQL&gt;&lt;FQL&gt;&lt;Q&gt;SNOW^FE_ESTIMATE(FCF,MEAN,QUARTERLY_ROLL,2019/2F,45993,,,'')&lt;/Q&gt;&lt;R&gt;0&lt;/R&gt;&lt;C&gt;0&lt;/C&gt;&lt;/FQL&gt;&lt;FQL&gt;&lt;Q&gt;SNOW^FE_ESTIMATE(FCF,MEAN,QUARTERLY_ROLL,2019/1F,45993,,,'')&lt;/Q&gt;&lt;R&gt;0&lt;/R&gt;&lt;C&gt;0&lt;/C&gt;&lt;/FQL&gt;&lt;FQL&gt;&lt;Q&gt;SNOW^FE_ESTIMATE(FCF,MEAN,ANNUAL_ROLL,2018,45993,,,'')&lt;/Q&gt;&lt;R&gt;0&lt;/R&gt;&lt;C&gt;0&lt;/C&gt;&lt;/FQL&gt;&lt;FQL&gt;&lt;Q&gt;SNOW^FE_ESTIMATE(FCF,MEAN,QUARTERLY_ROLL,2018/4F,45993,,,'')&lt;/Q&gt;&lt;R&gt;0&lt;/R&gt;&lt;C&gt;0&lt;/C&gt;&lt;/FQL&gt;&lt;FQL&gt;&lt;Q&gt;SNOW^FE_ESTIMATE(FCF,MEAN,QUARTERLY_ROLL,2018/3F,45993,,,'')&lt;/Q&gt;&lt;R&gt;0&lt;/R&gt;&lt;C&gt;0&lt;/C&gt;&lt;/FQL&gt;&lt;FQL&gt;&lt;Q&gt;SNOW^FE_ESTIMATE(FCF,MEAN,QUARTERLY_ROLL,2018/2F,45993,,,'')&lt;/Q&gt;&lt;R&gt;0&lt;/R&gt;&lt;C&gt;0&lt;/C&gt;&lt;/FQL&gt;&lt;FQL&gt;&lt;Q&gt;SNOW^FE_ESTIMATE(FCF,MEAN,QUARTERLY_ROLL,2018/1F,45993,,,'')&lt;/Q&gt;&lt;R&gt;0&lt;/R&gt;&lt;C&gt;0&lt;/C&gt;&lt;/FQL&gt;&lt;FQL&gt;&lt;Q&gt;SNOW^FE_ESTIMATE(FCF,MEAN,ANNUAL_ROLL,2017,45993,,,'')&lt;/Q&gt;&lt;R&gt;0&lt;/R&gt;&lt;C&gt;0&lt;/C&gt;&lt;/FQL&gt;&lt;FQL&gt;&lt;Q&gt;SNOW^FE_ESTIMATE(FCF,MEAN,QUARTERLY_ROLL,2017/4F,45993,,,'')&lt;/Q&gt;&lt;R&gt;0&lt;/R&gt;&lt;C&gt;0&lt;/C&gt;&lt;/FQL&gt;&lt;FQL&gt;&lt;Q&gt;SNOW^FE_ESTIMATE(FCF,MEAN,QUARTERLY_ROLL,2017/3F,45993,,,'')&lt;/Q&gt;&lt;R&gt;0&lt;/R&gt;&lt;C&gt;0&lt;/C&gt;&lt;/FQL&gt;&lt;FQL&gt;&lt;Q&gt;SNOW^FE_ESTIMATE(FCF,MEAN,QUARTERLY_ROLL,2017/2F,45993,,,'')&lt;/Q&gt;&lt;R&gt;0&lt;/R&gt;&lt;C&gt;0&lt;/C&gt;&lt;/FQL&gt;&lt;FQL&gt;&lt;Q&gt;SNOW^FE_ESTIMATE(FCF,MEAN,QUARTERLY_ROLL,2017/1F,45993,,,'')&lt;/Q&gt;&lt;R&gt;0&lt;/R&gt;&lt;C&gt;0&lt;/C&gt;&lt;/FQL&gt;&lt;FQL&gt;&lt;Q&gt;SNOW^FE_ESTIMATE(FCF,MEAN,ANNUAL_ROLL,2016,45993,,,'')&lt;/Q&gt;&lt;R&gt;0&lt;/R&gt;&lt;C&gt;0&lt;/C&gt;&lt;/FQL&gt;&lt;FQL&gt;&lt;Q&gt;SNOW^FE_ESTIMATE(FCF,MEAN,QUARTERLY_ROLL,2016/4F,45993,,,'')&lt;/Q&gt;&lt;R&gt;0&lt;/R&gt;&lt;C&gt;0&lt;/C&gt;&lt;/FQL&gt;&lt;FQL&gt;&lt;Q&gt;SNOW^FE_ESTIMATE(FCF,MEAN,QUARTERLY_ROLL,2016/3F,45993,,,'')&lt;/Q&gt;&lt;R&gt;0&lt;/R&gt;&lt;C&gt;0&lt;/C&gt;&lt;/FQL&gt;&lt;FQL&gt;&lt;Q&gt;SNOW^FE_ESTIMATE(FCF,MEAN,QUARTERLY_ROLL,2016/2F,45993,,,'')&lt;/Q&gt;&lt;R&gt;0&lt;/R&gt;&lt;C&gt;0&lt;/C&gt;&lt;/FQL&gt;&lt;FQL&gt;&lt;Q&gt;SNOW^FE_ESTIMATE(FCF,MEAN,QUARTERLY_ROLL,2016/1F,45993,,,'')&lt;/Q&gt;&lt;R&gt;0&lt;/R&gt;&lt;C&gt;0&lt;/C&gt;&lt;/FQL&gt;&lt;FQL&gt;&lt;Q&gt;SNOW^FE_ESTIMATE(CAPEX,MEAN,ANNUAL_ROLL,2027,45993,,,'')&lt;/Q&gt;&lt;R&gt;1&lt;/R&gt;&lt;C&gt;1&lt;/C&gt;&lt;D xsi:type="xsd:double"&gt;104.42696&lt;/D&gt;&lt;/FQL&gt;&lt;FQL&gt;&lt;Q&gt;SNOW^FE_ESTIMATE(CAPEX,MEAN,QUARTERLY_ROLL,2027/4F,45993,,,'')&lt;/Q&gt;&lt;R&gt;1&lt;/R&gt;&lt;C&gt;1&lt;/C&gt;&lt;D xsi:type="xsd:double"&gt;21.673828&lt;/D&gt;&lt;/FQL&gt;&lt;FQL&gt;&lt;Q&gt;SNOW^FE_ESTIMATE(CAPEX,MEAN,QUARTERLY_ROLL,2027/3F,45993,,,'')&lt;/Q&gt;&lt;R&gt;1&lt;/R&gt;&lt;C&gt;1&lt;/C&gt;&lt;D xsi:type="xsd:double"&gt;21.21364&lt;/D&gt;&lt;/FQL&gt;&lt;FQL&gt;&lt;Q&gt;SNOW^FE_ESTIMATE(CAPEX,MEAN,QUARTERLY_ROLL,2027/2F,45993,,,'')&lt;/Q&gt;&lt;R&gt;1&lt;/R&gt;&lt;C&gt;1&lt;/C&gt;&lt;D xsi:type="xsd:double"&gt;20.476206&lt;/D&gt;&lt;/FQL&gt;&lt;FQL&gt;&lt;Q&gt;SNOW^FE_ESTIMATE(CAPEX,MEAN,QUARTERLY_ROLL,2027/1F,45993,,,'')&lt;/Q&gt;&lt;R&gt;1&lt;/R&gt;&lt;C&gt;1&lt;/C&gt;&lt;D xsi:type="xsd:double"&gt;19.839787&lt;/D&gt;&lt;/FQL&gt;&lt;FQL&gt;&lt;Q&gt;SNOW^FE_ESTIMATE(CAPEX,MEAN,ANNUAL_ROLL,2026,45993,,,'')&lt;/Q&gt;&lt;R&gt;1&lt;/R&gt;&lt;C&gt;1&lt;/C&gt;&lt;D xsi:type="xsd:double"&gt;86.68008&lt;/D&gt;&lt;/FQL&gt;&lt;FQL&gt;&lt;Q&gt;SNOW^FE_ESTIMATE(CAPEX,MEAN,QUARTERLY_ROLL,2026/4F,45993,,,'')&lt;/Q&gt;&lt;R&gt;1&lt;/R&gt;&lt;C&gt;1&lt;/C&gt;&lt;D xsi:type="xsd:double"&gt;17.786974&lt;/D&gt;&lt;/FQL&gt;&lt;FQL&gt;&lt;Q&gt;SNOW^FE_ESTIMATE(CAPEX,MEAN,QUARTERLY_ROLL,2026/3F,45993,,,'')&lt;/Q&gt;&lt;R&gt;1&lt;/R&gt;&lt;C&gt;1&lt;/C&gt;&lt;D xsi:type="xsd:double"&gt;17.801445&lt;/D&gt;&lt;/FQL&gt;&lt;FQL&gt;&lt;Q&gt;SNOW^FE_ESTIMATE(CAPEX,MEAN,QUARTERLY_ROLL,2026/2F,45993,,,'')&lt;/Q&gt;&lt;R&gt;1&lt;/R&gt;&lt;C&gt;1&lt;/C&gt;&lt;D xsi:type="xsd:double"&gt;16.158064&lt;/D&gt;&lt;/FQL&gt;&lt;FQL&gt;&lt;Q&gt;SNOW^FE_ESTIMATE(CAPEX,MEAN,QUARTERLY_ROLL,2026/1F,45993,,,'')&lt;/Q&gt;&lt;R&gt;1&lt;/R&gt;&lt;C&gt;1&lt;/C&gt;&lt;D xsi:type="xsd:double"&gt;16.669977&lt;/D&gt;&lt;/FQL&gt;&lt;FQL&gt;&lt;Q&gt;SNOW^FE_ESTIMATE(CAPEX,MEAN,ANNUAL_ROLL,2025,45993,,,'')&lt;/Q&gt;&lt;R&gt;1&lt;/R&gt;&lt;C&gt;1&lt;/C&gt;&lt;D xsi:type="xsd:double"&gt;87.96609&lt;/D&gt;&lt;/FQL&gt;&lt;FQL&gt;&lt;Q&gt;SNOW^FE_ESTIMATE(CAPEX,MEAN,QUARTERLY_ROLL,2025/4F,45993,,,'')&lt;/Q&gt;&lt;R&gt;1&lt;/R&gt;&lt;C&gt;1&lt;/C&gt;&lt;D xsi:type="xsd:double"&gt;16.446272&lt;/D&gt;&lt;/FQL&gt;&lt;FQL&gt;&lt;Q&gt;SNOW^FE_ESTIMATE(CAPEX,MEAN,QUARTERLY_ROLL,2025/3F,45993,,,'')&lt;/Q&gt;&lt;R&gt;1&lt;/R&gt;&lt;C&gt;1&lt;/C&gt;&lt;D xsi:type="xsd:double"&gt;17.324663&lt;/D&gt;&lt;/FQL&gt;&lt;FQL&gt;&lt;Q&gt;SNOW^FE_ESTIMATE(CAPEX,MEAN,QUARTERLY_ROLL,2025/2F,45993,,,'')&lt;/Q&gt;&lt;R&gt;1&lt;/R&gt;&lt;C&gt;1&lt;/C&gt;&lt;D xsi:type="xsd:double"&gt;16.706429&lt;/D&gt;&lt;/FQL&gt;&lt;FQL&gt;&lt;Q&gt;SNOW^FE_ESTIMATE(CAPEX,MEAN,QUARTERLY_ROLL,2025/1F,45993,,,'')&lt;/Q&gt;&lt;R&gt;1&lt;/R&gt;&lt;C&gt;1&lt;/C&gt;&lt;D xsi:type="xsd:double"&gt;44.9956&lt;/D&gt;&lt;/FQL&gt;&lt;FQL&gt;&lt;Q&gt;SNOW^FE_ESTIMATE(CAPEX,MEAN,ANNUAL_ROLL,2024,45993,,,'')&lt;/Q&gt;&lt;R&gt;1&lt;/R&gt;&lt;C&gt;1&lt;/C&gt;&lt;D xsi:type="xsd:double"&gt;42.8629&lt;/D&gt;&lt;/FQL&gt;&lt;FQL&gt;&lt;Q&gt;SNOW^FE_ESTIMATE(CAPEX,MEAN,QUARTERLY_ROLL,2024/4F,45993,,,'')&lt;/Q&gt;&lt;R&gt;1&lt;/R&gt;&lt;C&gt;1&lt;/C&gt;&lt;D xsi:type="xsd:double"&gt;13.112846&lt;/D&gt;&lt;/FQL&gt;&lt;FQL&gt;&lt;Q&gt;SNOW^FE_ESTIMATE(CAPEX,MEAN,QUARTERLY_ROLL,2024/3F,45993,,,'')&lt;/Q&gt;&lt;R&gt;1&lt;/R&gt;&lt;C&gt;1&lt;/C&gt;&lt;D xsi:type="xsd:double"&gt;17.418133&lt;/D&gt;&lt;/FQL&gt;&lt;FQL&gt;&lt;Q&gt;SNOW^FE_ESTIMATE(CAPEX,MEAN,QUARTERLY_ROLL,2024/2F,45993,,,'')&lt;/Q&gt;&lt;R&gt;1&lt;/R&gt;&lt;C&gt;1&lt;/C&gt;&lt;D xsi:type="xsd:double"&gt;7.265625&lt;/D&gt;&lt;/FQL&gt;&lt;FQL&gt;&lt;Q&gt;SNOW^FE_ESTIMATE(CAPEX,MEAN,QUARTERLY_ROLL,2024/1F,45993,,,'')&lt;/Q&gt;&lt;R&gt;1&lt;/R&gt;&lt;C&gt;1&lt;/C&gt;&lt;D xsi:type="xsd:double"&gt;19.154&lt;/D&gt;&lt;/FQL&gt;&lt;FQL&gt;&lt;Q&gt;SNOW^FE_ESTIMATE(CAPEX,MEAN,ANNUAL_ROLL,2023,45993,,,'')&lt;/Q&gt;&lt;R&gt;1&lt;/R&gt;&lt;C&gt;1&lt;/C&gt;&lt;D xsi:type="xsd:double"&gt;44.276653&lt;/D&gt;&lt;/FQL&gt;&lt;FQL&gt;&lt;Q&gt;SNOW^FE_ESTIMATE(CAPEX,MEAN,QUARTERLY_ROLL,2023/4F,45993,,,'')&lt;/Q&gt;&lt;R&gt;1&lt;/R&gt;&lt;C&gt;1&lt;/C&gt;&lt;D xsi:type="xsd:double"&gt;14.635062&lt;/D&gt;&lt;/FQL&gt;&lt;FQL&gt;&lt;Q&gt;SNOW^FE_ESTIMATE(CAPEX,MEAN,QUARTERLY_ROLL,2023/3F,45993,,,'')&lt;/Q&gt;&lt;R&gt;1&lt;/R&gt;&lt;C&gt;1&lt;/C&gt;&lt;D xsi:type="xsd:double"&gt;11.916562&lt;/D&gt;&lt;/FQL&gt;&lt;FQL&gt;&lt;Q&gt;SNOW^FE_ESTIMATE(CAPEX,MEAN,QUARTERLY_ROLL,2023/2F,45993,,,'')&lt;/Q&gt;&lt;R&gt;1&lt;/R&gt;&lt;C&gt;1&lt;/C&gt;&lt;D xsi:type="xsd:double"&gt;8.518714&lt;/D&gt;&lt;/FQL&gt;&lt;FQL&gt;&lt;Q&gt;SNOW^FE_ESTIMATE(CAPEX,MEAN,QUARTERLY_ROLL,2023/1F,45993,,,'')&lt;/Q&gt;&lt;R&gt;1&lt;/R&gt;&lt;C&gt;1&lt;/C&gt;&lt;D xsi:type="xsd:double"&gt;9.604357&lt;/D&gt;&lt;/FQL&gt;&lt;FQL&gt;&lt;Q&gt;SNOW^FE_ESTIMATE(CAPEX,MEAN,ANNUAL_ROLL,2022,45993,,,'')&lt;/Q&gt;&lt;R&gt;1&lt;/R&gt;&lt;C&gt;1&lt;/C&gt;&lt;D xsi:type="xsd:double"&gt;32.592377&lt;/D&gt;&lt;/FQL&gt;&lt;FQL&gt;&lt;Q&gt;SNOW^FE_ESTIMATE(CAPEX,MEAN,QUARTERLY_ROLL,2022/4F,45993,,,'')&lt;/Q&gt;&lt;R&gt;1&lt;/R&gt;&lt;C&gt;1&lt;/C&gt;&lt;D xsi:type="xsd:double"&gt;7.3803&lt;/D&gt;&lt;/FQL&gt;&lt;FQL&gt;&lt;Q&gt;SNOW^FE_ESTIMATE(CAPEX,MEAN,QUARTERLY_ROLL,2022/3F,45993,,,'')&lt;/Q&gt;&lt;R&gt;1&lt;/R&gt;&lt;C&gt;1&lt;/C&gt;&lt;D xsi:type="xsd:double"&gt;9.9363575&lt;/D&gt;&lt;/FQL&gt;&lt;FQL&gt;&lt;Q&gt;SNOW^FE_ESTIMATE(CAPEX,MEAN,QUARTERLY_ROLL,2022/2F,45993,,,'')&lt;/Q&gt;&lt;R&gt;1&lt;/R&gt;&lt;C&gt;1&lt;/C&gt;&lt;D xsi:type="xsd:double"&gt;4.4567275&lt;/D&gt;&lt;/FQL&gt;&lt;FQL&gt;&lt;Q&gt;SNOW^FE_ESTIMATE(CAPEX,MEAN,QUARTERLY_ROLL,2022/1F,45993,,,'')&lt;/Q&gt;&lt;R&gt;1&lt;/R&gt;&lt;C&gt;1&lt;/C&gt;&lt;D xsi:type="xsd:double"&gt;8.243182&lt;/D&gt;&lt;/FQL&gt;&lt;FQL&gt;&lt;Q&gt;SNOW^FE_ESTIMATE(CAPEX,MEAN,ANNUAL_ROLL,2021,45993,,,'')&lt;/Q&gt;&lt;R&gt;1&lt;/R&gt;&lt;C&gt;1&lt;/C&gt;&lt;D xsi:type="xsd:double"&gt;19.111462&lt;/D&gt;&lt;/FQL&gt;&lt;FQL&gt;&lt;Q&gt;SNOW^FE_ESTIMATE(CAPEX,MEAN,QUARTERLY_ROLL,2021/4F,45993,,,'')&lt;/Q&gt;&lt;R&gt;1&lt;/R&gt;&lt;C&gt;1&lt;/C&gt;&lt;D xsi:type="xsd:double"&gt;4.934222&lt;/D&gt;&lt;/FQL&gt;&lt;FQL&gt;&lt;Q&gt;SNOW^FE_ESTIMATE(CAPEX,MEAN,QUARTERLY_ROLL,2021/3F,45993,,,'')&lt;/Q&gt;&lt;R&gt;1&lt;/R&gt;&lt;C&gt;1&lt;/C&gt;&lt;D xsi:type="xsd:double"&gt;3.23725&lt;/D&gt;&lt;/FQL&gt;&lt;FQL&gt;&lt;Q&gt;SNOW^FE_ESTIMATE(CAPEX,MEAN,QUARTERLY_ROLL,2021/2F,45993,,,'')&lt;/Q&gt;&lt;R&gt;1&lt;/R&gt;&lt;C&gt;1&lt;/C&gt;&lt;D xsi:type="xsd:double"&gt;4.0143332&lt;/D&gt;&lt;/FQL&gt;&lt;FQL&gt;&lt;Q&gt;SNOW^FE_ESTIMATE(CAPEX,MEAN,QUARTERLY_ROLL,2021/1F,45993,,,'')&lt;/Q&gt;&lt;R&gt;1&lt;/R&gt;&lt;C&gt;1&lt;/C&gt;&lt;D xsi:type="xsd:double"&gt;6.72875&lt;/D&gt;&lt;/FQL&gt;&lt;FQL&gt;&lt;Q&gt;SNOW^FE_ESTIMATE(CAPEX,MEAN,ANNUAL_ROLL,2020,45993,,,'')&lt;/Q&gt;&lt;R&gt;1&lt;/R&gt;&lt;C&gt;1&lt;/C&gt;&lt;D xsi:type="xsd:double"&gt;36.127&lt;/D&gt;&lt;/FQL&gt;&lt;FQL&gt;&lt;Q&gt;SNOW^FE_ESTIMATE(CAPEX,MEAN,QUARTERLY_ROLL,2020/4F,45993,,,'')&lt;/Q&gt;&lt;R&gt;1&lt;/R&gt;&lt;C&gt;1&lt;/C&gt;&lt;D xsi:type="xsd:double"&gt;11.7974&lt;/D&gt;&lt;/FQL&gt;&lt;FQL&gt;&lt;Q&gt;SNOW^FE_ESTIMATE(CAPEX,MEAN,QUARTERLY_ROLL,2020/3F,45993,,,'')&lt;/Q&gt;&lt;R&gt;1&lt;/R&gt;&lt;C&gt;1&lt;/C&gt;&lt;D xsi:type="xsd:double"&gt;17.368&lt;/D&gt;&lt;/FQL&gt;&lt;FQL&gt;&lt;Q&gt;SNOW^FE_ESTIMATE(CAPEX,MEAN,QUARTERLY_ROLL,2020/2F,45993,,,'')&lt;/Q&gt;&lt;R&gt;1&lt;/R&gt;&lt;C&gt;1&lt;/C&gt;&lt;D xsi:type="xsd:double"&gt;5.1974545&lt;/D&gt;&lt;/FQL&gt;&lt;FQL&gt;&lt;Q&gt;SNOW^FE_ESTIMATE(CAPEX,MEAN,QUARTERLY_ROLL,2020/1F,45993,,,'')&lt;/Q&gt;&lt;R&gt;1&lt;/R&gt;&lt;C&gt;1&lt;/C&gt;&lt;D xsi:type="xsd:double"&gt;4.593&lt;/D&gt;&lt;/FQL&gt;&lt;FQL&gt;&lt;Q&gt;SNOW^FE_ESTIMATE(CAPEX,MEAN,ANNUAL_ROLL,2019,45993,,,'')&lt;/Q&gt;&lt;R&gt;0&lt;/R&gt;&lt;C&gt;0&lt;/C&gt;&lt;/FQL&gt;&lt;FQL&gt;&lt;Q&gt;SNOW^FE_ESTIMATE(CAPEX,MEAN,QUARTERLY_ROLL,2019/4F,45993,,,'')&lt;/Q&gt;&lt;R&gt;0&lt;/R&gt;&lt;C&gt;0&lt;/C&gt;&lt;/FQL&gt;&lt;FQL&gt;&lt;Q&gt;SNOW^FE_ESTIMATE(CAPEX,MEAN,QUARTERLY_ROLL,2019/3F,45993,,,'')&lt;/Q&gt;&lt;R&gt;0&lt;/R&gt;&lt;C&gt;0&lt;/C&gt;&lt;/FQL&gt;&lt;FQL&gt;&lt;Q&gt;SNOW^FE_ESTIMATE(CAPEX,MEAN,QUARTERLY_ROLL,2019/2F,45993,,,'')&lt;/Q&gt;&lt;R&gt;0&lt;/R&gt;&lt;C&gt;0&lt;/C&gt;&lt;/FQL&gt;&lt;FQL&gt;&lt;Q&gt;SNOW^FE_ESTIMATE(CAPEX,MEAN,QUARTERLY_ROLL,2019/1F,45993,,,'')&lt;/Q&gt;&lt;R&gt;0&lt;/R&gt;&lt;C&gt;0&lt;/C&gt;&lt;/FQL&gt;&lt;FQL&gt;&lt;Q&gt;SNOW^FE_ESTIMATE(CAPEX,MEAN,ANNUAL_ROLL,2018,45993,,,'')&lt;/Q&gt;&lt;R&gt;0&lt;/R&gt;&lt;C&gt;0&lt;/C&gt;&lt;/FQL&gt;&lt;FQL&gt;&lt;Q&gt;SNOW^FE_ESTIMATE(CAPEX,MEAN,QUARTERLY_ROLL,2018/4F,45993,,,'')&lt;/Q&gt;&lt;R&gt;0&lt;/R&gt;&lt;C&gt;0&lt;/C&gt;&lt;/FQL&gt;&lt;FQL&gt;&lt;Q&gt;SNOW^FE_ESTIMATE(CAPEX,MEAN,QUARTERLY_ROLL,2018/3F,45993,,,'')&lt;/Q&gt;&lt;R&gt;0&lt;/R&gt;&lt;C&gt;0&lt;/C&gt;&lt;/FQL&gt;&lt;FQL&gt;&lt;Q&gt;SNOW^FE_ESTIMATE(CAPEX,MEAN,QUARTERLY_ROLL,2018/2F,45993,,,'')&lt;/Q&gt;&lt;R&gt;0&lt;/R&gt;&lt;C&gt;0&lt;/C&gt;&lt;/FQL&gt;&lt;FQL&gt;&lt;Q&gt;SNOW^FE_ESTIMATE(CAPEX,MEAN,QUARTERLY_ROLL,2018/1F,45993,,,'')&lt;/Q&gt;&lt;R&gt;0&lt;/R&gt;&lt;C&gt;0&lt;/C&gt;&lt;/FQL&gt;&lt;FQL&gt;&lt;Q&gt;SNOW^FE_ESTIMATE(CAPEX,MEAN,ANNUAL_ROLL,2017,45993,,,'')&lt;/Q&gt;&lt;R&gt;0&lt;/R&gt;&lt;C&gt;0&lt;/C&gt;&lt;/FQL&gt;&lt;FQL&gt;&lt;Q&gt;SNOW^FE_ESTIMATE(CAPEX,MEAN,QUARTERLY_ROLL,2017/4F,45993,,,'')&lt;/Q&gt;&lt;R&gt;0&lt;/R&gt;&lt;C&gt;0&lt;/C&gt;&lt;/FQL&gt;&lt;FQL&gt;&lt;Q&gt;SNOW^FE_ESTIMATE(CAPEX,MEAN,QUARTERLY_ROLL,2017/3F,45993,,,'')&lt;/Q&gt;&lt;R&gt;0&lt;/R&gt;&lt;C&gt;0&lt;/C&gt;&lt;/FQL&gt;&lt;FQL&gt;&lt;Q&gt;SNOW^FE_ESTIMATE(CAPEX,MEAN,QUARTERLY_ROLL,2017/2F,45993,,,'')&lt;/Q&gt;&lt;R&gt;0&lt;/R&gt;&lt;C&gt;0&lt;/C&gt;&lt;/FQL&gt;&lt;FQL&gt;&lt;Q&gt;SNOW^FE_ESTIMATE(CAPEX,MEAN,QUARTERLY_ROLL,2017/1F,45993,,,'')&lt;/Q&gt;&lt;R&gt;0&lt;/R&gt;&lt;C&gt;0&lt;/C&gt;&lt;/FQL&gt;&lt;FQL&gt;&lt;Q&gt;SNOW^FE_ESTIMATE(CAPEX,MEAN,ANNUAL_ROLL,2016,45993,,,'')&lt;/Q&gt;&lt;R&gt;0&lt;/R&gt;&lt;C&gt;0&lt;/C&gt;&lt;/FQL&gt;&lt;FQL&gt;&lt;Q&gt;SNOW^FE_ESTIMATE(CAPEX,MEAN,QUARTERLY_ROLL,2016/4F,45993,,,'')&lt;/Q&gt;&lt;R&gt;0&lt;/R&gt;&lt;C&gt;0&lt;/C&gt;&lt;/FQL&gt;&lt;FQL&gt;&lt;Q&gt;SNOW^FE_ESTIMATE(CAPEX,MEAN,QUARTERLY_ROLL,2016/3F,45993,,,'')&lt;/Q&gt;&lt;R&gt;0&lt;/R&gt;&lt;C&gt;0&lt;/C&gt;&lt;/FQL&gt;&lt;FQL&gt;&lt;Q&gt;SNOW^FE_ESTIMATE(CAPEX,MEAN,QUARTERLY_ROLL,2016/2F,45993,,,'')&lt;/Q&gt;&lt;R&gt;0&lt;/R&gt;&lt;C&gt;0&lt;/C&gt;&lt;/FQL&gt;&lt;FQL&gt;&lt;Q&gt;SNOW^FE_ESTIMATE(CAPEX,MEAN,QUARTERLY_ROLL,2016/1F,45993,,,'')&lt;/Q&gt;&lt;R&gt;0&lt;/R&gt;&lt;C&gt;0&lt;/C&gt;&lt;/FQL&gt;&lt;FQL&gt;&lt;Q&gt;SNOW^FE_ESTIMATE(CFO,MEAN,ANNUAL_ROLL,2027,45993,,,'')&lt;/Q&gt;&lt;R&gt;1&lt;/R&gt;&lt;C&gt;1&lt;/C&gt;&lt;D xsi:type="xsd:double"&gt;1884.3995&lt;/D&gt;&lt;/FQL&gt;&lt;FQL&gt;&lt;Q&gt;SNOW^FE_ESTIMATE(CFO,MEAN,QUARTERLY_ROLL,2027/4F,45993,,,'')&lt;/Q&gt;&lt;R&gt;1&lt;/R&gt;&lt;C&gt;1&lt;/C&gt;&lt;D xsi:type="xsd:double"&gt;750.261&lt;/D&gt;&lt;/FQL&gt;&lt;FQL&gt;&lt;Q&gt;SNOW^FE_ESTIMATE(CFO,MEAN,QUARTERLY_ROLL,2027/3F,45993,,,'')&lt;/Q&gt;&lt;R&gt;1&lt;/R&gt;&lt;C&gt;1&lt;/C&gt;&lt;D xsi:type="xsd:double"&gt;326.605&lt;/D&gt;&lt;/FQL&gt;&lt;FQL&gt;&lt;Q&gt;SNOW^FE_ESTIMATE(CFO,MEAN,QUARTERLY_ROLL,2027/2F,45993,,,'')&lt;/Q&gt;&lt;R&gt;1&lt;/R&gt;&lt;C&gt;1&lt;/C&gt;&lt;D xsi:type="xsd:double"&gt;269.755&lt;/D&gt;&lt;/FQL&gt;&lt;FQL&gt;&lt;Q&gt;SNOW^FE_ESTIMATE(CFO,MEAN,QUARTERLY_ROLL,2027/1F,45993,,,'')&lt;/Q&gt;&lt;R&gt;1&lt;/R&gt;&lt;C&gt;1&lt;/C&gt;&lt;D xsi:type="xsd:double"&gt;502.978&lt;/D&gt;&lt;/FQL&gt;&lt;FQL&gt;&lt;Q&gt;SNOW^FE_ESTIMATE(CFO,MEAN,ANNUAL_ROLL,2026,45993,,,'')&lt;/Q&gt;&lt;R&gt;1&lt;/R&gt;&lt;C&gt;1&lt;/C&gt;&lt;D xsi:type="xsd:double"&gt;1516.9827&lt;/D&gt;&lt;/FQL&gt;&lt;FQL&gt;&lt;Q&gt;SNOW^FE_ESTIMATE(CFO,MEAN,QUARTERLY_ROLL,2026/4F,45993,,,'')&lt;/Q&gt;&lt;R&gt;1&lt;/R&gt;&lt;C&gt;1&lt;/C&gt;&lt;D xsi:type="xsd:double"&gt;723.4919&lt;/D&gt;&lt;/FQL&gt;&lt;FQL&gt;&lt;Q&gt;SNOW^FE_ESTIMATE(CFO,MEAN,QUARTERLY_ROLL,2026/3F,45993,,,'')&lt;/Q&gt;&lt;R&gt;1&lt;/R&gt;&lt;C&gt;1&lt;/C&gt;&lt;D xsi:type="xsd:double"&gt;234.98825&lt;/D&gt;&lt;/FQL&gt;&lt;FQL&gt;&lt;Q&gt;SNOW^FE_ESTIMATE(CFO,MEAN,QUARTERLY_ROLL,2026/2F,45993,,,'')&lt;/Q&gt;&lt;R&gt;1&lt;/R&gt;&lt;C&gt;1&lt;/C&gt;&lt;D xsi:type="xsd:double"&gt;131.03888&lt;/D&gt;&lt;/FQL&gt;&lt;FQL&gt;&lt;Q&gt;SNOW^FE_ESTIMATE(CFO,MEAN,QUARTERLY_ROLL,2026/1F,45993,,,'')&lt;/Q&gt;&lt;R&gt;1&lt;/R&gt;&lt;C&gt;1&lt;/C&gt;&lt;D xsi:type="xsd:double"&gt;357.788&lt;/D&gt;&lt;/FQL&gt;&lt;FQL&gt;&lt;Q&gt;SNOW^FE_ESTIMATE(CFO,MEAN,ANNUAL_ROLL,2025,45993,,,'')&lt;/Q&gt;&lt;R&gt;1&lt;/R&gt;&lt;C&gt;1&lt;/C&gt;&lt;D xsi:type="xsd:double"&gt;1192.925&lt;/D&gt;&lt;/FQL&gt;&lt;FQL&gt;&lt;Q&gt;SNOW^FE_ESTIMATE(CFO,MEAN,QUARTERLY_ROLL,2025/4F,45993,,,'')&lt;/Q&gt;&lt;R&gt;1&lt;/R&gt;&lt;C&gt;1&lt;/C&gt;&lt;D xsi:type="xsd:double"&gt;639.38293&lt;/D&gt;&lt;/FQL&gt;&lt;FQL&gt;&lt;Q&gt;SNOW^FE_ESTIMATE(CFO,MEAN,QUARTERLY_ROLL,2025/3F,45993,,,'')&lt;/Q&gt;&lt;R&gt;1&lt;/R&gt;&lt;C&gt;1&lt;/C&gt;&lt;D xsi:type="xsd:double"&gt;300.58606&lt;/D&gt;&lt;/FQL&gt;&lt;FQL&gt;&lt;Q&gt;SNOW^FE_ESTIMATE(CFO,MEAN,QUARTERLY_ROLL,2025/2F,45993,,,'')&lt;/Q&gt;&lt;R&gt;1&lt;/R&gt;&lt;C&gt;1&lt;/C&gt;&lt;D xsi:type="xsd:double"&gt;74.912&lt;/D&gt;&lt;/FQL&gt;&lt;FQL&gt;&lt;Q&gt;SNOW^FE_ESTIMATE(CFO,MEAN,QUARTERLY_ROLL,2025/1F,45993,,,'')&lt;/Q&gt;&lt;R&gt;1&lt;/R&gt;&lt;C&gt;1&lt;/C&gt;&lt;D xsi:type="xsd:double"&gt;228.345&lt;/D&gt;&lt;/FQL&gt;&lt;FQL&gt;&lt;Q&gt;SNOW^FE_ESTIMATE(CFO,MEAN,ANNUAL_ROLL,2024,45993,,,'')&lt;/Q&gt;&lt;R&gt;1&lt;/R&gt;&lt;C&gt;1&lt;/C&gt;&lt;D xsi:type="xsd:double"&gt;951.15686&lt;/D&gt;&lt;/FQL&gt;&lt;FQL&gt;&lt;Q&gt;SNOW^FE_ESTIMATE(CFO,MEAN,QUARTERLY_ROLL,2024/4F,45993,,,'')&lt;/Q&gt;&lt;R&gt;1&lt;/R&gt;&lt;C&gt;1&lt;/C&gt;&lt;D xsi:type="xsd:double"&gt;432.655&lt;/D&gt;&lt;/FQL&gt;&lt;FQL&gt;&lt;Q&gt;SNOW^FE_ESTIMATE(CFO,MEAN,QUARTERLY_ROLL,2024/3F,45993,,,'')&lt;/Q&gt;&lt;R&gt;1&lt;/R&gt;&lt;C&gt;1&lt;/C&gt;&lt;D xsi:type="xsd:double"&gt;101.75471&lt;/D&gt;&lt;/FQL&gt;&lt;FQL&gt;&lt;Q&gt;SNOW^FE_ESTIMATE(CFO,MEAN,QUARTERLY_ROLL,2024/2F,45993,,,'')&lt;/Q&gt;&lt;R&gt;1&lt;/R&gt;&lt;C&gt;1&lt;/C&gt;&lt;D xsi:type="xsd:double"&gt;69.95242&lt;/D&gt;&lt;/FQL&gt;&lt;FQL&gt;&lt;Q&gt;SNOW^FE_ESTIMATE(CFO,MEAN,QUARTERLY_ROLL,2024/1F,45993,,,'')&lt;/Q&gt;&lt;R&gt;1&lt;/R&gt;&lt;C&gt;1&lt;/C&gt;&lt;D xsi:type="xsd:double"&gt;355.3705&lt;/D&gt;&lt;/FQL&gt;&lt;FQL&gt;&lt;Q&gt;SNOW^FE_ESTIMATE(CFO,MEAN,ANNUAL_ROLL,2023,45993,,,'')&lt;/Q&gt;&lt;R&gt;1&lt;/R&gt;&lt;C&gt;1&lt;/C&gt;&lt;D xsi:type="xsd:double"&gt;848.0922&lt;/D&gt;&lt;/FQL&gt;&lt;FQL&gt;&lt;Q&gt;SNOW^FE_ESTIMATE(CFO,MEAN,QUARTERLY_ROLL,2023/4F,45993,,,'')&lt;/Q&gt;&lt;R&gt;1&lt;/R&gt;&lt;C&gt;1&lt;/C&gt;&lt;D xsi:type="xsd:double"&gt;344.69376&lt;/D&gt;&lt;/FQL&gt;&lt;FQL&gt;&lt;Q&gt;SNOW^FE_ESTIMATE(CFO,MEAN,QUARTERLY_ROLL,2023/3F,45993,,,'')&lt;/Q&gt;&lt;R&gt;1&lt;/R&gt;&lt;C&gt;1&lt;/C&gt;&lt;D xsi:type="xsd:double"&gt;120.924164&lt;/D&gt;&lt;/FQL&gt;&lt;FQL&gt;&lt;Q&gt;SNOW^FE_ESTIMATE(CFO,MEAN,QUARTERLY_ROLL,2023/2F,45993,,,'')&lt;/Q&gt;&lt;R&gt;1&lt;/R&gt;&lt;C&gt;1&lt;/C&gt;&lt;D xsi:type="xsd:double"&gt;83.141945&lt;/D&gt;&lt;/FQL&gt;&lt;FQL&gt;&lt;Q&gt;SNOW^FE_ESTIMATE(CFO,MEAN,QUARTERLY_ROLL,2023/1F,45993,,,'')&lt;/Q&gt;&lt;R&gt;1&lt;/R&gt;&lt;C&gt;1&lt;/C&gt;&lt;D xsi:type="xsd:double"&gt;299.31625&lt;/D&gt;&lt;/FQL&gt;&lt;FQL&gt;&lt;Q&gt;SNOW^FE_ESTIMATE(CFO,MEAN,ANNUAL_ROLL,2022,45993,,,'')&lt;/Q&gt;&lt;R&gt;1&lt;/R&gt;&lt;C&gt;1&lt;/C&gt;&lt;D xsi:type="xsd:double"&gt;540.886&lt;/D&gt;&lt;/FQL&gt;&lt;FQL&gt;&lt;Q&gt;SNOW^FE_ESTIMATE(CFO,MEAN,QUARTERLY_ROLL,2022/4F,45993,,,'')&lt;/Q&gt;&lt;R&gt;1&lt;/R&gt;&lt;C&gt;1&lt;/C&gt;&lt;D xsi:type="xsd:double"&gt;217.23&lt;/D&gt;&lt;/FQL&gt;&lt;FQL&gt;&lt;Q&gt;SNOW^FE_ESTIMATE(CFO,MEAN,QUARTERLY_ROLL,2022/3F,45993,,,'')&lt;/Q&gt;&lt;R&gt;1&lt;/R&gt;&lt;C&gt;1&lt;/C&gt;&lt;D xsi:type="xsd:double"&gt;54.286564&lt;/D&gt;&lt;/FQL&gt;&lt;FQL&gt;&lt;Q&gt;SNOW^FE_ESTIMATE(CFO,MEAN,QUARTERLY_ROLL,2022/2F,45993,,,'')&lt;/Q&gt;&lt;R&gt;1&lt;/R&gt;&lt;C&gt;1&lt;/C&gt;&lt;D xsi:type="xsd:double"&gt;64.3332&lt;/D&gt;&lt;/FQL&gt;&lt;FQL&gt;&lt;Q&gt;SNOW^FE_ESTIMATE(CFO,MEAN,QUARTERLY_ROLL,2022/1F,45993,,,'')&lt;/Q&gt;&lt;R&gt;1&lt;/R&gt;&lt;C&gt;1&lt;/C&gt;&lt;D xsi:type="xsd:double"&gt;184.66554&lt;/D&gt;&lt;/FQL&gt;&lt;FQL&gt;&lt;Q&gt;SNOW^FE_ESTIMATE(CFO,MEAN,ANNUAL_ROLL,2021,45993,,,'')&lt;/Q&gt;&lt;R&gt;1&lt;/R&gt;&lt;C&gt;1&lt;/C&gt;&lt;D xsi:type="xsd:double"&gt;109.741066&lt;/D&gt;&lt;/FQL&gt;&lt;FQL&gt;&lt;Q&gt;SNOW^FE_ESTIMATE(CFO,MEAN,QUARTERLY_ROLL,2021/4F,45993,,,'')&lt;/Q&gt;&lt;R&gt;1&lt;/R&gt;&lt;C&gt;1&lt;/C&gt;&lt;D xsi:type="xsd:double"&gt;78.91763&lt;/D&gt;&lt;/FQL&gt;&lt;FQL&gt;&lt;Q&gt;SNOW^FE_ESTIMATE(CFO,MEAN,QUARTERLY_ROLL,2021/3F,45993,,,'')&lt;/Q&gt;&lt;R&gt;1&lt;/R&gt;&lt;C&gt;1&lt;/C&gt;&lt;D xsi:type="xsd:double"&gt;15.572445&lt;/D&gt;&lt;/FQL&gt;&lt;FQL&gt;&lt;Q&gt;SNOW^FE_ESTIMATE(CFO,MEAN,QUARTERLY_ROLL,2021/2F,45993,,,'')&lt;/Q&gt;&lt;R&gt;1&lt;/R&gt;&lt;C&gt;1&lt;/C&gt;&lt;D xsi:type="xsd:double"&gt;-3.6493332&lt;/D&gt;&lt;/FQL&gt;&lt;FQL&gt;&lt;Q&gt;SNOW^FE_ESTIMATE(CFO,MEAN,QUARTERLY_ROLL,2021/1F,45993,,,'')&lt;/Q&gt;&lt;R&gt;1&lt;/R&gt;&lt;C&gt;1&lt;/C&gt;&lt;D xsi:type="xsd:double"&gt;21.890667&lt;/D&gt;&lt;/FQL&gt;&lt;FQL&gt;&lt;Q&gt;SNOW^FE_ESTIMATE(CFO,MEAN,ANNUAL_ROLL,2020,45993,,,'')&lt;/Q&gt;&lt;R&gt;1&lt;/R&gt;&lt;C&gt;1&lt;/C&gt;&lt;D xsi:type="xsd:double"&gt;-48.582153&lt;/D&gt;&lt;/FQL&gt;&lt;FQL&gt;&lt;Q&gt;SNOW^FE_ESTIMATE(CFO,MEAN,QUARTERLY_ROLL,2020/4F,45993,,,'')&lt;/Q&gt;&lt;R&gt;1&lt;/R&gt;&lt;C&gt;1&lt;/C&gt;&lt;D xsi:type="xsd:double"&gt;15.057&lt;/D&gt;&lt;/FQL&gt;&lt;FQL&gt;&lt;Q&gt;SNOW^FE_ESTIMATE(CFO,MEAN,QUARTERLY_ROLL,2020/3F,45993,,,'')&lt;/Q&gt;&lt;R&gt;1&lt;/R&gt;&lt;C&gt;1&lt;/C&gt;&lt;D xsi:type="xsd:double"&gt;-19.783272&lt;/D&gt;&lt;/FQL&gt;&lt;FQL&gt;&lt;Q&gt;SNOW^FE_ESTIMATE(CFO,MEAN,QUARTERLY_ROLL,2020/2F,45993,,,'')&lt;/Q&gt;&lt;R&gt;1&lt;/R&gt;&lt;C&gt;1&lt;/C&gt;&lt;D xsi:type="xsd:double"&gt;-38.694546&lt;/D&gt;&lt;/FQL&gt;&lt;FQL&gt;&lt;Q&gt;SNOW^FE_ESTIMATE(CFO,MEAN,QUARTERLY_ROLL,2020/1F,45993,,,'')&lt;/Q&gt;&lt;R&gt;1&lt;/R&gt;&lt;C&gt;1&lt;/C&gt;&lt;D xsi:type="xsd:double"&gt;-6.6&lt;/D&gt;&lt;/FQL&gt;&lt;FQL&gt;&lt;Q&gt;SNOW^FE_ESTIMATE(CFO,MEAN,ANNUAL_ROLL,2019,45993,,,'')&lt;/Q&gt;&lt;R&gt;0&lt;/R&gt;&lt;C&gt;0&lt;/C&gt;&lt;/FQL&gt;&lt;FQL&gt;&lt;Q&gt;SNOW^FE_ESTIMATE(CFO,MEAN,QUARTERLY_ROLL,2019/4F,45993,,,'')&lt;/Q&gt;&lt;R&gt;0&lt;/R&gt;&lt;C&gt;0&lt;/C&gt;&lt;/FQL&gt;&lt;FQL&gt;&lt;Q&gt;SNOW^FE_ESTIMATE(CFO,MEAN,QUARTERLY_ROLL,2019/3F,45993,,,'')&lt;/Q&gt;&lt;R&gt;0&lt;/R&gt;&lt;C&gt;0&lt;/C&gt;&lt;/FQL&gt;&lt;FQL&gt;&lt;Q&gt;SNOW^FE_ESTIMATE(CFO,MEAN,QUARTERLY_ROLL,2019/2F,45993,,,'')&lt;/Q&gt;&lt;R&gt;0&lt;/R&gt;&lt;C&gt;0&lt;/C&gt;&lt;/FQL&gt;&lt;FQL&gt;&lt;Q&gt;SNOW^FE_ESTIMATE(CFO,MEAN,QUARTERLY_ROLL,2019/1F,45993,,,'')&lt;/Q&gt;&lt;R&gt;0&lt;/R&gt;&lt;C&gt;0&lt;/C&gt;&lt;/FQL&gt;&lt;FQL&gt;&lt;Q&gt;SNOW^FE_ESTIMATE(CFO,MEAN,ANNUAL_ROLL,2018,45993,,,'')&lt;/Q&gt;&lt;R&gt;0&lt;/R&gt;&lt;C&gt;0&lt;/C&gt;&lt;/FQL&gt;&lt;FQL&gt;&lt;Q&gt;SNOW^FE_ESTIMATE(CFO,MEAN,QUARTERLY_ROLL,2018/4F,45993,,,'')&lt;/Q&gt;&lt;R&gt;0&lt;/R&gt;&lt;C&gt;0&lt;/C&gt;&lt;/FQL&gt;&lt;FQL&gt;&lt;Q&gt;SNOW^FE_ESTIMATE(CFO,MEAN,QUARTERLY_ROLL,2018/3F,45993,,,'')&lt;/Q&gt;&lt;R&gt;0&lt;/R&gt;&lt;C&gt;0&lt;/C&gt;&lt;/FQL&gt;&lt;FQL&gt;&lt;Q&gt;SNOW^FE_ESTIMATE(CFO,MEAN,QUARTERLY_ROLL,2018/2F,45993,,,'')&lt;/Q&gt;&lt;R&gt;0&lt;/R&gt;&lt;C&gt;0&lt;/C&gt;&lt;/FQL&gt;&lt;FQL&gt;&lt;Q&gt;SNOW^FE_ESTIMATE(CFO,MEAN,QUARTERLY_ROLL,2018/1F,45993,,,'')&lt;/Q&gt;&lt;R&gt;0&lt;/R&gt;&lt;C&gt;0&lt;/C&gt;&lt;/FQL&gt;&lt;FQL&gt;&lt;Q&gt;SNOW^FE_ESTIMATE(CFO,MEAN,ANNUAL_ROLL,2017,45993,,,'')&lt;/Q&gt;&lt;R&gt;0&lt;/R&gt;&lt;C&gt;0&lt;/C&gt;&lt;/FQL&gt;&lt;FQL&gt;&lt;Q&gt;SNOW^FE_ESTIMATE(CFO,MEAN,QUARTERLY_ROLL,2017/4F,45993,,,'')&lt;/Q&gt;&lt;R&gt;0&lt;/R&gt;&lt;C&gt;0&lt;/C&gt;&lt;/FQL&gt;&lt;FQL&gt;&lt;Q&gt;SNOW^FE_ESTIMATE(CFO,MEAN,QUARTERLY_ROLL,2017/3F,45993,,,'')&lt;/Q&gt;&lt;R&gt;0&lt;/R&gt;&lt;C&gt;0&lt;/C&gt;&lt;/FQL&gt;&lt;FQL&gt;&lt;Q&gt;SNOW^FE_ESTIMATE(CFO,MEAN,QUARTERLY_ROLL,2017/2F,45993,,,'')&lt;/Q&gt;&lt;R&gt;0&lt;/R&gt;&lt;C&gt;0&lt;/C&gt;&lt;/FQL&gt;&lt;FQL&gt;&lt;Q&gt;SNOW^FE_ESTIMATE(CFO,MEAN,QUARTERLY_ROLL,2017/1F,45993,,,'')&lt;/Q&gt;&lt;R&gt;0&lt;/R&gt;&lt;C&gt;0&lt;/C&gt;&lt;/FQL&gt;&lt;FQL&gt;&lt;Q&gt;SNOW^FE_ESTIMATE(CFO,MEAN,ANNUAL_ROLL,2016,45993,,,'')&lt;/Q&gt;&lt;R&gt;0&lt;/R&gt;&lt;C&gt;0&lt;/C&gt;&lt;/FQL&gt;&lt;FQL&gt;&lt;Q&gt;SNOW^FE_ESTIMATE(CFO,MEAN,QUARTERLY_ROLL,2016/4F,45993,,,'')&lt;/Q&gt;&lt;R&gt;0&lt;/R&gt;&lt;C&gt;0&lt;/C&gt;&lt;/FQL&gt;&lt;FQL&gt;&lt;Q&gt;SNOW^FE_ESTIMATE(CFO,MEAN,QUARTERLY_ROLL,2016/3F,45993,,,'')&lt;/Q&gt;&lt;R&gt;0&lt;/R&gt;&lt;C&gt;0&lt;/C&gt;&lt;/FQL&gt;&lt;FQL&gt;&lt;Q&gt;SNOW^FE_ESTIMATE(CFO,MEAN,QUARTERLY_ROLL,2016/2F,45993,,,'')&lt;/Q&gt;&lt;R&gt;0&lt;/R&gt;&lt;C&gt;0&lt;/C&gt;&lt;/FQL&gt;&lt;FQL&gt;&lt;Q&gt;SNOW^FE_ESTIMATE(CFO,MEAN,QUARTERLY_ROLL,2016/1F,45993,,,'')&lt;/Q&gt;&lt;R&gt;0&lt;/R&gt;&lt;C&gt;0&lt;/C&gt;&lt;/FQL&gt;&lt;FQL&gt;&lt;Q&gt;SNOW^FE_ESTIMATE(EPS,MEAN,ANNUAL_ROLL,2027,45993,,,'')&lt;/Q&gt;&lt;R&gt;1&lt;/R&gt;&lt;C&gt;1&lt;/C&gt;&lt;D xsi:type="xsd:double"&gt;2.381984&lt;/D&gt;&lt;/FQL&gt;&lt;FQL&gt;&lt;Q&gt;SNOW^FE_ESTIMATE(EPS,MEAN,QUARTERLY_ROLL,2027/4F,45993,,,'')&lt;/Q&gt;&lt;R&gt;1&lt;/R&gt;&lt;C&gt;1&lt;/C&gt;&lt;D xsi:type="xsd:double"&gt;0.601661&lt;/D&gt;&lt;/FQL&gt;&lt;FQL&gt;&lt;Q&gt;SNOW^FE_ESTIMATE(EPS,MEAN,QUARTERLY_ROLL,2027/3F,45993,,,'')&lt;/Q&gt;&lt;R&gt;1&lt;/R&gt;&lt;C&gt;1&lt;/C&gt;&lt;D xsi:type="xsd:double"&gt;0.57931346&lt;/D&gt;&lt;/FQL&gt;&lt;FQL&gt;&lt;Q&gt;SNOW^FE_ESTIMATE(EPS,MEAN,QUARTERLY_ROLL,2027/2F,45993,,,'')&lt;/Q&gt;&lt;R&gt;1&lt;/R&gt;&lt;C&gt;1&lt;/C&gt;&lt;D xsi:type="xsd:double"&gt;0.5416988&lt;/D&gt;&lt;/FQL&gt;&lt;FQL&gt;&lt;Q&gt;SNOW^FE_ESTIMATE(EPS,MEAN,QUARTERLY_ROLL,2027/1F,45993,,,'')&lt;/Q&gt;&lt;R&gt;1&lt;/R&gt;&lt;C&gt;1&lt;/C&gt;&lt;D xsi:type="xsd:double"&gt;0.48724467&lt;/D&gt;&lt;/FQL&gt;&lt;FQL&gt;&lt;Q&gt;SNOW^FE_ESTIMATE(EPS,MEAN,ANNUAL_ROLL,2026,45993,,,'')&lt;/Q&gt;&lt;R&gt;1&lt;/R&gt;&lt;C&gt;1&lt;/C&gt;&lt;D xsi:type="xsd:double"&gt;1.6526482&lt;/D&gt;&lt;/FQL&gt;&lt;FQL&gt;&lt;Q&gt;SNOW^FE_ESTIMATE(EPS,MEAN,QUARTERLY_ROLL,2026/4F,45993,,,'')&lt;/Q&gt;&lt;R&gt;1&lt;/R&gt;&lt;C&gt;1&lt;/C&gt;&lt;D xsi:type="xsd:double"&gt;0.44944414&lt;/D&gt;&lt;/FQL&gt;&lt;FQL&gt;&lt;Q&gt;SNOW^FE_ESTIMATE(EPS,MEAN,QUARTERLY_ROLL,2026/3F,45993,,,'')&lt;/Q&gt;&lt;R&gt;1&lt;/R&gt;&lt;C&gt;1&lt;/C&gt;&lt;D xsi:type="xsd:double"&gt;0.42333472&lt;/D&gt;&lt;/FQL&gt;&lt;FQL&gt;&lt;Q&gt;SNOW^FE_ESTIMATE(EPS,MEAN,QUARTERLY_ROLL,2026/2F,45993,,,'')&lt;/Q&gt;&lt;R&gt;1&lt;/R&gt;&lt;C&gt;1&lt;/C&gt;&lt;D xsi:type="xsd:double"&gt;0.40246636&lt;/D&gt;&lt;/FQL&gt;&lt;FQL&gt;&lt;Q&gt;SNOW^FE_ESTIMATE(EPS,MEAN,QUARTERLY_ROLL,2026/1F,45993,,,'')&lt;/Q&gt;&lt;R&gt;1&lt;/R&gt;&lt;C&gt;1&lt;/C&gt;&lt;D xsi:type="xsd:double"&gt;0.34642053&lt;/D&gt;&lt;/FQL&gt;&lt;FQL&gt;&lt;Q&gt;SNOW^FE_ESTIMATE(EPS,MEAN,ANNUAL_ROLL,2025,45993,,,'')&lt;/Q&gt;&lt;R&gt;1&lt;/R&gt;&lt;C&gt;1&lt;/C&gt;&lt;D xsi:type="xsd:double"&gt;1.2030389&lt;/D&gt;&lt;/FQL&gt;&lt;FQL&gt;&lt;Q&gt;SNOW^FE_ESTIMATE(EPS,MEAN,QUARTERLY_ROLL,2025/4F,45993,,,'')&lt;/Q&gt;&lt;R&gt;1&lt;/R&gt;&lt;C&gt;1&lt;/C&gt;&lt;D xsi:type="xsd:double"&gt;0.30057034&lt;/D&gt;&lt;/FQL&gt;&lt;FQL&gt;&lt;Q&gt;SNOW^FE_ESTIMATE(EPS,MEAN,QUARTERLY_ROLL,2025/3F,45993,,,'')&lt;/Q&gt;&lt;R&gt;1&lt;/R&gt;&lt;C&gt;1&lt;/C&gt;&lt;D xsi:type="xsd:double"&gt;0.31161147&lt;/D&gt;&lt;/FQL&gt;&lt;FQL&gt;&lt;Q&gt;SNOW^FE_ESTIMATE(EPS,MEAN,QUARTERLY_ROLL,2025/2F,45993,,,'')&lt;/Q&gt;&lt;R&gt;1&lt;/R&gt;&lt;C&gt;1&lt;/C&gt;&lt;D xsi:type="xsd:double"&gt;0.35&lt;/D&gt;&lt;/FQL&gt;&lt;FQL&gt;&lt;Q&gt;SNOW^FE_ESTIMATE(EPS,MEAN,QUARTERLY_ROLL,2025/1F,45993,,,'')&lt;/Q&gt;&lt;R&gt;1&lt;/R&gt;&lt;C&gt;1&lt;/C&gt;&lt;D xsi:type="xsd:double"&gt;0.24&lt;/D&gt;&lt;/FQL&gt;&lt;FQL&gt;&lt;Q&gt;SNOW^FE_ESTIMATE(EPS,MEAN,ANNUAL_ROLL,2024,45993,,,'')&lt;/Q&gt;&lt;R&gt;1&lt;/R&gt;&lt;C&gt;1&lt;/C&gt;&lt;D xsi:type="xsd:double"&gt;0.83&lt;/D&gt;&lt;/FQL&gt;&lt;FQL&gt;&lt;Q&gt;SNOW^FE_ESTIMATE(EPS,MEAN,QUARTERLY_ROLL,2024/4F,45993,,,'')&lt;/Q&gt;&lt;R&gt;1&lt;/R&gt;&lt;C&gt;1&lt;/C&gt;&lt;D xsi:type="xsd:double"&gt;0.3&lt;/D&gt;&lt;/FQL&gt;&lt;FQL&gt;&lt;Q&gt;SNOW^FE_ESTIMATE(EPS,MEAN,QUARTERLY_ROLL,2024/3F,45993,,,'')&lt;/Q&gt;&lt;R&gt;1&lt;/R&gt;&lt;C&gt;1&lt;/C&gt;&lt;D xsi:type="xsd:double"&gt;0.2&lt;/D&gt;&lt;/FQL&gt;&lt;FQL&gt;&lt;Q&gt;SNOW^FE_ESTIMATE(EPS,MEAN,QUARTERLY_ROLL,2024/2F,45993,,,'')&lt;/Q&gt;&lt;R&gt;1&lt;/R&gt;&lt;C&gt;1&lt;/C&gt;&lt;D xsi:type="xsd:double"&gt;0.18&lt;/D&gt;&lt;/FQL&gt;&lt;FQL&gt;&lt;Q&gt;SNOW^FE_ESTIMATE(EPS,MEAN,QUARTERLY_ROLL,2024/1F,45993,,,'')&lt;/Q&gt;&lt;R&gt;1&lt;/R&gt;&lt;C&gt;1&lt;/C&gt;&lt;D xsi:type="xsd:double"&gt;0.14&lt;/D&gt;&lt;/FQL&gt;&lt;FQL&gt;&lt;Q&gt;SNOW^FE_ESTIMATE(EPS,MEAN,ANNUAL_ROLL,2023,45993,,,'')&lt;/Q&gt;&lt;R&gt;1&lt;/R&gt;&lt;C&gt;1&lt;/C&gt;&lt;D xsi:type="xsd:double"&gt;0.98&lt;/D&gt;&lt;/FQL&gt;&lt;FQL&gt;&lt;Q&gt;SNOW^FE_ESTIMATE(EPS,MEAN,QUARTERLY_ROLL,2023/4F,45993,,,'')&lt;/Q&gt;&lt;R&gt;1&lt;/R&gt;&lt;C&gt;1&lt;/C&gt;&lt;D xsi:type="xsd:double"&gt;0.35&lt;/D&gt;&lt;/FQL&gt;&lt;FQL&gt;&lt;Q&gt;SNOW^FE_ESTIMATE(EPS,MEAN,QUARTERLY_ROLL,2023/3F,45993,,,'')&lt;/Q&gt;&lt;R&gt;1&lt;/R&gt;&lt;C&gt;1&lt;/C&gt;&lt;D xsi:type="xsd:double"&gt;0.25&lt;/D&gt;&lt;/FQL&gt;&lt;FQL&gt;&lt;Q&gt;SNOW^FE_ESTIMATE(EPS,MEAN,QUARTERLY_ROLL,2023/2F,45993,,,'')&lt;/Q&gt;&lt;R&gt;1&lt;/R&gt;&lt;C&gt;1&lt;/C&gt;&lt;D xsi:type="xsd:double"&gt;0.22&lt;/D&gt;&lt;/FQL&gt;&lt;FQL&gt;&lt;Q&gt;SNOW^FE_ESTIMATE(EPS,MEAN,QUARTERLY_ROLL,2023/1F,45993,,,'')&lt;/Q&gt;&lt;R&gt;1&lt;/R&gt;&lt;C&gt;1&lt;/C&gt;&lt;D xsi:type="xsd:double"&gt;0.15&lt;/D&gt;&lt;/FQL&gt;&lt;FQL&gt;&lt;Q&gt;SNOW^FE_ESTIMATE(EPS,MEAN,ANNUAL_ROLL,2022,45993,,,'')&lt;/Q&gt;&lt;R&gt;1&lt;/R&gt;&lt;C&gt;1&lt;/C&gt;&lt;D xsi:type="xsd:double"&gt;0.25&lt;/D&gt;&lt;/FQL&gt;&lt;FQL&gt;&lt;Q&gt;SNOW^FE_ESTIMATE(EPS,MEAN,QUARTERLY_ROLL,2022/4F,45993,,,'')&lt;/Q&gt;&lt;R&gt;1&lt;/R&gt;&lt;C&gt;1&lt;/C&gt;&lt;D xsi:type="xsd:double"&gt;0.14&lt;/D&gt;&lt;/FQL&gt;&lt;FQL&gt;&lt;Q&gt;SNOW^FE_ESTIMATE(EPS,MEAN,QUARTERLY_ROLL,2022/3F,45993,,,'')&lt;/Q&gt;&lt;R&gt;1&lt;/R&gt;&lt;C&gt;1&lt;/C&gt;&lt;D xsi:type="xsd:double"&gt;0.11&lt;/D&gt;&lt;/FQL&gt;&lt;FQL&gt;&lt;Q&gt;SNOW^FE_ESTIMATE(EPS,MEAN,QUARTERLY_ROLL,2022/2F,45993,,,'')&lt;/Q&gt;&lt;R&gt;1&lt;/R&gt;&lt;C&gt;1&lt;/C&gt;&lt;D xsi:type="xsd:double"&gt;0.007362&lt;/D&gt;&lt;/FQL&gt;&lt;FQL&gt;&lt;Q&gt;SNOW^FE_ESTIMATE(EPS,MEAN,QUARTERLY_ROLL,2022/1F,45993,,,'')&lt;/Q&gt;&lt;R&gt;1&lt;/R&gt;&lt;C&gt;1&lt;/C&gt;&lt;D xsi:type="xsd:double"&gt;0.075804&lt;/D&gt;&lt;/FQL&gt;&lt;FQL&gt;&lt;Q&gt;SNOW^FE_ESTIMATE(EPS,MEAN,ANNUAL_ROLL,2021,45993,,,'')&lt;/Q&gt;&lt;R&gt;1&lt;/R&gt;&lt;C&gt;1&lt;/C&gt;&lt;D xsi:type="xsd:double"&gt;0.017463&lt;/D&gt;&lt;/FQL&gt;&lt;FQL&gt;&lt;Q&gt;SNOW^FE_ESTIMATE(EPS,MEAN,QUARTERLY_ROLL,2021/4F,45993,,,'')&lt;/Q&gt;&lt;R&gt;1&lt;/R&gt;&lt;C&gt;1&lt;/C&gt;&lt;D xsi:type="xsd:double"&gt;0.12099&lt;/D&gt;&lt;/FQL&gt;&lt;FQL&gt;&lt;Q&gt;SNOW^FE_ESTIMATE(EPS,MEAN,QUARTERLY_ROLL,2021/3F,45993,,,'')&lt;/Q&gt;&lt;R&gt;1&lt;/R&gt;&lt;C&gt;1&lt;/C&gt;&lt;D xsi:type="xsd:double"&gt;0.036995&lt;/D&gt;&lt;/FQL&gt;&lt;FQL&gt;&lt;Q&gt;SNOW^FE_ESTIMATE(EPS,MEAN,QUARTERLY_ROLL,2021/2F,45993,,,'')&lt;/Q&gt;&lt;R&gt;1&lt;/R&gt;&lt;C&gt;1&lt;/C&gt;&lt;D xsi:type="xsd:double"&gt;-0.041301&lt;/D&gt;&lt;/FQL&gt;&lt;FQL&gt;&lt;Q&gt;SNOW^FE_ESTIMATE(EPS,MEAN,QUARTERLY_ROLL,2021/1F,45993,,,'')&lt;/Q&gt;&lt;R&gt;1&lt;/R&gt;&lt;C&gt;1&lt;/C&gt;&lt;D xsi:type="xsd:double"&gt;-0.117309&lt;/D&gt;&lt;/FQL&gt;&lt;FQL&gt;&lt;Q&gt;SNOW^FE_ESTIMATE(EPS,MEAN,ANNUAL_ROLL,2020,45993,,,'')&lt;/Q&gt;&lt;R&gt;1&lt;/R&gt;&lt;C&gt;1&lt;/C&gt;&lt;D xsi:type="xsd:double"&gt;-0.774538&lt;/D&gt;&lt;/FQL&gt;&lt;FQL&gt;&lt;Q&gt;SNOW^FE_ESTIMATE(EPS,MEAN,QUARTERLY_ROLL,2020/4F,45993,,,'')&lt;/Q&gt;&lt;R&gt;1&lt;/R&gt;&lt;C&gt;1&lt;/C&gt;&lt;D xsi:type="xsd:double"&gt;-0.156479&lt;/D&gt;&lt;/FQL&gt;&lt;FQL&gt;&lt;Q&gt;SNOW^FE_ESTIMATE(EPS,MEAN,QUARTERLY_ROLL,2020/3F,45993,,,'')&lt;/Q&gt;&lt;R&gt;1&lt;/R&gt;&lt;C&gt;1&lt;/C&gt;&lt;D xsi:type="xsd:double"&gt;-0.23298092&lt;/D&gt;&lt;/FQL&gt;&lt;FQL&gt;&lt;Q&gt;SNOW^FE_ESTIMATE(EPS,MEAN,QUARTERLY_ROLL,2020/2F,45993,,,'')&lt;/Q&gt;&lt;R&gt;1&lt;/R&gt;&lt;C&gt;1&lt;/C&gt;&lt;D xsi:type="xsd:double"&gt;-0.24057037&lt;/D&gt;&lt;/FQL&gt;&lt;FQL&gt;&lt;Q&gt;SNOW^FE_ESTIMATE(EPS,MEAN,QUARTERLY_ROLL,2020/1F,45993,,,'')&lt;/Q&gt;&lt;R&gt;1&lt;/R&gt;&lt;C&gt;1&lt;/C&gt;&lt;D xsi:type="xsd:double"&gt;-0.28&lt;/D&gt;&lt;/FQL&gt;&lt;FQL&gt;&lt;Q&gt;SNOW^FE_ESTIMATE(EPS,MEAN,ANNUAL_ROLL,2019,45993,,,'')&lt;/Q&gt;&lt;R&gt;0&lt;/R&gt;&lt;C&gt;0&lt;/C&gt;&lt;/FQL&gt;&lt;FQL&gt;&lt;Q&gt;SNOW^FE_ESTIMATE(EPS,MEAN,QUARTERLY_ROLL,2019/4F,45993,,,'')&lt;/Q&gt;&lt;R&gt;0&lt;/R&gt;&lt;C&gt;0&lt;/C&gt;&lt;/FQL&gt;&lt;FQL&gt;&lt;Q&gt;SNOW^FE_ESTIMATE(EPS,MEAN,QUARTERLY_ROLL,2019/3F,45993,,,'')&lt;/Q&gt;&lt;R&gt;0&lt;/R&gt;&lt;C&gt;0&lt;/C&gt;&lt;/FQL&gt;&lt;FQL&gt;&lt;Q&gt;SNOW^FE_ESTIMATE(EPS,MEAN,QUARTERLY_ROLL,2019/2F,45993,,,'')&lt;/Q&gt;&lt;R&gt;0&lt;/R&gt;&lt;C&gt;0&lt;/C&gt;&lt;/FQL&gt;&lt;FQL&gt;&lt;Q&gt;SNOW^FE_ESTIMATE(EPS,MEAN,QUARTERLY_ROLL,2019/1F,45993,,,'')&lt;/Q&gt;&lt;R&gt;0&lt;/R&gt;&lt;C&gt;0&lt;/C&gt;&lt;/FQL&gt;&lt;FQL&gt;&lt;Q&gt;SNOW^FE_ESTIMATE(EPS,MEAN,ANNUAL_ROLL,2018,45993,,,'')&lt;/Q&gt;&lt;R&gt;0&lt;/R&gt;&lt;C&gt;0&lt;/C&gt;&lt;/FQL&gt;&lt;FQL&gt;&lt;Q&gt;SNOW^FE_ESTIMATE(EPS,MEAN,QUARTERLY_ROLL,2018/4F,45993,,,'')&lt;/Q&gt;&lt;R&gt;0&lt;/R&gt;&lt;C&gt;0&lt;/C&gt;&lt;/FQL&gt;&lt;FQL&gt;&lt;Q&gt;SNOW^FE_ESTIMATE(EPS,MEAN,QUARTERLY_ROLL,2018/3F,45993,,,'')&lt;/Q&gt;&lt;R&gt;0&lt;/R&gt;&lt;C&gt;0&lt;/C&gt;&lt;/FQL&gt;&lt;FQL&gt;&lt;Q&gt;SNOW^FE_ESTIMATE(EPS,MEAN,QUARTERLY_ROLL,2018/2F,45993,,,'')&lt;/Q&gt;&lt;R&gt;0&lt;/R&gt;&lt;C&gt;0&lt;/C&gt;&lt;/FQL&gt;&lt;FQL&gt;&lt;Q&gt;SNOW^FE_ESTIMATE(EPS,MEAN,QUARTERLY_ROLL,2018/1F,45993,,,'')&lt;/Q&gt;&lt;R&gt;0&lt;/R&gt;&lt;C&gt;0&lt;/C&gt;&lt;/FQL&gt;&lt;FQL&gt;&lt;Q&gt;SNOW^FE_ESTIMATE(EPS,MEAN,ANNUAL_ROLL,2017,45993,,,'')&lt;/Q&gt;&lt;R&gt;0&lt;/R&gt;&lt;C&gt;0&lt;/C&gt;&lt;/FQL&gt;&lt;FQL&gt;&lt;Q&gt;SNOW^FE_ESTIMATE(EPS,MEAN,QUARTERLY_ROLL,2017/4F,45993,,,'')&lt;/Q&gt;&lt;R&gt;0&lt;/R&gt;&lt;C&gt;0&lt;/C&gt;&lt;/FQL&gt;&lt;FQL&gt;&lt;Q&gt;SNOW^FE_ESTIMATE(EPS,MEAN,QUARTERLY_ROLL,2017/3F,45993,,,'')&lt;/Q&gt;&lt;R&gt;0&lt;/R&gt;&lt;C&gt;0&lt;/C&gt;&lt;/FQL&gt;&lt;FQL&gt;&lt;Q&gt;SNOW^FE_ESTIMATE(EPS,MEAN,QUARTERLY_ROLL,2017/2F,45993,,,'')&lt;/Q&gt;&lt;R&gt;0&lt;/R&gt;&lt;C&gt;0&lt;/C&gt;&lt;/FQL&gt;&lt;FQL&gt;&lt;Q&gt;SNOW^FE_ESTIMATE(EPS,MEAN,QUARTERLY_ROLL,2017/1F,45993,,,'')&lt;/Q&gt;&lt;R&gt;0&lt;/R&gt;&lt;C&gt;0&lt;/C&gt;&lt;/FQL&gt;&lt;FQL&gt;&lt;Q&gt;SNOW^FE_ESTIMATE(EPS,MEAN,ANNUAL_ROLL,2016,45993,,,'')&lt;/Q&gt;&lt;R&gt;0&lt;/R&gt;&lt;C&gt;0&lt;/C&gt;&lt;/FQL&gt;&lt;FQL&gt;&lt;Q&gt;SNOW^FE_ESTIMATE(EPS,MEAN,QUARTERLY_ROLL,2016/4F,45993,,,'')&lt;/Q&gt;&lt;R&gt;0&lt;/R&gt;&lt;C&gt;0&lt;/C&gt;&lt;/FQL&gt;&lt;FQL&gt;&lt;Q&gt;SNOW^FE_ESTIMATE(EPS,MEAN,QUARTERLY_ROLL,2016/3F,45993,,,'')&lt;/Q&gt;&lt;R&gt;0&lt;/R&gt;&lt;C&gt;0&lt;/C&gt;&lt;/FQL&gt;&lt;FQL&gt;&lt;Q&gt;SNOW^FE_ESTIMATE(EPS,MEAN,QUARTERLY_ROLL,2016/2F,45993,,,'')&lt;/Q&gt;&lt;R&gt;0&lt;/R&gt;&lt;C&gt;0&lt;/C&gt;&lt;/FQL&gt;&lt;FQL&gt;&lt;Q&gt;SNOW^FE_ESTIMATE(EPS,MEAN,QUARTERLY_ROLL,2016/1F,45993,,,'')&lt;/Q&gt;&lt;R&gt;0&lt;/R&gt;&lt;C&gt;0&lt;/C&gt;&lt;/FQL&gt;&lt;FQL&gt;&lt;Q&gt;SNOW^FE_ESTIMATE(EBIT,MEAN,ANNUAL_ROLL,2027,45993,,,'')&lt;/Q&gt;&lt;R&gt;1&lt;/R&gt;&lt;C&gt;1&lt;/C&gt;&lt;D xsi:type="xsd:double"&gt;974.4894&lt;/D&gt;&lt;/FQL&gt;&lt;FQL&gt;&lt;Q&gt;SNOW^FE_ESTIMATE(EBIT,MEAN,QUARTERLY_ROLL,2027/4F,45993,,,'')&lt;/Q&gt;&lt;R&gt;1&lt;/R&gt;&lt;C&gt;1&lt;/C&gt;&lt;D xsi:type="xsd:double"&gt;256.64142&lt;/D&gt;&lt;/FQL&gt;&lt;FQL&gt;&lt;Q&gt;SNOW^FE_ESTIMATE(EBIT,MEAN,QUARTERLY_ROLL,2027/3F,45993,,,'')&lt;/Q&gt;&lt;R&gt;1&lt;/R&gt;&lt;C&gt;1&lt;/C&gt;&lt;D xsi:type="xsd:double"&gt;238.27846&lt;/D&gt;&lt;/FQL&gt;&lt;FQL&gt;&lt;Q&gt;SNOW^FE_ESTIMATE(EBIT,MEAN,QUARTERLY_ROLL,2027/2F,45993,,,'')&lt;/Q&gt;&lt;R&gt;1&lt;/R&gt;&lt;C&gt;1&lt;/C&gt;&lt;D xsi:type="xsd:double"&gt;216.09016&lt;/D&gt;&lt;/FQL&gt;&lt;FQL&gt;&lt;Q&gt;SNOW^FE_ESTIMATE(EBIT,MEAN,QUARTERLY_ROLL,2027/1F,45993,,,'')&lt;/Q&gt;&lt;R&gt;1&lt;/R&gt;&lt;C&gt;1&lt;/C&gt;&lt;D xsi:type="xsd:double"&gt;190.81848&lt;/D&gt;&lt;/FQL&gt;&lt;FQL&gt;&lt;Q&gt;SNOW^FE_ESTIMATE(EBIT,MEAN,ANNUAL_ROLL,2026,45993,,,'')&lt;/Q&gt;&lt;R&gt;1&lt;/R&gt;&lt;C&gt;1&lt;/C&gt;&lt;D xsi:type="xsd:double"&gt;634.8485&lt;/D&gt;&lt;/FQL&gt;&lt;FQL&gt;&lt;Q&gt;SNOW^FE_ESTIMATE(EBIT,MEAN,QUARTERLY_ROLL,2026/4F,45993,,,'')&lt;/Q&gt;&lt;R&gt;1&lt;/R&gt;&lt;C&gt;1&lt;/C&gt;&lt;D xsi:type="xsd:double"&gt;180.27235&lt;/D&gt;&lt;/FQL&gt;&lt;FQL&gt;&lt;Q&gt;SNOW^FE_ESTIMATE(EBIT,MEAN,QUARTERLY_ROLL,2026/3F,45993,,,'')&lt;/Q&gt;&lt;R&gt;1&lt;/R&gt;&lt;C&gt;1&lt;/C&gt;&lt;D xsi:type="xsd:double"&gt;168.42868&lt;/D&gt;&lt;/FQL&gt;&lt;FQL&gt;&lt;Q&gt;SNOW^FE_ESTIMATE(EBIT,MEAN,QUARTERLY_ROLL,2026/2F,45993,,,'')&lt;/Q&gt;&lt;R&gt;1&lt;/R&gt;&lt;C&gt;1&lt;/C&gt;&lt;D xsi:type="xsd:double"&gt;157.35016&lt;/D&gt;&lt;/FQL&gt;&lt;FQL&gt;&lt;Q&gt;SNOW^FE_ESTIMATE(EBIT,MEAN,QUARTERLY_ROLL,2026/1F,45993,,,'')&lt;/Q&gt;&lt;R&gt;1&lt;/R&gt;&lt;C&gt;1&lt;/C&gt;&lt;D xsi:type="xsd:double"&gt;127.176956&lt;/D&gt;&lt;/FQL&gt;&lt;FQL&gt;&lt;Q&gt;SNOW^FE_ESTIMATE(EBIT,MEAN,ANNUAL_ROLL,2025,45993,,,'')&lt;/Q&gt;&lt;R&gt;1&lt;/R&gt;&lt;C&gt;1&lt;/C&gt;&lt;D xsi:type="xsd:double"&gt;432.92224&lt;/D&gt;&lt;/FQL&gt;&lt;FQL&gt;&lt;Q&gt;SNOW^FE_ESTIMATE(EBIT,MEAN,QUARTERLY_ROLL,2025/4F,45993,,,'')&lt;/Q&gt;&lt;R&gt;1&lt;/R&gt;&lt;C&gt;1&lt;/C&gt;&lt;D xsi:type="xsd:double"&gt;103.369286&lt;/D&gt;&lt;/FQL&gt;&lt;FQL&gt;&lt;Q&gt;SNOW^FE_ESTIMATE(EBIT,MEAN,QUARTERLY_ROLL,2025/3F,45993,,,'')&lt;/Q&gt;&lt;R&gt;1&lt;/R&gt;&lt;C&gt;1&lt;/C&gt;&lt;D xsi:type="xsd:double"&gt;110.10069&lt;/D&gt;&lt;/FQL&gt;&lt;FQL&gt;&lt;Q&gt;SNOW^FE_ESTIMATE(EBIT,MEAN,QUARTERLY_ROLL,2025/2F,45993,,,'')&lt;/Q&gt;&lt;R&gt;1&lt;/R&gt;&lt;C&gt;1&lt;/C&gt;&lt;D xsi:type="xsd:double"&gt;127.630974&lt;/D&gt;&lt;/FQL&gt;&lt;FQL&gt;&lt;Q&gt;SNOW^FE_ESTIMATE(EBIT,MEAN,QUARTERLY_ROLL,2025/1F,45993,,,'')&lt;/Q&gt;&lt;R&gt;1&lt;/R&gt;&lt;C&gt;1&lt;/C&gt;&lt;D xsi:type="xsd:double"&gt;91.71933&lt;/D&gt;&lt;/FQL&gt;&lt;FQL&gt;&lt;Q&gt;SNOW^FE_ESTIMATE(EBIT,MEAN,ANNUAL_ROLL,2024,45993,,,'')&lt;/Q&gt;&lt;R&gt;1&lt;/R&gt;&lt;C&gt;1&lt;/C&gt;&lt;D xsi:type="xsd:double"&gt;231.723&lt;/D&gt;&lt;/FQL&gt;&lt;FQL&gt;&lt;Q&gt;SNOW^FE_ESTIMATE(EBIT,MEAN,QUARTERLY_ROLL,2024/4F,45993,,,'')&lt;/Q&gt;&lt;R&gt;1&lt;/R&gt;&lt;C&gt;1&lt;/C&gt;&lt;D xsi:type="xsd:double"&gt;92.845&lt;/D&gt;&lt;/FQL&gt;&lt;FQL&gt;&lt;Q&gt;SNOW^FE_ESTIMATE(EBIT,MEAN,QUARTERLY_ROLL,2024/3F,45993,,,'')&lt;/Q&gt;&lt;R&gt;1&lt;/R&gt;&lt;C&gt;1&lt;/C&gt;&lt;D xsi:type="xsd:double"&gt;58.888&lt;/D&gt;&lt;/FQL&gt;&lt;FQL&gt;&lt;Q&gt;SNOW^FE_ESTIMATE(EBIT,MEAN,QUARTERLY_ROLL,2024/2F,45993,,,'')&lt;/Q&gt;&lt;R&gt;1&lt;/R&gt;&lt;C&gt;1&lt;/C&gt;&lt;D xsi:type="xsd:double"&gt;43.75044&lt;/D&gt;&lt;/FQL&gt;&lt;FQL&gt;&lt;Q&gt;SNOW^FE_ESTIMATE(EBIT,MEAN,QUARTERLY_ROLL,2024/1F,45993,,,'')&lt;/Q&gt;&lt;R&gt;1&lt;/R&gt;&lt;C&gt;1&lt;/C&gt;&lt;D xsi:type="xsd:double"&gt;36.244&lt;/D&gt;&lt;/FQL&gt;&lt;FQL&gt;&lt;Q&gt;SNOW^FE_ESTIMATE(EBIT,MEAN,ANNUAL_ROLL,2023,45993,,,'')&lt;/Q&gt;&lt;R&gt;1&lt;/R&gt;&lt;C&gt;1&lt;/C&gt;&lt;D xsi:type="xsd:double"&gt;229.71&lt;/D&gt;&lt;/FQL&gt;&lt;FQL&gt;&lt;Q&gt;SNOW^FE_ESTIMATE(EBIT,MEAN,QUARTERLY_ROLL,2023/4F,45993,,,'')&lt;/Q&gt;&lt;R&gt;1&lt;/R&gt;&lt;C&gt;1&lt;/C&gt;&lt;D xsi:type="xsd:double"&gt;70.966&lt;/D&gt;&lt;/FQL&gt;&lt;FQL&gt;&lt;Q&gt;SNOW^FE_ESTIMATE(EBIT,MEAN,QUARTERLY_ROLL,2023/3F,45993,,,'')&lt;/Q&gt;&lt;R&gt;1&lt;/R&gt;&lt;C&gt;1&lt;/C&gt;&lt;D xsi:type="xsd:double"&gt;71.938&lt;/D&gt;&lt;/FQL&gt;&lt;FQL&gt;&lt;Q&gt;SNOW^FE_ESTIMATE(EBIT,MEAN,QUARTERLY_ROLL,2023/2F,45993,,,'')&lt;/Q&gt;&lt;R&gt;1&lt;/R&gt;&lt;C&gt;1&lt;/C&gt;&lt;D xsi:type="xsd:double"&gt;54.2&lt;/D&gt;&lt;/FQL&gt;&lt;FQL&gt;&lt;Q&gt;SNOW^FE_ESTIMATE(EBIT,MEAN,QUARTERLY_ROLL,2023/1F,45993,,,'')&lt;/Q&gt;&lt;R&gt;1&lt;/R&gt;&lt;C&gt;1&lt;/C&gt;&lt;D xsi:type="xsd:double"&gt;32.606&lt;/D&gt;&lt;/FQL&gt;&lt;FQL&gt;&lt;Q&gt;SNOW^FE_ESTIMATE(EBIT,MEAN,ANNUAL_ROLL,2022,45993,,,'')&lt;/Q&gt;&lt;R&gt;1&lt;/R&gt;&lt;C&gt;1&lt;/C&gt;&lt;D xsi:type="xsd:double"&gt;95.283&lt;/D&gt;&lt;/FQL&gt;&lt;FQL&gt;&lt;Q&gt;SNOW^FE_ESTIMATE(EBIT,MEAN,QUARTERLY_ROLL,2022/4F,45993,,,'')&lt;/Q&gt;&lt;R&gt;1&lt;/R&gt;&lt;C&gt;1&lt;/C&gt;&lt;D xsi:type="xsd:double"&gt;32.775&lt;/D&gt;&lt;/FQL&gt;&lt;FQL&gt;&lt;Q&gt;SNOW^FE_ESTIMATE(EBIT,MEAN,QUARTERLY_ROLL,2022/3F,45993,,,'')&lt;/Q&gt;&lt;R&gt;1&lt;/R&gt;&lt;C&gt;1&lt;/C&gt;&lt;D xsi:type="xsd:double"&gt;43.372&lt;/D&gt;&lt;/FQL&gt;&lt;FQL&gt;&lt;Q&gt;SNOW^FE_ESTIMATE(EBIT,MEAN,QUARTERLY_ROLL,2022/2F,45993,,,'')&lt;/Q&gt;&lt;R&gt;1&lt;/R&gt;&lt;C&gt;1&lt;/C&gt;&lt;D xsi:type="xsd:double"&gt;17.461&lt;/D&gt;&lt;/FQL&gt;&lt;FQL&gt;&lt;Q&gt;SNOW^FE_ESTIMATE(EBIT,MEAN,QUARTERLY_ROLL,2022/1F,45993,,,'')&lt;/Q&gt;&lt;R&gt;1&lt;/R&gt;&lt;C&gt;1&lt;/C&gt;&lt;D xsi:type="xsd:double"&gt;1.7&lt;/D&gt;&lt;/FQL&gt;&lt;FQL&gt;&lt;Q&gt;SNOW^FE_ESTIMATE(EBIT,MEAN,ANNUAL_ROLL,2021,45993,,,'')&lt;/Q&gt;&lt;R&gt;1&lt;/R&gt;&lt;C&gt;1&lt;/C&gt;&lt;D xsi:type="xsd:double"&gt;-31.175&lt;/D&gt;&lt;/FQL&gt;&lt;FQL&gt;&lt;Q&gt;SNOW^FE_ESTIMATE(EBIT,MEAN,QUARTERLY_ROLL,2021/4F,45993,,,'')&lt;/Q&gt;&lt;R&gt;1&lt;/R&gt;&lt;C&gt;1&lt;/C&gt;&lt;D xsi:type="xsd:double"&gt;18.058&lt;/D&gt;&lt;/FQL&gt;&lt;FQL&gt;&lt;Q&gt;SNOW^FE_ESTIMATE(EBIT,MEAN,QUARTERLY_ROLL,2021/3F,45993,,,'')&lt;/Q&gt;&lt;R&gt;1&lt;/R&gt;&lt;C&gt;1&lt;/C&gt;&lt;D xsi:type="xsd:double"&gt;8.463368&lt;/D&gt;&lt;/FQL&gt;&lt;FQL&gt;&lt;Q&gt;SNOW^FE_ESTIMATE(EBIT,MEAN,QUARTERLY_ROLL,2021/2F,45993,,,'')&lt;/Q&gt;&lt;R&gt;1&lt;/R&gt;&lt;C&gt;1&lt;/C&gt;&lt;D xsi:type="xsd:double"&gt;-21.9042&lt;/D&gt;&lt;/FQL&gt;&lt;FQL&gt;&lt;Q&gt;SNOW^FE_ESTIMATE(EBIT,MEAN,QUARTERLY_ROLL,2021/1F,45993,,,'')&lt;/Q&gt;&lt;R&gt;1&lt;/R&gt;&lt;C&gt;1&lt;/C&gt;&lt;D xsi:type="xsd:double"&gt;-35.8&lt;/D&gt;&lt;/FQL&gt;&lt;FQL&gt;&lt;Q&gt;SNOW^FE_ESTIMATE(EBIT,MEAN,ANNUAL_ROLL,2020,45993,,,'')&lt;/Q&gt;&lt;R&gt;1&lt;/R&gt;&lt;C&gt;1&lt;/C&gt;&lt;D xsi:type="xsd:double"&gt;-225.47441&lt;/D&gt;&lt;/FQL&gt;&lt;FQL&gt;&lt;Q&gt;SNOW^FE_ESTIMATE(EBIT,MEAN,QUARTERLY_ROLL,2020/4F,45993,,,'')&lt;/Q&gt;&lt;R&gt;1&lt;/R&gt;&lt;C&gt;1&lt;/C&gt;&lt;D xsi:type="xsd:double"&gt;-45.99084&lt;/D&gt;&lt;/FQL&gt;&lt;FQL&gt;&lt;Q&gt;SNOW^FE_ESTIMATE(EBIT,MEAN,QUARTERLY_ROLL,2020/3F,45993,,,'')&lt;/Q&gt;&lt;R&gt;1&lt;/R&gt;&lt;C&gt;1&lt;/C&gt;&lt;D xsi:type="xsd:double"&gt;-48.09722&lt;/D&gt;&lt;/FQL&gt;&lt;FQL&gt;&lt;Q&gt;SNOW^FE_ESTIMATE(EBIT,MEAN,QUARTERLY_ROLL,2020/2F,45993,,,'')&lt;/Q&gt;&lt;R&gt;1&lt;/R&gt;&lt;C&gt;1&lt;/C&gt;&lt;D xsi:type="xsd:double"&gt;-58.351334&lt;/D&gt;&lt;/FQL&gt;&lt;FQL&gt;&lt;Q&gt;SNOW^FE_ESTIMATE(EBIT,MEAN,QUARTERLY_ROLL,2020/1F,45993,,,'')&lt;/Q&gt;&lt;R&gt;1&lt;/R&gt;&lt;C&gt;1&lt;/C&gt;&lt;D xsi:type="xsd:double"&gt;-74.819336&lt;/D&gt;&lt;/FQL&gt;&lt;FQL&gt;&lt;Q&gt;SNOW^FE_ESTIMATE(EBIT,MEAN,ANNUAL_ROLL,2019,45993,,,'')&lt;/Q&gt;&lt;R&gt;0&lt;/R&gt;&lt;C&gt;0&lt;/C&gt;&lt;/FQL&gt;&lt;FQL&gt;&lt;Q&gt;SNOW^FE_ESTIMATE(EBIT,MEAN,QUARTERLY_ROLL,2019/4F,45993,,,'')&lt;/Q&gt;&lt;R&gt;0&lt;/R&gt;&lt;C&gt;0&lt;/C&gt;&lt;/FQL&gt;&lt;FQL&gt;&lt;Q&gt;SNOW^FE_ESTIMATE(EBIT,MEAN,QUARTERLY_ROLL,2019/3F,45993,,,'')&lt;/Q&gt;&lt;R&gt;0&lt;/R&gt;&lt;C&gt;0&lt;/C&gt;&lt;/FQL&gt;&lt;FQL&gt;&lt;Q&gt;SNOW^FE_ESTIMATE(EBIT,MEAN,QUARTERLY_ROLL,2019/2F,45993,,,'')&lt;/Q&gt;&lt;R&gt;0&lt;/R&gt;&lt;C&gt;0&lt;/C&gt;&lt;/FQL&gt;&lt;FQL&gt;&lt;Q&gt;SNOW^FE_ESTIMATE(EBIT,MEAN,QUARTERLY_ROLL,2019/1F,45993,,,'')&lt;/Q&gt;&lt;R&gt;0&lt;/R&gt;&lt;C&gt;0&lt;/C&gt;&lt;/FQL&gt;&lt;FQL&gt;&lt;Q&gt;SNOW^FE_ESTIMATE(EBIT,MEAN,ANNUAL_ROLL,2018,45993,,,'')&lt;/Q&gt;&lt;R&gt;0&lt;/R&gt;&lt;C&gt;0&lt;/C&gt;&lt;/FQL&gt;&lt;FQL&gt;&lt;Q&gt;SNOW^FE_ESTIMATE(EBIT,MEAN,QUARTERLY_ROLL,2018/4F,45993,,,'')&lt;/Q&gt;&lt;R&gt;0&lt;/R&gt;&lt;C&gt;0&lt;/C&gt;&lt;/FQL&gt;&lt;FQL&gt;&lt;Q&gt;SNOW^FE_ESTIMATE(EBIT,MEAN,QUARTERLY_ROLL,2018/3F,45993,,,'')&lt;/Q&gt;&lt;R&gt;0&lt;/R&gt;&lt;C&gt;0&lt;/C&gt;&lt;/FQL&gt;&lt;FQL&gt;&lt;Q&gt;SNOW^FE_ESTIMATE(EBIT,MEAN,QUARTERLY_ROLL,2018/2F,45993,,,'')&lt;/Q&gt;&lt;R&gt;0&lt;/R&gt;&lt;C&gt;0&lt;/C&gt;&lt;/FQL&gt;&lt;FQL&gt;&lt;Q&gt;SNOW^FE_ESTIMATE(EBIT,MEAN,QUARTERLY_ROLL,2018/1F,45993,,,'')&lt;/Q&gt;&lt;R&gt;0&lt;/R&gt;&lt;C&gt;0&lt;/C&gt;&lt;/FQL&gt;&lt;FQL&gt;&lt;Q&gt;SNOW^FE_ESTIMATE(EBIT,MEAN,ANNUAL_ROLL,2017,45993,,,'')&lt;/Q&gt;&lt;R&gt;0&lt;/R&gt;&lt;C&gt;0&lt;/C&gt;&lt;/FQL&gt;&lt;FQL&gt;&lt;Q&gt;SNOW^FE_ESTIMATE(EBIT,MEAN,QUARTERLY_ROLL,2017/4F,45993,,,'')&lt;/Q&gt;&lt;R&gt;0&lt;/R&gt;&lt;C&gt;0&lt;/C&gt;&lt;/FQL&gt;&lt;FQL&gt;&lt;Q&gt;SNOW^FE_ESTIMATE(EBIT,MEAN,QUARTERLY_ROLL,2017/3F,45993,,,'')&lt;/Q&gt;&lt;R&gt;0&lt;/R&gt;&lt;C&gt;0&lt;/C&gt;&lt;/FQL&gt;&lt;FQL&gt;&lt;Q&gt;SNOW^FE_ESTIMATE(EBIT,MEAN,QUARTERLY_ROLL,2017/2F,45993,,,'')&lt;/Q&gt;&lt;R&gt;0&lt;/R&gt;&lt;C&gt;0&lt;/C&gt;&lt;/FQL&gt;&lt;FQL&gt;&lt;Q&gt;SNOW^FE_ESTIMATE(EBIT,MEAN,QUARTERLY_ROLL,2017/1F,45993,,,'')&lt;/Q&gt;&lt;R&gt;0&lt;/R&gt;&lt;C&gt;0&lt;/C&gt;&lt;/FQL&gt;&lt;FQL&gt;&lt;Q&gt;SNOW^FE_ESTIMATE(EBIT,MEAN,ANNUAL_ROLL,2016,45993,,,'')&lt;/Q&gt;&lt;R&gt;0&lt;/R&gt;&lt;C&gt;0&lt;/C&gt;&lt;/FQL&gt;&lt;FQL&gt;&lt;Q&gt;SNOW^FE_ESTIMATE(EBIT,MEAN,QUARTERLY_ROLL,2016/4F,45993,,,'')&lt;/Q&gt;&lt;R&gt;0&lt;/R&gt;&lt;C&gt;0&lt;/C&gt;&lt;/FQL&gt;&lt;FQL&gt;&lt;Q&gt;SNOW^FE_ESTIMATE(EBIT,MEAN,QUARTERLY_ROLL,2016/3F,45993,,,'')&lt;/Q&gt;&lt;R&gt;0&lt;/R&gt;&lt;C&gt;0&lt;/C&gt;&lt;/FQL&gt;&lt;FQL&gt;&lt;Q&gt;S</t>
        </r>
      </text>
    </comment>
    <comment ref="A3" authorId="0" shapeId="0" xr:uid="{392D052E-A745-4C61-BC9B-41EB1716F713}">
      <text>
        <r>
          <rPr>
            <b/>
            <sz val="9"/>
            <color indexed="81"/>
            <rFont val="Tahoma"/>
            <charset val="1"/>
          </rPr>
          <t>NOW^FE_ESTIMATE(EBIT,MEAN,QUARTERLY_ROLL,2016/2F,45993,,,'')&lt;/Q&gt;&lt;R&gt;0&lt;/R&gt;&lt;C&gt;0&lt;/C&gt;&lt;/FQL&gt;&lt;FQL&gt;&lt;Q&gt;SNOW^FE_ESTIMATE(EBIT,MEAN,QUARTERLY_ROLL,2016/1F,45993,,,'')&lt;/Q&gt;&lt;R&gt;0&lt;/R&gt;&lt;C&gt;0&lt;/C&gt;&lt;/FQL&gt;&lt;FQL&gt;&lt;Q&gt;SNOW^FE_ESTIMATE(GROSSINCOME,MEAN,ANNUAL_ROLL,2027,45993,,,'')&lt;/Q&gt;&lt;R&gt;1&lt;/R&gt;&lt;C&gt;1&lt;/C&gt;&lt;D xsi:type="xsd:double"&gt;5102.9204&lt;/D&gt;&lt;/FQL&gt;&lt;FQL&gt;&lt;Q&gt;SNOW^FE_ESTIMATE(GROSSINCOME,MEAN,QUARTERLY_ROLL,2027/4F,45993,,,'')&lt;/Q&gt;&lt;R&gt;1&lt;/R&gt;&lt;C&gt;1&lt;/C&gt;&lt;D xsi:type="xsd:double"&gt;1381.3583&lt;/D&gt;&lt;/FQL&gt;&lt;FQL&gt;&lt;Q&gt;SNOW^FE_ESTIMATE(GROSSINCOME,MEAN,QUARTERLY_ROLL,2027/3F,45993,,,'')&lt;/Q&gt;&lt;R&gt;1&lt;/R&gt;&lt;C&gt;1&lt;/C&gt;&lt;D xsi:type="xsd:double"&gt;1312.6393&lt;/D&gt;&lt;/FQL&gt;&lt;FQL&gt;&lt;Q&gt;SNOW^FE_ESTIMATE(GROSSINCOME,MEAN,QUARTERLY_ROLL,2027/2F,45993,,,'')&lt;/Q&gt;&lt;R&gt;1&lt;/R&gt;&lt;C&gt;1&lt;/C&gt;&lt;D xsi:type="xsd:double"&gt;1245.7144&lt;/D&gt;&lt;/FQL&gt;&lt;FQL&gt;&lt;Q&gt;SNOW^FE_ESTIMATE(GROSSINCOME,MEAN,QUARTERLY_ROLL,2027/1F,45993,,,'')&lt;/Q&gt;&lt;R&gt;1&lt;/R&gt;&lt;C&gt;1&lt;/C&gt;&lt;D xsi:type="xsd:double"&gt;1178.5216&lt;/D&gt;&lt;/FQL&gt;&lt;FQL&gt;&lt;Q&gt;SNOW^FE_ESTIMATE(GROSSINCOME,MEAN,ANNUAL_ROLL,2026,45993,,,'')&lt;/Q&gt;&lt;R&gt;1&lt;/R&gt;&lt;C&gt;1&lt;/C&gt;&lt;D xsi:type="xsd:double"&gt;4113.3555&lt;/D&gt;&lt;/FQL&gt;&lt;FQL&gt;&lt;Q&gt;SNOW^FE_ESTIMATE(GROSSINCOME,MEAN,QUARTERLY_ROLL,2026/4F,45993,,,'')&lt;/Q&gt;&lt;R&gt;1&lt;/R&gt;&lt;C&gt;1&lt;/C&gt;&lt;D xsi:type="xsd:double"&gt;1111.6318&lt;/D&gt;&lt;/FQL&gt;&lt;FQL&gt;&lt;Q&gt;SNOW^FE_ESTIMATE(GROSSINCOME,MEAN,QUARTERLY_ROLL,2026/3F,45993,,,'')&lt;/Q&gt;&lt;R&gt;1&lt;/R&gt;&lt;C&gt;1&lt;/C&gt;&lt;D xsi:type="xsd:double"&gt;1061.5975&lt;/D&gt;&lt;/FQL&gt;&lt;FQL&gt;&lt;Q&gt;SNOW^FE_ESTIMATE(GROSSINCOME,MEAN,QUARTERLY_ROLL,2026/2F,45993,,,'')&lt;/Q&gt;&lt;R&gt;1&lt;/R&gt;&lt;C&gt;1&lt;/C&gt;&lt;D xsi:type="xsd:double"&gt;1011.71136&lt;/D&gt;&lt;/FQL&gt;&lt;FQL&gt;&lt;Q&gt;SNOW^FE_ESTIMATE(GROSSINCOME,MEAN,QUARTERLY_ROLL,2026/1F,45993,,,'')&lt;/Q&gt;&lt;R&gt;1&lt;/R&gt;&lt;C&gt;1&lt;/C&gt;&lt;D xsi:type="xsd:double"&gt;938.4635&lt;/D&gt;&lt;/FQL&gt;&lt;FQL&gt;&lt;Q&gt;SNOW^FE_ESTIMATE(GROSSINCOME,MEAN,ANNUAL_ROLL,2025,45993,,,'')&lt;/Q&gt;&lt;R&gt;1&lt;/R&gt;&lt;C&gt;1&lt;/C&gt;&lt;D xsi:type="xsd:double"&gt;3330.189&lt;/D&gt;&lt;/FQL&gt;&lt;FQL&gt;&lt;Q&gt;SNOW^FE_ESTIMATE(GROSSINCOME,MEAN,QUARTERLY_ROLL,2025/4F,45993,,,'')&lt;/Q&gt;&lt;R&gt;1&lt;/R&gt;&lt;C&gt;1&lt;/C&gt;&lt;D xsi:type="xsd:double"&gt;889.8814&lt;/D&gt;&lt;/FQL&gt;&lt;FQL&gt;&lt;Q&gt;SNOW^FE_ESTIMATE(GROSSINCOME,MEAN,QUARTERLY_ROLL,2025/3F,45993,,,'')&lt;/Q&gt;&lt;R&gt;1&lt;/R&gt;&lt;C&gt;1&lt;/C&gt;&lt;D xsi:type="xsd:double"&gt;852.8726&lt;/D&gt;&lt;/FQL&gt;&lt;FQL&gt;&lt;Q&gt;SNOW^FE_ESTIMATE(GROSSINCOME,MEAN,QUARTERLY_ROLL,2025/2F,45993,,,'')&lt;/Q&gt;&lt;R&gt;1&lt;/R&gt;&lt;C&gt;1&lt;/C&gt;&lt;D xsi:type="xsd:double"&gt;835.287&lt;/D&gt;&lt;/FQL&gt;&lt;FQL&gt;&lt;Q&gt;SNOW^FE_ESTIMATE(GROSSINCOME,MEAN,QUARTERLY_ROLL,2025/1F,45993,,,'')&lt;/Q&gt;&lt;R&gt;1&lt;/R&gt;&lt;C&gt;1&lt;/C&gt;&lt;D xsi:type="xsd:double"&gt;752.124&lt;/D&gt;&lt;/FQL&gt;&lt;FQL&gt;&lt;Q&gt;SNOW^FE_ESTIMATE(GROSSINCOME,MEAN,ANNUAL_ROLL,2024,45993,,,'')&lt;/Q&gt;&lt;R&gt;1&lt;/R&gt;&lt;C&gt;1&lt;/C&gt;&lt;D xsi:type="xsd:double"&gt;2648.711&lt;/D&gt;&lt;/FQL&gt;&lt;FQL&gt;&lt;Q&gt;SNOW^FE_ESTIMATE(GROSSINCOME,MEAN,QUARTERLY_ROLL,2024/4F,45993,,,'')&lt;/Q&gt;&lt;R&gt;1&lt;/R&gt;&lt;C&gt;1&lt;/C&gt;&lt;D xsi:type="xsd:double"&gt;716.212&lt;/D&gt;&lt;/FQL&gt;&lt;FQL&gt;&lt;Q&gt;SNOW^FE_ESTIMATE(GROSSINCOME,MEAN,QUARTERLY_ROLL,2024/3F,45993,,,'')&lt;/Q&gt;&lt;R&gt;1&lt;/R&gt;&lt;C&gt;1&lt;/C&gt;&lt;D xsi:type="xsd:double"&gt;687.173&lt;/D&gt;&lt;/FQL&gt;&lt;FQL&gt;&lt;Q&gt;SNOW^FE_ESTIMATE(GROSSINCOME,MEAN,QUARTERLY_ROLL,2024/2F,45993,,,'')&lt;/Q&gt;&lt;R&gt;1&lt;/R&gt;&lt;C&gt;1&lt;/C&gt;&lt;D xsi:type="xsd:double"&gt;636.21&lt;/D&gt;&lt;/FQL&gt;&lt;FQL&gt;&lt;Q&gt;SNOW^FE_ESTIMATE(GROSSINCOME,MEAN,QUARTERLY_ROLL,2024/1F,45993,,,'')&lt;/Q&gt;&lt;R&gt;1&lt;/R&gt;&lt;C&gt;1&lt;/C&gt;&lt;D xsi:type="xsd:double"&gt;609.116&lt;/D&gt;&lt;/FQL&gt;&lt;FQL&gt;&lt;Q&gt;SNOW^FE_ESTIMATE(GROSSINCOME,MEAN,ANNUAL_ROLL,2023,45993,,,'')&lt;/Q&gt;&lt;R&gt;1&lt;/R&gt;&lt;C&gt;1&lt;/C&gt;&lt;D xsi:type="xsd:double"&gt;2082.899&lt;/D&gt;&lt;/FQL&gt;&lt;FQL&gt;&lt;Q&gt;SNOW^FE_ESTIMATE(GROSSINCOME,MEAN,QUARTERLY_ROLL,2023/4F,45993,,,'')&lt;/Q&gt;&lt;R&gt;1&lt;/R&gt;&lt;C&gt;1&lt;/C&gt;&lt;D xsi:type="xsd:double"&gt;578.626&lt;/D&gt;&lt;/FQL&gt;&lt;FQL&gt;&lt;Q&gt;SNOW^FE_ESTIMATE(GROSSINCOME,MEAN,QUARTERLY_ROLL,2023/3F,45993,,,'')&lt;/Q&gt;&lt;R&gt;1&lt;/R&gt;&lt;C&gt;1&lt;/C&gt;&lt;D xsi:type="xsd:double"&gt;549.927&lt;/D&gt;&lt;/FQL&gt;&lt;FQL&gt;&lt;Q&gt;SNOW^FE_ESTIMATE(GROSSINCOME,MEAN,QUARTERLY_ROLL,2023/2F,45993,,,'')&lt;/Q&gt;&lt;R&gt;1&lt;/R&gt;&lt;C&gt;1&lt;/C&gt;&lt;D xsi:type="xsd:double"&gt;500.414&lt;/D&gt;&lt;/FQL&gt;&lt;FQL&gt;&lt;Q&gt;SNOW^FE_ESTIMATE(GROSSINCOME,MEAN,QUARTERLY_ROLL,2023/1F,45993,,,'')&lt;/Q&gt;&lt;R&gt;1&lt;/R&gt;&lt;C&gt;1&lt;/C&gt;&lt;D xsi:type="xsd:double"&gt;453.932&lt;/D&gt;&lt;/FQL&gt;&lt;FQL&gt;&lt;Q&gt;SNOW^FE_ESTIMATE(GROSSINCOME,MEAN,ANNUAL_ROLL,2022,45993,,,'')&lt;/Q&gt;&lt;R&gt;1&lt;/R&gt;&lt;C&gt;1&lt;/C&gt;&lt;D xsi:type="xsd:double"&gt;1466.589&lt;/D&gt;&lt;/FQL&gt;&lt;FQL&gt;&lt;Q&gt;SNOW^FE_ESTIMATE(GROSSINCOME,MEAN,QUARTERLY_ROLL,2022/4F,45993,,,'')&lt;/Q&gt;&lt;R&gt;1&lt;/R&gt;&lt;C&gt;1&lt;/C&gt;&lt;D xsi:type="xsd:double"&gt;417.272&lt;/D&gt;&lt;/FQL&gt;&lt;FQL&gt;&lt;Q&gt;SNOW^FE_ESTIMATE(GROSSINCOME,MEAN,QUARTERLY_ROLL,2022/3F,45993,,,'')&lt;/Q&gt;&lt;R&gt;1&lt;/R&gt;&lt;C&gt;1&lt;/C&gt;&lt;D xsi:type="xsd:double"&gt;366.307&lt;/D&gt;&lt;/FQL&gt;&lt;FQL&gt;&lt;Q&gt;SNOW^FE_ESTIMATE(GROSSINCOME,MEAN,QUARTERLY_ROLL,2022/2F,45993,,,'')&lt;/Q&gt;&lt;R&gt;1&lt;/R&gt;&lt;C&gt;1&lt;/C&gt;&lt;D xsi:type="xsd:double"&gt;352.276&lt;/D&gt;&lt;/FQL&gt;&lt;FQL&gt;&lt;Q&gt;SNOW^FE_ESTIMATE(GROSSINCOME,MEAN,QUARTERLY_ROLL,2022/1F,45993,,,'')&lt;/Q&gt;&lt;R&gt;1&lt;/R&gt;&lt;C&gt;1&lt;/C&gt;&lt;D xsi:type="xsd:double"&gt;299.90863&lt;/D&gt;&lt;/FQL&gt;&lt;FQL&gt;&lt;Q&gt;SNOW^FE_ESTIMATE(GROSSINCOME,MEAN,ANNUAL_ROLL,2021,45993,,,'')&lt;/Q&gt;&lt;R&gt;1&lt;/R&gt;&lt;C&gt;1&lt;/C&gt;&lt;D xsi:type="xsd:double"&gt;855.335&lt;/D&gt;&lt;/FQL&gt;&lt;FQL&gt;&lt;Q&gt;SNOW^FE_ESTIMATE(GROSSINCOME,MEAN,QUARTERLY_ROLL,2021/4F,45993,,,'')&lt;/Q&gt;&lt;R&gt;1&lt;/R&gt;&lt;C&gt;1&lt;/C&gt;&lt;D xsi:type="xsd:double"&gt;272.581&lt;/D&gt;&lt;/FQL&gt;&lt;FQL&gt;&lt;Q&gt;SNOW^FE_ESTIMATE(GROSSINCOME,MEAN,QUARTERLY_ROLL,2021/3F,45993,,,'')&lt;/Q&gt;&lt;R&gt;1&lt;/R&gt;&lt;C&gt;1&lt;/C&gt;&lt;D xsi:type="xsd:double"&gt;236.57973&lt;/D&gt;&lt;/FQL&gt;&lt;FQL&gt;&lt;Q&gt;SNOW^FE_ESTIMATE(GROSSINCOME,MEAN,QUARTERLY_ROLL,2021/2F,45993,,,'')&lt;/Q&gt;&lt;R&gt;1&lt;/R&gt;&lt;C&gt;1&lt;/C&gt;&lt;D xsi:type="xsd:double"&gt;189.73117&lt;/D&gt;&lt;/FQL&gt;&lt;FQL&gt;&lt;Q&gt;SNOW^FE_ESTIMATE(GROSSINCOME,MEAN,QUARTERLY_ROLL,2021/1F,45993,,,'')&lt;/Q&gt;&lt;R&gt;1&lt;/R&gt;&lt;C&gt;1&lt;/C&gt;&lt;D xsi:type="xsd:double"&gt;156.46094&lt;/D&gt;&lt;/FQL&gt;&lt;FQL&gt;&lt;Q&gt;SNOW^FE_ESTIMATE(GROSSINCOME,MEAN,ANNUAL_ROLL,2020,45993,,,'')&lt;/Q&gt;&lt;R&gt;1&lt;/R&gt;&lt;C&gt;1&lt;/C&gt;&lt;D xsi:type="xsd:double"&gt;385.867&lt;/D&gt;&lt;/FQL&gt;&lt;FQL&gt;&lt;Q&gt;SNOW^FE_ESTIMATE(GROSSINCOME,MEAN,QUARTERLY_ROLL,2020/4F,45993,,,'')&lt;/Q&gt;&lt;R&gt;1&lt;/R&gt;&lt;C&gt;1&lt;/C&gt;&lt;D xsi:type="xsd:double"&gt;127&lt;/D&gt;&lt;/FQL&gt;&lt;FQL&gt;&lt;Q&gt;SNOW^FE_ESTIMATE(GROSSINCOME,MEAN,QUARTERLY_ROLL,2020/3F,45993,,,'')&lt;/Q&gt;&lt;R&gt;1&lt;/R&gt;&lt;C&gt;1&lt;/C&gt;&lt;D xsi:type="xsd:double"&gt;107.00894&lt;/D&gt;&lt;/FQL&gt;&lt;FQL&gt;&lt;Q&gt;SNOW^FE_ESTIMATE(GROSSINCOME,MEAN,QUARTERLY_ROLL,2020/2F,45993,,,'')&lt;/Q&gt;&lt;R&gt;1&lt;/R&gt;&lt;C&gt;1&lt;/C&gt;&lt;D xsi:type="xsd:double"&gt;84.158&lt;/D&gt;&lt;/FQL&gt;&lt;FQL&gt;&lt;Q&gt;SNOW^FE_ESTIMATE(GROSSINCOME,MEAN,QUARTERLY_ROLL,2020/1F,45993,,,'')&lt;/Q&gt;&lt;R&gt;1&lt;/R&gt;&lt;C&gt;1&lt;/C&gt;&lt;D xsi:type="xsd:double"&gt;67.525&lt;/D&gt;&lt;/FQL&gt;&lt;FQL&gt;&lt;Q&gt;SNOW^FE_ESTIMATE(GROSSINCOME,MEAN,ANNUAL_ROLL,2019,45993,,,'')&lt;/Q&gt;&lt;R&gt;0&lt;/R&gt;&lt;C&gt;0&lt;/C&gt;&lt;/FQL&gt;&lt;FQL&gt;&lt;Q&gt;SNOW^FE_ESTIMATE(GROSSINCOME,MEAN,QUARTERLY_ROLL,2019/4F,45993,,,'')&lt;/Q&gt;&lt;R&gt;0&lt;/R&gt;&lt;C&gt;0&lt;/C&gt;&lt;/FQL&gt;&lt;FQL&gt;&lt;Q&gt;SNOW^FE_ESTIMATE(GROSSINCOME,MEAN,QUARTERLY_ROLL,2019/3F,45993,,,'')&lt;/Q&gt;&lt;R&gt;0&lt;/R&gt;&lt;C&gt;0&lt;/C&gt;&lt;/FQL&gt;&lt;FQL&gt;&lt;Q&gt;SNOW^FE_ESTIMATE(GROSSINCOME,MEAN,QUARTERLY_ROLL,2019/2F,45993,,,'')&lt;/Q&gt;&lt;R&gt;0&lt;/R&gt;&lt;C&gt;0&lt;/C&gt;&lt;/FQL&gt;&lt;FQL&gt;&lt;Q&gt;SNOW^FE_ESTIMATE(GROSSINCOME,MEAN,QUARTERLY_ROLL,2019/1F,45993,,,'')&lt;/Q&gt;&lt;R&gt;0&lt;/R&gt;&lt;C&gt;0&lt;/C&gt;&lt;/FQL&gt;&lt;FQL&gt;&lt;Q&gt;SNOW^FE_ESTIMATE(GROSSINCOME,MEAN,ANNUAL_ROLL,2018,45993,,,'')&lt;/Q&gt;&lt;R&gt;0&lt;/R&gt;&lt;C&gt;0&lt;/C&gt;&lt;/FQL&gt;&lt;FQL&gt;&lt;Q&gt;SNOW^FE_ESTIMATE(GROSSINCOME,MEAN,QUARTERLY_ROLL,2018/4F,45993,,,'')&lt;/Q&gt;&lt;R&gt;0&lt;/R&gt;&lt;C&gt;0&lt;/C&gt;&lt;/FQL&gt;&lt;FQL&gt;&lt;Q&gt;SNOW^FE_ESTIMATE(GROSSINCOME,MEAN,QUARTERLY_ROLL,2018/3F,45993,,,'')&lt;/Q&gt;&lt;R&gt;0&lt;/R&gt;&lt;C&gt;0&lt;/C&gt;&lt;/FQL&gt;&lt;FQL&gt;&lt;Q&gt;SNOW^FE_ESTIMATE(GROSSINCOME,MEAN,QUARTERLY_ROLL,2018/2F,45993,,,'')&lt;/Q&gt;&lt;R&gt;0&lt;/R&gt;&lt;C&gt;0&lt;/C&gt;&lt;/FQL&gt;&lt;FQL&gt;&lt;Q&gt;SNOW^FE_ESTIMATE(GROSSINCOME,MEAN,QUARTERLY_ROLL,2018/1F,45993,,,'')&lt;/Q&gt;&lt;R&gt;0&lt;/R&gt;&lt;C&gt;0&lt;/C&gt;&lt;/FQL&gt;&lt;FQL&gt;&lt;Q&gt;SNOW^FE_ESTIMATE(GROSSINCOME,MEAN,ANNUAL_ROLL,2017,45993,,,'')&lt;/Q&gt;&lt;R&gt;0&lt;/R&gt;&lt;C&gt;0&lt;/C&gt;&lt;/FQL&gt;&lt;FQL&gt;&lt;Q&gt;SNOW^FE_ESTIMATE(GROSSINCOME,MEAN,QUARTERLY_ROLL,2017/4F,45993,,,'')&lt;/Q&gt;&lt;R&gt;0&lt;/R&gt;&lt;C&gt;0&lt;/C&gt;&lt;/FQL&gt;&lt;FQL&gt;&lt;Q&gt;SNOW^FE_ESTIMATE(GROSSINCOME,MEAN,QUARTERLY_ROLL,2017/3F,45993,,,'')&lt;/Q&gt;&lt;R&gt;0&lt;/R&gt;&lt;C&gt;0&lt;/C&gt;&lt;/FQL&gt;&lt;FQL&gt;&lt;Q&gt;SNOW^FE_ESTIMATE(GROSSINCOME,MEAN,QUARTERLY_ROLL,2017/2F,45993,,,'')&lt;/Q&gt;&lt;R&gt;0&lt;/R&gt;&lt;C&gt;0&lt;/C&gt;&lt;/FQL&gt;&lt;FQL&gt;&lt;Q&gt;SNOW^FE_ESTIMATE(GROSSINCOME,MEAN,QUARTERLY_ROLL,2017/1F,45993,,,'')&lt;/Q&gt;&lt;R&gt;0&lt;/R&gt;&lt;C&gt;0&lt;/C&gt;&lt;/FQL&gt;&lt;FQL&gt;&lt;Q&gt;SNOW^FE_ESTIMATE(GROSSINCOME,MEAN,ANNUAL_ROLL,2016,45993,,,'')&lt;/Q&gt;&lt;R&gt;0&lt;/R&gt;&lt;C&gt;0&lt;/C&gt;&lt;/FQL&gt;&lt;FQL&gt;&lt;Q&gt;SNOW^FE_ESTIMATE(GROSSINCOME,MEAN,QUARTERLY_ROLL,2016/4F,45993,,,'')&lt;/Q&gt;&lt;R&gt;0&lt;/R&gt;&lt;C&gt;0&lt;/C&gt;&lt;/FQL&gt;&lt;FQL&gt;&lt;Q&gt;SNOW^FE_ESTIMATE(GROSSINCOME,MEAN,QUARTERLY_ROLL,2016/3F,45993,,,'')&lt;/Q&gt;&lt;R&gt;0&lt;/R&gt;&lt;C&gt;0&lt;/C&gt;&lt;/FQL&gt;&lt;FQL&gt;&lt;Q&gt;SNOW^FE_ESTIMATE(GROSSINCOME,MEAN,QUARTERLY_ROLL,2016/2F,45993,,,'')&lt;/Q&gt;&lt;R&gt;0&lt;/R&gt;&lt;C&gt;0&lt;/C&gt;&lt;/FQL&gt;&lt;FQL&gt;&lt;Q&gt;SNOW^FE_ESTIMATE(GROSSINCOME,MEAN,QUARTERLY_ROLL,2016/1F,45993,,,'')&lt;/Q&gt;&lt;R&gt;0&lt;/R&gt;&lt;C&gt;0&lt;/C&gt;&lt;/FQL&gt;&lt;FQL&gt;&lt;Q&gt;SNOW^FE_ESTIMATE(PL_COS_2,MEAN,ANNUAL_ROLL,2027,45993,,,'')&lt;/Q&gt;&lt;R&gt;1&lt;/R&gt;&lt;C&gt;1&lt;/C&gt;&lt;D xsi:type="xsd:double"&gt;244.7111&lt;/D&gt;&lt;/FQL&gt;&lt;FQL&gt;&lt;Q&gt;SNOW^FE_ESTIMATE(PL_COS_2,MEAN,QUARTERLY_ROLL,2027/4F,45993,,,'')&lt;/Q&gt;&lt;R&gt;1&lt;/R&gt;&lt;C&gt;1&lt;/C&gt;&lt;D xsi:type="xsd:double"&gt;64.4&lt;/D&gt;&lt;/FQL&gt;&lt;FQL&gt;&lt;Q&gt;SNOW^FE_ESTIMATE(PL_COS_2,MEAN,QUARTERLY_ROLL,2027/3F,45993,,,'')&lt;/Q&gt;&lt;R&gt;1&lt;/R&gt;&lt;C&gt;1&lt;/C&gt;&lt;D xsi:type="xsd:double"&gt;62.633335&lt;/D&gt;&lt;/FQL&gt;&lt;FQL&gt;&lt;Q&gt;SNOW^FE_ESTIMATE(PL_COS_2,MEAN,QUARTERLY_ROLL,2027/2F,45993,,,'')&lt;/Q&gt;&lt;R&gt;1&lt;/R&gt;&lt;C&gt;1&lt;/C&gt;&lt;D xsi:type="xsd:double"&gt;63.4&lt;/D&gt;&lt;/FQL&gt;&lt;FQL&gt;&lt;Q&gt;SNOW^FE_ESTIMATE(PL_COS_2,MEAN,QUARTERLY_ROLL,2027/1F,45993,,,'')&lt;/Q&gt;&lt;R&gt;1&lt;/R&gt;&lt;C&gt;1&lt;/C&gt;&lt;D xsi:type="xsd:double"&gt;60&lt;/D&gt;&lt;/FQL&gt;&lt;FQL&gt;&lt;Q&gt;SNOW^FE_ESTIMATE(PL_COS_2,MEAN,ANNUAL_ROLL,2026,45993,,,'')&lt;/Q&gt;&lt;R&gt;1&lt;/R&gt;&lt;C&gt;1&lt;/C&gt;&lt;D xsi:type="xsd:double"&gt;221.46672&lt;/D&gt;&lt;/FQL&gt;&lt;FQL&gt;&lt;Q&gt;SNOW^FE_ESTIMATE(PL_COS_2,MEAN,QUARTERLY_ROLL,2026/4F,45993,,,'')&lt;/Q&gt;&lt;R&gt;1&lt;/R&gt;&lt;C&gt;1&lt;/C&gt;&lt;D xsi:type="xsd:double"&gt;57.7618&lt;/D&gt;&lt;/FQL&gt;&lt;FQL&gt;&lt;Q&gt;SNOW^FE_ESTIMATE(PL_COS_2,MEAN,QUARTERLY_ROLL,2026/3F,45993,,,'')&lt;/Q&gt;&lt;R&gt;1&lt;/R&gt;&lt;C&gt;1&lt;/C&gt;&lt;D xsi:type="xsd:double"&gt;56.2944&lt;/D&gt;&lt;/FQL&gt;&lt;FQL&gt;&lt;Q&gt;SNOW^FE_ESTIMATE(PL_COS_2,MEAN,QUARTERLY_ROLL,2026/2F,45993,,,'')&lt;/Q&gt;&lt;R&gt;1&lt;/R&gt;&lt;C&gt;1&lt;/C&gt;&lt;D xsi:type="xsd:double"&gt;56.1214&lt;/D&gt;&lt;/FQL&gt;&lt;FQL&gt;&lt;Q&gt;SNOW^FE_ESTIMATE(PL_COS_2,MEAN,QUARTERLY_ROLL,2026/1F,45993,,,'')&lt;/Q&gt;&lt;R&gt;1&lt;/R&gt;&lt;C&gt;1&lt;/C&gt;&lt;D xsi:type="xsd:double"&gt;53.4359&lt;/D&gt;&lt;/FQL&gt;&lt;FQL&gt;&lt;Q&gt;SNOW^FE_ESTIMATE(PL_COS_2,MEAN,ANNUAL_ROLL,2025,45993,,,'')&lt;/Q&gt;&lt;R&gt;1&lt;/R&gt;&lt;C&gt;1&lt;/C&gt;&lt;D xsi:type="xsd:double"&gt;200.41707&lt;/D&gt;&lt;/FQL&gt;&lt;FQL&gt;&lt;Q&gt;SNOW^FE_ESTIMATE(PL_COS_2,MEAN,QUARTERLY_ROLL,2025/4F,45993,,,'')&lt;/Q&gt;&lt;R&gt;1&lt;/R&gt;&lt;C&gt;1&lt;/C&gt;&lt;D xsi:type="xsd:double"&gt;50.797928&lt;/D&gt;&lt;/FQL&gt;&lt;FQL&gt;&lt;Q&gt;SNOW^FE_ESTIMATE(PL_COS_2,MEAN,QUARTERLY_ROLL,2025/3F,45993,,,'')&lt;/Q&gt;&lt;R&gt;1&lt;/R&gt;&lt;C&gt;1&lt;/C&gt;&lt;D xsi:type="xsd:double"&gt;49.545284&lt;/D&gt;&lt;/FQL&gt;&lt;FQL&gt;&lt;Q&gt;SNOW^FE_ESTIMATE(PL_COS_2,MEAN,QUARTERLY_ROLL,2025/2F,45993,,,'')&lt;/Q&gt;&lt;R&gt;1&lt;/R&gt;&lt;C&gt;1&lt;/C&gt;&lt;D xsi:type="xsd:double"&gt;52.803642&lt;/D&gt;&lt;/FQL&gt;&lt;FQL&gt;&lt;Q&gt;SNOW^FE_ESTIMATE(PL_COS_2,MEAN,QUARTERLY_ROLL,2025/1F,45993,,,'')&lt;/Q&gt;&lt;R&gt;1&lt;/R&gt;&lt;C&gt;1&lt;/C&gt;&lt;D xsi:type="xsd:double"&gt;47.2948&lt;/D&gt;&lt;/FQL&gt;&lt;FQL&gt;&lt;Q&gt;SNOW^FE_ESTIMATE(PL_COS_2,MEAN,ANNUAL_ROLL,2024,45993,,,'')&lt;/Q&gt;&lt;R&gt;1&lt;/R&gt;&lt;C&gt;1&lt;/C&gt;&lt;D xsi:type="xsd:double"&gt;158.59363&lt;/D&gt;&lt;/FQL&gt;&lt;FQL&gt;&lt;Q&gt;SNOW^FE_ESTIMATE(PL_COS_2,MEAN,QUARTERLY_ROLL,2024/4F,45993,,,'')&lt;/Q&gt;&lt;R&gt;1&lt;/R&gt;&lt;C&gt;1&lt;/C&gt;&lt;D xsi:type="xsd:double"&gt;42.617687&lt;/D&gt;&lt;/FQL&gt;&lt;FQL&gt;&lt;Q&gt;SNOW^FE_ESTIMATE(PL_COS_2,MEAN,QUARTERLY_ROLL,2024/3F,45993,,,'')&lt;/Q&gt;&lt;R&gt;1&lt;/R&gt;&lt;C&gt;1&lt;/C&gt;&lt;D xsi:type="xsd:double"&gt;41.536823&lt;/D&gt;&lt;/FQL&gt;&lt;FQL&gt;&lt;Q&gt;SNOW^FE_ESTIMATE(PL_COS_2,MEAN,QUARTERLY_ROLL,2024/2F,45993,,,'')&lt;/Q&gt;&lt;R&gt;1&lt;/R&gt;&lt;C&gt;1&lt;/C&gt;&lt;D xsi:type="xsd:double"&gt;37.10643&lt;/D&gt;&lt;/FQL&gt;&lt;FQL&gt;&lt;Q&gt;SNOW^FE_ESTIMATE(PL_COS_2,MEAN,QUARTERLY_ROLL,2024/1F,45993,,,'')&lt;/Q&gt;&lt;R&gt;1&lt;/R&gt;&lt;C&gt;1&lt;/C&gt;&lt;D xsi:type="xsd:double"&gt;38.3436&lt;/D&gt;&lt;/FQL&gt;&lt;FQL&gt;&lt;Q&gt;SNOW^FE_ESTIMATE(PL_COS_2,MEAN,ANNUAL_ROLL,2023,45993,,,'')&lt;/Q&gt;&lt;R&gt;1&lt;/R&gt;&lt;C&gt;1&lt;/C&gt;&lt;D xsi:type="xsd:double"&gt;132.87325&lt;/D&gt;&lt;/FQL&gt;&lt;FQL&gt;&lt;Q&gt;SNOW^FE_ESTIMATE(PL_COS_2,MEAN,QUARTERLY_ROLL,2023/4F,45993,,,'')&lt;/Q&gt;&lt;R&gt;1&lt;/R&gt;&lt;C&gt;1&lt;/C&gt;&lt;D xsi:type="xsd:double"&gt;33.996&lt;/D&gt;&lt;/FQL&gt;&lt;FQL&gt;&lt;Q&gt;SNOW^FE_ESTIMATE(PL_COS_2,MEAN,QUARTERLY_ROLL,2023/3F,45993,,,'')&lt;/Q&gt;&lt;R&gt;1&lt;/R&gt;&lt;C&gt;1&lt;/C&gt;&lt;D xsi:type="xsd:double"&gt;32.89125&lt;/D&gt;&lt;/FQL&gt;&lt;FQL&gt;&lt;Q&gt;SNOW^FE_ESTIMATE(PL_COS_2,MEAN,QUARTERLY_ROLL,2023/2F,45993,,,'')&lt;/Q&gt;&lt;R&gt;1&lt;/R&gt;&lt;C&gt;1&lt;/C&gt;&lt;D xsi:type="xsd:double"&gt;32.178&lt;/D&gt;&lt;/FQL&gt;&lt;FQL&gt;&lt;Q&gt;SNOW^FE_ESTIMATE(PL_COS_2,MEAN,QUARTERLY_ROLL,2023/1F,45993,,,'')&lt;/Q&gt;&lt;R&gt;1&lt;/R&gt;&lt;C&gt;1&lt;/C&gt;&lt;D xsi:type="xsd:double"&gt;33.81286&lt;/D&gt;&lt;/FQL&gt;&lt;FQL&gt;&lt;Q&gt;SNOW^FE_ESTIMATE(PL_COS_2,MEAN,ANNUAL_ROLL,2022,45993,,,'')&lt;/Q&gt;&lt;R&gt;1&lt;/R&gt;&lt;C&gt;1&lt;/C&gt;&lt;D xsi:type="xsd:double"&gt;117.6784&lt;/D&gt;&lt;/FQL&gt;&lt;FQL&gt;&lt;Q&gt;SNOW^FE_ESTIMATE(PL_COS_2,MEAN,QUARTERLY_ROLL,2022/4F,45993,,,'')&lt;/Q&gt;&lt;R&gt;1&lt;/R&gt;&lt;C&gt;1&lt;/C&gt;&lt;D xsi:type="xsd:double"&gt;32.8016&lt;/D&gt;&lt;/FQL&gt;&lt;FQL&gt;&lt;Q&gt;SNOW^FE_ESTIMATE(PL_COS_2,MEAN,QUARTERLY_ROLL,2022/3F,45993,,,'')&lt;/Q&gt;&lt;R&gt;1&lt;/R&gt;&lt;C&gt;1&lt;/C&gt;&lt;D xsi:type="xsd:double"&gt;31.0104&lt;/D&gt;&lt;/FQL&gt;&lt;FQL&gt;&lt;Q&gt;SNOW^FE_ESTIMATE(PL_COS_2,MEAN,QUARTERLY_ROLL,2022/2F,45993,,,'')&lt;/Q&gt;&lt;R&gt;1&lt;/R&gt;&lt;C&gt;1&lt;/C&gt;&lt;D xsi:type="xsd:double"&gt;29.076334&lt;/D&gt;&lt;/FQL&gt;&lt;FQL&gt;&lt;Q&gt;SNOW^FE_ESTIMATE(PL_COS_2,MEAN,QUARTERLY_ROLL,2022/1F,45993,,,'')&lt;/Q&gt;&lt;R&gt;1&lt;/R&gt;&lt;C&gt;1&lt;/C&gt;&lt;D xsi:type="xsd:double"&gt;25.708462&lt;/D&gt;&lt;/FQL&gt;&lt;FQL&gt;&lt;Q&gt;SNOW^FE_ESTIMATE(PL_COS_2,MEAN,ANNUAL_ROLL,2021,45993,,,'')&lt;/Q&gt;&lt;R&gt;1&lt;/R&gt;&lt;C&gt;1&lt;/C&gt;&lt;D xsi:type="xsd:double"&gt;68.103455&lt;/D&gt;&lt;/FQL&gt;&lt;FQL&gt;&lt;Q&gt;SNOW^FE_ESTIMATE(PL_COS_2,MEAN,QUARTERLY_ROLL,2021/4F,45993,,,'')&lt;/Q&gt;&lt;R&gt;1&lt;/R&gt;&lt;C&gt;1&lt;/C&gt;&lt;D xsi:type="xsd:double"&gt;21.232908&lt;/D&gt;&lt;/FQL&gt;&lt;FQL&gt;&lt;Q&gt;SNOW^FE_ESTIMATE(PL_COS_2,MEAN,QUARTERLY_ROLL,2021/3F,45993,,,'')&lt;/Q&gt;&lt;R&gt;1&lt;/R&gt;&lt;C&gt;1&lt;/C&gt;&lt;D xsi:type="xsd:double"&gt;18.641333&lt;/D&gt;&lt;/FQL&gt;&lt;FQL&gt;&lt;Q&gt;SNOW^FE_ESTIMATE(PL_COS_2,MEAN,QUARTERLY_ROLL,2021/2F,45993,,,'')&lt;/Q&gt;&lt;R&gt;1&lt;/R&gt;&lt;C&gt;1&lt;/C&gt;&lt;D xsi:type="xsd:double"&gt;15.199429&lt;/D&gt;&lt;/FQL&gt;&lt;FQL&gt;&lt;Q&gt;SNOW^FE_ESTIMATE(PL_COS_2,MEAN,QUARTERLY_ROLL,2021/1F,45993,,,'')&lt;/Q&gt;&lt;R&gt;1&lt;/R&gt;&lt;C&gt;1&lt;/C&gt;&lt;D xsi:type="xsd:double"&gt;13.102222&lt;/D&gt;&lt;/FQL&gt;&lt;FQL&gt;&lt;Q&gt;SNOW^FE_ESTIMATE(PL_COS_2,MEAN,ANNUAL_ROLL,2020,45993,,,'')&lt;/Q&gt;&lt;R&gt;1&lt;/R&gt;&lt;C&gt;1&lt;/C&gt;&lt;D xsi:type="xsd:double"&gt;32.61089&lt;/D&gt;&lt;/FQL&gt;&lt;FQL&gt;&lt;Q&gt;SNOW^FE_ESTIMATE(PL_COS_2,MEAN,QUARTERLY_ROLL,2020/4F,45993,,,'')&lt;/Q&gt;&lt;R&gt;1&lt;/R&gt;&lt;C&gt;1&lt;/C&gt;&lt;D xsi:type="xsd:double"&gt;11.373777&lt;/D&gt;&lt;/FQL&gt;&lt;FQL&gt;&lt;Q&gt;SNOW^FE_ESTIMATE(PL_COS_2,MEAN,QUARTERLY_ROLL,2020/3F,45993,,,'')&lt;/Q&gt;&lt;R&gt;1&lt;/R&gt;&lt;C&gt;1&lt;/C&gt;&lt;D xsi:type="xsd:double"&gt;8.69309&lt;/D&gt;&lt;/FQL&gt;&lt;FQL&gt;&lt;Q&gt;SNOW^FE_ESTIMATE(PL_COS_2,MEAN,QUARTERLY_ROLL,2020/2F,45993,,,'')&lt;/Q&gt;&lt;R&gt;1&lt;/R&gt;&lt;C&gt;1&lt;/C&gt;&lt;D xsi:type="xsd:double"&gt;7.1833334&lt;/D&gt;&lt;/FQL&gt;&lt;FQL&gt;&lt;Q&gt;SNOW^FE_ESTIMATE(PL_COS_2,MEAN,QUARTERLY_ROLL,2020/1F,45993,,,'')&lt;/Q&gt;&lt;R&gt;0&lt;/R&gt;&lt;C&gt;0&lt;/C&gt;&lt;/FQL&gt;&lt;FQL&gt;&lt;Q&gt;SNOW^FE_ESTIMATE(PL_COS_2,MEAN,ANNUAL_ROLL,2019,45993,,,'')&lt;/Q&gt;&lt;R&gt;0&lt;/R&gt;&lt;C&gt;0&lt;/C&gt;&lt;/FQL&gt;&lt;FQL&gt;&lt;Q&gt;SNOW^FE_ESTIMATE(PL_COS_2,MEAN,QUARTERLY_ROLL,2019/4F,45993,,,'')&lt;/Q&gt;&lt;R&gt;0&lt;/R&gt;&lt;C&gt;0&lt;/C&gt;&lt;/FQL&gt;&lt;FQL&gt;&lt;Q&gt;SNOW^FE_ESTIMATE(PL_COS_2,MEAN,QUARTERLY_ROLL,2019/3F,45993,,,'')&lt;/Q&gt;&lt;R&gt;0&lt;/R&gt;&lt;C&gt;0&lt;/C&gt;&lt;/FQL&gt;&lt;FQL&gt;&lt;Q&gt;SNOW^FE_ESTIMATE(PL_COS_2,MEAN,QUARTERLY_ROLL,2019/2F,45993,,,'')&lt;/Q&gt;&lt;R&gt;0&lt;/R&gt;&lt;C&gt;0&lt;/C&gt;&lt;/FQL&gt;&lt;FQL&gt;&lt;Q&gt;SNOW^FE_ESTIMATE(PL_COS_2,MEAN,QUARTERLY_ROLL,2019/1F,45993,,,'')&lt;/Q&gt;&lt;R&gt;0&lt;/R&gt;&lt;C&gt;0&lt;/C&gt;&lt;/FQL&gt;&lt;FQL&gt;&lt;Q&gt;SNOW^FE_ESTIMATE(PL_COS_2,MEAN,ANNUAL_ROLL,2018,45993,,,'')&lt;/Q&gt;&lt;R&gt;0&lt;/R&gt;&lt;C&gt;0&lt;/C&gt;&lt;/FQL&gt;&lt;FQL&gt;&lt;Q&gt;SNOW^FE_ESTIMATE(PL_COS_2,MEAN,QUARTERLY_ROLL,2018/4F,45993,,,'')&lt;/Q&gt;&lt;R&gt;0&lt;/R&gt;&lt;C&gt;0&lt;/C&gt;&lt;/FQL&gt;&lt;FQL&gt;&lt;Q&gt;SNOW^FE_ESTIMATE(PL_COS_2,MEAN,QUARTERLY_ROLL,2018/3F,45993,,,'')&lt;/Q&gt;&lt;R&gt;0&lt;/R&gt;&lt;C&gt;0&lt;/C&gt;&lt;/FQL&gt;&lt;FQL&gt;&lt;Q&gt;SNOW^FE_ESTIMATE(PL_COS_2,MEAN,QUARTERLY_ROLL,2018/2F,45993,,,'')&lt;/Q&gt;&lt;R&gt;0&lt;/R&gt;&lt;C&gt;0&lt;/C&gt;&lt;/FQL&gt;&lt;FQL&gt;&lt;Q&gt;SNOW^FE_ESTIMATE(PL_COS_2,MEAN,QUARTERLY_ROLL,2018/1F,45993,,,'')&lt;/Q&gt;&lt;R&gt;0&lt;/R&gt;&lt;C&gt;0&lt;/C&gt;&lt;/FQL&gt;&lt;FQL&gt;&lt;Q&gt;SNOW^FE_ESTIMATE(PL_COS_2,MEAN,ANNUAL_ROLL,2017,45993,,,'')&lt;/Q&gt;&lt;R&gt;0&lt;/R&gt;&lt;C&gt;0&lt;/C&gt;&lt;/FQL&gt;&lt;FQL&gt;&lt;Q&gt;SNOW^FE_ESTIMATE(PL_COS_2,MEAN,QUARTERLY_ROLL,2017/4F,45993,,,'')&lt;/Q&gt;&lt;R&gt;0&lt;/R&gt;&lt;C&gt;0&lt;/C&gt;&lt;/FQL&gt;&lt;FQL&gt;&lt;Q&gt;SNOW^FE_ESTIMATE(PL_COS_2,MEAN,QUARTERLY_ROLL,2017/3F,45993,,,'')&lt;/Q&gt;&lt;R&gt;0&lt;/R&gt;&lt;C&gt;0&lt;/C&gt;&lt;/FQL&gt;&lt;FQL&gt;&lt;Q&gt;SNOW^FE_ESTIMATE(PL_COS_2,MEAN,QUARTERLY_ROLL,2017/2F,45993,,,'')&lt;/Q&gt;&lt;R&gt;0&lt;/R&gt;&lt;C&gt;0&lt;/C&gt;&lt;/FQL&gt;&lt;FQL&gt;&lt;Q&gt;SNOW^FE_ESTIMATE(PL_COS_2,MEAN,QUARTERLY_ROLL,2017/1F,45993,,,'')&lt;/Q&gt;&lt;R&gt;0&lt;/R&gt;&lt;C&gt;0&lt;/C&gt;&lt;/FQL&gt;&lt;FQL&gt;&lt;Q&gt;SNOW^FE_ESTIMATE(PL_COS_2,MEAN,ANNUAL_ROLL,2016,45993,,,'')&lt;/Q&gt;&lt;R&gt;0&lt;/R&gt;&lt;C&gt;0&lt;/C&gt;&lt;/FQL&gt;&lt;FQL&gt;&lt;Q&gt;SNOW^FE_ESTIMATE(PL_COS_2,MEAN,QUARTERLY_ROLL,2016/4F,45993,,,'')&lt;/Q&gt;&lt;R&gt;0&lt;/R&gt;&lt;C&gt;0&lt;/C&gt;&lt;/FQL&gt;&lt;FQL&gt;&lt;Q&gt;SNOW^FE_ESTIMATE(PL_COS_2,MEAN,QUARTERLY_ROLL,2016/3F,45993,,,'')&lt;/Q&gt;&lt;R&gt;0&lt;/R&gt;&lt;C&gt;0&lt;/C&gt;&lt;/FQL&gt;&lt;FQL&gt;&lt;Q&gt;SNOW^FE_ESTIMATE(PL_COS_2,MEAN,QUARTERLY_ROLL,2016/2F,45993,,,'')&lt;/Q&gt;&lt;R&gt;0&lt;/R&gt;&lt;C&gt;0&lt;/C&gt;&lt;/FQL&gt;&lt;FQL&gt;&lt;Q&gt;SNOW^FE_ESTIMATE(PL_COS_2,MEAN,QUARTERLY_ROLL,2016/1F,45993,,,'')&lt;/Q&gt;&lt;R&gt;0&lt;/R&gt;&lt;C&gt;0&lt;/C&gt;&lt;/FQL&gt;&lt;FQL&gt;&lt;Q&gt;SNOW^FE_ESTIMATE(PL_COS_2,MEAN,ANNUAL_ROLL,2015,45993,,,'')&lt;/Q&gt;&lt;R&gt;0&lt;/R&gt;&lt;C&gt;0&lt;/C&gt;&lt;/FQL&gt;&lt;FQL&gt;&lt;Q&gt;SNOW^FE_ESTIMATE(PL_COS_2,MEAN,QUARTERLY_ROLL,2015/4F,45993,,,'')&lt;/Q&gt;&lt;R&gt;0&lt;/R&gt;&lt;C&gt;0&lt;/C&gt;&lt;/FQL&gt;&lt;FQL&gt;&lt;Q&gt;SNOW^FE_ESTIMATE(PL_COS_2,MEAN,QUARTERLY_ROLL,2015/3F,45993,,,'')&lt;/Q&gt;&lt;R&gt;0&lt;/R&gt;&lt;C&gt;0&lt;/C&gt;&lt;/FQL&gt;&lt;FQL&gt;&lt;Q&gt;SNOW^FE_ESTIMATE(PL_COS_2,MEAN,QUARTERLY_ROLL,2015/2F,45993,,,'')&lt;/Q&gt;&lt;R&gt;0&lt;/R&gt;&lt;C&gt;0&lt;/C&gt;&lt;/FQL&gt;&lt;FQL&gt;&lt;Q&gt;SNOW^FE_ESTIMATE(PL_COS_2,MEAN,QUARTERLY_ROLL,2015/1F,45993,,,'')&lt;/Q&gt;&lt;R&gt;0&lt;/R&gt;&lt;C&gt;0&lt;/C&gt;&lt;/FQL&gt;&lt;FQL&gt;&lt;Q&gt;SNOW^FE_ESTIMATE(PL_COS_1,MEAN,ANNUAL_ROLL,2027,45993,,,'')&lt;/Q&gt;&lt;R&gt;1&lt;/R&gt;&lt;C&gt;1&lt;/C&gt;&lt;D xsi:type="xsd:double"&gt;1625.5333&lt;/D&gt;&lt;/FQL&gt;&lt;FQL&gt;&lt;Q&gt;SNOW^FE_ESTIMATE(PL_COS_1,MEAN,QUARTERLY_ROLL,2027/4F,45993,,,'')&lt;/Q&gt;&lt;R&gt;1&lt;/R&gt;&lt;C&gt;1&lt;/C&gt;&lt;D xsi:type="xsd:double"&gt;430.93332&lt;/D&gt;&lt;/FQL&gt;&lt;FQL&gt;&lt;Q&gt;SNOW^FE_ESTIMATE(PL_COS_1,MEAN,QUARTERLY_ROLL,2027/3F,45993,,,'')&lt;/Q&gt;&lt;R&gt;1&lt;/R&gt;&lt;C&gt;1&lt;/C&gt;&lt;D xsi:type="xsd:double"&gt;418.1&lt;/D&gt;&lt;/FQL&gt;&lt;FQL&gt;&lt;Q&gt;SNOW^FE_ESTIMATE(PL_COS_1,MEAN,QUARTERLY_ROLL,2027/2F,45993,,,'')&lt;/Q&gt;&lt;R&gt;1&lt;/R&gt;&lt;C&gt;1&lt;/C&gt;&lt;D xsi:type="xsd:double"&gt;404.93332&lt;/D&gt;&lt;/FQL&gt;&lt;FQL&gt;&lt;Q&gt;SNOW^FE_ESTIMATE(PL_COS_1,MEAN,QUARTERLY_ROLL,2027/1F,45993,,,'')&lt;/Q&gt;&lt;R&gt;1&lt;/R&gt;&lt;C&gt;1&lt;/C&gt;&lt;D xsi:type="xsd:double"&gt;375&lt;/D&gt;&lt;/FQL&gt;&lt;FQL&gt;&lt;Q&gt;SNOW^FE_ESTIMATE(PL_COS_1,MEAN,ANNUAL_ROLL,2026,45993,,,'')&lt;/Q&gt;&lt;R&gt;1&lt;/R&gt;&lt;C&gt;1&lt;/C&gt;&lt;D xsi:type="xsd:double"&gt;1336.6338&lt;/D&gt;&lt;/FQL&gt;&lt;FQL&gt;&lt;Q&gt;SNOW^FE_ESTIMATE(PL_COS_1,MEAN,QUARTERLY_ROLL,2026/4F,45993,,,'')&lt;/Q&gt;&lt;R&gt;1&lt;/R&gt;&lt;C&gt;1&lt;/C&gt;&lt;D xsi:type="xsd:double"&gt;358.7233&lt;/D&gt;&lt;/FQL&gt;&lt;FQL&gt;&lt;Q&gt;SNOW^FE_ESTIMATE(PL_COS_1,MEAN,QUARTERLY_ROLL,2026/3F,45993,,,'')&lt;/Q&gt;&lt;R&gt;1&lt;/R&gt;&lt;C&gt;1&lt;/C&gt;&lt;D xsi:type="xsd:double"&gt;343.5388&lt;/D&gt;&lt;/FQL&gt;&lt;FQL&gt;&lt;Q&gt;SNOW^FE_ESTIMATE(PL_COS_1,MEAN,QUARTERLY_ROLL,2026/2F,45993,,,'')&lt;/Q&gt;&lt;R&gt;1&lt;/R&gt;&lt;C&gt;1&lt;/C&gt;&lt;D xsi:type="xsd:double"&gt;326.6005&lt;/D&gt;&lt;/FQL&gt;&lt;FQL&gt;&lt;Q&gt;SNOW^FE_ESTIMATE(PL_COS_1,MEAN,QUARTERLY_ROLL,2026/1F,45993,,,'')&lt;/Q&gt;&lt;R&gt;1&lt;/R&gt;&lt;C&gt;1&lt;/C&gt;&lt;D xsi:type="xsd:double"&gt;305.8449&lt;/D&gt;&lt;/FQL&gt;&lt;FQL&gt;&lt;Q&gt;SNOW^FE_ESTIMATE(PL_COS_1,MEAN,ANNUAL_ROLL,2025,45993,,,'')&lt;/Q&gt;&lt;R&gt;1&lt;/R&gt;&lt;C&gt;1&lt;/C&gt;&lt;D xsi:type="xsd:double"&gt;1080.7028&lt;/D&gt;&lt;/FQL&gt;&lt;FQL&gt;&lt;Q&gt;SNOW^FE_ESTIMATE(PL_COS_1,MEAN,QUARTERLY_ROLL,2025/4F,45993,,,'')&lt;/Q&gt;&lt;R&gt;1&lt;/R&gt;&lt;C&gt;1&lt;/C&gt;&lt;D xsi:type="xsd:double"&gt;298.47363&lt;/D&gt;&lt;/FQL&gt;&lt;FQL&gt;&lt;Q&gt;SNOW^FE_ESTIMATE(PL_COS_1,MEAN,QUARTERLY_ROLL,2025/3F,45993,,,'')&lt;/Q&gt;&lt;R&gt;1&lt;/R&gt;&lt;C&gt;1&lt;/C&gt;&lt;D xsi:type="xsd:double"&gt;282.71042&lt;/D&gt;&lt;/FQL&gt;&lt;FQL&gt;&lt;Q&gt;SNOW^FE_ESTIMATE(PL_COS_1,MEAN,QUARTERLY_ROLL,2025/2F,45993,,,'')&lt;/Q&gt;&lt;R&gt;1&lt;/R&gt;&lt;C&gt;1&lt;/C&gt;&lt;D xsi:type="xsd:double"&gt;256.8925&lt;/D&gt;&lt;/FQL&gt;&lt;FQL&gt;&lt;Q&gt;SNOW^FE_ESTIMATE(PL_COS_1,MEAN,QUARTERLY_ROLL,2025/1F,45993,,,'')&lt;/Q&gt;&lt;R&gt;1&lt;/R&gt;&lt;C&gt;1&lt;/C&gt;&lt;D xsi:type="xsd:double"&gt;242.69853&lt;/D&gt;&lt;/FQL&gt;&lt;FQL&gt;&lt;Q&gt;SNOW^FE_ESTIMATE(PL_COS_1,MEAN,ANNUAL_ROLL,2024,45993,,,'')&lt;/Q&gt;&lt;R&gt;1&lt;/R&gt;&lt;C&gt;1&lt;/C&gt;&lt;D xsi:type="xsd:double"&gt;819.0973&lt;/D&gt;&lt;/FQL&gt;&lt;FQL&gt;&lt;Q&gt;SNOW^FE_ESTIMATE(PL_COS_1,MEAN,QUARTERLY_ROLL,2024/4F,45993,,,'')&lt;/Q&gt;&lt;R&gt;1&lt;/R&gt;&lt;C&gt;1&lt;/C&gt;&lt;D xsi:type="xsd:double"&gt;227.99944&lt;/D&gt;&lt;/FQL&gt;&lt;FQL&gt;&lt;Q&gt;SNOW^FE_ESTIMATE(PL_COS_1,MEAN,QUARTERLY_ROLL,2024/3F,45993,,,'')&lt;/Q&gt;&lt;R&gt;1&lt;/R&gt;&lt;C&gt;1&lt;/C&gt;&lt;D xsi:type="xsd:double"&gt;213.37277&lt;/D&gt;&lt;/FQL&gt;&lt;FQL&gt;&lt;Q&gt;SNOW^FE_ESTIMATE(PL_COS_1,MEAN,QUARTERLY_ROLL,2024/2F,45993,,,'')&lt;/Q&gt;&lt;R&gt;1&lt;/R&gt;&lt;C&gt;1&lt;/C&gt;&lt;D xsi:type="xsd:double"&gt;195.49573&lt;/D&gt;&lt;/FQL&gt;&lt;FQL&gt;&lt;Q&gt;SNOW^FE_ESTIMATE(PL_COS_1,MEAN,QUARTERLY_ROLL,2024/1F,45993,,,'')&lt;/Q&gt;&lt;R&gt;1&lt;/R&gt;&lt;C&gt;1&lt;/C&gt;&lt;D xsi:type="xsd:double"&gt;182.29465&lt;/D&gt;&lt;/FQL&gt;&lt;FQL&gt;&lt;Q&gt;SNOW^FE_ESTIMATE(PL_COS_1,MEAN,ANNUAL_ROLL,2023,45993,,,'')&lt;/Q&gt;&lt;R&gt;1&lt;/R&gt;&lt;C&gt;1&lt;/C&gt;&lt;D xsi:type="xsd:double"&gt;590.7305&lt;/D&gt;&lt;/FQL&gt;&lt;FQL&gt;&lt;Q&gt;SNOW^FE_ESTIMATE(PL_COS_1,MEAN,QUARTERLY_ROLL,2023/4F,45993,,,'')&lt;/Q&gt;&lt;R&gt;1&lt;/R&gt;&lt;C&gt;1&lt;/C&gt;&lt;D xsi:type="xsd:double"&gt;162.0968&lt;/D&gt;&lt;/FQL&gt;&lt;FQL&gt;&lt;Q&gt;SNOW^FE_ESTIMATE(PL_COS_1,MEAN,QUARTERLY_ROLL,2023/3F,45993,,,'')&lt;/Q&gt;&lt;R&gt;1&lt;/R&gt;&lt;C&gt;1&lt;/C&gt;&lt;D xsi:type="xsd:double"&gt;151.39525&lt;/D&gt;&lt;/FQL&gt;&lt;FQL&gt;&lt;Q&gt;SNOW^FE_ESTIMATE(PL_COS_1,MEAN,QUARTERLY_ROLL,2023/2F,45993,,,'')&lt;/Q&gt;&lt;R&gt;1&lt;/R&gt;&lt;C&gt;1&lt;/C&gt;&lt;D xsi:type="xsd:double"&gt;141.38028&lt;/D&gt;&lt;/FQL&gt;&lt;FQL&gt;&lt;Q&gt;SNOW^FE_ESTIMATE(PL_COS_1,MEAN,QUARTERLY_ROLL,2023/1F,45993,,,'')&lt;/Q&gt;&lt;R&gt;1&lt;/R&gt;&lt;C&gt;1&lt;/C&gt;&lt;D xsi:type="xsd:double"&gt;135.89914&lt;/D&gt;&lt;/FQL&gt;&lt;FQL&gt;&lt;Q&gt;SNOW^FE_ESTIMATE(PL_COS_1,MEAN,ANNUAL_ROLL,2022,45993,,,'')&lt;/Q&gt;&lt;R&gt;1&lt;/R&gt;&lt;C&gt;1&lt;/C&gt;&lt;D xsi:type="xsd:double"&gt;481.26694&lt;/D&gt;&lt;/FQL&gt;&lt;FQL&gt;&lt;Q&gt;SNOW^FE_ESTIMATE(PL_COS_1,MEAN,QUARTERLY_ROLL,2022/4F,45993,,,'')&lt;/Q&gt;&lt;R&gt;1&lt;/R&gt;&lt;C&gt;1&lt;/C&gt;&lt;D xsi:type="xsd:double"&gt;138.90907&lt;/D&gt;&lt;/FQL&gt;&lt;FQL&gt;&lt;Q&gt;SNOW^FE_ESTIMATE(PL_COS_1,MEAN,QUARTERLY_ROLL,2022/3F,45993,,,'')&lt;/Q&gt;&lt;R&gt;1&lt;/R&gt;&lt;C&gt;1&lt;/C&gt;&lt;D xsi:type="xsd:double"&gt;128.8256&lt;/D&gt;&lt;/FQL&gt;&lt;FQL&gt;&lt;Q&gt;SNOW^FE_ESTIMATE(PL_COS_1,MEAN,QUARTERLY_ROLL,2022/2F,45993,,,'')&lt;/Q&gt;&lt;R&gt;1&lt;/R&gt;&lt;C&gt;1&lt;/C&gt;&lt;D xsi:type="xsd:double"&gt;115.91433&lt;/D&gt;&lt;/FQL&gt;&lt;FQL&gt;&lt;Q&gt;SNOW^FE_ESTIMATE(PL_COS_1,MEAN,QUARTERLY_ROLL,2022/1F,45993,,,'')&lt;/Q&gt;&lt;R&gt;1&lt;/R&gt;&lt;C&gt;1&lt;/C&gt;&lt;D xsi:type="xsd:double"&gt;98.86742&lt;/D&gt;&lt;/FQL&gt;&lt;FQL&gt;&lt;Q&gt;SNOW^FE_ESTIMATE(PL_COS_1,MEAN,ANNUAL_ROLL,2021,45993,,,'')&lt;/Q&gt;&lt;R&gt;1&lt;/R&gt;&lt;C&gt;1&lt;/C&gt;&lt;D xsi:type="xsd:double"&gt;295.83072&lt;/D&gt;&lt;/FQL&gt;&lt;FQL&gt;&lt;Q&gt;SNOW^FE_ESTIMATE(PL_COS_1,MEAN,QUARTERLY_ROLL,2021/4F,45993,,,'')&lt;/Q&gt;&lt;R&gt;1&lt;/R&gt;&lt;C&gt;1&lt;/C&gt;&lt;D xsi:type="xsd:double"&gt;89.92882&lt;/D&gt;&lt;/FQL&gt;&lt;FQL&gt;&lt;Q&gt;SNOW^FE_ESTIMATE(PL_COS_1,MEAN,QUARTERLY_ROLL,2021/3F,45993,,,'')&lt;/Q&gt;&lt;R&gt;1&lt;/R&gt;&lt;C&gt;1&lt;/C&gt;&lt;D xsi:type="xsd:double"&gt;79.268&lt;/D&gt;&lt;/FQL&gt;&lt;FQL&gt;&lt;Q&gt;SNOW^FE_ESTIMATE(PL_COS_1,MEAN,QUARTERLY_ROLL,2021/2F,45993,,,'')&lt;/Q&gt;&lt;R&gt;1&lt;/R&gt;&lt;C&gt;1&lt;/C&gt;&lt;D xsi:type="xsd:double"&gt;67.29372&lt;/D&gt;&lt;/FQL&gt;&lt;FQL&gt;&lt;Q&gt;SNOW^FE_ESTIMATE(PL_COS_1,MEAN,QUARTERLY_ROLL,2021/1F,45993,,,'')&lt;/Q&gt;&lt;R&gt;1&lt;/R&gt;&lt;C&gt;1&lt;/C&gt;&lt;D xsi:type="xsd:double"&gt;59.309&lt;/D&gt;&lt;/FQL&gt;&lt;FQL&gt;&lt;Q&gt;SNOW^FE_ESTIMATE(PL_COS_1,MEAN,ANNUAL_ROLL,2020,45993,,,'')&lt;/Q&gt;&lt;R&gt;1&lt;/R&gt;&lt;C&gt;1&lt;/C&gt;&lt;D xsi:type="xsd:double"&gt;173.40333999999999&lt;/D&gt;&lt;/FQL&gt;&lt;FQL&gt;&lt;Q&gt;SNOW^FE_ESTIMATE(PL_COS_1,MEAN,QUARTERLY_ROLL,2020/4F,45993,,,'')&lt;/Q&gt;&lt;R&gt;1&lt;/R&gt;&lt;C&gt;1&lt;/C&gt;&lt;D xsi:type="xsd:double"&gt;54.207333&lt;/D&gt;&lt;/FQL&gt;&lt;FQL&gt;&lt;Q&gt;SNOW^FE_ESTIMATE(PL_COS_1,MEAN,QUARTERLY_ROLL,2020/3F,45993,,,'')&lt;/Q&gt;&lt;R&gt;1&lt;/R&gt;&lt;C&gt;1&lt;/C&gt;&lt;D xsi:type="xsd:double"&gt;43.904366&lt;/D&gt;&lt;/FQL&gt;&lt;FQL&gt;&lt;Q&gt;SNOW^FE_ESTIMATE(PL_COS_1,MEAN,QUARTERLY_ROLL,2020/2F,45993,,,'')&lt;/Q&gt;&lt;R&gt;1&lt;/R&gt;&lt;C&gt;1&lt;/C&gt;&lt;D xsi:type="xsd:double"&gt;41.80489&lt;/D&gt;&lt;/FQL&gt;&lt;FQL&gt;&lt;Q&gt;SNOW^FE_ESTIMATE(PL_COS_1,MEAN,QUARTERLY_ROLL,2020/1F,45993,,,'')&lt;/Q&gt;&lt;R&gt;0&lt;/R&gt;&lt;C&gt;0&lt;/C&gt;&lt;/FQL&gt;&lt;FQL&gt;&lt;Q&gt;SNOW^FE_ESTIMATE(PL_COS_1,MEAN,ANNUAL_ROLL,2019,45993,,,'')&lt;/Q&gt;&lt;R&gt;0&lt;/R&gt;&lt;C&gt;0&lt;/C&gt;&lt;/FQL&gt;&lt;FQL&gt;&lt;Q&gt;SNOW^FE_ESTIMATE(PL_COS_1,MEAN,QUARTERLY_ROLL,2019/4F,45993,,,'')&lt;/Q&gt;&lt;R&gt;0&lt;/R&gt;&lt;C&gt;0&lt;/C&gt;&lt;/FQL&gt;&lt;FQL&gt;&lt;Q&gt;SNOW^FE_ESTIMATE(PL_COS_1,MEAN,QUARTERLY_ROLL,2019/3F,45993,,,'')&lt;/Q&gt;&lt;R&gt;0&lt;/R&gt;&lt;C&gt;0&lt;/C&gt;&lt;/FQL&gt;&lt;FQL&gt;&lt;Q&gt;SNOW^FE_ESTIMATE(PL_COS_1,MEAN,QUARTERLY_ROLL,2019/2F,45993,,,'')&lt;/Q&gt;&lt;R&gt;0&lt;/R&gt;&lt;C&gt;0&lt;/C&gt;&lt;/FQL&gt;&lt;FQL&gt;&lt;Q&gt;SNOW^FE_ESTIMATE(PL_COS_1,MEAN,QUARTERLY_ROLL,2019/1F,45993,,,'')&lt;/Q&gt;&lt;R&gt;0&lt;/R&gt;&lt;C&gt;0&lt;/C&gt;&lt;/FQL&gt;&lt;FQL&gt;&lt;Q&gt;SNOW^FE_ESTIMATE(PL_COS_1,MEAN,ANNUAL_ROLL,2018,45993,,,'')&lt;/Q&gt;&lt;R&gt;0&lt;/R&gt;&lt;C&gt;0&lt;/C&gt;&lt;/FQL&gt;&lt;FQL&gt;&lt;Q&gt;SNOW^FE_ESTIMATE(PL_COS_1,MEAN,QUARTERLY_ROLL,2018/4F,45993,,,'')&lt;/Q&gt;&lt;R&gt;0&lt;/R&gt;&lt;C&gt;0&lt;/C&gt;&lt;/FQL&gt;&lt;FQL&gt;&lt;Q&gt;SNOW^FE_ESTIMATE(PL_COS_1,MEAN,QUARTERLY_ROLL,2018/3F,45993,,,'')&lt;/Q&gt;&lt;R&gt;0&lt;/R&gt;&lt;C&gt;0&lt;/C&gt;&lt;/FQL&gt;&lt;FQL&gt;&lt;Q&gt;SNOW^FE_ESTIMATE(PL_COS_1,MEAN,QUARTERLY_ROLL,2018/2F,45993,,,'')&lt;/Q&gt;&lt;R&gt;0&lt;/R&gt;&lt;C&gt;0&lt;/C&gt;&lt;/FQL&gt;&lt;FQL&gt;&lt;Q&gt;SNOW^FE_ESTIMATE(PL_COS_1,MEAN,QUARTERLY_ROLL,2018/1F,45993,,,'')&lt;/Q&gt;&lt;R&gt;0&lt;/R&gt;&lt;C&gt;0&lt;/C&gt;&lt;/FQL&gt;&lt;FQL&gt;&lt;Q&gt;SNOW^FE_ESTIMATE(PL_COS_1,MEAN,ANNUAL_ROLL,2017,45993,,,'')&lt;/Q&gt;&lt;R&gt;0&lt;/R&gt;&lt;C&gt;0&lt;/C&gt;&lt;/FQL&gt;&lt;FQL&gt;&lt;Q&gt;SNOW^FE_ESTIMATE(PL_COS_1,MEAN,QUARTERLY_ROLL,2017/4F,45993,,,'')&lt;/Q&gt;&lt;R&gt;0&lt;/R&gt;&lt;C&gt;0&lt;/C&gt;&lt;/FQL&gt;&lt;FQL&gt;&lt;Q&gt;SNOW^FE_ESTIMATE(PL_COS_1,MEAN,QUARTERLY_ROLL,2017/3F,45993,,,'')&lt;/Q&gt;&lt;R&gt;0&lt;/R&gt;&lt;C&gt;0&lt;/C&gt;&lt;/FQL&gt;&lt;FQL&gt;&lt;Q&gt;SNOW^FE_ESTIMATE(PL_COS_1,MEAN,QUARTERLY_ROLL,2017/2F,45993,,,'')&lt;/Q&gt;&lt;R&gt;0&lt;/R&gt;&lt;C&gt;0&lt;/C&gt;&lt;/FQL&gt;&lt;FQL&gt;&lt;Q&gt;SNOW^FE_ESTIMATE(PL_COS_1,MEAN,QUARTERLY_ROLL,2017/1F,45993,,,'')&lt;/Q&gt;&lt;R&gt;0&lt;/R&gt;&lt;C&gt;0&lt;/C&gt;&lt;/FQL&gt;&lt;FQL&gt;&lt;Q&gt;SNOW^FE_ESTIMATE(PL_COS_1,MEAN,ANNUAL_ROLL,2016,45993,,,'')&lt;/Q&gt;&lt;R&gt;0&lt;/R&gt;&lt;C&gt;0&lt;/C&gt;&lt;/FQL&gt;&lt;FQL&gt;&lt;Q&gt;SNOW^FE_ESTIMATE(PL_COS_1,MEAN,QUARTERLY_ROLL,2016/4F,45993,,,'')&lt;/Q&gt;&lt;R&gt;0&lt;/R&gt;&lt;C&gt;0&lt;/C&gt;&lt;/FQL&gt;&lt;FQL&gt;&lt;Q&gt;SNOW^FE_ESTIMATE(PL_COS_1,MEAN,QUARTERLY_ROLL,2016/3F,45993,,,'')&lt;/Q&gt;&lt;R&gt;0&lt;/R&gt;&lt;C&gt;0&lt;/C&gt;&lt;/FQL&gt;&lt;FQL&gt;&lt;Q&gt;SNOW^FE_ESTIMATE(PL_COS_1,MEAN,QUARTERLY_ROLL,2016/2F,45993,,,'')&lt;/Q&gt;&lt;R&gt;0&lt;/R&gt;&lt;C&gt;0&lt;/C&gt;&lt;/FQL&gt;&lt;FQL&gt;&lt;Q&gt;SNOW^FE_ESTIMATE(PL_COS_1,MEAN,QUARTERLY_ROLL,2016/1F,45993,,,'')&lt;/Q&gt;&lt;R&gt;0&lt;/R&gt;&lt;C&gt;0&lt;/C&gt;&lt;/FQL&gt;&lt;FQL&gt;&lt;Q&gt;SNOW^FE_ESTIMATE(PL_COS_1,MEAN,ANNUAL_ROLL,2015,45993,,,'')&lt;/Q&gt;&lt;R&gt;0&lt;/R&gt;&lt;C&gt;0&lt;/C&gt;&lt;/FQL&gt;&lt;FQL&gt;&lt;Q&gt;SNOW^FE_ESTIMATE(PL_COS_1,MEAN,QUARTERLY_ROLL,2015/4F,45993,,,'')&lt;/Q&gt;&lt;R&gt;0&lt;/R&gt;&lt;C&gt;0&lt;/C&gt;&lt;/FQL&gt;&lt;FQL&gt;&lt;Q&gt;SNOW^FE_ESTIMATE(PL_COS_1,MEAN,QUARTERLY_ROLL,2015/3F,45993,,,'')&lt;/Q&gt;&lt;R&gt;0&lt;/R&gt;&lt;C&gt;0&lt;/C&gt;&lt;/FQL&gt;&lt;FQL&gt;&lt;Q&gt;SNOW^FE_ESTIMATE(PL_COS_1,MEAN,QUARTERLY_ROLL,2015/2F,45993,,,'')&lt;/Q&gt;&lt;R&gt;0&lt;/R&gt;&lt;C&gt;0&lt;/C&gt;&lt;/FQL&gt;&lt;FQL&gt;&lt;Q&gt;SNOW^FE_ESTIMATE(PL_COS_1,MEAN,QUARTERLY_ROLL,2015/1F,45993,,,'')&lt;/Q&gt;&lt;R&gt;0&lt;/R&gt;&lt;C&gt;0&lt;/C&gt;&lt;/FQL&gt;&lt;FQL&gt;&lt;Q&gt;SNOW^FE_ESTIMATE(SALES,MEAN,ANNUAL_ROLL,2027,45993,,,'')&lt;/Q&gt;&lt;R&gt;1&lt;/R&gt;&lt;C&gt;1&lt;/C&gt;&lt;D xsi:type="xsd:double"&gt;7083.809&lt;/D&gt;&lt;/FQL&gt;&lt;FQL&gt;&lt;Q&gt;SNOW^FE_ESTIMATE(SALES,MEAN,QUARTERLY_ROLL,2027/4F,45993,,,'')&lt;/Q&gt;&lt;R&gt;1&lt;/R&gt;&lt;C&gt;1&lt;/C&gt;&lt;D xsi:type="xsd:double"&gt;1869.3643&lt;/D&gt;&lt;/FQL&gt;&lt;FQL&gt;&lt;Q&gt;SNOW^FE_ESTIMATE(SALES,MEAN,QUARTERLY_ROLL,2027/3F,45993,,,'')&lt;/Q&gt;&lt;R&gt;1&lt;/R&gt;&lt;C&gt;1&lt;/C&gt;&lt;D xsi:type="xsd:double"&gt;1792.3673&lt;/D&gt;&lt;/FQL&gt;&lt;FQL&gt;&lt;Q&gt;SNOW^FE_ESTIMATE(SALES,MEAN,QUARTERLY_ROLL,2027/2F,45993,,,'')&lt;/Q&gt;&lt;R&gt;1&lt;/R&gt;&lt;C&gt;1&lt;/C&gt;&lt;D xsi:type="xsd:double"&gt;1701.7819&lt;/D&gt;&lt;/FQL&gt;&lt;FQL&gt;&lt;Q&gt;SNOW^FE_ESTIMATE(SALES,MEAN,QUARTERLY_ROLL,2027/1F,45993,,,'')&lt;/Q&gt;&lt;R&gt;1&lt;/R&gt;&lt;C&gt;1&lt;/C&gt;&lt;D xsi:type="xsd:double"&gt;1603.421&lt;/D&gt;&lt;/FQL&gt;&lt;FQL&gt;&lt;Q&gt;SNOW^FE_ESTIMATE(SALES,MEAN,ANNUAL_ROLL,2026,45993,,,'')&lt;/Q&gt;&lt;R&gt;1&lt;/R&gt;&lt;C&gt;1&lt;/C&gt;&lt;D xsi:type="xsd:double"&gt;5713.545&lt;/D&gt;&lt;/FQL&gt;&lt;FQL&gt;&lt;Q&gt;SNOW^FE_ESTIMATE(SALES,MEAN,QUARTERLY_ROLL,2026/4F,45993,,,'')&lt;/Q&gt;&lt;R&gt;1&lt;/R&gt;&lt;C&gt;1&lt;/C&gt;&lt;D xsi:type="xsd:double"&gt;1527.9257&lt;/D&gt;&lt;/FQL&gt;&lt;FQL&gt;&lt;Q&gt;SNOW^FE_ESTIMATE(SALES,MEAN,QUARTERLY_ROLL,2026/3F,45993,,,'')&lt;/Q&gt;&lt;R&gt;1&lt;/R&gt;&lt;C&gt;1&lt;/C&gt;&lt;D xsi:type="xsd:double"&gt;1461.1508&lt;/D&gt;&lt;/FQL&gt;&lt;FQL&gt;&lt;Q&gt;SNOW^FE_ESTIMATE(SALES,MEAN,QUARTERLY_ROLL,2026/2F,45993,,,'')&lt;/Q&gt;&lt;R&gt;1&lt;/R&gt;&lt;C&gt;1&lt;/C&gt;&lt;D xsi:type="xsd:double"&gt;1394.6085&lt;/D&gt;&lt;/FQL&gt;&lt;FQL&gt;&lt;Q&gt;SNOW^FE_ESTIMATE(SALES,MEAN,QUARTERLY_ROLL,2026/1F,45993,,,'')&lt;/Q&gt;&lt;R&gt;1&lt;/R&gt;&lt;C&gt;1&lt;/C&gt;&lt;D xsi:type="xsd:double"&gt;1297.1514&lt;/D&gt;&lt;/FQL&gt;&lt;FQL&gt;&lt;Q&gt;SNOW^FE_ESTIMATE(SALES,MEAN,ANNUAL_ROLL,2025,45993,,,'')&lt;/Q&gt;&lt;R&gt;1&lt;/R&gt;&lt;C&gt;1&lt;/C&gt;&lt;D xsi:type="xsd:double"&gt;4611.243&lt;/D&gt;&lt;/FQL&gt;&lt;FQL&gt;&lt;Q&gt;SNOW^FE_ESTIMATE(SALES,MEAN,QUARTERLY_ROLL,2025/4F,45993,,,'')&lt;/Q&gt;&lt;R&gt;1&lt;/R&gt;&lt;C&gt;1&lt;/C&gt;&lt;D xsi:type="xsd:double"&gt;1237.2317&lt;/D&gt;&lt;/FQL&gt;&lt;FQL&gt;&lt;Q&gt;SNOW^FE_ESTIMATE(SALES,MEAN,QUARTERLY_ROLL,2025/3F,45993,,,'')&lt;/Q&gt;&lt;R&gt;1&lt;/R&gt;&lt;C&gt;1&lt;/C&gt;&lt;D xsi:type="xsd:double"&gt;1184.3406&lt;/D&gt;&lt;/FQL&gt;&lt;FQL&gt;&lt;Q&gt;SNOW^FE_ESTIMATE(SALES,MEAN,QUARTERLY_ROLL,2025/2F,45993,,,'')&lt;/Q&gt;&lt;R&gt;1&lt;/R&gt;&lt;C&gt;1&lt;/C&gt;&lt;D xsi:type="xsd:double"&gt;1144.969&lt;/D&gt;&lt;/FQL&gt;&lt;FQL&gt;&lt;Q&gt;SNOW^FE_ESTIMATE(SALES,MEAN,QUARTERLY_ROLL,2025/1F,45993,,,'')&lt;/Q&gt;&lt;R&gt;1&lt;/R&gt;&lt;C&gt;1&lt;/C&gt;&lt;D xsi:type="xsd:double"&gt;1042.074&lt;/D&gt;&lt;/FQL&gt;&lt;FQL&gt;&lt;Q&gt;SNOW^FE_ESTIMATE(SALES,MEAN,ANNUAL_ROLL,2024,45993,,,'')&lt;/Q&gt;&lt;R&gt;1&lt;/R&gt;&lt;C&gt;1&lt;/C&gt;&lt;D xsi:type="xsd:double"&gt;3626.396&lt;/D&gt;&lt;/FQL&gt;&lt;FQL&gt;&lt;Q&gt;SNOW^FE_ESTIMATE(SALES,MEAN,QUARTERLY_ROLL,2024/4F,45993,,,'')&lt;/Q&gt;&lt;R&gt;1&lt;/R&gt;&lt;C&gt;1&lt;/C&gt;&lt;D xsi:type="xsd:double"&gt;986.77&lt;/D&gt;&lt;/FQL&gt;&lt;FQL&gt;&lt;Q&gt;SNOW^FE_ESTIMATE(SALES,MEAN,QUARTERLY_ROLL,2024/3F,45993,,,'')&lt;/Q&gt;&lt;R&gt;1&lt;/R&gt;&lt;C&gt;1&lt;/C&gt;&lt;D xsi:type="xsd:double"&gt;942.094&lt;/D&gt;&lt;/FQL&gt;&lt;FQL&gt;&lt;Q&gt;SNOW^FE_ESTIMATE(SALES,MEAN,QUARTERLY_ROLL,2024/2F,45993,,,'')&lt;/Q&gt;&lt;R&gt;1&lt;/R&gt;&lt;C&gt;1&lt;/C&gt;&lt;D xsi:type="xsd:double"&gt;868.823&lt;/D&gt;&lt;/FQL&gt;&lt;FQL&gt;&lt;Q&gt;SNOW^FE_ESTIMATE(SALES,MEAN,QUARTERLY_ROLL,2024/1F,45993,,,'')&lt;/Q&gt;&lt;R&gt;1&lt;/R&gt;&lt;C&gt;1&lt;/C&gt;&lt;D xsi:type="xsd:double"&gt;828.709&lt;/D&gt;&lt;/FQL&gt;&lt;FQL&gt;&lt;Q&gt;SNOW^FE_ESTIMATE(SALES,MEAN,ANNUAL_ROLL,2023,45993,,,'')&lt;/Q&gt;&lt;R&gt;1&lt;/R&gt;&lt;C&gt;1&lt;/C&gt;&lt;D xsi:type="xsd:double"&gt;2806.489&lt;/D&gt;&lt;/FQL&gt;&lt;FQL&gt;&lt;Q&gt;SNOW^FE_ESTIMATE(SALES,MEAN,QUARTERLY_ROLL,2023/4F,45993,,,'')&lt;/Q&gt;&lt;R&gt;1&lt;/R&gt;&lt;C&gt;1&lt;/C&gt;&lt;D xsi:type="xsd:double"&gt;774.699&lt;/D&gt;&lt;/FQL&gt;&lt;FQL&gt;&lt;Q&gt;SNOW^FE_ESTIMATE(SALES,MEAN,QUARTERLY_ROLL,2023/3F,45993,,,'')&lt;/Q&gt;&lt;R&gt;1&lt;/R&gt;&lt;C&gt;1&lt;/C&gt;&lt;D xsi:type="xsd:double"&gt;734.173&lt;/D&gt;&lt;/FQL&gt;&lt;FQL&gt;&lt;Q&gt;SNOW^FE_ESTIMATE(SALES,MEAN,QUARTERLY_ROLL,2023/2F,45993,,,'')&lt;/Q&gt;&lt;R&gt;1&lt;/R&gt;&lt;C&gt;1&lt;/C&gt;&lt;D xsi:type="xsd:double"&gt;674.018&lt;/D&gt;&lt;/FQL&gt;&lt;FQL&gt;&lt;Q&gt;SNOW^FE_ESTIMATE(SALES,MEAN,QUARTERLY_ROLL,2023/1F,45993,,,'')&lt;/Q&gt;&lt;R&gt;1&lt;/R&gt;&lt;C&gt;1&lt;/C&gt;&lt;D xsi:type="xsd:double"&gt;623.599&lt;/D&gt;&lt;/FQL&gt;&lt;FQL&gt;&lt;Q&gt;SNOW^FE_ESTIMATE(SALES,MEAN,ANNUAL_ROLL,2022,45993,,,'')&lt;/Q&gt;&lt;R&gt;1&lt;/R&gt;&lt;C&gt;1&lt;/C&gt;&lt;D xsi:type="xsd:double"&gt;2065.659&lt;/D&gt;&lt;/FQL&gt;&lt;FQL&gt;&lt;Q&gt;SNOW^FE_ESTIMATE(SALES,MEAN,QUARTERLY_ROLL,2022/4F,45993,,,'')&lt;/Q&gt;&lt;R&gt;1&lt;/R&gt;&lt;C&gt;1&lt;/C&gt;&lt;D xsi:type="xsd:double"&gt;589.012&lt;/D&gt;&lt;/FQL&gt;&lt;FQL&gt;&lt;Q&gt;SNOW^FE_ESTIMATE(SALES,MEAN,QUARTERLY_ROLL,2022/3F,45993,,,'')&lt;/Q&gt;&lt;R&gt;1&lt;/R&gt;&lt;C&gt;1&lt;/C&gt;&lt;D xsi:type="xsd:double"&gt;557.028&lt;/D&gt;&lt;/FQL&gt;&lt;FQL&gt;&lt;Q&gt;SNOW^FE_ESTIMATE(SALES,MEAN,QUARTERLY_ROLL,2022/2F,45993,,,'')&lt;/Q&gt;&lt;R&gt;1&lt;/R&gt;&lt;C&gt;1&lt;/C&gt;&lt;D xsi:type="xsd:double"&gt;497.248&lt;/D&gt;&lt;/FQL&gt;&lt;FQL&gt;&lt;Q&gt;SNOW^FE_ESTIMATE(SALES,MEAN,QUARTERLY_ROLL,2022/1F,45993,,,'')&lt;/Q&gt;&lt;R&gt;1&lt;/R&gt;&lt;C&gt;1&lt;/C&gt;&lt;D xsi:type="xsd:double"&gt;422.371&lt;/D&gt;&lt;/FQL&gt;&lt;FQL&gt;&lt;Q&gt;SNOW^FE_ESTIMATE(SALES,MEAN,ANNUAL_ROLL,2021,45993,,,'')&lt;/Q&gt;&lt;R&gt;1&lt;/R&gt;&lt;C&gt;1&lt;/C&gt;&lt;D xsi:type="xsd:double"&gt;1219.327&lt;/D&gt;&lt;/FQL&gt;&lt;FQL&gt;&lt;Q&gt;SNOW^FE_ESTIMATE(SALES,MEAN,QUARTERLY_ROLL,2021/4F,45993,,,'')&lt;/Q&gt;&lt;R&gt;1&lt;/R&gt;&lt;C&gt;1&lt;/C&gt;&lt;D xsi:type="xsd:double"&gt;383.774&lt;/D&gt;&lt;/FQL&gt;&lt;FQL&gt;&lt;Q&gt;SNOW^FE_ESTIMATE(SALES,MEAN,QUARTERLY_ROLL,2021/3F,45993,,,'')&lt;/Q&gt;&lt;R&gt;1&lt;/R&gt;&lt;C&gt;1&lt;/C&gt;&lt;D xsi:type="xsd:double"&gt;334.441&lt;/D&gt;&lt;/FQL&gt;&lt;FQL&gt;&lt;Q&gt;SNOW^FE_ESTIMATE(SALES,MEAN,QUARTERLY_ROLL,2021/2F,45993,,,'')&lt;/Q&gt;&lt;R&gt;1&lt;/R&gt;&lt;C&gt;1&lt;/C&gt;&lt;D xsi:type="xsd:double"&gt;272.198&lt;/D&gt;&lt;/FQL&gt;&lt;FQL&gt;&lt;Q&gt;SNOW^FE_ESTIMATE(SALES,MEAN,QUARTERLY_ROLL,2021/1F,45993,,,'')&lt;/Q&gt;&lt;R&gt;1&lt;/R&gt;&lt;C&gt;1&lt;/C&gt;&lt;D xsi:type="xsd:double"&gt;228.914&lt;/D&gt;&lt;/FQL&gt;&lt;FQL&gt;&lt;Q&gt;SNOW^FE_ESTIMATE(SALES,MEAN,ANNUAL_ROLL,2020,45993,,,'')&lt;/Q&gt;&lt;R&gt;1&lt;/R&gt;&lt;C&gt;1&lt;/C&gt;&lt;D xsi:type="xsd:double"&gt;592.049&lt;/D&gt;&lt;/FQL&gt;&lt;FQL&gt;&lt;Q&gt;SNOW^FE_ESTIMATE(SALES,MEAN,QUARTERLY_ROLL,2020/4F,45993,,,'')&lt;/Q&gt;&lt;R&gt;1&lt;/R&gt;&lt;C&gt;1&lt;/C&gt;&lt;D xsi:type="xsd:double"&gt;190.465&lt;/D&gt;&lt;/FQL&gt;&lt;FQL&gt;&lt;Q&gt;SNOW^FE_ESTIMATE(SALES,MEAN,QUARTERLY_ROLL,2020/3F,45993,,,'')&lt;/Q&gt;&lt;R&gt;1&lt;/R&gt;&lt;C&gt;1&lt;/C&gt;&lt;D xsi:type="xsd:double"&gt;159.624&lt;/D&gt;&lt;/FQL&gt;&lt;FQL&gt;&lt;Q&gt;SNOW^FE_ESTIMATE(SALES,MEAN,QUARTERLY_ROLL,2020/2F,45993,,,'')&lt;/Q&gt;&lt;R&gt;1&lt;/R&gt;&lt;C&gt;1&lt;/C&gt;&lt;D xsi:type="xsd:double"&gt;133.11343&lt;/D&gt;&lt;/FQL&gt;&lt;FQL&gt;&lt;Q&gt;SNOW^FE_ESTIMATE(SALES,MEAN,QUARTERLY_ROLL,2020/1F,45993,,,'')&lt;/Q&gt;&lt;R&gt;1&lt;/R&gt;&lt;C&gt;1&lt;/C&gt;&lt;D xsi:type="xsd:double"&gt;108.80375&lt;/D&gt;&lt;/FQL&gt;&lt;FQL&gt;&lt;Q&gt;SNOW^FE_ESTIMATE(SALES,MEAN,ANNUAL_ROLL,2019,45993,,,'')&lt;/Q&gt;&lt;R&gt;0&lt;/R&gt;&lt;C&gt;0&lt;/C&gt;&lt;/FQL&gt;&lt;FQL&gt;&lt;Q&gt;SNOW^FE_ESTIMATE(SALES,MEAN,QUARTERLY_ROLL,2019/4F,45993,,,'')&lt;/Q&gt;&lt;R&gt;0&lt;/R&gt;&lt;C&gt;0&lt;/C&gt;&lt;/FQL&gt;&lt;FQL&gt;&lt;Q&gt;SNOW^FE_ESTIMATE(SALES,MEAN,QUARTERLY_ROLL,2019/3F,45993,,,'')&lt;/Q&gt;&lt;R&gt;0&lt;/R&gt;&lt;C&gt;0&lt;/C&gt;&lt;/FQL&gt;&lt;FQL&gt;&lt;Q&gt;SNOW^FE_ESTIMATE(SALES,MEAN,QUARTERLY_ROLL,2019/2F,45993,,,'')&lt;/Q&gt;&lt;R&gt;0&lt;/R&gt;&lt;C&gt;0&lt;/C&gt;&lt;/FQL&gt;&lt;FQL&gt;&lt;Q&gt;SNOW^FE_ESTIMATE(SALES,MEAN,QUARTERLY_ROLL,2019/1F,45993,,,'')&lt;/Q&gt;&lt;R&gt;0&lt;/R&gt;&lt;C&gt;0&lt;/C&gt;&lt;/FQL&gt;&lt;FQL&gt;&lt;Q&gt;SNOW^FE_ESTIMATE(SALES,MEAN,ANNUAL_ROLL,2018,45993,,,'')&lt;/Q&gt;&lt;R&gt;0&lt;/R&gt;&lt;C&gt;0&lt;/C&gt;&lt;/FQL&gt;&lt;FQL&gt;&lt;Q&gt;SNOW^FE_ESTIMATE(SALES,MEAN,QUARTERLY_ROLL,2018/4F,45993,,,'')&lt;/Q&gt;&lt;R&gt;0&lt;/R&gt;&lt;C&gt;0&lt;/C&gt;&lt;/FQL&gt;&lt;FQL&gt;&lt;Q&gt;SNOW^FE_ESTIMATE(SALES,MEAN,QUARTERLY_ROLL,2018/3F,45993,,,'')&lt;/Q&gt;&lt;R&gt;0&lt;/R&gt;&lt;C&gt;0&lt;/C&gt;&lt;/FQL&gt;&lt;FQL&gt;&lt;Q&gt;SNOW^FE_ESTIMATE(SALES,MEAN,QUARTERLY_ROLL,2018/2F,45993,,,'')&lt;/Q&gt;&lt;R&gt;0&lt;/R&gt;&lt;C&gt;0&lt;/C&gt;&lt;/FQL&gt;&lt;FQL&gt;&lt;Q&gt;SNOW^FE_ESTIMATE(SALES,MEAN,QUARTERLY_ROLL,2018/1F,45993,,,'')&lt;/Q&gt;&lt;R&gt;0&lt;/R&gt;&lt;C&gt;0&lt;/C&gt;&lt;/FQL&gt;&lt;FQL&gt;&lt;Q&gt;SNOW^FE_ESTIMATE(SALES,MEAN,ANNUAL_ROLL,2017,45993,,,'')&lt;/Q&gt;&lt;R&gt;0&lt;/R&gt;&lt;C&gt;0&lt;/C&gt;&lt;/FQL&gt;&lt;FQL&gt;&lt;Q&gt;SNOW^FE_ESTIMATE(SALES,MEAN,QUARTERLY_ROLL,2017/4F,45993,,,'')&lt;/Q&gt;&lt;R&gt;0&lt;/R&gt;&lt;C&gt;0&lt;/C&gt;&lt;/FQL&gt;&lt;FQL&gt;&lt;Q&gt;SNOW^FE_ESTIMATE(SALES,MEAN,QUARTERLY_ROLL,2017/3F,45993,,,'')&lt;/Q&gt;&lt;R&gt;0&lt;/R&gt;&lt;C&gt;0&lt;/C&gt;&lt;/FQL&gt;&lt;FQL&gt;&lt;Q&gt;SNOW^FE_ESTIMATE(SALES,MEAN,QUARTERLY_ROLL,2017/2F,45993,,,'')&lt;/Q&gt;&lt;R&gt;0&lt;/R&gt;&lt;C&gt;0&lt;/C&gt;&lt;/FQL&gt;&lt;FQL&gt;&lt;Q&gt;SNOW^FE_ESTIMATE(SALES,MEAN,QUARTERLY_ROLL,2017/1F,45993,,,'')&lt;/Q&gt;&lt;R&gt;0&lt;/R&gt;&lt;C&gt;0&lt;/C&gt;&lt;/FQL&gt;&lt;FQL&gt;&lt;Q&gt;SNOW^FE_ESTIMATE(SALES,MEAN,ANNUAL_ROLL,2016,45993,,,'')&lt;/Q&gt;&lt;R&gt;0&lt;/R&gt;&lt;C&gt;0&lt;/C&gt;&lt;/FQL&gt;&lt;FQL&gt;&lt;Q&gt;SNOW^FE_ESTIMATE(SALES,MEAN,QUARTERLY_ROLL,2016/4F,45993,,,'')&lt;/Q&gt;&lt;R&gt;0&lt;/R&gt;&lt;C&gt;0&lt;/C&gt;&lt;/FQL&gt;&lt;FQL&gt;&lt;Q&gt;SNOW^FE_ESTIMATE(SALES,MEAN,QUARTERLY_ROLL,2016/3F,45993,,,'')&lt;/Q&gt;&lt;R&gt;0&lt;/R&gt;&lt;C&gt;0&lt;/C&gt;&lt;/FQL&gt;&lt;FQL&gt;&lt;Q&gt;SNOW^FE_ESTIMATE(SALES,MEAN,QUARTERLY_ROLL,2016/2F,45993,,,'')&lt;/Q&gt;&lt;R&gt;0&lt;/R&gt;&lt;C&gt;0&lt;/C&gt;&lt;/FQL&gt;&lt;FQL&gt;&lt;Q&gt;SNOW^FE_ESTIMATE(SALES,MEAN,QUARTERLY_ROLL,2016/1F,45993,,,'')&lt;/Q&gt;&lt;R&gt;0&lt;/R&gt;&lt;C&gt;0&lt;/C&gt;&lt;/FQL&gt;&lt;FQL&gt;&lt;Q&gt;SNOW^FE_ESTIMATE(SALES,MEAN,ANNUAL_ROLL,2015,45993,,,'')&lt;/Q&gt;&lt;R&gt;0&lt;/R&gt;&lt;C&gt;0&lt;/C&gt;&lt;/FQL&gt;&lt;FQL&gt;&lt;Q&gt;SNOW^FE_ESTIMATE(SALES,MEAN,QUARTERLY_ROLL,2015/4F,45993,,,'')&lt;/Q&gt;&lt;R&gt;0&lt;/R&gt;&lt;C&gt;0&lt;/C&gt;&lt;/FQL&gt;&lt;FQL&gt;&lt;Q&gt;SNOW^FE_ESTIMATE(SALES,MEAN,QUARTERLY_ROLL,2015/3F,45993,,,'')&lt;/Q&gt;&lt;R&gt;0&lt;/R&gt;&lt;C&gt;0&lt;/C&gt;&lt;/FQL&gt;&lt;FQL&gt;&lt;Q&gt;SNOW^FE_ESTIMATE(SALES,MEAN,QUARTERLY_ROLL,2015/2F,45993,,,'')&lt;/Q&gt;&lt;R&gt;0&lt;/R&gt;&lt;C&gt;0&lt;/C&gt;&lt;/FQL&gt;&lt;FQL&gt;&lt;Q&gt;SNOW^FE_ESTIMATE(SALES,MEAN,QUARTERLY_ROLL,2015/1F,45993,,,'')&lt;/Q&gt;&lt;R&gt;0&lt;/R&gt;&lt;C&gt;0&lt;/C&gt;&lt;/FQL&gt;&lt;FQL&gt;&lt;Q&gt;SNOW^FE_ESTIMATE(PRODLINE_SALES_2,MEAN,ANNUAL_ROLL,2027,45993,,,'')&lt;/Q&gt;&lt;R&gt;1&lt;/R&gt;&lt;C&gt;1&lt;/C&gt;&lt;D xsi:type="xsd:double"&gt;250.87143&lt;/D&gt;&lt;/FQL&gt;&lt;FQL&gt;&lt;Q&gt;SNOW^FE_ESTIMATE(PRODLINE_SALES_2,MEAN,QUARTERLY_ROLL,2027/4F,45993,,,'')&lt;/Q&gt;&lt;R&gt;1&lt;/R&gt;&lt;C&gt;1&lt;/C&gt;&lt;D xsi:type="xsd:double"&gt;65.925&lt;/D&gt;&lt;/FQL&gt;&lt;FQL&gt;&lt;Q&gt;SNOW^FE_ESTIMATE(PRODLINE_SALES_2,MEAN,QUARTERLY_ROLL,2027/3F,45993,,,'')&lt;/Q&gt;&lt;R&gt;1&lt;/R&gt;&lt;C&gt;1&lt;/C&gt;&lt;D xsi:type="xsd:double"&gt;64.075&lt;/D&gt;&lt;/FQL&gt;&lt;FQL&gt;&lt;Q&gt;SNOW^FE_ESTIMATE(PRODLINE_SALES_2,MEAN,QUARTERLY_ROLL,2027/2F,45993,,,'')&lt;/Q&gt;&lt;R&gt;1&lt;/R&gt;&lt;C&gt;1&lt;/C&gt;&lt;D xsi:type="xsd:double"&gt;61.675&lt;/D&gt;&lt;/FQL&gt;&lt;FQL&gt;&lt;Q&gt;SNOW^FE_ESTIMATE(PRODLINE_SALES_2,MEAN,QUARTERLY_ROLL,2027/1F,45993,,,'')&lt;/Q&gt;&lt;R&gt;1&lt;/R&gt;&lt;C&gt;1&lt;/C&gt;&lt;D xsi:type="xsd:double"&gt;60.55&lt;/D&gt;&lt;/FQL&gt;&lt;FQL&gt;&lt;Q&gt;SNOW^FE_ESTIMATE(PRODLINE_SALES_2,MEAN,ANNUAL_ROLL,2026,45993,,,'')&lt;/Q&gt;&lt;R&gt;1&lt;/R&gt;&lt;C&gt;1&lt;/C&gt;&lt;D xsi:type="xsd:double"&gt;232.7028&lt;/D&gt;&lt;/FQL&gt;&lt;FQL&gt;&lt;Q&gt;SNOW^FE_ESTIMATE(PRODLINE_SALES_2,MEAN,QUARTERLY_ROLL,2026/4F,45993,,,'')&lt;/Q&gt;&lt;R&gt;1&lt;/R&gt;&lt;C&gt;1&lt;/C&gt;&lt;D xsi:type="xsd:double"&gt;59.992104&lt;/D&gt;&lt;/FQL&gt;&lt;FQL&gt;&lt;Q&gt;SNOW^FE_ESTIMATE(PRODLINE_SALES_2,MEAN,QUARTERLY_ROLL,2026/3F,45993,,,'')&lt;/Q&gt;&lt;R&gt;1&lt;/R&gt;&lt;C&gt;1&lt;/C&gt;&lt;D xsi:type="xsd:double"&gt;58.462578&lt;/D&gt;&lt;/FQL&gt;&lt;FQL&gt;&lt;Q&gt;SNOW^FE_ESTIMATE(PRODLINE_SALES_2,MEAN,QUARTERLY_ROLL,2026/2F,45993,,,'')&lt;/Q&gt;&lt;R&gt;1&lt;/R&gt;&lt;C&gt;1&lt;/C&gt;&lt;D xsi:type="xsd:double"&gt;59.527054&lt;/D&gt;&lt;/FQL&gt;&lt;FQL&gt;&lt;Q&gt;SNOW^FE_ESTIMATE(PRODLINE_SALES_2,MEAN,QUARTERLY_ROLL,2026/1F,45993,,,'')&lt;/Q&gt;&lt;R&gt;1&lt;/R&gt;&lt;C&gt;1&lt;/C&gt;&lt;D xsi:type="xsd:double"&gt;54.17725&lt;/D&gt;&lt;/FQL&gt;&lt;FQL&gt;&lt;Q&gt;SNOW^FE_ESTIMATE(PRODLINE_SALES_2,MEAN,ANNUAL_ROLL,2025,45993,,,'')&lt;/Q&gt;&lt;R&gt;1&lt;/R&gt;&lt;C&gt;1&lt;/C&gt;&lt;D xsi:type="xsd:double"&gt;204.04507&lt;/D&gt;&lt;/FQL&gt;&lt;FQL&gt;&lt;Q&gt;SNOW^FE_ESTIMATE(PRODLINE_SALES_2,MEAN,QUARTERLY_ROLL,2025/4F,45993,,,'')&lt;/Q&gt;&lt;R&gt;1&lt;/R&gt;&lt;C&gt;1&lt;/C&gt;&lt;D xsi:type="xsd:double"&gt;52.47984&lt;/D&gt;&lt;/FQL&gt;&lt;FQL&gt;&lt;Q&gt;SNOW^FE_ESTIMATE(PRODLINE_SALES_2,MEAN,QUARTERLY_ROLL,2025/3F,45993,,,'')&lt;/Q&gt;&lt;R&gt;1&lt;/R&gt;&lt;C&gt;1&lt;/C&gt;&lt;D xsi:type="xsd:</t>
        </r>
      </text>
    </comment>
    <comment ref="A4" authorId="0" shapeId="0" xr:uid="{FB1A94B6-C9E1-4851-AEA7-51162CBF616F}">
      <text>
        <r>
          <rPr>
            <b/>
            <sz val="9"/>
            <color indexed="81"/>
            <rFont val="Tahoma"/>
            <charset val="1"/>
          </rPr>
          <t>double"&gt;51.01304&lt;/D&gt;&lt;/FQL&gt;&lt;FQL&gt;&lt;Q&gt;SNOW^FE_ESTIMATE(PRODLINE_SALES_2,MEAN,QUARTERLY_ROLL,2025/2F,45993,,,'')&lt;/Q&gt;&lt;R&gt;1&lt;/R&gt;&lt;C&gt;1&lt;/C&gt;&lt;D xsi:type="xsd:double"&gt;54.473&lt;/D&gt;&lt;/FQL&gt;&lt;FQL&gt;&lt;Q&gt;SNOW^FE_ESTIMATE(PRODLINE_SALES_2,MEAN,QUARTERLY_ROLL,2025/1F,45993,,,'')&lt;/Q&gt;&lt;R&gt;1&lt;/R&gt;&lt;C&gt;1&lt;/C&gt;&lt;D xsi:type="xsd:double"&gt;45.261&lt;/D&gt;&lt;/FQL&gt;&lt;FQL&gt;&lt;Q&gt;SNOW^FE_ESTIMATE(PRODLINE_SALES_2,MEAN,ANNUAL_ROLL,2024,45993,,,'')&lt;/Q&gt;&lt;R&gt;1&lt;/R&gt;&lt;C&gt;1&lt;/C&gt;&lt;D xsi:type="xsd:double"&gt;163.974&lt;/D&gt;&lt;/FQL&gt;&lt;FQL&gt;&lt;Q&gt;SNOW^FE_ESTIMATE(PRODLINE_SALES_2,MEAN,QUARTERLY_ROLL,2024/4F,45993,,,'')&lt;/Q&gt;&lt;R&gt;1&lt;/R&gt;&lt;C&gt;1&lt;/C&gt;&lt;D xsi:type="xsd:double"&gt;43.467&lt;/D&gt;&lt;/FQL&gt;&lt;FQL&gt;&lt;Q&gt;SNOW^FE_ESTIMATE(PRODLINE_SALES_2,MEAN,QUARTERLY_ROLL,2024/3F,45993,,,'')&lt;/Q&gt;&lt;R&gt;1&lt;/R&gt;&lt;C&gt;1&lt;/C&gt;&lt;D xsi:type="xsd:double"&gt;41.812&lt;/D&gt;&lt;/FQL&gt;&lt;FQL&gt;&lt;Q&gt;SNOW^FE_ESTIMATE(PRODLINE_SALES_2,MEAN,QUARTERLY_ROLL,2024/2F,45993,,,'')&lt;/Q&gt;&lt;R&gt;1&lt;/R&gt;&lt;C&gt;1&lt;/C&gt;&lt;D xsi:type="xsd:double"&gt;39.573&lt;/D&gt;&lt;/FQL&gt;&lt;FQL&gt;&lt;Q&gt;SNOW^FE_ESTIMATE(PRODLINE_SALES_2,MEAN,QUARTERLY_ROLL,2024/1F,45993,,,'')&lt;/Q&gt;&lt;R&gt;1&lt;/R&gt;&lt;C&gt;1&lt;/C&gt;&lt;D xsi:type="xsd:double"&gt;39.122&lt;/D&gt;&lt;/FQL&gt;&lt;FQL&gt;&lt;Q&gt;SNOW^FE_ESTIMATE(PRODLINE_SALES_2,MEAN,ANNUAL_ROLL,2023,45993,,,'')&lt;/Q&gt;&lt;R&gt;1&lt;/R&gt;&lt;C&gt;1&lt;/C&gt;&lt;D xsi:type="xsd:double"&gt;139.64&lt;/D&gt;&lt;/FQL&gt;&lt;FQL&gt;&lt;Q&gt;SNOW^FE_ESTIMATE(PRODLINE_SALES_2,MEAN,QUARTERLY_ROLL,2023/4F,45993,,,'')&lt;/Q&gt;&lt;R&gt;1&lt;/R&gt;&lt;C&gt;1&lt;/C&gt;&lt;D xsi:type="xsd:double"&gt;36.609&lt;/D&gt;&lt;/FQL&gt;&lt;FQL&gt;&lt;Q&gt;SNOW^FE_ESTIMATE(PRODLINE_SALES_2,MEAN,QUARTERLY_ROLL,2023/3F,45993,,,'')&lt;/Q&gt;&lt;R&gt;1&lt;/R&gt;&lt;C&gt;1&lt;/C&gt;&lt;D xsi:type="xsd:double"&gt;35.695&lt;/D&gt;&lt;/FQL&gt;&lt;FQL&gt;&lt;Q&gt;SNOW^FE_ESTIMATE(PRODLINE_SALES_2,MEAN,QUARTERLY_ROLL,2023/2F,45993,,,'')&lt;/Q&gt;&lt;R&gt;1&lt;/R&gt;&lt;C&gt;1&lt;/C&gt;&lt;D xsi:type="xsd:double"&gt;33.809&lt;/D&gt;&lt;/FQL&gt;&lt;FQL&gt;&lt;Q&gt;SNOW^FE_ESTIMATE(PRODLINE_SALES_2,MEAN,QUARTERLY_ROLL,2023/1F,45993,,,'')&lt;/Q&gt;&lt;R&gt;1&lt;/R&gt;&lt;C&gt;1&lt;/C&gt;&lt;D xsi:type="xsd:double"&gt;33.527&lt;/D&gt;&lt;/FQL&gt;&lt;FQL&gt;&lt;Q&gt;SNOW^FE_ESTIMATE(PRODLINE_SALES_2,MEAN,ANNUAL_ROLL,2022,45993,,,'')&lt;/Q&gt;&lt;R&gt;1&lt;/R&gt;&lt;C&gt;1&lt;/C&gt;&lt;D xsi:type="xsd:double"&gt;126.876&lt;/D&gt;&lt;/FQL&gt;&lt;FQL&gt;&lt;Q&gt;SNOW^FE_ESTIMATE(PRODLINE_SALES_2,MEAN,QUARTERLY_ROLL,2022/4F,45993,,,'')&lt;/Q&gt;&lt;R&gt;1&lt;/R&gt;&lt;C&gt;1&lt;/C&gt;&lt;D xsi:type="xsd:double"&gt;33.683&lt;/D&gt;&lt;/FQL&gt;&lt;FQL&gt;&lt;Q&gt;SNOW^FE_ESTIMATE(PRODLINE_SALES_2,MEAN,QUARTERLY_ROLL,2022/3F,45993,,,'')&lt;/Q&gt;&lt;R&gt;1&lt;/R&gt;&lt;C&gt;1&lt;/C&gt;&lt;D xsi:type="xsd:double"&gt;34.276&lt;/D&gt;&lt;/FQL&gt;&lt;FQL&gt;&lt;Q&gt;SNOW^FE_ESTIMATE(PRODLINE_SALES_2,MEAN,QUARTERLY_ROLL,2022/2F,45993,,,'')&lt;/Q&gt;&lt;R&gt;1&lt;/R&gt;&lt;C&gt;1&lt;/C&gt;&lt;D xsi:type="xsd:double"&gt;30.98&lt;/D&gt;&lt;/FQL&gt;&lt;FQL&gt;&lt;Q&gt;SNOW^FE_ESTIMATE(PRODLINE_SALES_2,MEAN,QUARTERLY_ROLL,2022/1F,45993,,,'')&lt;/Q&gt;&lt;R&gt;1&lt;/R&gt;&lt;C&gt;1&lt;/C&gt;&lt;D xsi:type="xsd:double"&gt;27.937&lt;/D&gt;&lt;/FQL&gt;&lt;FQL&gt;&lt;Q&gt;SNOW^FE_ESTIMATE(PRODLINE_SALES_2,MEAN,ANNUAL_ROLL,2021,45993,,,'')&lt;/Q&gt;&lt;R&gt;1&lt;/R&gt;&lt;C&gt;1&lt;/C&gt;&lt;D xsi:type="xsd:double"&gt;78.858&lt;/D&gt;&lt;/FQL&gt;&lt;FQL&gt;&lt;Q&gt;SNOW^FE_ESTIMATE(PRODLINE_SALES_2,MEAN,QUARTERLY_ROLL,2021/4F,45993,,,'')&lt;/Q&gt;&lt;R&gt;1&lt;/R&gt;&lt;C&gt;1&lt;/C&gt;&lt;D xsi:type="xsd:double"&gt;24.216&lt;/D&gt;&lt;/FQL&gt;&lt;FQL&gt;&lt;Q&gt;SNOW^FE_ESTIMATE(PRODLINE_SALES_2,MEAN,QUARTERLY_ROLL,2021/3F,45993,,,'')&lt;/Q&gt;&lt;R&gt;1&lt;/R&gt;&lt;C&gt;1&lt;/C&gt;&lt;D xsi:type="xsd:double"&gt;21.983&lt;/D&gt;&lt;/FQL&gt;&lt;FQL&gt;&lt;Q&gt;SNOW^FE_ESTIMATE(PRODLINE_SALES_2,MEAN,QUARTERLY_ROLL,2021/2F,45993,,,'')&lt;/Q&gt;&lt;R&gt;1&lt;/R&gt;&lt;C&gt;1&lt;/C&gt;&lt;D xsi:type="xsd:double"&gt;17.575&lt;/D&gt;&lt;/FQL&gt;&lt;FQL&gt;&lt;Q&gt;SNOW^FE_ESTIMATE(PRODLINE_SALES_2,MEAN,QUARTERLY_ROLL,2021/1F,45993,,,'')&lt;/Q&gt;&lt;R&gt;1&lt;/R&gt;&lt;C&gt;1&lt;/C&gt;&lt;D xsi:type="xsd:double"&gt;15.084&lt;/D&gt;&lt;/FQL&gt;&lt;FQL&gt;&lt;Q&gt;SNOW^FE_ESTIMATE(PRODLINE_SALES_2,MEAN,ANNUAL_ROLL,2020,45993,,,'')&lt;/Q&gt;&lt;R&gt;1&lt;/R&gt;&lt;C&gt;1&lt;/C&gt;&lt;D xsi:type="xsd:double"&gt;38.255&lt;/D&gt;&lt;/FQL&gt;&lt;FQL&gt;&lt;Q&gt;SNOW^FE_ESTIMATE(PRODLINE_SALES_2,MEAN,QUARTERLY_ROLL,2020/4F,45993,,,'')&lt;/Q&gt;&lt;R&gt;1&lt;/R&gt;&lt;C&gt;1&lt;/C&gt;&lt;D xsi:type="xsd:double"&gt;12.177&lt;/D&gt;&lt;/FQL&gt;&lt;FQL&gt;&lt;Q&gt;SNOW^FE_ESTIMATE(PRODLINE_SALES_2,MEAN,QUARTERLY_ROLL,2020/3F,45993,,,'')&lt;/Q&gt;&lt;R&gt;1&lt;/R&gt;&lt;C&gt;1&lt;/C&gt;&lt;D xsi:type="xsd:double"&gt;11.182357&lt;/D&gt;&lt;/FQL&gt;&lt;FQL&gt;&lt;Q&gt;SNOW^FE_ESTIMATE(PRODLINE_SALES_2,MEAN,QUARTERLY_ROLL,2020/2F,45993,,,'')&lt;/Q&gt;&lt;R&gt;1&lt;/R&gt;&lt;C&gt;1&lt;/C&gt;&lt;D xsi:type="xsd:double"&gt;7.907909&lt;/D&gt;&lt;/FQL&gt;&lt;FQL&gt;&lt;Q&gt;SNOW^FE_ESTIMATE(PRODLINE_SALES_2,MEAN,QUARTERLY_ROLL,2020/1F,45993,,,'')&lt;/Q&gt;&lt;R&gt;0&lt;/R&gt;&lt;C&gt;0&lt;/C&gt;&lt;/FQL&gt;&lt;FQL&gt;&lt;Q&gt;SNOW^FE_ESTIMATE(PRODLINE_SALES_2,MEAN,ANNUAL_ROLL,2019,45993,,,'')&lt;/Q&gt;&lt;R&gt;0&lt;/R&gt;&lt;C&gt;0&lt;/C&gt;&lt;/FQL&gt;&lt;FQL&gt;&lt;Q&gt;SNOW^FE_ESTIMATE(PRODLINE_SALES_2,MEAN,QUARTERLY_ROLL,2019/4F,45993,,,'')&lt;/Q&gt;&lt;R&gt;0&lt;/R&gt;&lt;C&gt;0&lt;/C&gt;&lt;/FQL&gt;&lt;FQL&gt;&lt;Q&gt;SNOW^FE_ESTIMATE(PRODLINE_SALES_2,MEAN,QUARTERLY_ROLL,2019/3F,45993,,,'')&lt;/Q&gt;&lt;R&gt;0&lt;/R&gt;&lt;C&gt;0&lt;/C&gt;&lt;/FQL&gt;&lt;FQL&gt;&lt;Q&gt;SNOW^FE_ESTIMATE(PRODLINE_SALES_2,MEAN,QUARTERLY_ROLL,2019/2F,45993,,,'')&lt;/Q&gt;&lt;R&gt;0&lt;/R&gt;&lt;C&gt;0&lt;/C&gt;&lt;/FQL&gt;&lt;FQL&gt;&lt;Q&gt;SNOW^FE_ESTIMATE(PRODLINE_SALES_2,MEAN,QUARTERLY_ROLL,2019/1F,45993,,,'')&lt;/Q&gt;&lt;R&gt;0&lt;/R&gt;&lt;C&gt;0&lt;/C&gt;&lt;/FQL&gt;&lt;FQL&gt;&lt;Q&gt;SNOW^FE_ESTIMATE(PRODLINE_SALES_2,MEAN,ANNUAL_ROLL,2018,45993,,,'')&lt;/Q&gt;&lt;R&gt;0&lt;/R&gt;&lt;C&gt;0&lt;/C&gt;&lt;/FQL&gt;&lt;FQL&gt;&lt;Q&gt;SNOW^FE_ESTIMATE(PRODLINE_SALES_2,MEAN,QUARTERLY_ROLL,2018/4F,45993,,,'')&lt;/Q&gt;&lt;R&gt;0&lt;/R&gt;&lt;C&gt;0&lt;/C&gt;&lt;/FQL&gt;&lt;FQL&gt;&lt;Q&gt;SNOW^FE_ESTIMATE(PRODLINE_SALES_2,MEAN,QUARTERLY_ROLL,2018/3F,45993,,,'')&lt;/Q&gt;&lt;R&gt;0&lt;/R&gt;&lt;C&gt;0&lt;/C&gt;&lt;/FQL&gt;&lt;FQL&gt;&lt;Q&gt;SNOW^FE_ESTIMATE(PRODLINE_SALES_2,MEAN,QUARTERLY_ROLL,2018/2F,45993,,,'')&lt;/Q&gt;&lt;R&gt;0&lt;/R&gt;&lt;C&gt;0&lt;/C&gt;&lt;/FQL&gt;&lt;FQL&gt;&lt;Q&gt;SNOW^FE_ESTIMATE(PRODLINE_SALES_2,MEAN,QUARTERLY_ROLL,2018/1F,45993,,,'')&lt;/Q&gt;&lt;R&gt;0&lt;/R&gt;&lt;C&gt;0&lt;/C&gt;&lt;/FQL&gt;&lt;FQL&gt;&lt;Q&gt;SNOW^FE_ESTIMATE(PRODLINE_SALES_2,MEAN,ANNUAL_ROLL,2017,45993,,,'')&lt;/Q&gt;&lt;R&gt;0&lt;/R&gt;&lt;C&gt;0&lt;/C&gt;&lt;/FQL&gt;&lt;FQL&gt;&lt;Q&gt;SNOW^FE_ESTIMATE(PRODLINE_SALES_2,MEAN,QUARTERLY_ROLL,2017/4F,45993,,,'')&lt;/Q&gt;&lt;R&gt;0&lt;/R&gt;&lt;C&gt;0&lt;/C&gt;&lt;/FQL&gt;&lt;FQL&gt;&lt;Q&gt;SNOW^FE_ESTIMATE(PRODLINE_SALES_2,MEAN,QUARTERLY_ROLL,2017/3F,45993,,,'')&lt;/Q&gt;&lt;R&gt;0&lt;/R&gt;&lt;C&gt;0&lt;/C&gt;&lt;/FQL&gt;&lt;FQL&gt;&lt;Q&gt;SNOW^FE_ESTIMATE(PRODLINE_SALES_2,MEAN,QUARTERLY_ROLL,2017/2F,45993,,,'')&lt;/Q&gt;&lt;R&gt;0&lt;/R&gt;&lt;C&gt;0&lt;/C&gt;&lt;/FQL&gt;&lt;FQL&gt;&lt;Q&gt;SNOW^FE_ESTIMATE(PRODLINE_SALES_2,MEAN,QUARTERLY_ROLL,2017/1F,45993,,,'')&lt;/Q&gt;&lt;R&gt;0&lt;/R&gt;&lt;C&gt;0&lt;/C&gt;&lt;/FQL&gt;&lt;FQL&gt;&lt;Q&gt;SNOW^FE_ESTIMATE(PRODLINE_SALES_2,MEAN,ANNUAL_ROLL,2016,45993,,,'')&lt;/Q&gt;&lt;R&gt;0&lt;/R&gt;&lt;C&gt;0&lt;/C&gt;&lt;/FQL&gt;&lt;FQL&gt;&lt;Q&gt;SNOW^FE_ESTIMATE(PRODLINE_SALES_2,MEAN,QUARTERLY_ROLL,2016/4F,45993,,,'')&lt;/Q&gt;&lt;R&gt;0&lt;/R&gt;&lt;C&gt;0&lt;/C&gt;&lt;/FQL&gt;&lt;FQL&gt;&lt;Q&gt;SNOW^FE_ESTIMATE(PRODLINE_SALES_2,MEAN,QUARTERLY_ROLL,2016/3F,45993,,,'')&lt;/Q&gt;&lt;R&gt;0&lt;/R&gt;&lt;C&gt;0&lt;/C&gt;&lt;/FQL&gt;&lt;FQL&gt;&lt;Q&gt;SNOW^FE_ESTIMATE(PRODLINE_SALES_2,MEAN,QUARTERLY_ROLL,2016/2F,45993,,,'')&lt;/Q&gt;&lt;R&gt;0&lt;/R&gt;&lt;C&gt;0&lt;/C&gt;&lt;/FQL&gt;&lt;FQL&gt;&lt;Q&gt;SNOW^FE_ESTIMATE(PRODLINE_SALES_2,MEAN,QUARTERLY_ROLL,2016/1F,45993,,,'')&lt;/Q&gt;&lt;R&gt;0&lt;/R&gt;&lt;C&gt;0&lt;/C&gt;&lt;/FQL&gt;&lt;FQL&gt;&lt;Q&gt;SNOW^FE_ESTIMATE(PRODLINE_SALES_2,MEAN,ANNUAL_ROLL,2015,45993,,,'')&lt;/Q&gt;&lt;R&gt;0&lt;/R&gt;&lt;C&gt;0&lt;/C&gt;&lt;/FQL&gt;&lt;FQL&gt;&lt;Q&gt;SNOW^FE_ESTIMATE(PRODLINE_SALES_2,MEAN,QUARTERLY_ROLL,2015/4F,45993,,,'')&lt;/Q&gt;&lt;R&gt;0&lt;/R&gt;&lt;C&gt;0&lt;/C&gt;&lt;/FQL&gt;&lt;FQL&gt;&lt;Q&gt;SNOW^FE_ESTIMATE(PRODLINE_SALES_2,MEAN,QUARTERLY_ROLL,2015/3F,45993,,,'')&lt;/Q&gt;&lt;R&gt;0&lt;/R&gt;&lt;C&gt;0&lt;/C&gt;&lt;/FQL&gt;&lt;FQL&gt;&lt;Q&gt;SNOW^FE_ESTIMATE(PRODLINE_SALES_2,MEAN,QUARTERLY_ROLL,2015/2F,45993,,,'')&lt;/Q&gt;&lt;R&gt;0&lt;/R&gt;&lt;C&gt;0&lt;/C&gt;&lt;/FQL&gt;&lt;FQL&gt;&lt;Q&gt;SNOW^FE_ESTIMATE(PRODLINE_SALES_2,MEAN,QUARTERLY_ROLL,2015/1F,45993,,,'')&lt;/Q&gt;&lt;R&gt;0&lt;/R&gt;&lt;C&gt;0&lt;/C&gt;&lt;/FQL&gt;&lt;FQL&gt;&lt;Q&gt;SNOW^FE_ESTIMATE(PRODLINE_SALES_1,MEAN,ANNUAL_ROLL,2027,45993,,,'')&lt;/Q&gt;&lt;R&gt;1&lt;/R&gt;&lt;C&gt;1&lt;/C&gt;&lt;D xsi:type="xsd:double"&gt;6820.86&lt;/D&gt;&lt;/FQL&gt;&lt;FQL&gt;&lt;Q&gt;SNOW^FE_ESTIMATE(PRODLINE_SALES_1,MEAN,QUARTERLY_ROLL,2027/4F,45993,,,'')&lt;/Q&gt;&lt;R&gt;1&lt;/R&gt;&lt;C&gt;1&lt;/C&gt;&lt;D xsi:type="xsd:double"&gt;1812.4437&lt;/D&gt;&lt;/FQL&gt;&lt;FQL&gt;&lt;Q&gt;SNOW^FE_ESTIMATE(PRODLINE_SALES_1,MEAN,QUARTERLY_ROLL,2027/3F,45993,,,'')&lt;/Q&gt;&lt;R&gt;1&lt;/R&gt;&lt;C&gt;1&lt;/C&gt;&lt;D xsi:type="xsd:double"&gt;1730.1794&lt;/D&gt;&lt;/FQL&gt;&lt;FQL&gt;&lt;Q&gt;SNOW^FE_ESTIMATE(PRODLINE_SALES_1,MEAN,QUARTERLY_ROLL,2027/2F,45993,,,'')&lt;/Q&gt;&lt;R&gt;1&lt;/R&gt;&lt;C&gt;1&lt;/C&gt;&lt;D xsi:type="xsd:double"&gt;1654.8357&lt;/D&gt;&lt;/FQL&gt;&lt;FQL&gt;&lt;Q&gt;SNOW^FE_ESTIMATE(PRODLINE_SALES_1,MEAN,QUARTERLY_ROLL,2027/1F,45993,,,'')&lt;/Q&gt;&lt;R&gt;1&lt;/R&gt;&lt;C&gt;1&lt;/C&gt;&lt;D xsi:type="xsd:double"&gt;1548.4912&lt;/D&gt;&lt;/FQL&gt;&lt;FQL&gt;&lt;Q&gt;SNOW^FE_ESTIMATE(PRODLINE_SALES_1,MEAN,ANNUAL_ROLL,2026,45993,,,'')&lt;/Q&gt;&lt;R&gt;1&lt;/R&gt;&lt;C&gt;1&lt;/C&gt;&lt;D xsi:type="xsd:double"&gt;5481.195&lt;/D&gt;&lt;/FQL&gt;&lt;FQL&gt;&lt;Q&gt;SNOW^FE_ESTIMATE(PRODLINE_SALES_1,MEAN,QUARTERLY_ROLL,2026/4F,45993,,,'')&lt;/Q&gt;&lt;R&gt;1&lt;/R&gt;&lt;C&gt;1&lt;/C&gt;&lt;D xsi:type="xsd:double"&gt;1470.906&lt;/D&gt;&lt;/FQL&gt;&lt;FQL&gt;&lt;Q&gt;SNOW^FE_ESTIMATE(PRODLINE_SALES_1,MEAN,QUARTERLY_ROLL,2026/3F,45993,,,'')&lt;/Q&gt;&lt;R&gt;1&lt;/R&gt;&lt;C&gt;1&lt;/C&gt;&lt;D xsi:type="xsd:double"&gt;1405.2795&lt;/D&gt;&lt;/FQL&gt;&lt;FQL&gt;&lt;Q&gt;SNOW^FE_ESTIMATE(PRODLINE_SALES_1,MEAN,QUARTERLY_ROLL,2026/2F,45993,,,'')&lt;/Q&gt;&lt;R&gt;1&lt;/R&gt;&lt;C&gt;1&lt;/C&gt;&lt;D xsi:type="xsd:double"&gt;1334.282&lt;/D&gt;&lt;/FQL&gt;&lt;FQL&gt;&lt;Q&gt;SNOW^FE_ESTIMATE(PRODLINE_SALES_1,MEAN,QUARTERLY_ROLL,2026/1F,45993,,,'')&lt;/Q&gt;&lt;R&gt;1&lt;/R&gt;&lt;C&gt;1&lt;/C&gt;&lt;D xsi:type="xsd:double"&gt;1244.5923&lt;/D&gt;&lt;/FQL&gt;&lt;FQL&gt;&lt;Q&gt;SNOW^FE_ESTIMATE(PRODLINE_SALES_1,MEAN,ANNUAL_ROLL,2025,45993,,,'')&lt;/Q&gt;&lt;R&gt;1&lt;/R&gt;&lt;C&gt;1&lt;/C&gt;&lt;D xsi:type="xsd:double"&gt;4408.2534&lt;/D&gt;&lt;/FQL&gt;&lt;FQL&gt;&lt;Q&gt;SNOW^FE_ESTIMATE(PRODLINE_SALES_1,MEAN,QUARTERLY_ROLL,2025/4F,45993,,,'')&lt;/Q&gt;&lt;R&gt;1&lt;/R&gt;&lt;C&gt;1&lt;/C&gt;&lt;D xsi:type="xsd:double"&gt;1184.0984&lt;/D&gt;&lt;/FQL&gt;&lt;FQL&gt;&lt;Q&gt;SNOW^FE_ESTIMATE(PRODLINE_SALES_1,MEAN,QUARTERLY_ROLL,2025/3F,45993,,,'')&lt;/Q&gt;&lt;R&gt;1&lt;/R&gt;&lt;C&gt;1&lt;/C&gt;&lt;D xsi:type="xsd:double"&gt;1131.9456&lt;/D&gt;&lt;/FQL&gt;&lt;FQL&gt;&lt;Q&gt;SNOW^FE_ESTIMATE(PRODLINE_SALES_1,MEAN,QUARTERLY_ROLL,2025/2F,45993,,,'')&lt;/Q&gt;&lt;R&gt;1&lt;/R&gt;&lt;C&gt;1&lt;/C&gt;&lt;D xsi:type="xsd:double"&gt;1090.496&lt;/D&gt;&lt;/FQL&gt;&lt;FQL&gt;&lt;Q&gt;SNOW^FE_ESTIMATE(PRODLINE_SALES_1,MEAN,QUARTERLY_ROLL,2025/1F,45993,,,'')&lt;/Q&gt;&lt;R&gt;1&lt;/R&gt;&lt;C&gt;1&lt;/C&gt;&lt;D xsi:type="xsd:double"&gt;996.813&lt;/D&gt;&lt;/FQL&gt;&lt;FQL&gt;&lt;Q&gt;SNOW^FE_ESTIMATE(PRODLINE_SALES_1,MEAN,ANNUAL_ROLL,2024,45993,,,'')&lt;/Q&gt;&lt;R&gt;1&lt;/R&gt;&lt;C&gt;1&lt;/C&gt;&lt;D xsi:type="xsd:double"&gt;3462.422&lt;/D&gt;&lt;/FQL&gt;&lt;FQL&gt;&lt;Q&gt;SNOW^FE_ESTIMATE(PRODLINE_SALES_1,MEAN,QUARTERLY_ROLL,2024/4F,45993,,,'')&lt;/Q&gt;&lt;R&gt;1&lt;/R&gt;&lt;C&gt;1&lt;/C&gt;&lt;D xsi:type="xsd:double"&gt;943.303&lt;/D&gt;&lt;/FQL&gt;&lt;FQL&gt;&lt;Q&gt;SNOW^FE_ESTIMATE(PRODLINE_SALES_1,MEAN,QUARTERLY_ROLL,2024/3F,45993,,,'')&lt;/Q&gt;&lt;R&gt;1&lt;/R&gt;&lt;C&gt;1&lt;/C&gt;&lt;D xsi:type="xsd:double"&gt;900.282&lt;/D&gt;&lt;/FQL&gt;&lt;FQL&gt;&lt;Q&gt;SNOW^FE_ESTIMATE(PRODLINE_SALES_1,MEAN,QUARTERLY_ROLL,2024/2F,45993,,,'')&lt;/Q&gt;&lt;R&gt;1&lt;/R&gt;&lt;C&gt;1&lt;/C&gt;&lt;D xsi:type="xsd:double"&gt;829.25&lt;/D&gt;&lt;/FQL&gt;&lt;FQL&gt;&lt;Q&gt;SNOW^FE_ESTIMATE(PRODLINE_SALES_1,MEAN,QUARTERLY_ROLL,2024/1F,45993,,,'')&lt;/Q&gt;&lt;R&gt;1&lt;/R&gt;&lt;C&gt;1&lt;/C&gt;&lt;D xsi:type="xsd:double"&gt;789.587&lt;/D&gt;&lt;/FQL&gt;&lt;FQL&gt;&lt;Q&gt;SNOW^FE_ESTIMATE(PRODLINE_SALES_1,MEAN,ANNUAL_ROLL,2023,45993,,,'')&lt;/Q&gt;&lt;R&gt;1&lt;/R&gt;&lt;C&gt;1&lt;/C&gt;&lt;D xsi:type="xsd:double"&gt;2666.849&lt;/D&gt;&lt;/FQL&gt;&lt;FQL&gt;&lt;Q&gt;SNOW^FE_ESTIMATE(PRODLINE_SALES_1,MEAN,QUARTERLY_ROLL,2023/4F,45993,,,'')&lt;/Q&gt;&lt;R&gt;1&lt;/R&gt;&lt;C&gt;1&lt;/C&gt;&lt;D xsi:type="xsd:double"&gt;738.09&lt;/D&gt;&lt;/FQL&gt;&lt;FQL&gt;&lt;Q&gt;SNOW^FE_ESTIMATE(PRODLINE_SALES_1,MEAN,QUARTERLY_ROLL,2023/3F,45993,,,'')&lt;/Q&gt;&lt;R&gt;1&lt;/R&gt;&lt;C&gt;1&lt;/C&gt;&lt;D xsi:type="xsd:double"&gt;698.478&lt;/D&gt;&lt;/FQL&gt;&lt;FQL&gt;&lt;Q&gt;SNOW^FE_ESTIMATE(PRODLINE_SALES_1,MEAN,QUARTERLY_ROLL,2023/2F,45993,,,'')&lt;/Q&gt;&lt;R&gt;1&lt;/R&gt;&lt;C&gt;1&lt;/C&gt;&lt;D xsi:type="xsd:double"&gt;640.209&lt;/D&gt;&lt;/FQL&gt;&lt;FQL&gt;&lt;Q&gt;SNOW^FE_ESTIMATE(PRODLINE_SALES_1,MEAN,QUARTERLY_ROLL,2023/1F,45993,,,'')&lt;/Q&gt;&lt;R&gt;1&lt;/R&gt;&lt;C&gt;1&lt;/C&gt;&lt;D xsi:type="xsd:double"&gt;590.072&lt;/D&gt;&lt;/FQL&gt;&lt;FQL&gt;&lt;Q&gt;SNOW^FE_ESTIMATE(PRODLINE_SALES_1,MEAN,ANNUAL_ROLL,2022,45993,,,'')&lt;/Q&gt;&lt;R&gt;1&lt;/R&gt;&lt;C&gt;1&lt;/C&gt;&lt;D xsi:type="xsd:double"&gt;1938.783&lt;/D&gt;&lt;/FQL&gt;&lt;FQL&gt;&lt;Q&gt;SNOW^FE_ESTIMATE(PRODLINE_SALES_1,MEAN,QUARTERLY_ROLL,2022/4F,45993,,,'')&lt;/Q&gt;&lt;R&gt;1&lt;/R&gt;&lt;C&gt;1&lt;/C&gt;&lt;D xsi:type="xsd:double"&gt;555.329&lt;/D&gt;&lt;/FQL&gt;&lt;FQL&gt;&lt;Q&gt;SNOW^FE_ESTIMATE(PRODLINE_SALES_1,MEAN,QUARTERLY_ROLL,2022/3F,45993,,,'')&lt;/Q&gt;&lt;R&gt;1&lt;/R&gt;&lt;C&gt;1&lt;/C&gt;&lt;D xsi:type="xsd:double"&gt;522.752&lt;/D&gt;&lt;/FQL&gt;&lt;FQL&gt;&lt;Q&gt;SNOW^FE_ESTIMATE(PRODLINE_SALES_1,MEAN,QUARTERLY_ROLL,2022/2F,45993,,,'')&lt;/Q&gt;&lt;R&gt;1&lt;/R&gt;&lt;C&gt;1&lt;/C&gt;&lt;D xsi:type="xsd:double"&gt;466.268&lt;/D&gt;&lt;/FQL&gt;&lt;FQL&gt;&lt;Q&gt;SNOW^FE_ESTIMATE(PRODLINE_SALES_1,MEAN,QUARTERLY_ROLL,2022/1F,45993,,,'')&lt;/Q&gt;&lt;R&gt;1&lt;/R&gt;&lt;C&gt;1&lt;/C&gt;&lt;D xsi:type="xsd:double"&gt;394.434&lt;/D&gt;&lt;/FQL&gt;&lt;FQL&gt;&lt;Q&gt;SNOW^FE_ESTIMATE(PRODLINE_SALES_1,MEAN,ANNUAL_ROLL,2021,45993,,,'')&lt;/Q&gt;&lt;R&gt;1&lt;/R&gt;&lt;C&gt;1&lt;/C&gt;&lt;D xsi:type="xsd:double"&gt;1140.469&lt;/D&gt;&lt;/FQL&gt;&lt;FQL&gt;&lt;Q&gt;SNOW^FE_ESTIMATE(PRODLINE_SALES_1,MEAN,QUARTERLY_ROLL,2021/4F,45993,,,'')&lt;/Q&gt;&lt;R&gt;1&lt;/R&gt;&lt;C&gt;1&lt;/C&gt;&lt;D xsi:type="xsd:double"&gt;359.558&lt;/D&gt;&lt;/FQL&gt;&lt;FQL&gt;&lt;Q&gt;SNOW^FE_ESTIMATE(PRODLINE_SALES_1,MEAN,QUARTERLY_ROLL,2021/3F,45993,,,'')&lt;/Q&gt;&lt;R&gt;1&lt;/R&gt;&lt;C&gt;1&lt;/C&gt;&lt;D xsi:type="xsd:double"&gt;312.458&lt;/D&gt;&lt;/FQL&gt;&lt;FQL&gt;&lt;Q&gt;SNOW^FE_ESTIMATE(PRODLINE_SALES_1,MEAN,QUARTERLY_ROLL,2021/2F,45993,,,'')&lt;/Q&gt;&lt;R&gt;1&lt;/R&gt;&lt;C&gt;1&lt;/C&gt;&lt;D xsi:type="xsd:double"&gt;254.623&lt;/D&gt;&lt;/FQL&gt;&lt;FQL&gt;&lt;Q&gt;SNOW^FE_ESTIMATE(PRODLINE_SALES_1,MEAN,QUARTERLY_ROLL,2021/1F,45993,,,'')&lt;/Q&gt;&lt;R&gt;1&lt;/R&gt;&lt;C&gt;1&lt;/C&gt;&lt;D xsi:type="xsd:double"&gt;213.83&lt;/D&gt;&lt;/FQL&gt;&lt;FQL&gt;&lt;Q&gt;SNOW^FE_ESTIMATE(PRODLINE_SALES_1,MEAN,ANNUAL_ROLL,2020,45993,,,'')&lt;/Q&gt;&lt;R&gt;1&lt;/R&gt;&lt;C&gt;1&lt;/C&gt;&lt;D xsi:type="xsd:double"&gt;553.794&lt;/D&gt;&lt;/FQL&gt;&lt;FQL&gt;&lt;Q&gt;SNOW^FE_ESTIMATE(PRODLINE_SALES_1,MEAN,QUARTERLY_ROLL,2020/4F,45993,,,'')&lt;/Q&gt;&lt;R&gt;1&lt;/R&gt;&lt;C&gt;1&lt;/C&gt;&lt;D xsi:type="xsd:double"&gt;178.3&lt;/D&gt;&lt;/FQL&gt;&lt;FQL&gt;&lt;Q&gt;SNOW^FE_ESTIMATE(PRODLINE_SALES_1,MEAN,QUARTERLY_ROLL,2020/3F,45993,,,'')&lt;/Q&gt;&lt;R&gt;1&lt;/R&gt;&lt;C&gt;1&lt;/C&gt;&lt;D xsi:type="xsd:double"&gt;148.5&lt;/D&gt;&lt;/FQL&gt;&lt;FQL&gt;&lt;Q&gt;SNOW^FE_ESTIMATE(PRODLINE_SALES_1,MEAN,QUARTERLY_ROLL,2020/2F,45993,,,'')&lt;/Q&gt;&lt;R&gt;1&lt;/R&gt;&lt;C&gt;1&lt;/C&gt;&lt;D xsi:type="xsd:double"&gt;125.20436&lt;/D&gt;&lt;/FQL&gt;&lt;FQL&gt;&lt;Q&gt;SNOW^FE_ESTIMATE(PRODLINE_SALES_1,MEAN,QUARTERLY_ROLL,2020/1F,45993,,,'')&lt;/Q&gt;&lt;R&gt;0&lt;/R&gt;&lt;C&gt;0&lt;/C&gt;&lt;/FQL&gt;&lt;FQL&gt;&lt;Q&gt;SNOW^FE_ESTIMATE(PRODLINE_SALES_1,MEAN,ANNUAL_ROLL,2019,45993,,,'')&lt;/Q&gt;&lt;R&gt;0&lt;/R&gt;&lt;C&gt;0&lt;/C&gt;&lt;/FQL&gt;&lt;FQL&gt;&lt;Q&gt;SNOW^FE_ESTIMATE(PRODLINE_SALES_1,MEAN,QUARTERLY_ROLL,2019/4F,45993,,,'')&lt;/Q&gt;&lt;R&gt;0&lt;/R&gt;&lt;C&gt;0&lt;/C&gt;&lt;/FQL&gt;&lt;FQL&gt;&lt;Q&gt;SNOW^FE_ESTIMATE(PRODLINE_SALES_1,MEAN,QUARTERLY_ROLL,2019/3F,45993,,,'')&lt;/Q&gt;&lt;R&gt;0&lt;/R&gt;&lt;C&gt;0&lt;/C&gt;&lt;/FQL&gt;&lt;FQL&gt;&lt;Q&gt;SNOW^FE_ESTIMATE(PRODLINE_SALES_1,MEAN,QUARTERLY_ROLL,2019/2F,45993,,,'')&lt;/Q&gt;&lt;R&gt;0&lt;/R&gt;&lt;C&gt;0&lt;/C&gt;&lt;/FQL&gt;&lt;FQL&gt;&lt;Q&gt;SNOW^FE_ESTIMATE(PRODLINE_SALES_1,MEAN,QUARTERLY_ROLL,2019/1F,45993,,,'')&lt;/Q&gt;&lt;R&gt;0&lt;/R&gt;&lt;C&gt;0&lt;/C&gt;&lt;/FQL&gt;&lt;FQL&gt;&lt;Q&gt;SNOW^FE_ESTIMATE(PRODLINE_SALES_1,MEAN,ANNUAL_ROLL,2018,45993,,,'')&lt;/Q&gt;&lt;R&gt;0&lt;/R&gt;&lt;C&gt;0&lt;/C&gt;&lt;/FQL&gt;&lt;FQL&gt;&lt;Q&gt;SNOW^FE_ESTIMATE(PRODLINE_SALES_1,MEAN,QUARTERLY_ROLL,2018/4F,45993,,,'')&lt;/Q&gt;&lt;R&gt;0&lt;/R&gt;&lt;C&gt;0&lt;/C&gt;&lt;/FQL&gt;&lt;FQL&gt;&lt;Q&gt;SNOW^FE_ESTIMATE(PRODLINE_SALES_1,MEAN,QUARTERLY_ROLL,2018/3F,45993,,,'')&lt;/Q&gt;&lt;R&gt;0&lt;/R&gt;&lt;C&gt;0&lt;/C&gt;&lt;/FQL&gt;&lt;FQL&gt;&lt;Q&gt;SNOW^FE_ESTIMATE(PRODLINE_SALES_1,MEAN,QUARTERLY_ROLL,2018/2F,45993,,,'')&lt;/Q&gt;&lt;R&gt;0&lt;/R&gt;&lt;C&gt;0&lt;/C&gt;&lt;/FQL&gt;&lt;FQL&gt;&lt;Q&gt;SNOW^FE_ESTIMATE(PRODLINE_SALES_1,MEAN,QUARTERLY_ROLL,2018/1F,45993,,,'')&lt;/Q&gt;&lt;R&gt;0&lt;/R&gt;&lt;C&gt;0&lt;/C&gt;&lt;/FQL&gt;&lt;FQL&gt;&lt;Q&gt;SNOW^FE_ESTIMATE(PRODLINE_SALES_1,MEAN,ANNUAL_ROLL,2017,45993,,,'')&lt;/Q&gt;&lt;R&gt;0&lt;/R&gt;&lt;C&gt;0&lt;/C&gt;&lt;/FQL&gt;&lt;FQL&gt;&lt;Q&gt;SNOW^FE_ESTIMATE(PRODLINE_SALES_1,MEAN,QUARTERLY_ROLL,2017/4F,45993,,,'')&lt;/Q&gt;&lt;R&gt;0&lt;/R&gt;&lt;C&gt;0&lt;/C&gt;&lt;/FQL&gt;&lt;FQL&gt;&lt;Q&gt;SNOW^FE_ESTIMATE(PRODLINE_SALES_1,MEAN,QUARTERLY_ROLL,2017/3F,45993,,,'')&lt;/Q&gt;&lt;R&gt;0&lt;/R&gt;&lt;C&gt;0&lt;/C&gt;&lt;/FQL&gt;&lt;FQL&gt;&lt;Q&gt;SNOW^FE_ESTIMATE(PRODLINE_SALES_1,MEAN,QUARTERLY_ROLL,2017/2F,45993,,,'')&lt;/Q&gt;&lt;R&gt;0&lt;/R&gt;&lt;C&gt;0&lt;/C&gt;&lt;/FQL&gt;&lt;FQL&gt;&lt;Q&gt;SNOW^FE_ESTIMATE(PRODLINE_SALES_1,MEAN,QUARTERLY_ROLL,2017/1F,45993,,,'')&lt;/Q&gt;&lt;R&gt;0&lt;/R&gt;&lt;C&gt;0&lt;/C&gt;&lt;/FQL&gt;&lt;FQL&gt;&lt;Q&gt;SNOW^FE_ESTIMATE(PRODLINE_SALES_1,MEAN,ANNUAL_ROLL,2016,45993,,,'')&lt;/Q&gt;&lt;R&gt;0&lt;/R&gt;&lt;C&gt;0&lt;/C&gt;&lt;/FQL&gt;&lt;FQL&gt;&lt;Q&gt;SNOW^FE_ESTIMATE(PRODLINE_SALES_1,MEAN,QUARTERLY_ROLL,2016/4F,45993,,,'')&lt;/Q&gt;&lt;R&gt;0&lt;/R&gt;&lt;C&gt;0&lt;/C&gt;&lt;/FQL&gt;&lt;FQL&gt;&lt;Q&gt;SNOW^FE_ESTIMATE(PRODLINE_SALES_1,MEAN,QUARTERLY_ROLL,2016/3F,45993,,,'')&lt;/Q&gt;&lt;R&gt;0&lt;/R&gt;&lt;C&gt;0&lt;/C&gt;&lt;/FQL&gt;&lt;FQL&gt;&lt;Q&gt;SNOW^FE_ESTIMATE(PRODLINE_SALES_1,MEAN,QUARTERLY_ROLL,2016/2F,45993,,,'')&lt;/Q&gt;&lt;R&gt;0&lt;/R&gt;&lt;C&gt;0&lt;/C&gt;&lt;/FQL&gt;&lt;FQL&gt;&lt;Q&gt;SNOW^FE_ESTIMATE(PRODLINE_SALES_1,MEAN,QUARTERLY_ROLL,2016/1F,45993,,,'')&lt;/Q&gt;&lt;R&gt;0&lt;/R&gt;&lt;C&gt;0&lt;/C&gt;&lt;/FQL&gt;&lt;FQL&gt;&lt;Q&gt;SNOW^FE_ESTIMATE(PRODLINE_SALES_1,MEAN,ANNUAL_ROLL,2015,45993,,,'')&lt;/Q&gt;&lt;R&gt;0&lt;/R&gt;&lt;C&gt;0&lt;/C&gt;&lt;/FQL&gt;&lt;FQL&gt;&lt;Q&gt;SNOW^FE_ESTIMATE(PRODLINE_SALES_1,MEAN,QUARTERLY_ROLL,2015/4F,45993,,,'')&lt;/Q&gt;&lt;R&gt;0&lt;/R&gt;&lt;C&gt;0&lt;/C&gt;&lt;/FQL&gt;&lt;FQL&gt;&lt;Q&gt;SNOW^FE_ESTIMATE(PRODLINE_SALES_1,MEAN,QUARTERLY_ROLL,2015/3F,45993,,,'')&lt;/Q&gt;&lt;R&gt;0&lt;/R&gt;&lt;C&gt;0&lt;/C&gt;&lt;/FQL&gt;&lt;FQL&gt;&lt;Q&gt;SNOW^FE_ESTIMATE(PRODLINE_SALES_1,MEAN,QUARTERLY_ROLL,2015/2F,45993,,,'')&lt;/Q&gt;&lt;R&gt;0&lt;/R&gt;&lt;C&gt;0&lt;/C&gt;&lt;/FQL&gt;&lt;FQL&gt;&lt;Q&gt;SNOW^FE_ESTIMATE(PRODLINE_SALES_1,MEAN,QUARTERLY_ROLL,2015/1F,45993,,,'')&lt;/Q&gt;&lt;R&gt;0&lt;/R&gt;&lt;C&gt;0&lt;/C&gt;&lt;/FQL&gt;&lt;FQL&gt;&lt;Q&gt;SNOW^FE_ESTIMATE(SPEC_GROSS_2,MEAN,ANNUAL_ROLL,2027,45993,,,'')&lt;/Q&gt;&lt;R&gt;1&lt;/R&gt;&lt;C&gt;1&lt;/C&gt;&lt;D xsi:type="xsd:double"&gt;1859.3657&lt;/D&gt;&lt;/FQL&gt;&lt;FQL&gt;&lt;Q&gt;SNOW^FE_ESTIMATE(SPEC_GROSS_2,MEAN,QUARTERLY_ROLL,2027/4F,45993,,,'')&lt;/Q&gt;&lt;R&gt;1&lt;/R&gt;&lt;C&gt;1&lt;/C&gt;&lt;D xsi:type="xsd:double"&gt;633.622&lt;/D&gt;&lt;/FQL&gt;&lt;FQL&gt;&lt;Q&gt;SNOW^FE_ESTIMATE(SPEC_GROSS_2,MEAN,QUARTERLY_ROLL,2027/3F,45993,,,'')&lt;/Q&gt;&lt;R&gt;1&lt;/R&gt;&lt;C&gt;1&lt;/C&gt;&lt;D xsi:type="xsd:double"&gt;390.41&lt;/D&gt;&lt;/FQL&gt;&lt;FQL&gt;&lt;Q&gt;SNOW^FE_ESTIMATE(SPEC_GROSS_2,MEAN,QUARTERLY_ROLL,2027/2F,45993,,,'')&lt;/Q&gt;&lt;R&gt;1&lt;/R&gt;&lt;C&gt;1&lt;/C&gt;&lt;D xsi:type="xsd:double"&gt;343.01&lt;/D&gt;&lt;/FQL&gt;&lt;FQL&gt;&lt;Q&gt;SNOW^FE_ESTIMATE(SPEC_GROSS_2,MEAN,QUARTERLY_ROLL,2027/1F,45993,,,'')&lt;/Q&gt;&lt;R&gt;1&lt;/R&gt;&lt;C&gt;1&lt;/C&gt;&lt;D xsi:type="xsd:double"&gt;584.056&lt;/D&gt;&lt;/FQL&gt;&lt;FQL&gt;&lt;Q&gt;SNOW^FE_ESTIMATE(SPEC_GROSS_2,MEAN,ANNUAL_ROLL,2026,45993,,,'')&lt;/Q&gt;&lt;R&gt;1&lt;/R&gt;&lt;C&gt;1&lt;/C&gt;&lt;D xsi:type="xsd:double"&gt;1489.6346&lt;/D&gt;&lt;/FQL&gt;&lt;FQL&gt;&lt;Q&gt;SNOW^FE_ESTIMATE(SPEC_GROSS_2,MEAN,QUARTERLY_ROLL,2026/4F,45993,,,'')&lt;/Q&gt;&lt;R&gt;1&lt;/R&gt;&lt;C&gt;1&lt;/C&gt;&lt;D xsi:type="xsd:double"&gt;696.978&lt;/D&gt;&lt;/FQL&gt;&lt;FQL&gt;&lt;Q&gt;SNOW^FE_ESTIMATE(SPEC_GROSS_2,MEAN,QUARTERLY_ROLL,2026/3F,45993,,,'')&lt;/Q&gt;&lt;R&gt;1&lt;/R&gt;&lt;C&gt;1&lt;/C&gt;&lt;D xsi:type="xsd:double"&gt;260.79166&lt;/D&gt;&lt;/FQL&gt;&lt;FQL&gt;&lt;Q&gt;SNOW^FE_ESTIMATE(SPEC_GROSS_2,MEAN,QUARTERLY_ROLL,2026/2F,45993,,,'')&lt;/Q&gt;&lt;R&gt;1&lt;/R&gt;&lt;C&gt;1&lt;/C&gt;&lt;D xsi:type="xsd:double"&gt;128.291&lt;/D&gt;&lt;/FQL&gt;&lt;FQL&gt;&lt;Q&gt;SNOW^FE_ESTIMATE(SPEC_GROSS_2,MEAN,QUARTERLY_ROLL,2026/1F,45993,,,'')&lt;/Q&gt;&lt;R&gt;1&lt;/R&gt;&lt;C&gt;1&lt;/C&gt;&lt;D xsi:type="xsd:double"&gt;399.44034&lt;/D&gt;&lt;/FQL&gt;&lt;FQL&gt;&lt;Q&gt;SNOW^FE_ESTIMATE(SPEC_GROSS_2,MEAN,ANNUAL_ROLL,2025,45993,,,'')&lt;/Q&gt;&lt;R&gt;1&lt;/R&gt;&lt;C&gt;1&lt;/C&gt;&lt;D xsi:type="xsd:double"&gt;1151.2213&lt;/D&gt;&lt;/FQL&gt;&lt;FQL&gt;&lt;Q&gt;SNOW^FE_ESTIMATE(SPEC_GROSS_2,MEAN,QUARTERLY_ROLL,2025/4F,45993,,,'')&lt;/Q&gt;&lt;R&gt;1&lt;/R&gt;&lt;C&gt;1&lt;/C&gt;&lt;D xsi:type="xsd:double"&gt;621.5036&lt;/D&gt;&lt;/FQL&gt;&lt;FQL&gt;&lt;Q&gt;SNOW^FE_ESTIMATE(SPEC_GROSS_2,MEAN,QUARTERLY_ROLL,2025/3F,45993,,,'')&lt;/Q&gt;&lt;R&gt;1&lt;/R&gt;&lt;C&gt;1&lt;/C&gt;&lt;D xsi:type="xsd:double"&gt;255.22388&lt;/D&gt;&lt;/FQL&gt;&lt;FQL&gt;&lt;Q&gt;SNOW^FE_ESTIMATE(SPEC_GROSS_2,MEAN,QUARTERLY_ROLL,2025/2F,45993,,,'')&lt;/Q&gt;&lt;R&gt;1&lt;/R&gt;&lt;C&gt;1&lt;/C&gt;&lt;D xsi:type="xsd:double"&gt;69.0735&lt;/D&gt;&lt;/FQL&gt;&lt;FQL&gt;&lt;Q&gt;SNOW^FE_ESTIMATE(SPEC_GROSS_2,MEAN,QUARTERLY_ROLL,2025/1F,45993,,,'')&lt;/Q&gt;&lt;R&gt;1&lt;/R&gt;&lt;C&gt;1&lt;/C&gt;&lt;D xsi:type="xsd:double"&gt;203.88657&lt;/D&gt;&lt;/FQL&gt;&lt;FQL&gt;&lt;Q&gt;SNOW^FE_ESTIMATE(SPEC_GROSS_2,MEAN,ANNUAL_ROLL,2024,45993,,,'')&lt;/Q&gt;&lt;R&gt;1&lt;/R&gt;&lt;C&gt;1&lt;/C&gt;&lt;D xsi:type="xsd:double"&gt;933.22675&lt;/D&gt;&lt;/FQL&gt;&lt;FQL&gt;&lt;Q&gt;SNOW^FE_ESTIMATE(SPEC_GROSS_2,MEAN,QUARTERLY_ROLL,2024/4F,45993,,,'')&lt;/Q&gt;&lt;R&gt;1&lt;/R&gt;&lt;C&gt;1&lt;/C&gt;&lt;D xsi:type="xsd:double"&gt;422.1624&lt;/D&gt;&lt;/FQL&gt;&lt;FQL&gt;&lt;Q&gt;SNOW^FE_ESTIMATE(SPEC_GROSS_2,MEAN,QUARTERLY_ROLL,2024/3F,45993,,,'')&lt;/Q&gt;&lt;R&gt;1&lt;/R&gt;&lt;C&gt;1&lt;/C&gt;&lt;D xsi:type="xsd:double"&gt;86.75257&lt;/D&gt;&lt;/FQL&gt;&lt;FQL&gt;&lt;Q&gt;SNOW^FE_ESTIMATE(SPEC_GROSS_2,MEAN,QUARTERLY_ROLL,2024/2F,45993,,,'')&lt;/Q&gt;&lt;R&gt;1&lt;/R&gt;&lt;C&gt;1&lt;/C&gt;&lt;D xsi:type="xsd:double"&gt;65.66443&lt;/D&gt;&lt;/FQL&gt;&lt;FQL&gt;&lt;Q&gt;SNOW^FE_ESTIMATE(SPEC_GROSS_2,MEAN,QUARTERLY_ROLL,2024/1F,45993,,,'')&lt;/Q&gt;&lt;R&gt;1&lt;/R&gt;&lt;C&gt;1&lt;/C&gt;&lt;D xsi:type="xsd:double"&gt;362.35687&lt;/D&gt;&lt;/FQL&gt;&lt;FQL&gt;&lt;Q&gt;SNOW^FE_ESTIMATE(SPEC_GROSS_2,MEAN,ANNUAL_ROLL,2023,45993,,,'')&lt;/Q&gt;&lt;R&gt;1&lt;/R&gt;&lt;C&gt;1&lt;/C&gt;&lt;D xsi:type="xsd:double"&gt;811.9248&lt;/D&gt;&lt;/FQL&gt;&lt;FQL&gt;&lt;Q&gt;SNOW^FE_ESTIMATE(SPEC_GROSS_2,MEAN,QUARTERLY_ROLL,2023/4F,45993,,,'')&lt;/Q&gt;&lt;R&gt;1&lt;/R&gt;&lt;C&gt;1&lt;/C&gt;&lt;D xsi:type="xsd:double"&gt;326.376&lt;/D&gt;&lt;/FQL&gt;&lt;FQL&gt;&lt;Q&gt;SNOW^FE_ESTIMATE(SPEC_GROSS_2,MEAN,QUARTERLY_ROLL,2023/3F,45993,,,'')&lt;/Q&gt;&lt;R&gt;1&lt;/R&gt;&lt;C&gt;1&lt;/C&gt;&lt;D xsi:type="xsd:double"&gt;110.98071&lt;/D&gt;&lt;/FQL&gt;&lt;FQL&gt;&lt;Q&gt;SNOW^FE_ESTIMATE(SPEC_GROSS_2,MEAN,QUARTERLY_ROLL,2023/2F,45993,,,'')&lt;/Q&gt;&lt;R&gt;1&lt;/R&gt;&lt;C&gt;1&lt;/C&gt;&lt;D xsi:type="xsd:double"&gt;86.773125&lt;/D&gt;&lt;/FQL&gt;&lt;FQL&gt;&lt;Q&gt;SNOW^FE_ESTIMATE(SPEC_GROSS_2,MEAN,QUARTERLY_ROLL,2023/1F,45993,,,'')&lt;/Q&gt;&lt;R&gt;1&lt;/R&gt;&lt;C&gt;1&lt;/C&gt;&lt;D xsi:type="xsd:double"&gt;288.28125&lt;/D&gt;&lt;/FQL&gt;&lt;FQL&gt;&lt;Q&gt;SNOW^FE_ESTIMATE(SPEC_GROSS_2,MEAN,ANNUAL_ROLL,2022,45993,,,'')&lt;/Q&gt;&lt;R&gt;1&lt;/R&gt;&lt;C&gt;1&lt;/C&gt;&lt;D xsi:type="xsd:double"&gt;521.7554&lt;/D&gt;&lt;/FQL&gt;&lt;FQL&gt;&lt;Q&gt;SNOW^FE_ESTIMATE(SPEC_GROSS_2,MEAN,QUARTERLY_ROLL,2022/4F,45993,,,'')&lt;/Q&gt;&lt;R&gt;1&lt;/R&gt;&lt;C&gt;1&lt;/C&gt;&lt;D xsi:type="xsd:double"&gt;215.2286&lt;/D&gt;&lt;/FQL&gt;&lt;FQL&gt;&lt;Q&gt;SNOW^FE_ESTIMATE(SPEC_GROSS_2,MEAN,QUARTERLY_ROLL,2022/3F,45993,,,'')&lt;/Q&gt;&lt;R&gt;1&lt;/R&gt;&lt;C&gt;1&lt;/C&gt;&lt;D xsi:type="xsd:double"&gt;66.36757&lt;/D&gt;&lt;/FQL&gt;&lt;FQL&gt;&lt;Q&gt;SNOW^FE_ESTIMATE(SPEC_GROSS_2,MEAN,QUARTERLY_ROLL,2022/2F,45993,,,'')&lt;/Q&gt;&lt;R&gt;1&lt;/R&gt;&lt;C&gt;1&lt;/C&gt;&lt;D xsi:type="xsd:double"&gt;60.231335&lt;/D&gt;&lt;/FQL&gt;&lt;FQL&gt;&lt;Q&gt;SNOW^FE_ESTIMATE(SPEC_GROSS_2,MEAN,QUARTERLY_ROLL,2022/1F,45993,,,'')&lt;/Q&gt;&lt;R&gt;1&lt;/R&gt;&lt;C&gt;1&lt;/C&gt;&lt;D xsi:type="xsd:double"&gt;181.4205&lt;/D&gt;&lt;/FQL&gt;&lt;FQL&gt;&lt;Q&gt;SNOW^FE_ESTIMATE(SPEC_GROSS_2,MEAN,ANNUAL_ROLL,2021,45993,,,'')&lt;/Q&gt;&lt;R&gt;1&lt;/R&gt;&lt;C&gt;1&lt;/C&gt;&lt;D xsi:type="xsd:double"&gt;149.831&lt;/D&gt;&lt;/FQL&gt;&lt;FQL&gt;&lt;Q&gt;SNOW^FE_ESTIMATE(SPEC_GROSS_2,MEAN,QUARTERLY_ROLL,2021/4F,45993,,,'')&lt;/Q&gt;&lt;R&gt;1&lt;/R&gt;&lt;C&gt;1&lt;/C&gt;&lt;D xsi:type="xsd:double"&gt;102.104&lt;/D&gt;&lt;/FQL&gt;&lt;FQL&gt;&lt;Q&gt;SNOW^FE_ESTIMATE(SPEC_GROSS_2,MEAN,QUARTERLY_ROLL,2021/3F,45993,,,'')&lt;/Q&gt;&lt;R&gt;1&lt;/R&gt;&lt;C&gt;1&lt;/C&gt;&lt;D xsi:type="xsd:double"&gt;21.526&lt;/D&gt;&lt;/FQL&gt;&lt;FQL&gt;&lt;Q&gt;SNOW^FE_ESTIMATE(SPEC_GROSS_2,MEAN,QUARTERLY_ROLL,2021/2F,45993,,,'')&lt;/Q&gt;&lt;R&gt;1&lt;/R&gt;&lt;C&gt;1&lt;/C&gt;&lt;D xsi:type="xsd:double"&gt;2.812&lt;/D&gt;&lt;/FQL&gt;&lt;FQL&gt;&lt;Q&gt;SNOW^FE_ESTIMATE(SPEC_GROSS_2,MEAN,QUARTERLY_ROLL,2021/1F,45993,,,'')&lt;/Q&gt;&lt;R&gt;1&lt;/R&gt;&lt;C&gt;1&lt;/C&gt;&lt;D xsi:type="xsd:double"&gt;23.389&lt;/D&gt;&lt;/FQL&gt;&lt;FQL&gt;&lt;Q&gt;SNOW^FE_ESTIMATE(SPEC_GROSS_2,MEAN,ANNUAL_ROLL,2020,45993,,,'')&lt;/Q&gt;&lt;R&gt;1&lt;/R&gt;&lt;C&gt;1&lt;/C&gt;&lt;D xsi:type="xsd:double"&gt;-71.611&lt;/D&gt;&lt;/FQL&gt;&lt;FQL&gt;&lt;Q&gt;SNOW^FE_ESTIMATE(SPEC_GROSS_2,MEAN,QUARTERLY_ROLL,2020/4F,45993,,,'')&lt;/Q&gt;&lt;R&gt;1&lt;/R&gt;&lt;C&gt;1&lt;/C&gt;&lt;D xsi:type="xsd:double"&gt;17.256&lt;/D&gt;&lt;/FQL&gt;&lt;FQL&gt;&lt;Q&gt;SNOW^FE_ESTIMATE(SPEC_GROSS_2,MEAN,QUARTERLY_ROLL,2020/3F,45993,,,'')&lt;/Q&gt;&lt;R&gt;0&lt;/R&gt;&lt;C&gt;0&lt;/C&gt;&lt;/FQL&gt;&lt;FQL&gt;&lt;Q&gt;SNOW^FE_ESTIMATE(SPEC_GROSS_2,MEAN,QUARTERLY_ROLL,2020/2F,45993,,,'')&lt;/Q&gt;&lt;R&gt;0&lt;/R&gt;&lt;C&gt;0&lt;/C&gt;&lt;/FQL&gt;&lt;FQL&gt;&lt;Q&gt;SNOW^FE_ESTIMATE(SPEC_GROSS_2,MEAN,QUARTERLY_ROLL,2020/1F,45993,,,'')&lt;/Q&gt;&lt;R&gt;0&lt;/R&gt;&lt;C&gt;0&lt;/C&gt;&lt;/FQL&gt;&lt;FQL&gt;&lt;Q&gt;SNOW^FE_ESTIMATE(SPEC_GROSS_2,MEAN,ANNUAL_ROLL,2019,45993,,,'')&lt;/Q&gt;&lt;R&gt;0&lt;/R&gt;&lt;C&gt;0&lt;/C&gt;&lt;/FQL&gt;&lt;FQL&gt;&lt;Q&gt;SNOW^FE_ESTIMATE(SPEC_GROSS_2,MEAN,QUARTERLY_ROLL,2019/4F,45993,,,'')&lt;/Q&gt;&lt;R&gt;0&lt;/R&gt;&lt;C&gt;0&lt;/C&gt;&lt;/FQL&gt;&lt;FQL&gt;&lt;Q&gt;SNOW^FE_ESTIMATE(SPEC_GROSS_2,MEAN,QUARTERLY_ROLL,2019/3F,45993,,,'')&lt;/Q&gt;&lt;R&gt;0&lt;/R&gt;&lt;C&gt;0&lt;/C&gt;&lt;/FQL&gt;&lt;FQL&gt;&lt;Q&gt;SNOW^FE_ESTIMATE(SPEC_GROSS_2,MEAN,QUARTERLY_ROLL,2019/2F,45993,,,'')&lt;/Q&gt;&lt;R&gt;0&lt;/R&gt;&lt;C&gt;0&lt;/C&gt;&lt;/FQL&gt;&lt;FQL&gt;&lt;Q&gt;SNOW^FE_ESTIMATE(SPEC_GROSS_2,MEAN,QUARTERLY_ROLL,2019/1F,45993,,,'')&lt;/Q&gt;&lt;R&gt;0&lt;/R&gt;&lt;C&gt;0&lt;/C&gt;&lt;/FQL&gt;&lt;FQL&gt;&lt;Q&gt;SNOW^FE_ESTIMATE(SPEC_GROSS_2,MEAN,ANNUAL_ROLL,2018,45993,,,'')&lt;/Q&gt;&lt;R&gt;0&lt;/R&gt;&lt;C&gt;0&lt;/C&gt;&lt;/FQL&gt;&lt;FQL&gt;&lt;Q&gt;SNOW^FE_ESTIMATE(SPEC_GROSS_2,MEAN,QUARTERLY_ROLL,2018/4F,45993,,,'')&lt;/Q&gt;&lt;R&gt;0&lt;/R&gt;&lt;C&gt;0&lt;/C&gt;&lt;/FQL&gt;&lt;FQL&gt;&lt;Q&gt;SNOW^FE_ESTIMATE(SPEC_GROSS_2,MEAN,QUARTERLY_ROLL,2018/3F,45993,,,'')&lt;/Q&gt;&lt;R&gt;0&lt;/R&gt;&lt;C&gt;0&lt;/C&gt;&lt;/FQL&gt;&lt;FQL&gt;&lt;Q&gt;SNOW^FE_ESTIMATE(SPEC_GROSS_2,MEAN,QUARTERLY_ROLL,2018/2F,45993,,,'')&lt;/Q&gt;&lt;R&gt;0&lt;/R&gt;&lt;C&gt;0&lt;/C&gt;&lt;/FQL&gt;&lt;FQL&gt;&lt;Q&gt;SNOW^FE_ESTIMATE(SPEC_GROSS_2,MEAN,QUARTERLY_ROLL,2018/1F,45993,,,'')&lt;/Q&gt;&lt;R&gt;0&lt;/R&gt;&lt;C&gt;0&lt;/C&gt;&lt;/FQL&gt;&lt;FQL&gt;&lt;Q&gt;SNOW^FE_ESTIMATE(SPEC_GROSS_2,MEAN,ANNUAL_ROLL,2017,45993,,,'')&lt;/Q&gt;&lt;R&gt;0&lt;/R&gt;&lt;C&gt;0&lt;/C&gt;&lt;/FQL&gt;&lt;FQL&gt;&lt;Q&gt;SNOW^FE_ESTIMATE(SPEC_GROSS_2,MEAN,QUARTERLY_ROLL,2017/4F,45993,,,'')&lt;/Q&gt;&lt;R&gt;0&lt;/R&gt;&lt;C&gt;0&lt;/C&gt;&lt;/FQL&gt;&lt;FQL&gt;&lt;Q&gt;SNOW^FE_ESTIMATE(SPEC_GROSS_2,MEAN,QUARTERLY_ROLL,2017/3F,45993,,,'')&lt;/Q&gt;&lt;R&gt;0&lt;/R&gt;&lt;C&gt;0&lt;/C&gt;&lt;/FQL&gt;&lt;FQL&gt;&lt;Q&gt;SNOW^FE_ESTIMATE(SPEC_GROSS_2,MEAN,QUARTERLY_ROLL,2017/2F,45993,,,'')&lt;/Q&gt;&lt;R&gt;0&lt;/R&gt;&lt;C&gt;0&lt;/C&gt;&lt;/FQL&gt;&lt;FQL&gt;&lt;Q&gt;SNOW^FE_ESTIMATE(SPEC_GROSS_2,MEAN,QUARTERLY_ROLL,2017/1F,45993,,,'')&lt;/Q&gt;&lt;R&gt;0&lt;/R&gt;&lt;C&gt;0&lt;/C&gt;&lt;/FQL&gt;&lt;FQL&gt;&lt;Q&gt;SNOW^FE_ESTIMATE(SPEC_GROSS_2,MEAN,ANNUAL_ROLL,2016,45993,,,'')&lt;/Q&gt;&lt;R&gt;0&lt;/R&gt;&lt;C&gt;0&lt;/C&gt;&lt;/FQL&gt;&lt;FQL&gt;&lt;Q&gt;SNOW^FE_ESTIMATE(SPEC_GROSS_2,MEAN,QUARTERLY_ROLL,2016/4F,45993,,,'')&lt;/Q&gt;&lt;R&gt;0&lt;/R&gt;&lt;C&gt;0&lt;/C&gt;&lt;/FQL&gt;&lt;FQL&gt;&lt;Q&gt;SNOW^FE_ESTIMATE(SPEC_GROSS_2,MEAN,QUARTERLY_ROLL,2016/3F,45993,,,'')&lt;/Q&gt;&lt;R&gt;0&lt;/R&gt;&lt;C&gt;0&lt;/C&gt;&lt;/FQL&gt;&lt;FQL&gt;&lt;Q&gt;SNOW^FE_ESTIMATE(SPEC_GROSS_2,MEAN,QUARTERLY_ROLL,2016/2F,45993,,,'')&lt;/Q&gt;&lt;R&gt;0&lt;/R&gt;&lt;C&gt;0&lt;/C&gt;&lt;/FQL&gt;&lt;FQL&gt;&lt;Q&gt;SNOW^FE_ESTIMATE(SPEC_GROSS_2,MEAN,QUARTERLY_ROLL,2016/1F,45993,,,'')&lt;/Q&gt;&lt;R&gt;0&lt;/R&gt;&lt;C&gt;0&lt;/C&gt;&lt;/FQL&gt;&lt;FQL&gt;&lt;Q&gt;SNOW^FE_ESTIMATE(SPEC_GROSS_2,MEAN,ANNUAL_ROLL,2015,45993,,,'')&lt;/Q&gt;&lt;R&gt;0&lt;/R&gt;&lt;C&gt;0&lt;/C&gt;&lt;/FQL&gt;&lt;FQL&gt;&lt;Q&gt;SNOW^FE_ESTIMATE(SPEC_GROSS_2,MEAN,QUARTERLY_ROLL,2015/4F,45993,,,'')&lt;/Q&gt;&lt;R&gt;0&lt;/R&gt;&lt;C&gt;0&lt;/C&gt;&lt;/FQL&gt;&lt;FQL&gt;&lt;Q&gt;SNOW^FE_ESTIMATE(SPEC_GROSS_2,MEAN,QUARTERLY_ROLL,2015/3F,45993,,,'')&lt;/Q&gt;&lt;R&gt;0&lt;/R&gt;&lt;C&gt;0&lt;/C&gt;&lt;/FQL&gt;&lt;FQL&gt;&lt;Q&gt;SNOW^FE_ESTIMATE(SPEC_GROSS_2,MEAN,QUARTERLY_ROLL,2015/2F,45993,,,'')&lt;/Q&gt;&lt;R&gt;0&lt;/R&gt;&lt;C&gt;0&lt;/C&gt;&lt;/FQL&gt;&lt;FQL&gt;&lt;Q&gt;SNOW^FE_ESTIMATE(SPEC_GROSS_2,MEAN,QUARTERLY_ROLL,2015/1F,45993,,,'')&lt;/Q&gt;&lt;R&gt;0&lt;/R&gt;&lt;C&gt;0&lt;/C&gt;&lt;/FQL&gt;&lt;FQL&gt;&lt;Q&gt;SNOW^FE_ESTIMATE(SUBSCRIBERS_NB,MEAN,ANNUAL_ROLL,2027,45993,,,'')&lt;/Q&gt;&lt;R&gt;1&lt;/R&gt;&lt;C&gt;1&lt;/C&gt;&lt;D xsi:type="xsd:double"&gt;16615.5&lt;/D&gt;&lt;/FQL&gt;&lt;FQL&gt;&lt;Q&gt;SNOW^FE_ESTIMATE(SUBSCRIBERS_NB,MEAN,QUARTERLY_ROLL,2027/4F,45993,,,'')&lt;/Q&gt;&lt;R&gt;1&lt;/R&gt;&lt;C&gt;1&lt;/C&gt;&lt;D xsi:type="xsd:double"&gt;16922&lt;/D&gt;&lt;/FQL&gt;&lt;FQL&gt;&lt;Q&gt;SNOW^FE_ESTIMATE(SUBSCRIBERS_NB,MEAN,QUARTERLY_ROLL,2027/3F,45993,,,'')&lt;/Q&gt;&lt;R&gt;1&lt;/R&gt;&lt;C&gt;1&lt;/C&gt;&lt;D xsi:type="xsd:double"&gt;16322&lt;/D&gt;&lt;/FQL&gt;&lt;FQL&gt;&lt;Q&gt;SNOW^FE_ESTIMATE(SUBSCRIBERS_NB,MEAN,QUARTERLY_ROLL,2027/2F,45993,,,'')&lt;/Q&gt;&lt;R&gt;1&lt;/R&gt;&lt;C&gt;1&lt;/C&gt;&lt;D xsi:type="xsd:double"&gt;15722&lt;/D&gt;&lt;/FQL&gt;&lt;FQL&gt;&lt;Q&gt;SNOW^FE_ESTIMATE(SUBSCRIBERS_NB,MEAN,QUARTERLY_ROLL,2027/1F,45993,,,'')&lt;/Q&gt;&lt;R&gt;1&lt;/R&gt;&lt;C&gt;1&lt;/C&gt;&lt;D xsi:type="xsd:double"&gt;15122&lt;/D&gt;&lt;/FQL&gt;&lt;FQL&gt;&lt;Q&gt;SNOW^FE_ESTIMATE(SUBSCRIBERS_NB,MEAN,ANNUAL_ROLL,2026,45993,,,'')&lt;/Q&gt;&lt;R&gt;1&lt;/R&gt;&lt;C&gt;1&lt;/C&gt;&lt;D xsi:type="xsd:double"&gt;14539.143&lt;/D&gt;&lt;/FQL&gt;&lt;FQL&gt;&lt;Q&gt;SNOW^FE_ESTIMATE(SUBSCRIBERS_NB,MEAN,QUARTERLY_ROLL,2026/4F,45993,,,'')&lt;/Q&gt;&lt;R&gt;1&lt;/R&gt;&lt;C&gt;1&lt;/C&gt;&lt;D xsi:type="xsd:double"&gt;14640.5&lt;/D&gt;&lt;/FQL&gt;&lt;FQL&gt;&lt;Q&gt;SNOW^FE_ESTIMATE(SUBSCRIBERS_NB,MEAN,QUARTERLY_ROLL,2026/3F,45993,,,'')&lt;/Q&gt;&lt;R&gt;1&lt;/R&gt;&lt;C&gt;1&lt;/C&gt;&lt;D xsi:type="xsd:double"&gt;14144.5&lt;/D&gt;&lt;/FQL&gt;&lt;FQL&gt;&lt;Q&gt;SNOW^FE_ESTIMATE(SUBSCRIBERS_NB,MEAN,QUARTERLY_ROLL,2026/2F,45993,,,'')&lt;/Q&gt;&lt;R&gt;1&lt;/R&gt;&lt;C&gt;1&lt;/C&gt;&lt;D xsi:type="xsd:double"&gt;13792.667&lt;/D&gt;&lt;/FQL&gt;&lt;FQL&gt;&lt;Q&gt;SNOW^FE_ESTIMATE(SUBSCRIBERS_NB,MEAN,QUARTERLY_ROLL,2026/1F,45993,,,'')&lt;/Q&gt;&lt;R&gt;1&lt;/R&gt;&lt;C&gt;1&lt;/C&gt;&lt;D xsi:type="xsd:double"&gt;13330.167&lt;/D&gt;&lt;/FQL&gt;&lt;FQL&gt;&lt;Q&gt;SNOW^FE_ESTIMATE(SUBSCRIBERS_NB,MEAN,ANNUAL_ROLL,2025,45993,,,'')&lt;/Q&gt;&lt;R&gt;1&lt;/R&gt;&lt;C&gt;1&lt;/C&gt;&lt;D xsi:type="xsd:double"&gt;12874.429&lt;/D&gt;&lt;/FQL&gt;&lt;FQL&gt;&lt;Q&gt;SNOW^FE_ESTIMATE(SUBSCRIBERS_NB,MEAN,QUARTERLY_ROLL,2025/4F,45993,,,'')&lt;/Q&gt;&lt;R&gt;1&lt;/R&gt;&lt;C&gt;1&lt;/C&gt;&lt;D xsi:type="xsd:double"&gt;12911.111&lt;/D&gt;&lt;/FQL&gt;&lt;FQL&gt;&lt;Q&gt;SNOW^FE_ESTIMATE(SUBSCRIBERS_NB,MEAN,QUARTERLY_ROLL,2025/3F,45993,,,'')&lt;/Q&gt;&lt;R&gt;1&lt;/R&gt;&lt;C&gt;1&lt;/C&gt;&lt;D xsi:type="xsd:double"&gt;12438.444&lt;/D&gt;&lt;/FQL&gt;&lt;FQL&gt;&lt;Q&gt;SNOW^FE_ESTIMATE(SUBSCRIBERS_NB,MEAN,QUARTERLY_ROLL,2025/2F,45993,,,'')&lt;/Q&gt;&lt;R&gt;1&lt;/R&gt;&lt;C&gt;1&lt;/C&gt;&lt;D xsi:type="xsd:double"&gt;12062&lt;/D&gt;&lt;/FQL&gt;&lt;FQL&gt;&lt;Q&gt;SNOW^FE_ESTIMATE(SUBSCRIBERS_NB,MEAN,QUARTERLY_ROLL,2025/1F,45993,,,'')&lt;/Q&gt;&lt;R&gt;1&lt;/R&gt;&lt;C&gt;1&lt;/C&gt;&lt;D xsi:type="xsd:double"&gt;11578&lt;/D&gt;&lt;/FQL&gt;&lt;FQL&gt;&lt;Q&gt;SNOW^FE_ESTIMATE(SUBSCRIBERS_NB,MEAN,ANNUAL_ROLL,2024,45993,,,'')&lt;/Q&gt;&lt;R&gt;1&lt;/R&gt;&lt;C&gt;1&lt;/C&gt;&lt;D xsi:type="xsd:double"&gt;11159&lt;/D&gt;&lt;/FQL&gt;&lt;FQL&gt;&lt;Q&gt;SNOW^FE_ESTIMATE(SUBSCRIBERS_NB,MEAN,QUARTERLY_ROLL,2024/4F,45993,,,'')&lt;/Q&gt;&lt;R&gt;1&lt;/R&gt;&lt;C&gt;1&lt;/C&gt;&lt;D xsi:type="xsd:double"&gt;11159&lt;/D&gt;&lt;/FQL&gt;&lt;FQL&gt;&lt;Q&gt;SNOW^FE_ESTIMATE(SUBSCRIBERS_NB,MEAN,QUARTERLY_ROLL,2024/3F,45993,,,'')&lt;/Q&gt;&lt;R&gt;1&lt;/R&gt;&lt;C&gt;1&lt;/C&gt;&lt;D xsi:type="xsd:double"&gt;10618&lt;/D&gt;&lt;/FQL&gt;&lt;FQL&gt;&lt;Q&gt;SNOW^FE_ESTIMATE(SUBSCRIBERS_NB,MEAN,QUARTERLY_ROLL,2024/2F,45993,,,'')&lt;/Q&gt;&lt;R&gt;1&lt;/R&gt;&lt;C&gt;1&lt;/C&gt;&lt;D xsi:type="xsd:double"&gt;10249&lt;/D&gt;&lt;/FQL&gt;&lt;FQL&gt;&lt;Q&gt;SNOW^FE_ESTIMATE(SUBSCRIBERS_NB,MEAN,QUARTERLY_ROLL,2024/1F,45993,,,'')&lt;/Q&gt;&lt;R&gt;1&lt;/R&gt;&lt;C&gt;1&lt;/C&gt;&lt;D xsi:type="xsd:double"&gt;9822&lt;/D&gt;&lt;/FQL&gt;&lt;FQL&gt;&lt;Q&gt;SNOW^FE_ESTIMATE(SUBSCRIBERS_NB,MEAN,ANNUAL_ROLL,2023,45993,,,'')&lt;/Q&gt;&lt;R&gt;1&lt;/R&gt;&lt;C&gt;1&lt;/C&gt;&lt;D xsi:type="xsd:double"&gt;9437&lt;/D&gt;&lt;/FQL&gt;&lt;FQL&gt;&lt;Q&gt;SNOW^FE_ESTIMATE(SUBSCRIBERS_NB,MEAN,QUARTERLY_ROLL,2023/4F,45993,,,'')&lt;/Q&gt;&lt;R&gt;1&lt;/R&gt;&lt;C&gt;1&lt;/C&gt;&lt;D xsi:type="xsd:double"&gt;9437&lt;/D&gt;&lt;/FQL&gt;&lt;FQL&gt;&lt;Q&gt;SNOW^FE_ESTIMATE(SUBSCRIBERS_NB,MEAN,QUARTERLY_ROLL,2023/3F,45993,,,'')&lt;/Q&gt;&lt;R&gt;1&lt;/R&gt;&lt;C&gt;1&lt;/C&gt;&lt;D xsi:type="xsd:double"&gt;8907&lt;/D&gt;&lt;/FQL&gt;&lt;FQL&gt;&lt;Q&gt;SNOW^FE_ESTIMATE(SUBSCRIBERS_NB,MEAN,QUARTERLY_ROLL,2023/2F,45993,,,'')&lt;/Q&gt;&lt;R&gt;1&lt;/R&gt;&lt;C&gt;1&lt;/C&gt;&lt;D xsi:type="xsd:double"&gt;8530.333&lt;/D&gt;&lt;/FQL&gt;&lt;FQL&gt;&lt;Q&gt;SNOW^FE_ESTIMATE(SUBSCRIBERS_NB,MEAN,QUARTERLY_ROLL,2023/1F,45993,,,'')&lt;/Q&gt;&lt;R&gt;1&lt;/R&gt;&lt;C&gt;1&lt;/C&gt;&lt;D xsi:type="xsd:double"&gt;8167&lt;/D&gt;&lt;/FQL&gt;&lt;FQL&gt;&lt;Q&gt;SNOW^FE_ESTIMATE(SUBSCRIBERS_NB,MEAN,ANNUAL_ROLL,2022,45993,,,'')&lt;/Q&gt;&lt;R&gt;1&lt;/R&gt;&lt;C&gt;1&lt;/C&gt;&lt;D xsi:type="xsd:double"&gt;7828&lt;/D&gt;&lt;/FQL&gt;&lt;FQL&gt;&lt;Q&gt;SNOW^FE_ESTIMATE(SUBSCRIBERS_NB,MEAN,QUARTERLY_ROLL,2022/4F,45993,,,'')&lt;/Q&gt;&lt;R&gt;1&lt;/R&gt;&lt;C&gt;1&lt;/C&gt;&lt;D xsi:type="xsd:double"&gt;7828&lt;/D&gt;&lt;/FQL&gt;&lt;FQL&gt;&lt;Q&gt;SNOW^FE_ESTIMATE(SUBSCRIBERS_NB,MEAN,QUARTERLY_ROLL,2022/3F,45993,,,'')&lt;/Q&gt;&lt;R&gt;1&lt;/R&gt;&lt;C&gt;1&lt;/C&gt;&lt;D xsi:type="xsd:double"&gt;7292&lt;/D&gt;&lt;/FQL&gt;&lt;FQL&gt;&lt;Q&gt;SNOW^FE_ESTIMATE(SUBSCRIBERS_NB,MEAN,QUARTERLY_ROLL,2022/2F,45993,,,'')&lt;/Q&gt;&lt;R&gt;1&lt;/R&gt;&lt;C&gt;1&lt;/C&gt;&lt;D xsi:type="xsd:double"&gt;6808&lt;/D&gt;&lt;/FQL&gt;&lt;FQL&gt;&lt;Q&gt;SNOW^FE_ESTIMATE(SUBSCRIBERS_NB,MEAN,QUARTERLY_ROLL,2022/1F,45993,,,'')&lt;/Q&gt;&lt;R&gt;1&lt;/R&gt;&lt;C&gt;1&lt;/C&gt;&lt;D xsi:type="xsd:double"&gt;6322&lt;/D&gt;&lt;/FQL&gt;&lt;FQL&gt;&lt;Q&gt;SNOW^FE_ESTIMATE(SUBSCRIBERS_NB,MEAN,ANNUAL_ROLL,2021,45993,,,'')&lt;/Q&gt;&lt;R&gt;1&lt;/R&gt;&lt;C&gt;1&lt;/C&gt;&lt;D xsi:type="xsd:double"&gt;5944&lt;/D&gt;&lt;/FQL&gt;&lt;FQL&gt;&lt;Q&gt;SNOW^FE_ESTIMATE(SUBSCRIBERS_NB,MEAN,QUARTERLY_ROLL,2021/4F,45993,,,'')&lt;/Q&gt;&lt;R&gt;1&lt;/R&gt;&lt;C&gt;1&lt;/C&gt;&lt;D xsi:type="xsd:double"&gt;5944&lt;/D&gt;&lt;/FQL&gt;&lt;FQL&gt;&lt;Q&gt;SNOW^FE_ESTIMATE(SUBSCRIBERS_NB,MEAN,QUARTERLY_ROLL,2021/3F,45993,,,'')&lt;/Q&gt;&lt;R&gt;1&lt;/R&gt;&lt;C&gt;1&lt;/C&gt;&lt;D xsi:type="xsd:double"&gt;5416&lt;/D&gt;&lt;/FQL&gt;&lt;FQL&gt;&lt;Q&gt;SNOW^FE_ESTIMATE(SUBSCRIBERS_NB,MEAN,QUARTERLY_ROLL,2021/2F,45993,,,'')&lt;/Q&gt;&lt;R&gt;1&lt;/R&gt;&lt;C&gt;1&lt;/C&gt;&lt;D xsi:type="xsd:double"&gt;4990&lt;/D&gt;&lt;/FQL&gt;&lt;FQL&gt;&lt;Q&gt;SNOW^FE_ESTIMATE(SUBSCRIBERS_NB,MEAN,QUARTERLY_ROLL,2021/1F,45993,,,'')&lt;/Q&gt;&lt;R&gt;1&lt;/R&gt;&lt;C&gt;1&lt;/C&gt;&lt;D xsi:type="xsd:double"&gt;4532&lt;/D&gt;&lt;/FQL&gt;&lt;FQL&gt;&lt;Q&gt;SNOW^FE_ESTIMATE(SUBSCRIBERS_NB,MEAN,ANNUAL_ROLL,2020,45993,,,'')&lt;/Q&gt;&lt;R&gt;1&lt;/R&gt;&lt;C&gt;1&lt;/C&gt;&lt;D xsi:type="xsd:double"&gt;4138.3335&lt;/D&gt;&lt;/FQL&gt;&lt;FQL&gt;&lt;Q&gt;SNOW^FE_ESTIMATE(SUBSCRIBERS_NB,MEAN,QUARTERLY_ROLL,2020/4F,45993,,,'')&lt;/Q&gt;&lt;R&gt;1&lt;/R&gt;&lt;C&gt;1&lt;/C&gt;&lt;D xsi:type="xsd:double"&gt;4138.3335&lt;/D&gt;&lt;/FQL&gt;&lt;FQL&gt;&lt;Q&gt;SNOW^FE_ESTIMATE(SUBSCRIBERS_NB,MEAN,QUARTERLY_ROLL,2020/3F,45993,,,'')&lt;/Q&gt;&lt;R&gt;1&lt;/R&gt;&lt;C&gt;1&lt;/C&gt;&lt;D xsi:type="xsd:double"&gt;3554&lt;/D&gt;&lt;/FQL&gt;&lt;FQL&gt;&lt;Q&gt;SNOW^FE_ESTIMATE(SUBSCRIBERS_NB,MEAN,QUARTERLY_ROLL,2020/2F,45993,,,'')&lt;/Q&gt;&lt;R&gt;1&lt;/R&gt;&lt;C&gt;1&lt;/C&gt;&lt;D xsi:type="xsd:double"&gt;3116&lt;/D&gt;&lt;/FQL&gt;&lt;FQL&gt;&lt;Q&gt;SNOW^FE_ESTIMATE(SUBSCRIBERS_NB,MEAN,QUARTERLY_ROLL,2020/1F,45993,,,'')&lt;/Q&gt;&lt;R&gt;0&lt;/R&gt;&lt;C&gt;0&lt;/C&gt;&lt;/FQL&gt;&lt;FQL&gt;&lt;Q&gt;SNOW^FE_ESTIMATE(SUBSCRIBERS_NB,MEAN,ANNUAL_ROLL,2019,45993,,,'')&lt;/Q&gt;&lt;R&gt;0&lt;/R&gt;&lt;C&gt;0&lt;/C&gt;&lt;/FQL&gt;&lt;FQL&gt;&lt;Q&gt;SNOW^FE_ESTIMATE(SUBSCRIBERS_NB,MEAN,QUARTERLY_ROLL,2019/4F,45993,,,'')&lt;/Q&gt;&lt;R&gt;0&lt;/R&gt;&lt;C&gt;0&lt;/C&gt;&lt;/FQL&gt;&lt;FQL&gt;&lt;Q&gt;SNOW^FE_ESTIMATE(SUBSCRIBERS_NB,MEAN,QUARTERLY_ROLL,2019/3F,45993,,,'')&lt;/Q&gt;&lt;R&gt;0&lt;/R&gt;&lt;C&gt;0&lt;/C&gt;&lt;/FQL&gt;&lt;FQL&gt;&lt;Q&gt;SNOW^FE_ESTIMATE(SUBSCRIBERS_NB,MEAN,QUARTERLY_ROLL,2019/2F,45993,,,'')&lt;/Q&gt;&lt;R&gt;0&lt;/R&gt;&lt;C&gt;0&lt;/C&gt;&lt;/FQL&gt;&lt;FQL&gt;&lt;Q&gt;SNOW^FE_ESTIMATE(SUBSCRIBERS_NB,MEAN,QUARTERLY_ROLL,2019/1F,45993,,,'')&lt;/Q&gt;&lt;R&gt;0&lt;/R&gt;&lt;C&gt;0&lt;/C&gt;&lt;/FQL&gt;&lt;FQL&gt;&lt;Q&gt;SNOW^FE_ESTIMATE(SUBSCRIBERS_NB,MEAN,ANNUAL_ROLL,2018,45993,,,'')&lt;/Q&gt;&lt;R&gt;0&lt;/R&gt;&lt;C&gt;0&lt;/C&gt;&lt;/FQL&gt;&lt;FQL&gt;&lt;Q&gt;SNOW^FE_ESTIMATE(SUBSCRIBERS_NB,MEAN,QUARTERLY_ROLL,2018/4F,45993,,,'')&lt;/Q&gt;&lt;R&gt;0&lt;/R&gt;&lt;C&gt;0&lt;/C&gt;&lt;/FQL&gt;&lt;FQL&gt;&lt;Q&gt;SNOW^FE_ESTIMATE(SUBSCRIBERS_NB,MEAN,QUARTERLY_ROLL,2018/3F,45993,,,'')&lt;/Q&gt;&lt;R&gt;0&lt;/R&gt;&lt;C&gt;0&lt;/C&gt;&lt;/FQL&gt;&lt;FQL&gt;&lt;Q&gt;SNOW^FE_ESTIMATE(SUBSCRIBERS_NB,MEAN,QUARTERLY_ROLL,2018/2F,45993,,,'')&lt;/Q&gt;&lt;R&gt;0&lt;/R&gt;&lt;C&gt;0&lt;/C&gt;&lt;/FQL&gt;&lt;FQL&gt;&lt;Q&gt;SNOW^FE_ESTIMATE(SUBSCRIBERS_NB,MEAN,QUARTERLY_ROLL,2018/1F,45993,,,'')&lt;/Q&gt;&lt;R&gt;0&lt;/R&gt;&lt;C&gt;0&lt;/C&gt;&lt;/FQL&gt;&lt;FQL&gt;&lt;Q&gt;SNOW^FE_ESTIMATE(SUBSCRIBERS_NB,MEAN,ANNUAL_ROLL,2017,45993,,,'')&lt;/Q&gt;&lt;R&gt;0&lt;/R&gt;&lt;C&gt;0&lt;/C&gt;&lt;/FQL&gt;&lt;FQL&gt;&lt;Q&gt;SNOW^FE_ESTIMATE(SUBSCRIBERS_NB,MEAN,QUARTERLY_ROLL,2017/4F,45993,,,'')&lt;/Q&gt;&lt;R&gt;0&lt;/R&gt;&lt;C&gt;0&lt;/C&gt;&lt;/FQL&gt;&lt;FQL&gt;&lt;Q&gt;SNOW^FE_ESTIMATE(SUBSCRIBERS_NB,MEAN,QUARTERLY_ROLL,2017/3F,45993,,,'')&lt;/Q&gt;&lt;R&gt;0&lt;/R&gt;&lt;C&gt;0&lt;/C&gt;&lt;/FQL&gt;&lt;FQL&gt;&lt;Q&gt;SNOW^FE_ESTIMATE(SUBSCRIBERS_NB,MEAN,QUARTERLY_ROLL,2017/2F,45993,,,'')&lt;/Q&gt;&lt;R&gt;0&lt;/R&gt;&lt;C&gt;0&lt;/C&gt;&lt;/FQL&gt;&lt;FQL&gt;&lt;Q&gt;SNOW^FE_ESTIMATE(SUBSCRIBERS_NB,MEAN,QUARTERLY_ROLL,2017/1F,45993,,,'')&lt;/Q&gt;&lt;R&gt;0&lt;/R&gt;&lt;C&gt;0&lt;/C&gt;&lt;/FQL&gt;&lt;FQL&gt;&lt;Q&gt;SNOW^FE_ESTIMATE(SUBSCRIBERS_NB,MEAN,ANNUAL_ROLL,2016,45993,,,'')&lt;/Q&gt;&lt;R&gt;0&lt;/R&gt;&lt;C&gt;0&lt;/C&gt;&lt;/FQL&gt;&lt;FQL&gt;&lt;Q&gt;SNOW^FE_ESTIMATE(SUBSCRIBERS_NB,MEAN,QUARTERLY_ROLL,2016/4F,45993,,,'')&lt;/Q&gt;&lt;R&gt;0&lt;/R&gt;&lt;C&gt;0&lt;/C&gt;&lt;/FQL&gt;&lt;FQL&gt;&lt;Q&gt;SNOW^FE_ESTIMATE(SUBSCRIBERS_NB,MEAN,QUARTERLY_ROLL,2016/3F,45993,,,'')&lt;/Q&gt;&lt;R&gt;0&lt;/R&gt;&lt;C&gt;0&lt;/C&gt;&lt;/FQL&gt;&lt;FQL&gt;&lt;Q&gt;SNOW^FE_ESTIMATE(SUBSCRIBERS_NB,MEAN,QUARTERLY_ROLL,2016/2F,45993,,,'')&lt;/Q&gt;&lt;R&gt;0&lt;/R&gt;&lt;C&gt;0&lt;/C&gt;&lt;/FQL&gt;&lt;FQL&gt;&lt;Q&gt;SNOW^FE_ESTIMATE(SUBSCRIBERS_NB,MEAN,QUARTERLY_ROLL,2016/1F,45993,,,'')&lt;/Q&gt;&lt;R&gt;0&lt;/R&gt;&lt;C&gt;0&lt;/C&gt;&lt;/FQL&gt;&lt;FQL&gt;&lt;Q&gt;SNOW^FE_ESTIMATE(SUBSCRIBERS_NB,MEAN,ANNUAL_ROLL,2015,45993,,,'')&lt;/Q&gt;&lt;R&gt;0&lt;/R&gt;&lt;C&gt;0&lt;/C&gt;&lt;/FQL&gt;&lt;FQL&gt;&lt;Q&gt;SNOW^FE_ESTIMATE(SUBSCRIBERS_NB,MEAN,QUARTERLY_ROLL,2015/4F,45993,,,'')&lt;/Q&gt;&lt;R&gt;0&lt;/R&gt;&lt;C&gt;0&lt;/C&gt;&lt;/FQL&gt;&lt;FQL&gt;&lt;Q&gt;SNOW^FE_ESTIMATE(SUBSCRIBERS_NB,MEAN,QUARTERLY_ROLL,2015/3F,45993,,,'')&lt;/Q&gt;&lt;R&gt;0&lt;/R&gt;&lt;C&gt;0&lt;/C&gt;&lt;/FQL&gt;&lt;FQL&gt;&lt;Q&gt;SNOW^FE_ESTIMATE(SUBSCRIBERS_NB,MEAN,QUARTERLY_ROLL,2015/2F,45993,,,'')&lt;/Q&gt;&lt;R&gt;0&lt;/R&gt;&lt;C&gt;0&lt;/C&gt;&lt;/FQL&gt;&lt;FQL&gt;&lt;Q&gt;SNOW^FE_ESTIMATE(SUBSCRIBERS_NB,MEAN,QUARTERLY_ROLL,2015/1F,45993,,,'')&lt;/Q&gt;&lt;R&gt;0&lt;/R&gt;&lt;C&gt;0&lt;/C&gt;&lt;/FQL&gt;&lt;FQL&gt;&lt;Q&gt;SNOW^FE_ESTIMATE(SPEC_GROSS_1,MEAN,ANNUAL_ROLL,2027,45993,,,'')&lt;/Q&gt;&lt;R&gt;1&lt;/R&gt;&lt;C&gt;1&lt;/C&gt;&lt;D xsi:type="xsd:double"&gt;13600&lt;/D&gt;&lt;/FQL&gt;&lt;FQL&gt;&lt;Q&gt;SNOW^FE_ESTIMATE(SPEC_GROSS_1,MEAN,QUARTERLY_ROLL,2027/4F,45993,,,'')&lt;/Q&gt;&lt;R&gt;1&lt;/R&gt;&lt;C&gt;1&lt;/C&gt;&lt;D xsi:type="xsd:double"&gt;14828.926&lt;/D&gt;&lt;/FQL&gt;&lt;FQL&gt;&lt;Q&gt;SNOW^FE_ESTIMATE(SPEC_GROSS_1,MEAN,QUARTERLY_ROLL,2027/3F,45993,,,'')&lt;/Q&gt;&lt;R&gt;1&lt;/R&gt;&lt;C&gt;1&lt;/C&gt;&lt;D xsi:type="xsd:double"&gt;12631.653&lt;/D&gt;&lt;/FQL&gt;&lt;FQL&gt;&lt;Q&gt;SNOW^FE_ESTIMATE(SPEC_GROSS_1,MEAN,QUARTERLY_ROLL,2027/2F,45993,,,'')&lt;/Q&gt;&lt;R&gt;1&lt;/R&gt;&lt;C&gt;1&lt;/C&gt;&lt;D xsi:type="xsd:double"&gt;11827.598&lt;/D&gt;&lt;/FQL&gt;&lt;FQL&gt;&lt;Q&gt;SNOW^FE_ESTIMATE(SPEC_GROSS_1,MEAN,QUARTERLY_ROLL,2027/1F,45993,,,'')&lt;/Q&gt;&lt;R&gt;1&lt;/R&gt;&lt;C&gt;1&lt;/C&gt;&lt;D xsi:type="xsd:double"&gt;11475.48&lt;/D&gt;&lt;/FQL&gt;&lt;FQL&gt;&lt;Q&gt;SNOW^FE_ESTIMATE(SPEC_GROSS_1,MEAN,ANNUAL_ROLL,2026,45993,,,'')&lt;/Q&gt;&lt;R&gt;1&lt;/R&gt;&lt;C&gt;1&lt;/C&gt;&lt;D xsi:type="xsd:double"&gt;10977.58&lt;/D&gt;&lt;/FQL&gt;&lt;FQL&gt;&lt;Q&gt;SNOW^FE_ESTIMATE(SPEC_GROSS_1,MEAN,QUARTERLY_ROLL,2026/4F,45993,,,'')&lt;/Q&gt;&lt;R&gt;1&lt;/R&gt;&lt;C&gt;1&lt;/C&gt;&lt;D xsi:type="xsd:double"&gt;11050.933&lt;/D&gt;&lt;/FQL&gt;&lt;FQL&gt;&lt;Q&gt;SNOW^FE_ESTIMATE(SPEC_GROSS_1,MEAN,QUARTERLY_ROLL,2026/3F,45993,,,'')&lt;/Q&gt;&lt;R&gt;1&lt;/R&gt;&lt;C&gt;1&lt;/C&gt;&lt;D xsi:type="xsd:double"&gt;9413.088&lt;/D&gt;&lt;/FQL&gt;&lt;FQL&gt;&lt;Q&gt;SNOW^FE_ESTIMATE(SPEC_GROSS_1,MEAN,QUARTERLY_ROLL,2026/2F,45993,,,'')&lt;/Q&gt;&lt;R&gt;1&lt;/R&gt;&lt;C&gt;1&lt;/C&gt;&lt;D xsi:type="xsd:double"&gt;8797.028&lt;/D&gt;&lt;/FQL&gt;&lt;FQL&gt;&lt;Q&gt;SNOW^FE_ESTIMATE(SPEC_GROSS_1,MEAN,QUARTERLY_ROLL,2026/1F,45993,,,'')&lt;/Q&gt;&lt;R&gt;1&lt;/R&gt;&lt;C&gt;1&lt;/C&gt;&lt;D xsi:type="xsd:double"&gt;8530.972&lt;/D&gt;&lt;/FQL&gt;&lt;FQL&gt;&lt;Q&gt;SNOW^FE_ESTIMATE(SPEC_GROSS_1,MEAN,ANNUAL_ROLL,2025,45993,,,'')&lt;/Q&gt;&lt;R&gt;1&lt;/R&gt;&lt;C&gt;1&lt;/C&gt;&lt;D xsi:type="xsd:double"&gt;8755.18&lt;/D&gt;&lt;/FQL&gt;&lt;FQL&gt;&lt;Q&gt;SNOW^FE_ESTIMATE(SPEC_GROSS_1,MEAN,QUARTERLY_ROLL,2025/4F,45993,,,'')&lt;/Q&gt;&lt;R&gt;1&lt;/R&gt;&lt;C&gt;1&lt;/C&gt;&lt;D xsi:type="xsd:double"&gt;8782.875&lt;/D&gt;&lt;/FQL&gt;&lt;FQL&gt;&lt;Q&gt;SNOW^FE_ESTIMATE(SPEC_GROSS_1,MEAN,QUARTERLY_ROLL,2025/3F,45993,,,'')&lt;/Q&gt;&lt;R&gt;1&lt;/R&gt;&lt;C&gt;1&lt;/C&gt;&lt;D xsi:type="xsd:double"&gt;7429.0674&lt;/D&gt;&lt;/FQL&gt;&lt;FQL&gt;&lt;Q&gt;SNOW^FE_ESTIMATE(SPEC_GROSS_1,MEAN,QUARTERLY_ROLL,2025/2F,45993,,,'')&lt;/Q&gt;&lt;R&gt;1&lt;/R&gt;&lt;C&gt;1&lt;/C&gt;&lt;D xsi:type="xsd:double"&gt;6897.5&lt;/D&gt;&lt;/FQL&gt;&lt;FQ</t>
        </r>
      </text>
    </comment>
    <comment ref="A5" authorId="0" shapeId="0" xr:uid="{590ACB46-6D14-452B-A8F0-4EB2DC670F81}">
      <text>
        <r>
          <rPr>
            <b/>
            <sz val="9"/>
            <color indexed="81"/>
            <rFont val="Tahoma"/>
            <charset val="1"/>
          </rPr>
          <t>L&gt;&lt;Q&gt;SNOW^FE_ESTIMATE(SPEC_GROSS_1,MEAN,QUARTERLY_ROLL,2025/1F,45993,,,'')&lt;/Q&gt;&lt;R&gt;0&lt;/R&gt;&lt;C&gt;0&lt;/C&gt;&lt;/FQL&gt;&lt;FQL&gt;&lt;Q&gt;SNOW^FE_ESTIMATE(SPEC_GROSS_1,MEAN,ANNUAL_ROLL,2024,45993,,,'')&lt;/Q&gt;&lt;R&gt;0&lt;/R&gt;&lt;C&gt;0&lt;/C&gt;&lt;/FQL&gt;&lt;FQL&gt;&lt;Q&gt;SNOW^FE_ESTIMATE(SPEC_GROSS_1,MEAN,QUARTERLY_ROLL,2024/4F,45993,,,'')&lt;/Q&gt;&lt;R&gt;0&lt;/R&gt;&lt;C&gt;0&lt;/C&gt;&lt;/FQL&gt;&lt;FQL&gt;&lt;Q&gt;SNOW^FE_ESTIMATE(SPEC_GROSS_1,MEAN,QUARTERLY_ROLL,2024/3F,45993,,,'')&lt;/Q&gt;&lt;R&gt;0&lt;/R&gt;&lt;C&gt;0&lt;/C&gt;&lt;/FQL&gt;&lt;FQL&gt;&lt;Q&gt;SNOW^FE_ESTIMATE(SPEC_GROSS_1,MEAN,QUARTERLY_ROLL,2024/2F,45993,,,'')&lt;/Q&gt;&lt;R&gt;0&lt;/R&gt;&lt;C&gt;0&lt;/C&gt;&lt;/FQL&gt;&lt;FQL&gt;&lt;Q&gt;SNOW^FE_ESTIMATE(SPEC_GROSS_1,MEAN,QUARTERLY_ROLL,2024/1F,45993,,,'')&lt;/Q&gt;&lt;R&gt;0&lt;/R&gt;&lt;C&gt;0&lt;/C&gt;&lt;/FQL&gt;&lt;FQL&gt;&lt;Q&gt;SNOW^FE_ESTIMATE(SPEC_GROSS_1,MEAN,ANNUAL_ROLL,2023,45993,,,'')&lt;/Q&gt;&lt;R&gt;0&lt;/R&gt;&lt;C&gt;0&lt;/C&gt;&lt;/FQL&gt;&lt;FQL&gt;&lt;Q&gt;SNOW^FE_ESTIMATE(SPEC_GROSS_1,MEAN,QUARTERLY_ROLL,2023/4F,45993,,,'')&lt;/Q&gt;&lt;R&gt;0&lt;/R&gt;&lt;C&gt;0&lt;/C&gt;&lt;/FQL&gt;&lt;FQL&gt;&lt;Q&gt;SNOW^FE_ESTIMATE(SPEC_GROSS_1,MEAN,QUARTERLY_ROLL,2023/3F,45993,,,'')&lt;/Q&gt;&lt;R&gt;0&lt;/R&gt;&lt;C&gt;0&lt;/C&gt;&lt;/FQL&gt;&lt;FQL&gt;&lt;Q&gt;SNOW^FE_ESTIMATE(SPEC_GROSS_1,MEAN,QUARTERLY_ROLL,2023/2F,45993,,,'')&lt;/Q&gt;&lt;R&gt;0&lt;/R&gt;&lt;C&gt;0&lt;/C&gt;&lt;/FQL&gt;&lt;FQL&gt;&lt;Q&gt;SNOW^FE_ESTIMATE(SPEC_GROSS_1,MEAN,QUARTERLY_ROLL,2023/1F,45993,,,'')&lt;/Q&gt;&lt;R&gt;0&lt;/R&gt;&lt;C&gt;0&lt;/C&gt;&lt;/FQL&gt;&lt;FQL&gt;&lt;Q&gt;SNOW^FE_ESTIMATE(SPEC_GROSS_1,MEAN,ANNUAL_ROLL,2022,45993,,,'')&lt;/Q&gt;&lt;R&gt;1&lt;/R&gt;&lt;C&gt;1&lt;/C&gt;&lt;D xsi:type="xsd:double"&gt;3666.5715&lt;/D&gt;&lt;/FQL&gt;&lt;FQL&gt;&lt;Q&gt;SNOW^FE_ESTIMATE(SPEC_GROSS_1,MEAN,QUARTERLY_ROLL,2022/4F,45993,,,'')&lt;/Q&gt;&lt;R&gt;1&lt;/R&gt;&lt;C&gt;1&lt;/C&gt;&lt;D xsi:type="xsd:double"&gt;3665.875&lt;/D&gt;&lt;/FQL&gt;&lt;FQL&gt;&lt;Q&gt;SNOW^FE_ESTIMATE(SPEC_GROSS_1,MEAN,QUARTERLY_ROLL,2022/3F,45993,,,'')&lt;/Q&gt;&lt;R&gt;1&lt;/R&gt;&lt;C&gt;1&lt;/C&gt;&lt;D xsi:type="xsd:double"&gt;3002.3445&lt;/D&gt;&lt;/FQL&gt;&lt;FQL&gt;&lt;Q&gt;SNOW^FE_ESTIMATE(SPEC_GROSS_1,MEAN,QUARTERLY_ROLL,2022/2F,45993,,,'')&lt;/Q&gt;&lt;R&gt;1&lt;/R&gt;&lt;C&gt;1&lt;/C&gt;&lt;D xsi:type="xsd:double"&gt;2716&lt;/D&gt;&lt;/FQL&gt;&lt;FQL&gt;&lt;Q&gt;SNOW^FE_ESTIMATE(SPEC_GROSS_1,MEAN,QUARTERLY_ROLL,2022/1F,45993,,,'')&lt;/Q&gt;&lt;R&gt;1&lt;/R&gt;&lt;C&gt;1&lt;/C&gt;&lt;D xsi:type="xsd:double"&gt;2608&lt;/D&gt;&lt;/FQL&gt;&lt;FQL&gt;&lt;Q&gt;SNOW^FE_ESTIMATE(SPEC_GROSS_1,MEAN,ANNUAL_ROLL,2021,45993,,,'')&lt;/Q&gt;&lt;R&gt;1&lt;/R&gt;&lt;C&gt;1&lt;/C&gt;&lt;D xsi:type="xsd:double"&gt;2646&lt;/D&gt;&lt;/FQL&gt;&lt;FQL&gt;&lt;Q&gt;SNOW^FE_ESTIMATE(SPEC_GROSS_1,MEAN,QUARTERLY_ROLL,2021/4F,45993,,,'')&lt;/Q&gt;&lt;R&gt;1&lt;/R&gt;&lt;C&gt;1&lt;/C&gt;&lt;D xsi:type="xsd:double"&gt;2623&lt;/D&gt;&lt;/FQL&gt;&lt;FQL&gt;&lt;Q&gt;SNOW^FE_ESTIMATE(SPEC_GROSS_1,MEAN,QUARTERLY_ROLL,2021/3F,45993,,,'')&lt;/Q&gt;&lt;R&gt;1&lt;/R&gt;&lt;C&gt;1&lt;/C&gt;&lt;D xsi:type="xsd:double"&gt;1803.2&lt;/D&gt;&lt;/FQL&gt;&lt;FQL&gt;&lt;Q&gt;SNOW^FE_ESTIMATE(SPEC_GROSS_1,MEAN,QUARTERLY_ROLL,2021/2F,45993,,,'')&lt;/Q&gt;&lt;R&gt;1&lt;/R&gt;&lt;C&gt;1&lt;/C&gt;&lt;D xsi:type="xsd:double"&gt;1529&lt;/D&gt;&lt;/FQL&gt;&lt;FQL&gt;&lt;Q&gt;SNOW^FE_ESTIMATE(SPEC_GROSS_1,MEAN,QUARTERLY_ROLL,2021/1F,45993,,,'')&lt;/Q&gt;&lt;R&gt;1&lt;/R&gt;&lt;C&gt;1&lt;/C&gt;&lt;D xsi:type="xsd:double"&gt;1432&lt;/D&gt;&lt;/FQL&gt;&lt;FQL&gt;&lt;Q&gt;SNOW^FE_ESTIMATE(SPEC_GROSS_1,MEAN,ANNUAL_ROLL,2020,45993,,,'')&lt;/Q&gt;&lt;R&gt;1&lt;/R&gt;&lt;C&gt;1&lt;/C&gt;&lt;D xsi:type="xsd:double"&gt;1333&lt;/D&gt;&lt;/FQL&gt;&lt;FQL&gt;&lt;Q&gt;SNOW^FE_ESTIMATE(SPEC_GROSS_1,MEAN,QUARTERLY_ROLL,2020/4F,45993,,,'')&lt;/Q&gt;&lt;R&gt;1&lt;/R&gt;&lt;C&gt;1&lt;/C&gt;&lt;D xsi:type="xsd:double"&gt;1333&lt;/D&gt;&lt;/FQL&gt;&lt;FQL&gt;&lt;Q&gt;SNOW^FE_ESTIMATE(SPEC_GROSS_1,MEAN,QUARTERLY_ROLL,2020/3F,45993,,,'')&lt;/Q&gt;&lt;R&gt;1&lt;/R&gt;&lt;C&gt;1&lt;/C&gt;&lt;D xsi:type="xsd:double"&gt;927.98&lt;/D&gt;&lt;/FQL&gt;&lt;FQL&gt;&lt;Q&gt;SNOW^FE_ESTIMATE(SPEC_GROSS_1,MEAN,QUARTERLY_ROLL,2020/2F,45993,,,'')&lt;/Q&gt;&lt;R&gt;1&lt;/R&gt;&lt;C&gt;1&lt;/C&gt;&lt;D xsi:type="xsd:double"&gt;684.1&lt;/D&gt;&lt;/FQL&gt;&lt;FQL&gt;&lt;Q&gt;SNOW^FE_ESTIMATE(SPEC_GROSS_1,MEAN,QUARTERLY_ROLL,2020/1F,45993,,,'')&lt;/Q&gt;&lt;R&gt;0&lt;/R&gt;&lt;C&gt;0&lt;/C&gt;&lt;/FQL&gt;&lt;FQL&gt;&lt;Q&gt;SNOW^FE_ESTIMATE(SPEC_GROSS_1,MEAN,ANNUAL_ROLL,2019,45993,,,'')&lt;/Q&gt;&lt;R&gt;0&lt;/R&gt;&lt;C&gt;0&lt;/C&gt;&lt;/FQL&gt;&lt;FQL&gt;&lt;Q&gt;SNOW^FE_ESTIMATE(SPEC_GROSS_1,MEAN,QUARTERLY_ROLL,2019/4F,45993,,,'')&lt;/Q&gt;&lt;R&gt;0&lt;/R&gt;&lt;C&gt;0&lt;/C&gt;&lt;/FQL&gt;&lt;FQL&gt;&lt;Q&gt;SNOW^FE_ESTIMATE(SPEC_GROSS_1,MEAN,QUARTERLY_ROLL,2019/3F,45993,,,'')&lt;/Q&gt;&lt;R&gt;0&lt;/R&gt;&lt;C&gt;0&lt;/C&gt;&lt;/FQL&gt;&lt;FQL&gt;&lt;Q&gt;SNOW^FE_ESTIMATE(SPEC_GROSS_1,MEAN,QUARTERLY_ROLL,2019/2F,45993,,,'')&lt;/Q&gt;&lt;R&gt;0&lt;/R&gt;&lt;C&gt;0&lt;/C&gt;&lt;/FQL&gt;&lt;FQL&gt;&lt;Q&gt;SNOW^FE_ESTIMATE(SPEC_GROSS_1,MEAN,QUARTERLY_ROLL,2019/1F,45993,,,'')&lt;/Q&gt;&lt;R&gt;0&lt;/R&gt;&lt;C&gt;0&lt;/C&gt;&lt;/FQL&gt;&lt;FQL&gt;&lt;Q&gt;SNOW^FE_ESTIMATE(SPEC_GROSS_1,MEAN,ANNUAL_ROLL,2018,45993,,,'')&lt;/Q&gt;&lt;R&gt;0&lt;/R&gt;&lt;C&gt;0&lt;/C&gt;&lt;/FQL&gt;&lt;FQL&gt;&lt;Q&gt;SNOW^FE_ESTIMATE(SPEC_GROSS_1,MEAN,QUARTERLY_ROLL,2018/4F,45993,,,'')&lt;/Q&gt;&lt;R&gt;0&lt;/R&gt;&lt;C&gt;0&lt;/C&gt;&lt;/FQL&gt;&lt;FQL&gt;&lt;Q&gt;SNOW^FE_ESTIMATE(SPEC_GROSS_1,MEAN,QUARTERLY_ROLL,2018/3F,45993,,,'')&lt;/Q&gt;&lt;R&gt;0&lt;/R&gt;&lt;C&gt;0&lt;/C&gt;&lt;/FQL&gt;&lt;FQL&gt;&lt;Q&gt;SNOW^FE_ESTIMATE(SPEC_GROSS_1,MEAN,QUARTERLY_ROLL,2018/2F,45993,,,'')&lt;/Q&gt;&lt;R&gt;0&lt;/R&gt;&lt;C&gt;0&lt;/C&gt;&lt;/FQL&gt;&lt;FQL&gt;&lt;Q&gt;SNOW^FE_ESTIMATE(SPEC_GROSS_1,MEAN,QUARTERLY_ROLL,2018/1F,45993,,,'')&lt;/Q&gt;&lt;R&gt;0&lt;/R&gt;&lt;C&gt;0&lt;/C&gt;&lt;/FQL&gt;&lt;FQL&gt;&lt;Q&gt;SNOW^FE_ESTIMATE(SPEC_GROSS_1,MEAN,ANNUAL_ROLL,2017,45993,,,'')&lt;/Q&gt;&lt;R&gt;0&lt;/R&gt;&lt;C&gt;0&lt;/C&gt;&lt;/FQL&gt;&lt;FQL&gt;&lt;Q&gt;SNOW^FE_ESTIMATE(SPEC_GROSS_1,MEAN,QUARTERLY_ROLL,2017/4F,45993,,,'')&lt;/Q&gt;&lt;R&gt;0&lt;/R&gt;&lt;C&gt;0&lt;/C&gt;&lt;/FQL&gt;&lt;FQL&gt;&lt;Q&gt;SNOW^FE_ESTIMATE(SPEC_GROSS_1,MEAN,QUARTERLY_ROLL,2017/3F,45993,,,'')&lt;/Q&gt;&lt;R&gt;0&lt;/R&gt;&lt;C&gt;0&lt;/C&gt;&lt;/FQL&gt;&lt;FQL&gt;&lt;Q&gt;SNOW^FE_ESTIMATE(SPEC_GROSS_1,MEAN,QUARTERLY_ROLL,2017/2F,45993,,,'')&lt;/Q&gt;&lt;R&gt;0&lt;/R&gt;&lt;C&gt;0&lt;/C&gt;&lt;/FQL&gt;&lt;FQL&gt;&lt;Q&gt;SNOW^FE_ESTIMATE(SPEC_GROSS_1,MEAN,QUARTERLY_ROLL,2017/1F,45993,,,'')&lt;/Q&gt;&lt;R&gt;0&lt;/R&gt;&lt;C&gt;0&lt;/C&gt;&lt;/FQL&gt;&lt;FQL&gt;&lt;Q&gt;SNOW^FE_ESTIMATE(SPEC_GROSS_1,MEAN,ANNUAL_ROLL,2016,45993,,,'')&lt;/Q&gt;&lt;R&gt;0&lt;/R&gt;&lt;C&gt;0&lt;/C&gt;&lt;/FQL&gt;&lt;FQL&gt;&lt;Q&gt;SNOW^FE_ESTIMATE(SPEC_GROSS_1,MEAN,QUARTERLY_ROLL,2016/4F,45993,,,'')&lt;/Q&gt;&lt;R&gt;0&lt;/R&gt;&lt;C&gt;0&lt;/C&gt;&lt;/FQL&gt;&lt;FQL&gt;&lt;Q&gt;SNOW^FE_ESTIMATE(SPEC_GROSS_1,MEAN,QUARTERLY_ROLL,2016/3F,45993,,,'')&lt;/Q&gt;&lt;R&gt;0&lt;/R&gt;&lt;C&gt;0&lt;/C&gt;&lt;/FQL&gt;&lt;FQL&gt;&lt;Q&gt;SNOW^FE_ESTIMATE(SPEC_GROSS_1,MEAN,QUARTERLY_ROLL,2016/2F,45993,,,'')&lt;/Q&gt;&lt;R&gt;0&lt;/R&gt;&lt;C&gt;0&lt;/C&gt;&lt;/FQL&gt;&lt;FQL&gt;&lt;Q&gt;SNOW^FE_ESTIMATE(SPEC_GROSS_1,MEAN,QUARTERLY_ROLL,2016/1F,45993,,,'')&lt;/Q&gt;&lt;R&gt;0&lt;/R&gt;&lt;C&gt;0&lt;/C&gt;&lt;/FQL&gt;&lt;FQL&gt;&lt;Q&gt;SNOW^FE_ESTIMATE(SPEC_GROSS_1,MEAN,ANNUAL_ROLL,2015,45993,,,'')&lt;/Q&gt;&lt;R&gt;0&lt;/R&gt;&lt;C&gt;0&lt;/C&gt;&lt;/FQL&gt;&lt;FQL&gt;&lt;Q&gt;SNOW^FE_ESTIMATE(SPEC_GROSS_1,MEAN,QUARTERLY_ROLL,2015/4F,45993,,,'')&lt;/Q&gt;&lt;R&gt;0&lt;/R&gt;&lt;C&gt;0&lt;/C&gt;&lt;/FQL&gt;&lt;FQL&gt;&lt;Q&gt;SNOW^FE_ESTIMATE(SPEC_GROSS_1,MEAN,QUARTERLY_ROLL,2015/3F,45993,,,'')&lt;/Q&gt;&lt;R&gt;0&lt;/R&gt;&lt;C&gt;0&lt;/C&gt;&lt;/FQL&gt;&lt;FQL&gt;&lt;Q&gt;SNOW^FE_ESTIMATE(SPEC_GROSS_1,MEAN,QUARTERLY_ROLL,2015/2F,45993,,,'')&lt;/Q&gt;&lt;R&gt;0&lt;/R&gt;&lt;C&gt;0&lt;/C&gt;&lt;/FQL&gt;&lt;FQL&gt;&lt;Q&gt;SNOW^FE_ESTIMATE(SPEC_GROSS_1,MEAN,QUARTERLY_ROLL,2015/1F,45993,,,'')&lt;/Q&gt;&lt;R&gt;0&lt;/R&gt;&lt;C&gt;0&lt;/C&gt;&lt;/FQL&gt;&lt;FQL&gt;&lt;Q&gt;SNOW^FE_ESTIMATE(CURRENT_RPO,MEAN,ANNUAL_ROLL,2027,45993,,,'')&lt;/Q&gt;&lt;R&gt;1&lt;/R&gt;&lt;C&gt;1&lt;/C&gt;&lt;D xsi:type="xsd:double"&gt;6148.967&lt;/D&gt;&lt;/FQL&gt;&lt;FQL&gt;&lt;Q&gt;SNOW^FE_ESTIMATE(CURRENT_RPO,MEAN,QUARTERLY_ROLL,2027/4F,45993,,,'')&lt;/Q&gt;&lt;R&gt;0&lt;/R&gt;&lt;C&gt;0&lt;/C&gt;&lt;/FQL&gt;&lt;FQL&gt;&lt;Q&gt;SNOW^FE_ESTIMATE(CURRENT_RPO,MEAN,QUARTERLY_ROLL,2027/3F,45993,,,'')&lt;/Q&gt;&lt;R&gt;0&lt;/R&gt;&lt;C&gt;0&lt;/C&gt;&lt;/FQL&gt;&lt;FQL&gt;&lt;Q&gt;SNOW^FE_ESTIMATE(CURRENT_RPO,MEAN,QUARTERLY_ROLL,2027/2F,45993,,,'')&lt;/Q&gt;&lt;R&gt;0&lt;/R&gt;&lt;C&gt;0&lt;/C&gt;&lt;/FQL&gt;&lt;FQL&gt;&lt;Q&gt;SNOW^FE_ESTIMATE(CURRENT_RPO,MEAN,QUARTERLY_ROLL,2027/1F,45993,,,'')&lt;/Q&gt;&lt;R&gt;0&lt;/R&gt;&lt;C&gt;0&lt;/C&gt;&lt;/FQL&gt;&lt;FQL&gt;&lt;Q&gt;SNOW^FE_ESTIMATE(CURRENT_RPO,MEAN,ANNUAL_ROLL,2026,45993,,,'')&lt;/Q&gt;&lt;R&gt;1&lt;/R&gt;&lt;C&gt;1&lt;/C&gt;&lt;D xsi:type="xsd:double"&gt;5175.82&lt;/D&gt;&lt;/FQL&gt;&lt;FQL&gt;&lt;Q&gt;SNOW^FE_ESTIMATE(CURRENT_RPO,MEAN,QUARTERLY_ROLL,2026/4F,45993,,,'')&lt;/Q&gt;&lt;R&gt;1&lt;/R&gt;&lt;C&gt;1&lt;/C&gt;&lt;D xsi:type="xsd:double"&gt;5175.82&lt;/D&gt;&lt;/FQL&gt;&lt;FQL&gt;&lt;Q&gt;SNOW^FE_ESTIMATE(CURRENT_RPO,MEAN,QUARTERLY_ROLL,2026/3F,45993,,,'')&lt;/Q&gt;&lt;R&gt;1&lt;/R&gt;&lt;C&gt;1&lt;/C&gt;&lt;D xsi:type="xsd:double"&gt;4581.5&lt;/D&gt;&lt;/FQL&gt;&lt;FQL&gt;&lt;Q&gt;SNOW^FE_ESTIMATE(CURRENT_RPO,MEAN,QUARTERLY_ROLL,2026/2F,45993,,,'')&lt;/Q&gt;&lt;R&gt;1&lt;/R&gt;&lt;C&gt;1&lt;/C&gt;&lt;D xsi:type="xsd:double"&gt;4353.56&lt;/D&gt;&lt;/FQL&gt;&lt;FQL&gt;&lt;Q&gt;SNOW^FE_ESTIMATE(CURRENT_RPO,MEAN,QUARTERLY_ROLL,2026/1F,45993,,,'')&lt;/Q&gt;&lt;R&gt;1&lt;/R&gt;&lt;C&gt;1&lt;/C&gt;&lt;D xsi:type="xsd:double"&gt;4231.3&lt;/D&gt;&lt;/FQL&gt;&lt;FQL&gt;&lt;Q&gt;SNOW^FE_ESTIMATE(CURRENT_RPO,MEAN,ANNUAL_ROLL,2025,45993,,,'')&lt;/Q&gt;&lt;R&gt;1&lt;/R&gt;&lt;C&gt;1&lt;/C&gt;&lt;D xsi:type="xsd:double"&gt;4210.5835&lt;/D&gt;&lt;/FQL&gt;&lt;FQL&gt;&lt;Q&gt;SNOW^FE_ESTIMATE(CURRENT_RPO,MEAN,QUARTERLY_ROLL,2025/4F,45993,,,'')&lt;/Q&gt;&lt;R&gt;1&lt;/R&gt;&lt;C&gt;1&lt;/C&gt;&lt;D xsi:type="xsd:double"&gt;4210.5835&lt;/D&gt;&lt;/FQL&gt;&lt;FQL&gt;&lt;Q&gt;SNOW^FE_ESTIMATE(CURRENT_RPO,MEAN,QUARTERLY_ROLL,2025/3F,45993,,,'')&lt;/Q&gt;&lt;R&gt;1&lt;/R&gt;&lt;C&gt;1&lt;/C&gt;&lt;D xsi:type="xsd:double"&gt;3687.5667&lt;/D&gt;&lt;/FQL&gt;&lt;FQL&gt;&lt;Q&gt;SNOW^FE_ESTIMATE(CURRENT_RPO,MEAN,QUARTERLY_ROLL,2025/2F,45993,,,'')&lt;/Q&gt;&lt;R&gt;1&lt;/R&gt;&lt;C&gt;1&lt;/C&gt;&lt;D xsi:type="xsd:double"&gt;3466&lt;/D&gt;&lt;/FQL&gt;&lt;FQL&gt;&lt;Q&gt;SNOW^FE_ESTIMATE(CURRENT_RPO,MEAN,QUARTERLY_ROLL,2025/1F,45993,,,'')&lt;/Q&gt;&lt;R&gt;1&lt;/R&gt;&lt;C&gt;1&lt;/C&gt;&lt;D xsi:type="xsd:double"&gt;3343.5833&lt;/D&gt;&lt;/FQL&gt;&lt;FQL&gt;&lt;Q&gt;SNOW^FE_ESTIMATE(CURRENT_RPO,MEAN,ANNUAL_ROLL,2024,45993,,,'')&lt;/Q&gt;&lt;R&gt;1&lt;/R&gt;&lt;C&gt;1&lt;/C&gt;&lt;D xsi:type="xsd:double"&gt;3296.16&lt;/D&gt;&lt;/FQL&gt;&lt;FQL&gt;&lt;Q&gt;SNOW^FE_ESTIMATE(CURRENT_RPO,MEAN,QUARTERLY_ROLL,2024/4F,45993,,,'')&lt;/Q&gt;&lt;R&gt;1&lt;/R&gt;&lt;C&gt;1&lt;/C&gt;&lt;D xsi:type="xsd:double"&gt;3296.14&lt;/D&gt;&lt;/FQL&gt;&lt;FQL&gt;&lt;Q&gt;SNOW^FE_ESTIMATE(CURRENT_RPO,MEAN,QUARTERLY_ROLL,2024/3F,45993,,,'')&lt;/Q&gt;&lt;R&gt;1&lt;/R&gt;&lt;C&gt;1&lt;/C&gt;&lt;D xsi:type="xsd:double"&gt;2866&lt;/D&gt;&lt;/FQL&gt;&lt;FQL&gt;&lt;Q&gt;SNOW^FE_ESTIMATE(CURRENT_RPO,MEAN,QUARTERLY_ROLL,2024/2F,45993,,,'')&lt;/Q&gt;&lt;R&gt;1&lt;/R&gt;&lt;C&gt;1&lt;/C&gt;&lt;D xsi:type="xsd:double"&gt;2615.625&lt;/D&gt;&lt;/FQL&gt;&lt;FQL&gt;&lt;Q&gt;SNOW^FE_ESTIMATE(CURRENT_RPO,MEAN,QUARTERLY_ROLL,2024/1F,45993,,,'')&lt;/Q&gt;&lt;R&gt;1&lt;/R&gt;&lt;C&gt;1&lt;/C&gt;&lt;D xsi:type="xsd:double"&gt;2543.925&lt;/D&gt;&lt;/FQL&gt;&lt;FQL&gt;&lt;Q&gt;SNOW^FE_ESTIMATE(CURRENT_RPO,MEAN,ANNUAL_ROLL,2023,45993,,,'')&lt;/Q&gt;&lt;R&gt;1&lt;/R&gt;&lt;C&gt;1&lt;/C&gt;&lt;D xsi:type="xsd:double"&gt;2587.625&lt;/D&gt;&lt;/FQL&gt;&lt;FQL&gt;&lt;Q&gt;SNOW^FE_ESTIMATE(CURRENT_RPO,MEAN,QUARTERLY_ROLL,2023/4F,45993,,,'')&lt;/Q&gt;&lt;R&gt;1&lt;/R&gt;&lt;C&gt;1&lt;/C&gt;&lt;D xsi:type="xsd:double"&gt;2587.625&lt;/D&gt;&lt;/FQL&gt;&lt;FQL&gt;&lt;Q&gt;SNOW^FE_ESTIMATE(CURRENT_RPO,MEAN,QUARTERLY_ROLL,2023/3F,45993,,,'')&lt;/Q&gt;&lt;R&gt;1&lt;/R&gt;&lt;C&gt;1&lt;/C&gt;&lt;D xsi:type="xsd:double"&gt;2108.2666&lt;/D&gt;&lt;/FQL&gt;&lt;FQL&gt;&lt;Q&gt;SNOW^FE_ESTIMATE(CURRENT_RPO,MEAN,QUARTERLY_ROLL,2023/2F,45993,,,'')&lt;/Q&gt;&lt;R&gt;1&lt;/R&gt;&lt;C&gt;1&lt;/C&gt;&lt;D xsi:type="xsd:double"&gt;2017.8&lt;/D&gt;&lt;/FQL&gt;&lt;FQL&gt;&lt;Q&gt;SNOW^FE_ESTIMATE(CURRENT_RPO,MEAN,QUARTERLY_ROLL,2023/1F,45993,,,'')&lt;/Q&gt;&lt;R&gt;1&lt;/R&gt;&lt;C&gt;1&lt;/C&gt;&lt;D xsi:type="xsd:double"&gt;1943.05&lt;/D&gt;&lt;/FQL&gt;&lt;FQL&gt;&lt;Q&gt;SNOW^FE_ESTIMATE(CURRENT_RPO,MEAN,ANNUAL_ROLL,2022,45993,,,'')&lt;/Q&gt;&lt;R&gt;1&lt;/R&gt;&lt;C&gt;1&lt;/C&gt;&lt;D xsi:type="xsd:double"&gt;2013.6&lt;/D&gt;&lt;/FQL&gt;&lt;FQL&gt;&lt;Q&gt;SNOW^FE_ESTIMATE(CURRENT_RPO,MEAN,QUARTERLY_ROLL,2022/4F,45993,,,'')&lt;/Q&gt;&lt;R&gt;1&lt;/R&gt;&lt;C&gt;1&lt;/C&gt;&lt;D xsi:type="xsd:double"&gt;2013.6&lt;/D&gt;&lt;/FQL&gt;&lt;FQL&gt;&lt;Q&gt;SNOW^FE_ESTIMATE(CURRENT_RPO,MEAN,QUARTERLY_ROLL,2022/3F,45993,,,'')&lt;/Q&gt;&lt;R&gt;1&lt;/R&gt;&lt;C&gt;1&lt;/C&gt;&lt;D xsi:type="xsd:double"&gt;1657.85&lt;/D&gt;&lt;/FQL&gt;&lt;FQL&gt;&lt;Q&gt;SNOW^FE_ESTIMATE(CURRENT_RPO,MEAN,QUARTERLY_ROLL,2022/2F,45993,,,'')&lt;/Q&gt;&lt;R&gt;1&lt;/R&gt;&lt;C&gt;1&lt;/C&gt;&lt;D xsi:type="xsd:double"&gt;1548.05&lt;/D&gt;&lt;/FQL&gt;&lt;FQL&gt;&lt;Q&gt;SNOW^FE_ESTIMATE(CURRENT_RPO,MEAN,QUARTERLY_ROLL,2022/1F,45993,,,'')&lt;/Q&gt;&lt;R&gt;1&lt;/R&gt;&lt;C&gt;1&lt;/C&gt;&lt;D xsi:type="xsd:double"&gt;1383.3&lt;/D&gt;&lt;/FQL&gt;&lt;FQL&gt;&lt;Q&gt;SNOW^FE_ESTIMATE(CURRENT_RPO,MEAN,ANNUAL_ROLL,2021,45993,,,'')&lt;/Q&gt;&lt;R&gt;1&lt;/R&gt;&lt;C&gt;1&lt;/C&gt;&lt;D xsi:type="xsd:double"&gt;1368&lt;/D&gt;&lt;/FQL&gt;&lt;FQL&gt;&lt;Q&gt;SNOW^FE_ESTIMATE(CURRENT_RPO,MEAN,QUARTERLY_ROLL,2021/4F,45993,,,'')&lt;/Q&gt;&lt;R&gt;1&lt;/R&gt;&lt;C&gt;1&lt;/C&gt;&lt;D xsi:type="xsd:double"&gt;1368&lt;/D&gt;&lt;/FQL&gt;&lt;FQL&gt;&lt;Q&gt;SNOW^FE_ESTIMATE(CURRENT_RPO,MEAN,QUARTERLY_ROLL,2021/3F,45993,,,'')&lt;/Q&gt;&lt;R&gt;0&lt;/R&gt;&lt;C&gt;0&lt;/C&gt;&lt;/FQL&gt;&lt;FQL&gt;&lt;Q&gt;SNOW^FE_ESTIMATE(CURRENT_RPO,MEAN,QUARTERLY_ROLL,2021/2F,45993,,,'')&lt;/Q&gt;&lt;R&gt;0&lt;/R&gt;&lt;C&gt;0&lt;/C&gt;&lt;/FQL&gt;&lt;FQL&gt;&lt;Q&gt;SNOW^FE_ESTIMATE(CURRENT_RPO,MEAN,QUARTERLY_ROLL,2021/1F,45993,,,'')&lt;/Q&gt;&lt;R&gt;0&lt;/R&gt;&lt;C&gt;0&lt;/C&gt;&lt;/FQL&gt;&lt;FQL&gt;&lt;Q&gt;SNOW^FE_ESTIMATE(CURRENT_RPO,MEAN,ANNUAL_ROLL,2020,45993,,,'')&lt;/Q&gt;&lt;R&gt;0&lt;/R&gt;&lt;C&gt;0&lt;/C&gt;&lt;/FQL&gt;&lt;FQL&gt;&lt;Q&gt;SNOW^FE_ESTIMATE(CURRENT_RPO,MEAN,QUARTERLY_ROLL,2020/4F,45993,,,'')&lt;/Q&gt;&lt;R&gt;0&lt;/R&gt;&lt;C&gt;0&lt;/C&gt;&lt;/FQL&gt;&lt;FQL&gt;&lt;Q&gt;SNOW^FE_ESTIMATE(CURRENT_RPO,MEAN,QUARTERLY_ROLL,2020/3F,45993,,,'')&lt;/Q&gt;&lt;R&gt;0&lt;/R&gt;&lt;C&gt;0&lt;/C&gt;&lt;/FQL&gt;&lt;FQL&gt;&lt;Q&gt;SNOW^FE_ESTIMATE(CURRENT_RPO,MEAN,QUARTERLY_ROLL,2020/2F,45993,,,'')&lt;/Q&gt;&lt;R&gt;0&lt;/R&gt;&lt;C&gt;0&lt;/C&gt;&lt;/FQL&gt;&lt;FQL&gt;&lt;Q&gt;SNOW^FE_ESTIMATE(CURRENT_RPO,MEAN,QUARTERLY_ROLL,2020/1F,45993,,,'')&lt;/Q&gt;&lt;R&gt;0&lt;/R&gt;&lt;C&gt;0&lt;/C&gt;&lt;/FQL&gt;&lt;FQL&gt;&lt;Q&gt;SNOW^FE_ESTIMATE(CURRENT_RPO,MEAN,ANNUAL_ROLL,2019,45993,,,'')&lt;/Q&gt;&lt;R&gt;0&lt;/R&gt;&lt;C&gt;0&lt;/C&gt;&lt;/FQL&gt;&lt;FQL&gt;&lt;Q&gt;SNOW^FE_ESTIMATE(CURRENT_RPO,MEAN,QUARTERLY_ROLL,2019/4F,45993,,,'')&lt;/Q&gt;&lt;R&gt;0&lt;/R&gt;&lt;C&gt;0&lt;/C&gt;&lt;/FQL&gt;&lt;FQL&gt;&lt;Q&gt;SNOW^FE_ESTIMATE(CURRENT_RPO,MEAN,QUARTERLY_ROLL,2019/3F,45993,,,'')&lt;/Q&gt;&lt;R&gt;0&lt;/R&gt;&lt;C&gt;0&lt;/C&gt;&lt;/FQL&gt;&lt;FQL&gt;&lt;Q&gt;SNOW^FE_ESTIMATE(CURRENT_RPO,MEAN,QUARTERLY_ROLL,2019/2F,45993,,,'')&lt;/Q&gt;&lt;R&gt;0&lt;/R&gt;&lt;C&gt;0&lt;/C&gt;&lt;/FQL&gt;&lt;FQL&gt;&lt;Q&gt;SNOW^FE_ESTIMATE(CURRENT_RPO,MEAN,QUARTERLY_ROLL,2019/1F,45993,,,'')&lt;/Q&gt;&lt;R&gt;0&lt;/R&gt;&lt;C&gt;0&lt;/C&gt;&lt;/FQL&gt;&lt;FQL&gt;&lt;Q&gt;SNOW^FE_ESTIMATE(CURRENT_RPO,MEAN,ANNUAL_ROLL,2018,45993,,,'')&lt;/Q&gt;&lt;R&gt;0&lt;/R&gt;&lt;C&gt;0&lt;/C&gt;&lt;/FQL&gt;&lt;FQL&gt;&lt;Q&gt;SNOW^FE_ESTIMATE(CURRENT_RPO,MEAN,QUARTERLY_ROLL,2018/4F,45993,,,'')&lt;/Q&gt;&lt;R&gt;0&lt;/R&gt;&lt;C&gt;0&lt;/C&gt;&lt;/FQL&gt;&lt;FQL&gt;&lt;Q&gt;SNOW^FE_ESTIMATE(CURRENT_RPO,MEAN,QUARTERLY_ROLL,2018/3F,45993,,,'')&lt;/Q&gt;&lt;R&gt;0&lt;/R&gt;&lt;C&gt;0&lt;/C&gt;&lt;/FQL&gt;&lt;FQL&gt;&lt;Q&gt;SNOW^FE_ESTIMATE(CURRENT_RPO,MEAN,QUARTERLY_ROLL,2018/2F,45993,,,'')&lt;/Q&gt;&lt;R&gt;0&lt;/R&gt;&lt;C&gt;0&lt;/C&gt;&lt;/FQL&gt;&lt;FQL&gt;&lt;Q&gt;SNOW^FE_ESTIMATE(CURRENT_RPO,MEAN,QUARTERLY_ROLL,2018/1F,45993,,,'')&lt;/Q&gt;&lt;R&gt;0&lt;/R&gt;&lt;C&gt;0&lt;/C&gt;&lt;/FQL&gt;&lt;FQL&gt;&lt;Q&gt;SNOW^FE_ESTIMATE(CURRENT_RPO,MEAN,ANNUAL_ROLL,2017,45993,,,'')&lt;/Q&gt;&lt;R&gt;0&lt;/R&gt;&lt;C&gt;0&lt;/C&gt;&lt;/FQL&gt;&lt;FQL&gt;&lt;Q&gt;SNOW^FE_ESTIMATE(CURRENT_RPO,MEAN,QUARTERLY_ROLL,2017/4F,45993,,,'')&lt;/Q&gt;&lt;R&gt;0&lt;/R&gt;&lt;C&gt;0&lt;/C&gt;&lt;/FQL&gt;&lt;FQL&gt;&lt;Q&gt;SNOW^FE_ESTIMATE(CURRENT_RPO,MEAN,QUARTERLY_ROLL,2017/3F,45993,,,'')&lt;/Q&gt;&lt;R&gt;0&lt;/R&gt;&lt;C&gt;0&lt;/C&gt;&lt;/FQL&gt;&lt;FQL&gt;&lt;Q&gt;SNOW^FE_ESTIMATE(CURRENT_RPO,MEAN,QUARTERLY_ROLL,2017/2F,45993,,,'')&lt;/Q&gt;&lt;R&gt;0&lt;/R&gt;&lt;C&gt;0&lt;/C&gt;&lt;/FQL&gt;&lt;FQL&gt;&lt;Q&gt;SNOW^FE_ESTIMATE(CURRENT_RPO,MEAN,QUARTERLY_ROLL,2017/1F,45993,,,'')&lt;/Q&gt;&lt;R&gt;0&lt;/R&gt;&lt;C&gt;0&lt;/C&gt;&lt;/FQL&gt;&lt;FQL&gt;&lt;Q&gt;SNOW^FE_ESTIMATE(CURRENT_RPO,MEAN,ANNUAL_ROLL,2016,45993,,,'')&lt;/Q&gt;&lt;R&gt;0&lt;/R&gt;&lt;C&gt;0&lt;/C&gt;&lt;/FQL&gt;&lt;FQL&gt;&lt;Q&gt;SNOW^FE_ESTIMATE(CURRENT_RPO,MEAN,QUARTERLY_ROLL,2016/4F,45993,,,'')&lt;/Q&gt;&lt;R&gt;0&lt;/R&gt;&lt;C&gt;0&lt;/C&gt;&lt;/FQL&gt;&lt;FQL&gt;&lt;Q&gt;SNOW^FE_ESTIMATE(CURRENT_RPO,MEAN,QUARTERLY_ROLL,2016/3F,45993,,,'')&lt;/Q&gt;&lt;R&gt;0&lt;/R&gt;&lt;C&gt;0&lt;/C&gt;&lt;/FQL&gt;&lt;FQL&gt;&lt;Q&gt;SNOW^FE_ESTIMATE(CURRENT_RPO,MEAN,QUARTERLY_ROLL,2016/2F,45993,,,'')&lt;/Q&gt;&lt;R&gt;0&lt;/R&gt;&lt;C&gt;0&lt;/C&gt;&lt;/FQL&gt;&lt;FQL&gt;&lt;Q&gt;SNOW^FE_ESTIMATE(CURRENT_RPO,MEAN,QUARTERLY_ROLL,2016/1F,45993,,,'')&lt;/Q&gt;&lt;R&gt;0&lt;/R&gt;&lt;C&gt;0&lt;/C&gt;&lt;/FQL&gt;&lt;FQL&gt;&lt;Q&gt;SNOW^FE_ESTIMATE(CURRENT_RPO,MEAN,ANNUAL_ROLL,2015,45993,,,'')&lt;/Q&gt;&lt;R&gt;0&lt;/R&gt;&lt;C&gt;0&lt;/C&gt;&lt;/FQL&gt;&lt;FQL&gt;&lt;Q&gt;SNOW^FE_ESTIMATE(CURRENT_RPO,MEAN,QUARTERLY_ROLL,2015/4F,45993,,,'')&lt;/Q&gt;&lt;R&gt;0&lt;/R&gt;&lt;C&gt;0&lt;/C&gt;&lt;/FQL&gt;&lt;FQL&gt;&lt;Q&gt;SNOW^FE_ESTIMATE(CURRENT_RPO,MEAN,QUARTERLY_ROLL,2015/3F,45993,,,'')&lt;/Q&gt;&lt;R&gt;0&lt;/R&gt;&lt;C&gt;0&lt;/C&gt;&lt;/FQL&gt;&lt;FQL&gt;&lt;Q&gt;SNOW^FE_ESTIMATE(CURRENT_RPO,MEAN,QUARTERLY_ROLL,2015/2F,45993,,,'')&lt;/Q&gt;&lt;R&gt;0&lt;/R&gt;&lt;C&gt;0&lt;/C&gt;&lt;/FQL&gt;&lt;FQL&gt;&lt;Q&gt;SNOW^FE_ESTIMATE(CURRENT_RPO,MEAN,QUARTERLY_ROLL,2015/1F,45993,,,'')&lt;/Q&gt;&lt;R&gt;0&lt;/R&gt;&lt;C&gt;0&lt;/C&gt;&lt;/FQL&gt;&lt;FQL&gt;&lt;Q&gt;COMP^FG_PRICE(08/27/2025)&lt;/Q&gt;&lt;R&gt;1&lt;/R&gt;&lt;C&gt;1&lt;/C&gt;&lt;D xsi:type="xsd:double"&gt;21590.14&lt;/D&gt;&lt;/FQL&gt;&lt;FQL&gt;&lt;Q&gt;SNOW^FG_PRICE(05/22/2025)&lt;/Q&gt;&lt;R&gt;1&lt;/R&gt;&lt;C&gt;1&lt;/C&gt;&lt;D xsi:type="xsd:double"&gt;203.18&lt;/D&gt;&lt;/FQL&gt;&lt;FQL&gt;&lt;Q&gt;COMP^FG_PRICE(02/27/2025)&lt;/Q&gt;&lt;R&gt;1&lt;/R&gt;&lt;C&gt;1&lt;/C&gt;&lt;D xsi:type="xsd:double"&gt;18544.42&lt;/D&gt;&lt;/FQL&gt;&lt;FQL&gt;&lt;Q&gt;COMP^FG_PRICE(05/23/2024)&lt;/Q&gt;&lt;R&gt;1&lt;/R&gt;&lt;C&gt;1&lt;/C&gt;&lt;D xsi:type="xsd:double"&gt;16736.033&lt;/D&gt;&lt;/FQL&gt;&lt;FQL&gt;&lt;Q&gt;COMP^FG_PRICE(08/21/2024)&lt;/Q&gt;&lt;R&gt;1&lt;/R&gt;&lt;C&gt;1&lt;/C&gt;&lt;D xsi:type="xsd:double"&gt;17918.986&lt;/D&gt;&lt;/FQL&gt;&lt;FQL&gt;&lt;Q&gt;SNOW^FG_PRICE(11/21/2024)&lt;/Q&gt;&lt;R&gt;1&lt;/R&gt;&lt;C&gt;1&lt;/C&gt;&lt;D xsi:type="xsd:double"&gt;171.35&lt;/D&gt;&lt;/FQL&gt;&lt;FQL&gt;&lt;Q&gt;SNOW^FG_PRICE(02/26/2025)&lt;/Q&gt;&lt;R&gt;1&lt;/R&gt;&lt;C&gt;1&lt;/C&gt;&lt;D xsi:type="xsd:double"&gt;166.19&lt;/D&gt;&lt;/FQL&gt;&lt;FQL&gt;&lt;Q&gt;SNOW^FG_PRICE(05/22/2024)&lt;/Q&gt;&lt;R&gt;1&lt;/R&gt;&lt;C&gt;1&lt;/C&gt;&lt;D xsi:type="xsd:double"&gt;163.34&lt;/D&gt;&lt;/FQL&gt;&lt;FQL&gt;&lt;Q&gt;COMP^FG_PRICE(08/24/2023)&lt;/Q&gt;&lt;R&gt;1&lt;/R&gt;&lt;C&gt;1&lt;/C&gt;&lt;D xsi:type="xsd:double"&gt;13463.972&lt;/D&gt;&lt;/FQL&gt;&lt;FQL&gt;&lt;Q&gt;COMP^FG_PRICE(11/29/2023)&lt;/Q&gt;&lt;R&gt;1&lt;/R&gt;&lt;C&gt;1&lt;/C&gt;&lt;D xsi:type="xsd:double"&gt;14258.49&lt;/D&gt;&lt;/FQL&gt;&lt;FQL&gt;&lt;Q&gt;SNOW^FG_PRICE(02/29/2024)&lt;/Q&gt;&lt;R&gt;1&lt;/R&gt;&lt;C&gt;1&lt;/C&gt;&lt;D xsi:type="xsd:double"&gt;188.28&lt;/D&gt;&lt;/FQL&gt;&lt;FQL&gt;&lt;Q&gt;SNOW^FG_PRICE(05/25/2023)&lt;/Q&gt;&lt;R&gt;1&lt;/R&gt;&lt;C&gt;1&lt;/C&gt;&lt;D xsi:type="xsd:double"&gt;147.91&lt;/D&gt;&lt;/FQL&gt;&lt;FQL&gt;&lt;Q&gt;SNOW^FG_PRICE(08/23/2023)&lt;/Q&gt;&lt;R&gt;1&lt;/R&gt;&lt;C&gt;1&lt;/C&gt;&lt;D xsi:type="xsd:double"&gt;155.7&lt;/D&gt;&lt;/FQL&gt;&lt;FQL&gt;&lt;Q&gt;SNOW^FG_PRICE(12/01/2022)&lt;/Q&gt;&lt;R&gt;1&lt;/R&gt;&lt;C&gt;1&lt;/C&gt;&lt;D xsi:type="xsd:double"&gt;154.04&lt;/D&gt;&lt;/FQL&gt;&lt;FQL&gt;&lt;Q&gt;SNOW^FG_PRICE(03/01/2023)&lt;/Q&gt;&lt;R&gt;1&lt;/R&gt;&lt;C&gt;1&lt;/C&gt;&lt;D xsi:type="xsd:double"&gt;154.5&lt;/D&gt;&lt;/FQL&gt;&lt;FQL&gt;&lt;Q&gt;SNOW^FG_PRICE(05/25/2022)&lt;/Q&gt;&lt;R&gt;1&lt;/R&gt;&lt;C&gt;1&lt;/C&gt;&lt;D xsi:type="xsd:double"&gt;132.77&lt;/D&gt;&lt;/FQL&gt;&lt;FQL&gt;&lt;Q&gt;COMP^FG_PRICE(08/25/2022)&lt;/Q&gt;&lt;R&gt;1&lt;/R&gt;&lt;C&gt;1&lt;/C&gt;&lt;D xsi:type="xsd:double"&gt;12639.265&lt;/D&gt;&lt;/FQL&gt;&lt;FQL&gt;&lt;Q&gt;COMP^FG_PRICE(11/30/2022)&lt;/Q&gt;&lt;R&gt;1&lt;/R&gt;&lt;C&gt;1&lt;/C&gt;&lt;D xsi:type="xsd:double"&gt;11467.996&lt;/D&gt;&lt;/FQL&gt;&lt;FQL&gt;&lt;Q&gt;COMP^FG_PRICE(03/03/2022)&lt;/Q&gt;&lt;R&gt;1&lt;/R&gt;&lt;C&gt;1&lt;/C&gt;&lt;D xsi:type="xsd:double"&gt;13537.941&lt;/D&gt;&lt;/FQL&gt;&lt;FQL&gt;&lt;Q&gt;COMP^FG_PRICE(05/27/2021)&lt;/Q&gt;&lt;R&gt;1&lt;/R&gt;&lt;C&gt;1&lt;/C&gt;&lt;D xsi:type="xsd:double"&gt;13736.277&lt;/D&gt;&lt;/FQL&gt;&lt;FQL&gt;&lt;Q&gt;COMP^FG_PRICE(08/25/2021)&lt;/Q&gt;&lt;R&gt;1&lt;/R&gt;&lt;C&gt;1&lt;/C&gt;&lt;D xsi:type="xsd:double"&gt;15041.859&lt;/D&gt;&lt;/FQL&gt;&lt;FQL&gt;&lt;Q&gt;SNOW^FG_PRICE(12/02/2021)&lt;/Q&gt;&lt;R&gt;1&lt;/R&gt;&lt;C&gt;1&lt;/C&gt;&lt;D xsi:type="xsd:double"&gt;360.28&lt;/D&gt;&lt;/FQL&gt;&lt;FQL&gt;&lt;Q&gt;SNOW^FG_PRICE(03/02/2022)&lt;/Q&gt;&lt;R&gt;1&lt;/R&gt;&lt;C&gt;1&lt;/C&gt;&lt;D xsi:type="xsd:double"&gt;264.69&lt;/D&gt;&lt;/FQL&gt;&lt;FQL&gt;&lt;Q&gt;SNOW^FG_PRICE(05/26/2021)&lt;/Q&gt;&lt;R&gt;1&lt;/R&gt;&lt;C&gt;1&lt;/C&gt;&lt;D xsi:type="xsd:double"&gt;235.25&lt;/D&gt;&lt;/FQL&gt;&lt;FQL&gt;&lt;Q&gt;COMP^FG_PRICE(03/03/2021)&lt;/Q&gt;&lt;R&gt;1&lt;/R&gt;&lt;C&gt;1&lt;/C&gt;&lt;D xsi:type="xsd:double"&gt;12997.75&lt;/D&gt;&lt;/FQL&gt;&lt;FQL&gt;&lt;Q&gt;SNOW^FG_PRICE(12/03/2020)&lt;/Q&gt;&lt;R&gt;1&lt;/R&gt;&lt;C&gt;1&lt;/C&gt;&lt;D xsi:type="xsd:double"&gt;339.89&lt;/D&gt;&lt;/FQL&gt;&lt;FQL&gt;&lt;Q&gt;SNOW-US^P_PRICE_AVG(45596,45688)&lt;/Q&gt;&lt;R&gt;1&lt;/R&gt;&lt;C&gt;1&lt;/C&gt;&lt;D xsi:type="xsd:double"&gt;158.65178&lt;/D&gt;&lt;/FQL&gt;&lt;FQL&gt;&lt;Q&gt;SNOW^FG_PRICE(11/30/2023)&lt;/Q&gt;&lt;R&gt;1&lt;/R&gt;&lt;C&gt;1&lt;/C&gt;&lt;D xsi:type="xsd:double"&gt;187.68&lt;/D&gt;&lt;/FQL&gt;&lt;FQL&gt;&lt;Q&gt;SNOW^FG_PRICE(08/26/2021)&lt;/Q&gt;&lt;R&gt;1&lt;/R&gt;&lt;C&gt;1&lt;/C&gt;&lt;D xsi:type="xsd:double"&gt;305.26&lt;/D&gt;&lt;/FQL&gt;&lt;FQL&gt;&lt;Q&gt;SNOW^FG_PRICE(03/03/2021)&lt;/Q&gt;&lt;R&gt;1&lt;/R&gt;&lt;C&gt;1&lt;/C&gt;&lt;D xsi:type="xsd:double"&gt;247.03&lt;/D&gt;&lt;/FQL&gt;&lt;FQL&gt;&lt;Q&gt;COMP^FG_PRICE(08/28/2025)&lt;/Q&gt;&lt;R&gt;1&lt;/R&gt;&lt;C&gt;1&lt;/C&gt;&lt;D xsi:type="xsd:double"&gt;21705.158&lt;/D&gt;&lt;/FQL&gt;&lt;FQL&gt;&lt;Q&gt;COMP^FG_PRICE(05/21/2025)&lt;/Q&gt;&lt;R&gt;1&lt;/R&gt;&lt;C&gt;1&lt;/C&gt;&lt;D xsi:type="xsd:double"&gt;18872.643&lt;/D&gt;&lt;/FQL&gt;&lt;FQL&gt;&lt;Q&gt;SNOW^FG_PRICE(08/27/2025)&lt;/Q&gt;&lt;R&gt;1&lt;/R&gt;&lt;C&gt;1&lt;/C&gt;&lt;D xsi:type="xsd:double"&gt;200.39&lt;/D&gt;&lt;/FQL&gt;&lt;FQL&gt;&lt;Q&gt;COMP^FG_PRICE(11/21/2024)&lt;/Q&gt;&lt;R&gt;1&lt;/R&gt;&lt;C&gt;1&lt;/C&gt;&lt;D xsi:type="xsd:double"&gt;18972.42&lt;/D&gt;&lt;/FQL&gt;&lt;FQL&gt;&lt;Q&gt;COMP^FG_PRICE(02/26/2025)&lt;/Q&gt;&lt;R&gt;1&lt;/R&gt;&lt;C&gt;1&lt;/C&gt;&lt;D xsi:type="xsd:double"&gt;19075.264&lt;/D&gt;&lt;/FQL&gt;&lt;FQL&gt;&lt;Q&gt;COMP^FG_PRICE(05/22/2024)&lt;/Q&gt;&lt;R&gt;1&lt;/R&gt;&lt;C&gt;1&lt;/C&gt;&lt;D xsi:type="xsd:double"&gt;16801.545&lt;/D&gt;&lt;/FQL&gt;&lt;FQL&gt;&lt;Q&gt;SNOW^FG_PRICE(08/22/2024)&lt;/Q&gt;&lt;R&gt;1&lt;/R&gt;&lt;C&gt;1&lt;/C&gt;&lt;D xsi:type="xsd:double"&gt;115.21&lt;/D&gt;&lt;/FQL&gt;&lt;FQL&gt;&lt;Q&gt;SNOW^FG_PRICE(11/20/2024)&lt;/Q&gt;&lt;R&gt;1&lt;/R&gt;&lt;C&gt;1&lt;/C&gt;&lt;D xsi:type="xsd:double"&gt;129.12&lt;/D&gt;&lt;/FQL&gt;&lt;FQL&gt;&lt;Q&gt;COMP^FG_PRICE(02/29/2024)&lt;/Q&gt;&lt;R&gt;1&lt;/R&gt;&lt;C&gt;1&lt;/C&gt;&lt;D xsi:type="xsd:double"&gt;16091.922&lt;/D&gt;&lt;/FQL&gt;&lt;FQL&gt;&lt;Q&gt;COMP^FG_PRICE(05/25/2023)&lt;/Q&gt;&lt;R&gt;1&lt;/R&gt;&lt;C&gt;1&lt;/C&gt;&lt;D xsi:type="xsd:double"&gt;12698.094&lt;/D&gt;&lt;/FQL&gt;&lt;FQL&gt;&lt;Q&gt;COMP^FG_PRICE(08/23/2023)&lt;/Q&gt;&lt;R&gt;1&lt;/R&gt;&lt;C&gt;1&lt;/C&gt;&lt;D xsi:type="xsd:double"&gt;13721.033&lt;/D&gt;&lt;/FQL&gt;&lt;FQL&gt;&lt;Q&gt;SNOW^FG_PRICE(02/28/2024)&lt;/Q&gt;&lt;R&gt;1&lt;/R&gt;&lt;C&gt;1&lt;/C&gt;&lt;D xsi:type="xsd:double"&gt;230&lt;/D&gt;&lt;/FQL&gt;&lt;FQL&gt;&lt;Q&gt;SNOW^FG_PRICE(05/24/2023)&lt;/Q&gt;&lt;R&gt;1&lt;/R&gt;&lt;C&gt;1&lt;/C&gt;&lt;D xsi:type="xsd:double"&gt;177.14&lt;/D&gt;&lt;/FQL&gt;&lt;FQL&gt;&lt;Q&gt;SNOW^FG_PRICE(08/25/2022)&lt;/Q&gt;&lt;R&gt;1&lt;/R&gt;&lt;C&gt;1&lt;/C&gt;&lt;D xsi:type="xsd:double"&gt;196.28&lt;/D&gt;&lt;/FQL&gt;&lt;FQL&gt;&lt;Q&gt;SNOW^FG_PRICE(11/30/2022)&lt;/Q&gt;&lt;R&gt;1&lt;/R&gt;&lt;C&gt;1&lt;/C&gt;&lt;D xsi:type="xsd:double"&gt;142.9&lt;/D&gt;&lt;/FQL&gt;&lt;FQL&gt;&lt;Q&gt;COMP^FG_PRICE(03/02/2023)&lt;/Q&gt;&lt;R&gt;1&lt;/R&gt;&lt;C&gt;1&lt;/C&gt;&lt;D xsi:type="xsd:double"&gt;11462.982&lt;/D&gt;&lt;/FQL&gt;&lt;FQL&gt;&lt;Q&gt;COMP^FG_PRICE(05/26/2022)&lt;/Q&gt;&lt;R&gt;1&lt;/R&gt;&lt;C&gt;1&lt;/C&gt;&lt;D xsi:type="xsd:double"&gt;11740.65&lt;/D&gt;&lt;/FQL&gt;&lt;FQL&gt;&lt;Q&gt;COMP^FG_PRICE(08/24/2022)&lt;/Q&gt;&lt;R&gt;1&lt;/R&gt;&lt;C&gt;1&lt;/C&gt;&lt;D xsi:type="xsd:double"&gt;12431.528&lt;/D&gt;&lt;/FQL&gt;&lt;FQL&gt;&lt;Q&gt;COMP^FG_PRICE(12/02/2021)&lt;/Q&gt;&lt;R&gt;1&lt;/R&gt;&lt;C&gt;1&lt;/C&gt;&lt;D xsi:type="xsd:double"&gt;15381.32&lt;/D&gt;&lt;/FQL&gt;&lt;FQL&gt;&lt;Q&gt;COMP^FG_PRICE(03/02/2022)&lt;/Q&gt;&lt;R&gt;1&lt;/R&gt;&lt;C&gt;1&lt;/C&gt;&lt;D xsi:type="xsd:double"&gt;13752.016&lt;/D&gt;&lt;/FQL&gt;&lt;FQL&gt;&lt;Q&gt;COMP^FG_PRICE(05/26/2021)&lt;/Q&gt;&lt;R&gt;1&lt;/R&gt;&lt;C&gt;1&lt;/C&gt;&lt;D xsi:type="xsd:double"&gt;13737.996&lt;/D&gt;&lt;/FQL&gt;&lt;FQL&gt;&lt;Q&gt;SNOW^FG_PRICE(12/01/2021)&lt;/Q&gt;&lt;R&gt;1&lt;/R&gt;&lt;C&gt;1&lt;/C&gt;&lt;D xsi:type="xsd:double"&gt;311&lt;/D&gt;&lt;/FQL&gt;&lt;FQL&gt;&lt;Q&gt;COMP^FG_PRICE(03/04/2021)&lt;/Q&gt;&lt;R&gt;1&lt;/R&gt;&lt;C&gt;1&lt;/C&gt;&lt;D xsi:type="xsd:double"&gt;12723.473&lt;/D&gt;&lt;/FQL&gt;&lt;FQL&gt;&lt;Q&gt;COMP^FG_PRICE(12/02/2020)&lt;/Q&gt;&lt;R&gt;1&lt;/R&gt;&lt;C&gt;1&lt;/C&gt;&lt;D xsi:type="xsd:double"&gt;12349.367&lt;/D&gt;&lt;/FQL&gt;&lt;FQL&gt;&lt;Q&gt;SNOW^FG_PRICE(03/02/2023)&lt;/Q&gt;&lt;R&gt;1&lt;/R&gt;&lt;C&gt;1&lt;/C&gt;&lt;D xsi:type="xsd:double"&gt;135.28&lt;/D&gt;&lt;/FQL&gt;&lt;FQL&gt;&lt;Q&gt;SNOW^FG_PRICE(03/04/2021)&lt;/Q&gt;&lt;R&gt;1&lt;/R&gt;&lt;C&gt;1&lt;/C&gt;&lt;D xsi:type="xsd:double"&gt;249&lt;/D&gt;&lt;/FQL&gt;&lt;FQL&gt;&lt;Q&gt;COMP^FG_PRICE(05/22/2025)&lt;/Q&gt;&lt;R&gt;1&lt;/R&gt;&lt;C&gt;1&lt;/C&gt;&lt;D xsi:type="xsd:double"&gt;18925.734&lt;/D&gt;&lt;/FQL&gt;&lt;FQL&gt;&lt;Q&gt;SNOW^FG_PRICE(08/28/2025)&lt;/Q&gt;&lt;R&gt;1&lt;/R&gt;&lt;C&gt;1&lt;/C&gt;&lt;D xsi:type="xsd:double"&gt;241&lt;/D&gt;&lt;/FQL&gt;&lt;FQL&gt;&lt;Q&gt;SNOW^FG_PRICE(05/21/2025)&lt;/Q&gt;&lt;R&gt;1&lt;/R&gt;&lt;C&gt;1&lt;/C&gt;&lt;D xsi:type="xsd:double"&gt;179.12&lt;/D&gt;&lt;/FQL&gt;&lt;FQL&gt;&lt;Q&gt;COMP^FG_PRICE(08/22/2024)&lt;/Q&gt;&lt;R&gt;1&lt;/R&gt;&lt;C&gt;1&lt;/C&gt;&lt;D xsi:type="xsd:double"&gt;17619.354&lt;/D&gt;&lt;/FQL&gt;&lt;FQL&gt;&lt;Q&gt;COMP^FG_PRICE(11/20/2024)&lt;/Q&gt;&lt;R&gt;1&lt;/R&gt;&lt;C&gt;1&lt;/C&gt;&lt;D xsi:type="xsd:double"&gt;18966.143&lt;/D&gt;&lt;/FQL&gt;&lt;FQL&gt;&lt;Q&gt;SNOW^FG_PRICE(02/27/2025)&lt;/Q&gt;&lt;R&gt;1&lt;/R&gt;&lt;C&gt;1&lt;/C&gt;&lt;D xsi:type="xsd:double"&gt;173.69&lt;/D&gt;&lt;/FQL&gt;&lt;FQL&gt;&lt;Q&gt;SNOW^FG_PRICE(05/23/2024)&lt;/Q&gt;&lt;R&gt;1&lt;/R&gt;&lt;C&gt;1&lt;/C&gt;&lt;D xsi:type="xsd:double"&gt;154.58&lt;/D&gt;&lt;/FQL&gt;&lt;FQL&gt;&lt;Q&gt;SNOW^FG_PRICE(08/21/2024)&lt;/Q&gt;&lt;R&gt;1&lt;/R&gt;&lt;C&gt;1&lt;/C&gt;&lt;D xsi:type="xsd:double"&gt;135.06&lt;/D&gt;&lt;/FQL&gt;&lt;FQL&gt;&lt;Q&gt;COMP^FG_PRICE(11/30/2023)&lt;/Q&gt;&lt;R&gt;1&lt;/R&gt;&lt;C&gt;1&lt;/C&gt;&lt;D xsi:type="xsd:double"&gt;14226.218&lt;/D&gt;&lt;/FQL&gt;&lt;FQL&gt;&lt;Q&gt;COMP^FG_PRICE(02/28/2024)&lt;/Q&gt;&lt;R&gt;1&lt;/R&gt;&lt;C&gt;1&lt;/C&gt;&lt;D xsi:type="xsd:double"&gt;15947.738&lt;/D&gt;&lt;/FQL&gt;&lt;FQL&gt;&lt;Q&gt;COMP^FG_PRICE(05/24/2023)&lt;/Q&gt;&lt;R&gt;1&lt;/R&gt;&lt;C&gt;1&lt;/C&gt;&lt;D xsi:type="xsd:double"&gt;12484.162&lt;/D&gt;&lt;/FQL&gt;&lt;FQL&gt;&lt;Q&gt;SNOW^FG_PRICE(08/24/2023)&lt;/Q&gt;&lt;R&gt;1&lt;/R&gt;&lt;C&gt;1&lt;/C&gt;&lt;D xsi:type="xsd:double"&gt;147.67&lt;/D&gt;&lt;/FQL&gt;&lt;FQL&gt;&lt;Q&gt;SNOW^FG_PRICE(11/29/2023)&lt;/Q&gt;&lt;R&gt;1&lt;/R&gt;&lt;C&gt;1&lt;/C&gt;&lt;D xsi:type="xsd:double"&gt;175.32&lt;/D&gt;&lt;/FQL&gt;&lt;FQL&gt;&lt;Q&gt;SNOW^FG_PRICE(05/26/2022)&lt;/Q&gt;&lt;R&gt;1&lt;/R&gt;&lt;C&gt;1&lt;/C&gt;&lt;D xsi:type="xsd:double"&gt;126.8&lt;/D&gt;&lt;/FQL&gt;&lt;FQL&gt;&lt;Q&gt;SNOW^FG_PRICE(08/24/2022)&lt;/Q&gt;&lt;R&gt;1&lt;/R&gt;&lt;C&gt;1&lt;/C&gt;&lt;D xsi:type="xsd:double"&gt;159.49&lt;/D&gt;&lt;/FQL&gt;&lt;FQL&gt;&lt;Q&gt;COMP^FG_PRICE(12/01/2022)&lt;/Q&gt;&lt;R&gt;1&lt;/R&gt;&lt;C&gt;1&lt;/C&gt;&lt;D xsi:type="xsd:double"&gt;11482.449&lt;/D&gt;&lt;/FQL&gt;&lt;FQL&gt;&lt;Q&gt;COMP^FG_PRICE(03/01/2023)&lt;/Q&gt;&lt;R&gt;1&lt;/R&gt;&lt;C&gt;1&lt;/C&gt;&lt;D xsi:type="xsd:double"&gt;11379.485&lt;/D&gt;&lt;/FQL&gt;&lt;FQL&gt;&lt;Q&gt;COMP^FG_PRICE(05/25/2022)&lt;/Q&gt;&lt;R&gt;1&lt;/R&gt;&lt;C&gt;1&lt;/C&gt;&lt;D xsi:type="xsd:double"&gt;11434.741&lt;/D&gt;&lt;/FQL&gt;&lt;FQL&gt;&lt;Q&gt;COMP^FG_PRICE(08/26/2021)&lt;/Q&gt;&lt;R&gt;1&lt;/R&gt;&lt;C&gt;1&lt;/C&gt;&lt;D xsi:type="xsd:double"&gt;14945.809&lt;/D&gt;&lt;/FQL&gt;&lt;FQL&gt;&lt;Q&gt;COMP^FG_PRICE(12/01/2021)&lt;/Q&gt;&lt;R&gt;1&lt;/R&gt;&lt;C&gt;1&lt;/C&gt;&lt;D xsi:type="xsd:double"&gt;15254.052&lt;/D&gt;&lt;/FQL&gt;&lt;FQL&gt;&lt;Q&gt;SNOW^FG_PRICE(03/03/2022)&lt;/Q&gt;&lt;R&gt;1&lt;/R&gt;&lt;C&gt;1&lt;/C&gt;&lt;D xsi:type="xsd:double"&gt;224.02&lt;/D&gt;&lt;/FQL&gt;&lt;FQL&gt;&lt;Q&gt;SNOW^FG_PRICE(05/27/2021)&lt;/Q&gt;&lt;R&gt;1&lt;/R&gt;&lt;C&gt;1&lt;/C&gt;&lt;D xsi:type="xsd:double"&gt;245.15&lt;/D&gt;&lt;/FQL&gt;&lt;FQL&gt;&lt;Q&gt;SNOW^FG_PRICE(08/25/2021)&lt;/Q&gt;&lt;R&gt;1&lt;/R&gt;&lt;C&gt;1&lt;/C&gt;&lt;D xsi:type="xsd:double"&gt;283.76&lt;/D&gt;&lt;/FQL&gt;&lt;FQL&gt;&lt;Q&gt;COMP^FG_PRICE(12/03/2020)&lt;/Q&gt;&lt;R&gt;1&lt;/R&gt;&lt;C&gt;1&lt;/C&gt;&lt;D xsi:type="xsd:double"&gt;12377.18&lt;/D&gt;&lt;/FQL&gt;&lt;FQL&gt;&lt;Q&gt;SNOW^FG_PRICE(12/02/2020)&lt;/Q&gt;&lt;R&gt;1&lt;/R&gt;&lt;C&gt;1&lt;/C&gt;&lt;D xsi:type="xsd:double"&gt;292.69&lt;/D&gt;&lt;/FQL&gt;&lt;FQL&gt;&lt;Q&gt;SNOW^FG_PRICE(12/02/2025)&lt;/Q&gt;&lt;R&gt;1&lt;/R&gt;&lt;C&gt;1&lt;/C&gt;&lt;D xsi:type="xsd:double"&gt;259.68&lt;/D&gt;&lt;/FQL&gt;&lt;FQL&gt;&lt;Q&gt;SNOW^FF_ENTRPR_VAL_DAILY(45993,,,,,"DIL")&lt;/Q&gt;&lt;R&gt;1&lt;/R&gt;&lt;C&gt;1&lt;/C&gt;&lt;D xsi:type="xsd:double"&gt;83586.742&lt;/D&gt;&lt;/FQL&gt;&lt;FQL&gt;&lt;Q&gt;ADBE^FG_PRICE(12/02/2025)&lt;/Q&gt;&lt;R&gt;1&lt;/R&gt;&lt;C&gt;1&lt;/C&gt;&lt;D xsi:type="xsd:double"&gt;322.81&lt;/D&gt;&lt;/FQL&gt;&lt;FQL&gt;&lt;Q&gt;ADBE^FF_ENTRPR_VAL_DAILY(45993,,,,,"DIL")&lt;/Q&gt;&lt;R&gt;1&lt;/R&gt;&lt;C&gt;1&lt;/C&gt;&lt;D xsi:type="xsd:double"&gt;137616.685&lt;/D&gt;&lt;/FQL&gt;&lt;FQL&gt;&lt;Q&gt;ADBE^FE_ESTIMATE(SALES,MEAN,CALA_ROLL,2023,45993,,,'')&lt;/Q&gt;&lt;R&gt;1&lt;/R&gt;&lt;C&gt;1&lt;/C&gt;&lt;D xsi:type="xsd:double"&gt;19582.025&lt;/D&gt;&lt;/FQL&gt;&lt;FQL&gt;&lt;Q&gt;ADBE^FE_ESTIMATE(SALES,MEAN,CALA_ROLL,2024,45993,,,'')&lt;/Q&gt;&lt;R&gt;1&lt;/R&gt;&lt;C&gt;1&lt;/C&gt;&lt;D xsi:type="xsd:double"&gt;21695.738&lt;/D&gt;&lt;/FQL&gt;&lt;FQL&gt;&lt;Q&gt;ADBE^FE_ESTIMATE(SALES,MEAN,LTMA,,45993,,,'')&lt;/Q&gt;&lt;R&gt;1&lt;/R&gt;&lt;C&gt;1&lt;/C&gt;&lt;D xsi:type="xsd:double"&gt;23704.156&lt;/D&gt;&lt;/FQL&gt;&lt;FQL&gt;&lt;Q&gt;ADBE^FE_ESTIMATE(SALES,MEAN,NTMA,,45993,,,'')&lt;/Q&gt;&lt;R&gt;1&lt;/R&gt;&lt;C&gt;1&lt;/C&gt;&lt;D xsi:type="xsd:double"&gt;25916.559&lt;/D&gt;&lt;/FQL&gt;&lt;FQL&gt;&lt;Q&gt;ADBE^FE_ESTIMATE(SALES,MEAN,CALA_ROLL,2025,45993,,,'')&lt;/Q&gt;&lt;R&gt;1&lt;/R&gt;&lt;C&gt;1&lt;/C&gt;&lt;D xsi:type="xsd:double"&gt;23879.854&lt;/D&gt;&lt;/FQL&gt;&lt;FQL&gt;&lt;Q&gt;ADBE^FE_ESTIMATE(SALES,MEAN,CALA_ROLL,2026,45993,,,'')&lt;/Q&gt;&lt;R&gt;1&lt;/R&gt;&lt;C&gt;1&lt;/C&gt;&lt;D xsi:type="xsd:double"&gt;26107.281&lt;/D&gt;&lt;/FQL&gt;&lt;FQL&gt;&lt;Q&gt;DDOG^FG_PRICE(12/02/2025)&lt;/Q&gt;&lt;R&gt;1&lt;/R&gt;&lt;C&gt;1&lt;/C&gt;&lt;D xsi:type="xsd:double"&gt;156.48&lt;/D&gt;&lt;/FQL&gt;&lt;FQL&gt;&lt;Q&gt;DDOG^FF_ENTRPR_VAL_DAILY(45993,,,,,"DIL")&lt;/Q&gt;&lt;R&gt;1&lt;/R&gt;&lt;C&gt;1&lt;/C&gt;&lt;D xsi:type="xsd:double"&gt;54298.9359&lt;/D&gt;&lt;/FQL&gt;&lt;FQL&gt;&lt;Q&gt;DDOG^FE_ESTIMATE(SALES,MEAN,CALA_ROLL,2023,45993,,,'')&lt;/Q&gt;&lt;R&gt;1&lt;/R&gt;&lt;C&gt;1&lt;/C&gt;&lt;D xsi:type="xsd:double"&gt;2128.359&lt;/D&gt;&lt;/FQL&gt;&lt;FQL&gt;&lt;Q&gt;DDOG^FE_ESTIMATE(SALES,MEAN,CALA_ROLL,2024,45993,,,'')&lt;/Q&gt;&lt;R&gt;1&lt;/R&gt;&lt;C&gt;1&lt;/C&gt;&lt;D xsi:type="xsd:double"&gt;2684.275&lt;/D&gt;&lt;/FQL&gt;&lt;FQL&gt;&lt;Q&gt;DDOG^FE_ESTIMATE(SALES,MEAN,LTMA,,45993,,,'')&lt;/Q&gt;&lt;R&gt;1&lt;/R&gt;&lt;C&gt;1&lt;/C&gt;&lt;D xsi:type="xsd:double"&gt;3333.9968&lt;/D&gt;&lt;/FQL&gt;&lt;FQL&gt;&lt;Q&gt;DDOG^FE_ESTIMATE(SALES,MEAN,NTMA,,45993,,,'')&lt;/Q&gt;&lt;R&gt;1&lt;/R&gt;&lt;C&gt;1&lt;/C&gt;&lt;D xsi:type="xsd:double"&gt;4046.3408&lt;/D&gt;&lt;/FQL&gt;&lt;FQL&gt;&lt;Q&gt;DDOG^FE_ESTIMATE(SALES,MEAN,CALA_ROLL,2025,45993,,,'')&lt;/Q&gt;&lt;R&gt;1&lt;/R&gt;&lt;C&gt;1&lt;/C&gt;&lt;D xsi:type="xsd:double"&gt;3390.074&lt;/D&gt;&lt;/FQL&gt;&lt;FQL&gt;&lt;Q&gt;DDOG^FE_ESTIMATE(SALES,MEAN,CALA_ROLL,2026,45993,,,'')&lt;/Q&gt;&lt;R&gt;1&lt;/R&gt;&lt;C&gt;1&lt;/C&gt;&lt;D xsi:type="xsd:double"&gt;4102.983&lt;/D&gt;&lt;/FQL&gt;&lt;FQL&gt;&lt;Q&gt;INTU^FG_PRICE(12/02/2025)&lt;/Q&gt;&lt;R&gt;1&lt;/R&gt;&lt;C&gt;1&lt;/C&gt;&lt;D xsi:type="xsd:double"&gt;635.63&lt;/D&gt;&lt;/FQL&gt;&lt;FQL&gt;&lt;Q&gt;INTU^FF_ENTRPR_VAL_DAILY(45993,,,,,"DIL")&lt;/Q&gt;&lt;R&gt;1&lt;/R&gt;&lt;C&gt;1&lt;/C&gt;&lt;D xsi:type="xsd:double"&gt;180650.22&lt;/D&gt;&lt;/FQL&gt;&lt;FQL&gt;&lt;Q&gt;INTU^FE_ESTIMATE(SALES,MEAN,CALA_ROLL,2023,45993,,,'')&lt;/Q&gt;&lt;R&gt;1&lt;/R&gt;&lt;C&gt;1&lt;/C&gt;&lt;D xsi:type="xsd:double"&gt;15152.913&lt;/D&gt;&lt;/FQL&gt;&lt;FQL&gt;&lt;Q&gt;INTU^FE_ESTIMATE(SALES,MEAN,CALA_ROLL,2024,45993,,,'')&lt;/Q&gt;&lt;R&gt;1&lt;/R&gt;&lt;C&gt;1&lt;/C&gt;&lt;D xsi:type="xsd:double"&gt;17370.879&lt;/D&gt;&lt;/FQL&gt;&lt;FQL&gt;&lt;Q&gt;INTU^FE_ESTIMATE(SALES,MEAN,LTMA,,45993,,,'')&lt;/Q&gt;&lt;R&gt;1&lt;/R&gt;&lt;C&gt;1&lt;/C&gt;&lt;D xsi:type="xsd:double"&gt;19636.135&lt;/D&gt;&lt;/FQL&gt;&lt;FQL&gt;&lt;Q&gt;INTU^FE_ESTIMATE(SALES,MEAN,NTMA,,45993,,,'')&lt;/Q&gt;&lt;R&gt;1&lt;/R&gt;&lt;C&gt;1&lt;/C&gt;&lt;D xsi:type="xsd:double"&gt;22093.613&lt;/D&gt;&lt;/FQL&gt;&lt;FQL&gt;&lt;Q&gt;INTU^FE_ESTIMATE(SALES,MEAN,CALA_ROLL,2025,45993,,,'')&lt;/Q&gt;&lt;R&gt;1&lt;/R&gt;&lt;C&gt;1&lt;/C&gt;&lt;D xsi:type="xsd:double"&gt;19824.432&lt;/D&gt;&lt;/FQL&gt;&lt;FQL&gt;&lt;Q&gt;INTU^FE_ESTIMATE(SALES,MEAN,CALA_ROLL,2026,45993,,,'')&lt;/Q&gt;&lt;R&gt;1&lt;/R&gt;&lt;C&gt;1&lt;/C&gt;&lt;D xsi:type="xsd:double"&gt;22302.38&lt;/D&gt;&lt;/FQL&gt;&lt;FQL&gt;&lt;Q&gt;IOT^FG_PRICE(12/02/2025)&lt;/Q&gt;&lt;R&gt;1&lt;/R&gt;&lt;C&gt;1&lt;/C&gt;&lt;D xsi:type="xsd:double"&gt;37.98&lt;/D&gt;&lt;/FQL&gt;&lt;FQL&gt;&lt;Q&gt;IOT^FF_ENTRPR_VAL_DAILY(45993,,,,,"DIL")&lt;/Q&gt;&lt;R&gt;1&lt;/R&gt;&lt;C&gt;1&lt;/C&gt;&lt;D xsi:type="xsd:double"&gt;20684.05739068&lt;/D&gt;&lt;/FQL&gt;&lt;FQL&gt;&lt;Q&gt;IOT^FE_ESTIMATE(SALES,MEAN,CALA_ROLL,2023,45993,,,'')&lt;/Q&gt;&lt;R&gt;1&lt;/R&gt;&lt;C&gt;1&lt;/C&gt;&lt;D xsi:type="xsd:double"&gt;913.1931&lt;/D&gt;&lt;/FQL&gt;&lt;FQL&gt;&lt;Q&gt;IOT^FE_ESTIMATE(SALES,MEAN,CALA_ROLL,2024,45993,,,'')&lt;/Q&gt;&lt;R&gt;1&lt;/R&gt;&lt;C&gt;1&lt;/C&gt;&lt;D xsi:type="xsd:double"&gt;1223.0061&lt;/D&gt;&lt;/FQL&gt;&lt;FQL&gt;&lt;Q&gt;IOT^FE_ESTIMATE(SALES,MEAN,LTMA,,45993,,,'')&lt;/Q&gt;&lt;R&gt;1&lt;/R&gt;&lt;C&gt;1&lt;/C&gt;&lt;D xsi:type="xsd:double"&gt;1523.4557&lt;/D&gt;&lt;/FQL&gt;&lt;FQL&gt;&lt;Q&gt;IOT^FE_ESTIMATE(SALES,MEAN,NTMA,,45993,,,'')&lt;/Q&gt;&lt;R&gt;1&lt;/R&gt;&lt;C&gt;1&lt;/C&gt;&lt;D xsi:type="xsd:double"&gt;1848.3569&lt;/D&gt;&lt;/FQL&gt;&lt;FQL&gt;&lt;Q&gt;IOT^FE_ESTIMATE(SALES,MEAN,CALA_ROLL,2025,45993,,,'')&lt;/Q&gt;&lt;R&gt;1&lt;/R&gt;&lt;C&gt;1&lt;/C&gt;&lt;D xsi:type="xsd:double"&gt;1549.2427&lt;/D&gt;&lt;/FQL&gt;&lt;FQL&gt;&lt;Q&gt;IOT^FE_ESTIMATE(SALES,MEAN,CALA_ROLL,2026,45993,,,'')&lt;/Q&gt;&lt;R&gt;1&lt;/R&gt;&lt;C&gt;1&lt;/C&gt;&lt;D xsi:type="xsd:double"&gt;1874.1194&lt;/D&gt;&lt;/FQL&gt;&lt;FQL&gt;&lt;Q&gt;MNDY^FG_PRICE(12/02/2025)&lt;/Q&gt;&lt;R&gt;1&lt;/R&gt;&lt;C&gt;1&lt;/C&gt;&lt;D xsi:type="xsd:double"&gt;148.6&lt;/D&gt;&lt;/FQL&gt;&lt;FQL&gt;&lt;Q&gt;MNDY^FF_ENTRPR_VAL_DAILY(45993,,,,,"DIL")&lt;/Q&gt;&lt;R&gt;1&lt;/R&gt;&lt;C&gt;1&lt;/C&gt;&lt;D xsi:type="xsd:double"&gt;6295.390471&lt;/D&gt;&lt;/FQL&gt;&lt;FQL&gt;&lt;Q&gt;MNDY^FE_ESTIMATE(SALES,MEAN,CALA_ROLL,2023,45993,,,'')&lt;/Q&gt;&lt;R&gt;1&lt;/R&gt;&lt;C&gt;1&lt;/C&gt;&lt;D xsi:type="xsd:double"&gt;729.695&lt;/D&gt;&lt;/FQL&gt;&lt;FQL&gt;&lt;Q&gt;MNDY^FE_ESTIMATE(SALES,MEAN,CALA_ROLL,2024,45993,,,'')&lt;/Q&gt;&lt;R&gt;1&lt;/R&gt;&lt;C&gt;1&lt;/C&gt;&lt;D xsi:type="xsd:double"&gt;971.995&lt;/D&gt;&lt;/FQL&gt;&lt;FQL&gt;&lt;Q&gt;MNDY^FE_ESTIMATE(SALES,MEAN,LTMA,,45993,,,'')&lt;/Q&gt;&lt;R&gt;1&lt;/R&gt;&lt;C&gt;1&lt;/C&gt;&lt;D xsi:type="xsd:double"&gt;1207.4938&lt;/D&gt;&lt;/FQL&gt;&lt;FQL&gt;&lt;Q&gt;MNDY^FE_ESTIMATE(SALES,MEAN,NTMA,,45993,,,'')&lt;/Q&gt;&lt;R&gt;1&lt;/R&gt;&lt;C&gt;1&lt;/C&gt;&lt;D xsi:type="xsd:double"&gt;1471.3213&lt;/D&gt;&lt;/FQL&gt;&lt;FQL&gt;&lt;Q&gt;MNDY^FE_ESTIMATE(SALES,MEAN,CALA_ROLL,2025,45993,,,'')&lt;/Q&gt;&lt;R&gt;1&lt;/R&gt;&lt;C&gt;1&lt;/C&gt;&lt;D xsi:type="xsd:double"&gt;1227.8196&lt;/D&gt;&lt;/FQL&gt;&lt;FQL&gt;&lt;Q&gt;MNDY^FE_ESTIMATE(SALES,MEAN,CALA_ROLL,2026,45993,,,'')&lt;/Q&gt;&lt;R&gt;1&lt;/R&gt;&lt;C&gt;1&lt;/C&gt;&lt;D xsi:type="xsd:double"&gt;1492.3379&lt;/D&gt;&lt;/FQL&gt;&lt;FQL&gt;&lt;Q&gt;MSFT^FG_PRICE(12/02/2025)&lt;/Q&gt;&lt;R&gt;1&lt;/R&gt;&lt;C&gt;1&lt;/C&gt;&lt;D xsi:type="xsd:double"&gt;490&lt;/D&gt;&lt;/FQL&gt;&lt;FQL&gt;&lt;Q&gt;MSFT^FF_ENTRPR_VAL_DAILY(45993,,,,,"DIL")&lt;/Q&gt;&lt;R&gt;1&lt;/R&gt;&lt;C&gt;1&lt;/C&gt;&lt;D xsi:type="xsd:double"&gt;3652363.84&lt;/D&gt;&lt;/FQL&gt;&lt;FQL&gt;&lt;Q&gt;MSFT^FE_ESTIMATE(SALES,MEAN,CALA_ROLL,2023,45993,,,'')&lt;/Q&gt;&lt;R&gt;1&lt;/R&gt;&lt;C&gt;1&lt;/C&gt;&lt;D xsi:type="xsd:double"&gt;228317.34&lt;/D&gt;&lt;/FQL&gt;&lt;FQL&gt;&lt;Q&gt;MSFT^FE_ESTIMATE(SALES,MEAN,CALA_ROLL,2024,45993,,,'')&lt;/Q&gt;&lt;R&gt;1&lt;/R&gt;&lt;C&gt;1&lt;/C&gt;&lt;D xsi:type="xsd:double"&gt;263911.03&lt;/D&gt;&lt;/FQL&gt;&lt;FQL&gt;&lt;Q&gt;MSFT^FE_ESTIMATE(SALES,MEAN,LTMA,,45993,,,'')&lt;/Q&gt;&lt;R&gt;1&lt;/R&gt;&lt;C&gt;1&lt;/C&gt;&lt;D xsi:type="xsd:double"&gt;300698.63&lt;/D&gt;&lt;/FQL&gt;&lt;FQL&gt;&lt;Q&gt;MSFT^FE_ESTIMATE(SALES,MEAN,NTMA,,45993,,,'')&lt;/Q&gt;&lt;R&gt;1&lt;/R&gt;&lt;C&gt;1&lt;/C&gt;&lt;D xsi:type="xsd:double"&gt;347273.22&lt;/D&gt;&lt;/FQL&gt;&lt;FQL&gt;&lt;Q&gt;MSFT^FE_ESTIMATE(SALES,MEAN,CALA_ROLL,2025,45993,,,'')&lt;/Q&gt;&lt;R&gt;1&lt;/R&gt;&lt;C&gt;1&lt;/C&gt;&lt;D xsi:type="xsd:double"&gt;304248.72&lt;/D&gt;&lt;/FQL&gt;&lt;FQL&gt;&lt;Q&gt;MSFT^FE_ESTIMATE(SALES,MEAN,CALA_ROLL,2026,45993,,,'')&lt;/Q&gt;&lt;R&gt;1&lt;/R&gt;&lt;C&gt;1&lt;/C&gt;&lt;D xsi:type="xsd:double"&gt;351177.38&lt;/D&gt;&lt;/FQL&gt;&lt;FQL&gt;&lt;Q&gt;NOW^FG_PRICE(12/02/2025)&lt;/Q&gt;&lt;R&gt;1&lt;/R&gt;&lt;C&gt;1&lt;/C&gt;&lt;D xsi:type="xsd:double"&gt;824.38&lt;/D&gt;&lt;/FQL&gt;&lt;FQL&gt;&lt;Q&gt;NOW^FF_ENTRPR_VAL_DAILY(45993,,,,,"DIL")&lt;/Q&gt;&lt;R&gt;1&lt;/R&gt;&lt;C&gt;1&lt;/C&gt;&lt;D xsi:type="xsd:double"&gt;169209.77535&lt;/D&gt;&lt;/FQL&gt;&lt;FQL&gt;&lt;Q&gt;NOW^FE_ESTIMATE(SALES,MEAN,CALA_ROLL,2023,45993,,,'')&lt;/Q&gt;&lt;R&gt;1&lt;/R&gt;&lt;C&gt;1&lt;/C&gt;&lt;D xsi:type="xsd:double"&gt;8971&lt;/D&gt;&lt;/FQL&gt;&lt;FQL&gt;&lt;Q&gt;NOW^FE_ESTIMATE(SALES,MEAN,CALA_ROLL,2024,45993,,,'')&lt;/Q&gt;&lt;R&gt;1&lt;/R&gt;&lt;C&gt;1&lt;/C&gt;&lt;D xsi:type="xsd:double"&gt;10984&lt;/D&gt;&lt;/FQL&gt;&lt;FQL&gt;&lt;Q&gt;NOW^FE_ESTIMATE(SALES,MEAN,LTMA,,45993,,,'')&lt;/Q&gt;&lt;R&gt;1&lt;/R&gt;&lt;C&gt;1&lt;/C&gt;&lt;D xsi:type="xsd:double"&gt;13060.004&lt;/D&gt;&lt;/FQL&gt;&lt;FQL&gt;&lt;Q&gt;NOW^FE_ESTIMATE(SALES,MEAN,NTMA,,45993,,,'')&lt;/Q&gt;&lt;R&gt;1&lt;/R&gt;&lt;C&gt;1&lt;/C&gt;&lt;D xsi:type="xsd:double"&gt;15483.894&lt;/D&gt;&lt;/FQL&gt;&lt;FQL&gt;&lt;Q&gt;NOW^FE_ESTIMATE(SALES,MEAN,CALA_ROLL,2025,45993,,,'')&lt;/Q&gt;&lt;R&gt;1&lt;/R&gt;&lt;C&gt;1&lt;/C&gt;&lt;D xsi:type="xsd:double"&gt;13239.184&lt;/D&gt;&lt;/FQL&gt;&lt;FQL&gt;&lt;Q&gt;NOW^FE_ESTIMATE(SALES,MEAN,CALA_ROLL,2026,45993,,,'')&lt;/Q&gt;&lt;R&gt;1&lt;/R&gt;&lt;C&gt;1&lt;/C&gt;&lt;D xsi:type="xsd:double"&gt;15677.633&lt;/D&gt;&lt;/FQL&gt;&lt;FQL&gt;&lt;Q&gt;AMZN^FG_PRICE(12/02/2025)&lt;/Q&gt;&lt;R&gt;1&lt;/R&gt;&lt;C&gt;1&lt;/C&gt;&lt;D xsi:type="xsd:double"&gt;234.42&lt;/D&gt;&lt;/FQL&gt;&lt;FQL&gt;&lt;Q&gt;AMZN^FF_ENTRPR_VAL_DAILY(45993,,,,,"DIL")&lt;/Q&gt;&lt;R&gt;1&lt;/R&gt;&lt;C&gt;1&lt;/C&gt;&lt;D xsi:type="xsd:double"&gt;2591426.6&lt;/D&gt;&lt;/FQL&gt;&lt;FQL&gt;&lt;Q&gt;AMZN^FE_ESTIMATE(SALES,MEAN,CALA_ROLL,2023,45993,,,'')&lt;/Q&gt;&lt;R&gt;1&lt;/R&gt;&lt;C&gt;1&lt;/C&gt;&lt;D xsi:type="xsd:double"&gt;574785&lt;/D&gt;&lt;/FQL&gt;&lt;FQL&gt;&lt;Q&gt;AMZN^FE_ESTIMATE(SALES,MEAN,CALA_ROLL,2024,45993,,,'')&lt;/Q&gt;&lt;R&gt;1&lt;/R&gt;&lt;C&gt;1&lt;/C&gt;&lt;D xsi:type="xsd:double"&gt;637959&lt;/D&gt;&lt;/FQL&gt;&lt;FQL&gt;&lt;Q&gt;AMZN^FE_ESTIMATE(SALES,MEAN,LTMA,,45993,,,'')&lt;/Q&gt;&lt;R&gt;1&lt;/R&gt;&lt;C&gt;1&lt;/C&gt;&lt;D xsi:type="xsd:double"&gt;708488.56&lt;/D&gt;&lt;/FQL&gt;&lt;FQL&gt;&lt;Q&gt;AMZN^FE_ESTIMATE(SALES,MEAN,NTMA,,45993,,,'')&lt;/Q&gt;&lt;R&gt;1&lt;/R&gt;&lt;C&gt;1&lt;/C&gt;&lt;D xsi:type="xsd:double"&gt;788923.3&lt;/D&gt;&lt;/FQL&gt;&lt;FQL&gt;&lt;Q&gt;AMZN^FE_ESTIMATE(SALES,MEAN,CALA_ROLL,2025,45993,,,'')&lt;/Q&gt;&lt;R&gt;1&lt;/R&gt;&lt;C&gt;1&lt;/C&gt;&lt;D xsi:type="xsd:double"&gt;714575.94&lt;/D&gt;&lt;/FQL&gt;&lt;FQL&gt;&lt;Q&gt;AMZN^FE_ESTIMATE(SALES,MEAN,CALA_ROLL,2026,45993,,,'')&lt;/Q&gt;&lt;R&gt;1&lt;/R&gt;&lt;C&gt;1&lt;/C&gt;&lt;D xsi:type="xsd:double"&gt;795340.2&lt;/D&gt;&lt;/FQL&gt;&lt;FQL&gt;&lt;Q&gt;GOOGL^FG_PRICE(12/02/2025)&lt;/Q&gt;&lt;R&gt;1&lt;/R&gt;&lt;C&gt;1&lt;/C&gt;&lt;D xsi:type="xsd:double"&gt;315.81&lt;/D&gt;&lt;/FQL&gt;&lt;FQL&gt;&lt;Q&gt;GOOGL^FF_ENTRPR_VAL_DAILY(45993,,,,,"DIL")&lt;/Q&gt;&lt;R&gt;1&lt;/R&gt;&lt;C&gt;1&lt;/C&gt;&lt;D xsi:type="xsd:double"&gt;3785301.67&lt;/D&gt;&lt;/FQL&gt;&lt;FQL&gt;&lt;Q&gt;GOOGL^FE_ESTIMATE(SALES,MEAN,CALA_ROLL,2023,45993,,,'')&lt;/Q&gt;&lt;R&gt;1&lt;/R&gt;&lt;C&gt;1&lt;/C&gt;&lt;D xsi:type="xsd:double"&gt;307394&lt;/D&gt;&lt;/FQL&gt;&lt;FQL&gt;&lt;Q&gt;GOOGL^FE_ESTIMATE(SALES,MEAN,CALA_ROLL,2024,45993,,,'')&lt;/Q&gt;&lt;R&gt;1&lt;/R&gt;&lt;C&gt;1&lt;/C&gt;&lt;D xsi:type="xsd:double"&gt;350018&lt;/D&gt;&lt;/FQL&gt;&lt;FQL&gt;&lt;Q&gt;GOOGL^FE_ESTIMATE(SALES,MEAN,LTMA,,45993,,,'')&lt;/Q&gt;&lt;R&gt;1&lt;/R&gt;&lt;C&gt;1&lt;/C&gt;&lt;D xsi:type="xsd:double"&gt;396006.88&lt;/D&gt;&lt;/FQL&gt;&lt;FQL&gt;&lt;Q&gt;GOOGL^FE_ESTIMATE(SALES,MEAN,NTMA,,45993,,,'')&lt;/Q&gt;&lt;R&gt;1&lt;/R&gt;&lt;C&gt;1&lt;/C&gt;&lt;D xsi:type="xsd:double"&gt;450449.56&lt;/D&gt;&lt;/FQL&gt;&lt;FQL&gt;&lt;Q&gt;GOOGL^FE_ESTIMATE(SALES,MEAN,CALA_ROLL,2025,45993,,,'')&lt;/Q&gt;&lt;R&gt;1&lt;/R&gt;&lt;C&gt;1&lt;/C&gt;&lt;D xsi:type="xsd:double"&gt;399976.16&lt;/D&gt;&lt;/FQL&gt;&lt;FQL&gt;&lt;Q&gt;GOOGL^FE_ESTIMATE(SALES,MEAN,CALA_ROLL,2026,45993,,,'')&lt;/Q&gt;&lt;R&gt;1&lt;/R&gt;&lt;C&gt;1&lt;/C&gt;&lt;D xsi:type="xsd:double"&gt;454805.88&lt;/D&gt;&lt;/FQL&gt;&lt;FQL&gt;&lt;Q&gt;ADBE^FE_ESTIMATE(CUSTOM_EPS,MEAN,CALA_ROLL,2023,45993,,,'')&lt;/Q&gt;&lt;R&gt;1&lt;/R&gt;&lt;C&gt;1&lt;/C&gt;&lt;D xsi:type="xsd:double"&gt;12.452312&lt;/D&gt;&lt;/FQL&gt;&lt;FQL&gt;&lt;Q&gt;ADBE^FE_ESTIMATE(CUSTOM_EPS,MEAN,CALA_ROLL,2024,45993,,,'')&lt;/Q&gt;&lt;R&gt;1&lt;/R&gt;&lt;C&gt;1&lt;/C&gt;&lt;D xsi:type="xsd:double"&gt;14.509777&lt;/D&gt;&lt;/FQL&gt;&lt;FQL&gt;&lt;Q&gt;ADBE^FE_ESTIMATE(CUSTOM_EPS,MEAN,LTMA,,45993,,,'')&lt;/Q&gt;&lt;R&gt;1&lt;/R&gt;&lt;C&gt;1&lt;/C&gt;&lt;D xsi:type="xsd:double"&gt;17.38998&lt;/D&gt;&lt;/FQL&gt;&lt;FQL&gt;&lt;Q&gt;ADBE^FE_ESTIMATE(CUSTOM_EPS,MEAN,NTMA,,45993,,,'')&lt;/Q&gt;&lt;R&gt;1&lt;/R&gt;&lt;C&gt;1&lt;/C&gt;&lt;D xsi:type="xsd:double"&gt;19.668753&lt;/D&gt;&lt;/FQL&gt;&lt;FQL&gt;&lt;Q&gt;ADBE^FE_ESTIMATE(CUSTOM_EPS,MEAN,CALA_ROLL,2025,45993,,,'')&lt;/Q&gt;&lt;R&gt;1&lt;/R&gt;&lt;C&gt;1&lt;/C&gt;&lt;D xsi:type="xsd:double"&gt;17.570932&lt;/D&gt;&lt;/FQL&gt;&lt;FQL&gt;&lt;Q&gt;ADBE^FE_ESTIMATE(CUSTOM_EPS,MEAN,CALA_ROLL,2026,45993,,,'')&lt;/Q&gt;&lt;R&gt;1&lt;/R&gt;&lt;C&gt;1&lt;/C&gt;&lt;D xsi:type="xsd:double"&gt;19.868177&lt;/D&gt;&lt;/FQL&gt;&lt;FQL&gt;&lt;Q&gt;DDOG^FE_ESTIMATE(CUSTOM_EPS,MEAN,CALA_ROLL,2023,45993,,,'')&lt;/Q&gt;&lt;R&gt;1&lt;/R&gt;&lt;C&gt;1&lt;/C&gt;&lt;D xsi:type="xsd:double"&gt;1.32&lt;/D&gt;&lt;/FQL&gt;&lt;FQL&gt;&lt;Q&gt;DDOG^FE_ESTIMATE(CUSTOM_EPS,MEAN,CALA_ROLL,2024,45993,,,'')&lt;/Q&gt;&lt;R&gt;1&lt;/R&gt;&lt;C&gt;1&lt;/C&gt;&lt;D xsi:type="xsd:double"&gt;1.82&lt;/D&gt;&lt;/FQL&gt;&lt;FQL&gt;&lt;Q&gt;DDOG^FE_ESTIMATE(CUSTOM_EPS,MEAN,LTMA,,45993,,,'')&lt;/Q&gt;&lt;R&gt;1&lt;/R&gt;&lt;C&gt;1&lt;/C&gt;&lt;D xsi:type="xsd:double"&gt;2.003963&lt;/D&gt;&lt;/FQL&gt;&lt;FQL&gt;&lt;Q&gt;DDOG^FE_ESTIMATE(CUSTOM_EPS,MEAN,NTMA,,45993,,,'')&lt;/Q&gt;&lt;R&gt;1&lt;/R&gt;&lt;C&gt;1&lt;/C&gt;&lt;D xsi:type="xsd:double"&gt;2.2919278&lt;/D&gt;&lt;/FQL&gt;&lt;FQL&gt;&lt;Q&gt;DDOG^FE_ESTIMATE(CUSTOM_EPS,MEAN,CALA_ROLL,2025,45993,,,'')&lt;/Q&gt;&lt;R&gt;1&lt;/R&gt;&lt;C&gt;1&lt;/C&gt;&lt;D xsi:type="xsd:double"&gt;2.0198407&lt;/D&gt;&lt;/FQL&gt;&lt;FQL&gt;&lt;Q&gt;DDOG^FE_ESTIMATE(CUSTOM_EPS,MEAN,CALA_ROLL,2026,45993,,,'')&lt;/Q&gt;&lt;R&gt;1&lt;/R&gt;&lt;C&gt;1&lt;/C&gt;&lt;D xsi:type="xsd:double"&gt;2.3154116&lt;/D&gt;&lt;/FQL&gt;&lt;FQL&gt;&lt;Q&gt;INTU^FE_ESTIMATE(CUSTOM_EPS,MEAN,CALA_ROLL,2023,45993,,,'')&lt;/Q&gt;&lt;R&gt;1&lt;/R&gt;&lt;C&gt;1&lt;/C&gt;&lt;D xsi:type="xsd:double"&gt;9.109617&lt;/D&gt;&lt;/FQL&gt;&lt;FQL&gt;&lt;Q&gt;INTU^FE_ESTIMATE(CUSTOM_EPS,MEAN,CALA_ROLL,2024,45993,,,'')&lt;/Q&gt;&lt;R&gt;1&lt;/R&gt;&lt;C&gt;1&lt;/C&gt;&lt;D xsi:type="xsd:double"&gt;11.463397&lt;/D&gt;&lt;/FQL&gt;&lt;FQL&gt;&lt;Q&gt;INTU^FE_ESTIMATE(CUSTOM_EPS,MEAN,LTMA,,45993,,,'')&lt;/Q&gt;&lt;R&gt;1&lt;/R&gt;&lt;C&gt;1&lt;/C&gt;&lt;D xsi:type="xsd:double"&gt;15.866849&lt;/D&gt;&lt;/FQL&gt;&lt;FQL&gt;&lt;Q&gt;INTU^FE_ESTIMATE(CUSTOM_EPS,MEAN,NTMA,,45993,,,'')&lt;/Q&gt;&lt;R&gt;1&lt;/R&gt;&lt;C&gt;1&lt;/C&gt;&lt;D xsi:type="xsd:double"&gt;21.799095&lt;/D&gt;&lt;/FQL&gt;&lt;FQL&gt;&lt;Q&gt;INTU^FE_ESTIMATE(CUSTOM_EPS,MEAN,CALA_ROLL,2025,45993,,,'')&lt;/Q&gt;&lt;R&gt;1&lt;/R&gt;&lt;C&gt;1&lt;/C&gt;&lt;D xsi:type="xsd:double"&gt;16.490547&lt;/D&gt;&lt;/FQL&gt;&lt;FQL&gt;&lt;Q&gt;INTU^FE_ESTIMATE(CUSTOM_EPS,MEAN,CALA_ROLL,2026,45993,,,'')&lt;/Q&gt;&lt;R&gt;1&lt;/R&gt;&lt;C&gt;1&lt;/C&gt;&lt;D xsi:type="xsd:double"&gt;21.974287&lt;/D&gt;&lt;/FQL&gt;&lt;FQL&gt;&lt;Q&gt;IOT^FE_ESTIMATE(CUSTOM_EPS,MEAN,CALA_ROLL,2023,45993,,,'')&lt;/Q&gt;&lt;R&gt;1&lt;/R&gt;&lt;C&gt;1&lt;/C&gt;&lt;D xsi:type="xsd:double"&gt;0.053013697&lt;/D&gt;&lt;/FQL&gt;&lt;FQL&gt;&lt;Q&gt;IOT^FE_ESTIMATE(CUSTOM_EPS,MEAN,CALA_ROLL,2024,45993,,,'')&lt;/Q&gt;&lt;R&gt;1&lt;/R&gt;&lt;C&gt;1&lt;/C&gt;&lt;D xsi:type="xsd:double"&gt;0.24392335&lt;/D&gt;&lt;/FQL&gt;&lt;FQL&gt;&lt;Q&gt;IOT^FE_ESTIMATE(CUSTOM_EPS,MEAN,LTMA,,45993,,,'')&lt;/Q&gt;&lt;R&gt;1&lt;/R&gt;&lt;C&gt;1&lt;/C&gt;&lt;D xsi:type="xsd:double"&gt;0.43391266&lt;/D&gt;&lt;/FQL&gt;&lt;FQL&gt;&lt;Q&gt;IOT^FE_ESTIMATE(CUSTOM_EPS,MEAN,NTMA,,45993,,,'')&lt;/Q&gt;&lt;R&gt;1&lt;/R&gt;&lt;C&gt;1&lt;/C&gt;&lt;D xsi:type="xsd:double"&gt;0.55168664&lt;/D&gt;&lt;/FQL&gt;&lt;FQL&gt;&lt;Q&gt;IOT^FE_ESTIMATE(CUSTOM_EPS,MEAN,CALA_ROLL,2025,45993,,,'')&lt;/Q&gt;&lt;R&gt;1&lt;/R&gt;&lt;C&gt;1&lt;/C&gt;&lt;D xsi:type="xsd:double"&gt;0.45038828&lt;/D&gt;&lt;/FQL&gt;&lt;FQL&gt;&lt;Q&gt;IOT^FE_ESTIMATE(CUSTOM_EPS,MEAN,CALA_ROLL,2026,45993,,,'')&lt;/Q&gt;&lt;R&gt;1&lt;/R&gt;&lt;C&gt;1&lt;/C&gt;&lt;D xsi:type="xsd:double"&gt;0.5596318&lt;/D&gt;&lt;/FQL&gt;&lt;FQL&gt;&lt;Q&gt;MNDY^FE_ESTIMATE(CUSTOM_EPS,MEAN,CALA_ROLL,2023,45993,,,'')&lt;/Q&gt;&lt;R&gt;1&lt;/R&gt;</t>
        </r>
      </text>
    </comment>
    <comment ref="A6" authorId="0" shapeId="0" xr:uid="{B4558C53-ECDE-43F8-9C02-CC6777EF7BF5}">
      <text>
        <r>
          <rPr>
            <b/>
            <sz val="9"/>
            <color indexed="81"/>
            <rFont val="Tahoma"/>
            <charset val="1"/>
          </rPr>
          <t>&lt;C&gt;1&lt;/C&gt;&lt;D xsi:type="xsd:double"&gt;1.851437&lt;/D&gt;&lt;/FQL&gt;&lt;FQL&gt;&lt;Q&gt;MNDY^FE_ESTIMATE(CUSTOM_EPS,MEAN,CALA_ROLL,2024,45993,,,'')&lt;/Q&gt;&lt;R&gt;1&lt;/R&gt;&lt;C&gt;1&lt;/C&gt;&lt;D xsi:type="xsd:double"&gt;3.494846&lt;/D&gt;&lt;/FQL&gt;&lt;FQL&gt;&lt;Q&gt;MNDY^FE_ESTIMATE(CUSTOM_EPS,MEAN,LTMA,,45993,,,'')&lt;/Q&gt;&lt;R&gt;1&lt;/R&gt;&lt;C&gt;1&lt;/C&gt;&lt;D xsi:type="xsd:double"&gt;4.2106557&lt;/D&gt;&lt;/FQL&gt;&lt;FQL&gt;&lt;Q&gt;MNDY^FE_ESTIMATE(CUSTOM_EPS,MEAN,NTMA,,45993,,,'')&lt;/Q&gt;&lt;R&gt;1&lt;/R&gt;&lt;C&gt;1&lt;/C&gt;&lt;D xsi:type="xsd:double"&gt;4.6940093&lt;/D&gt;&lt;/FQL&gt;&lt;FQL&gt;&lt;Q&gt;MNDY^FE_ESTIMATE(CUSTOM_EPS,MEAN,CALA_ROLL,2025,45993,,,'')&lt;/Q&gt;&lt;R&gt;1&lt;/R&gt;&lt;C&gt;1&lt;/C&gt;&lt;D xsi:type="xsd:double"&gt;4.272437&lt;/D&gt;&lt;/FQL&gt;&lt;FQL&gt;&lt;Q&gt;MNDY^FE_ESTIMATE(CUSTOM_EPS,MEAN,CALA_ROLL,2026,45993,,,'')&lt;/Q&gt;&lt;R&gt;1&lt;/R&gt;&lt;C&gt;1&lt;/C&gt;&lt;D xsi:type="xsd:double"&gt;4.730395&lt;/D&gt;&lt;/FQL&gt;&lt;FQL&gt;&lt;Q&gt;MSFT^FE_ESTIMATE(CUSTOM_EPS,MEAN,CALA_ROLL,2023,45993,,,'')&lt;/Q&gt;&lt;R&gt;1&lt;/R&gt;&lt;C&gt;1&lt;/C&gt;&lt;D xsi:type="xsd:double"&gt;10.796926&lt;/D&gt;&lt;/FQL&gt;&lt;FQL&gt;&lt;Q&gt;MSFT^FE_ESTIMATE(CUSTOM_EPS,MEAN,CALA_ROLL,2024,45993,,,'')&lt;/Q&gt;&lt;R&gt;1&lt;/R&gt;&lt;C&gt;1&lt;/C&gt;&lt;D xsi:type="xsd:double"&gt;12.743814&lt;/D&gt;&lt;/FQL&gt;&lt;FQL&gt;&lt;Q&gt;MSFT^FE_ESTIMATE(CUSTOM_EPS,MEAN,LTMA,,45993,,,'')&lt;/Q&gt;&lt;R&gt;1&lt;/R&gt;&lt;C&gt;1&lt;/C&gt;&lt;D xsi:type="xsd:double"&gt;14.685456&lt;/D&gt;&lt;/FQL&gt;&lt;FQL&gt;&lt;Q&gt;MSFT^FE_ESTIMATE(CUSTOM_EPS,MEAN,NTMA,,45993,,,'')&lt;/Q&gt;&lt;R&gt;1&lt;/R&gt;&lt;C&gt;1&lt;/C&gt;&lt;D xsi:type="xsd:double"&gt;17.241922&lt;/D&gt;&lt;/FQL&gt;&lt;FQL&gt;&lt;Q&gt;MSFT^FE_ESTIMATE(CUSTOM_EPS,MEAN,CALA_ROLL,2025,45993,,,'')&lt;/Q&gt;&lt;R&gt;1&lt;/R&gt;&lt;C&gt;1&lt;/C&gt;&lt;D xsi:type="xsd:double"&gt;14.881058&lt;/D&gt;&lt;/FQL&gt;&lt;FQL&gt;&lt;Q&gt;MSFT^FE_ESTIMATE(CUSTOM_EPS,MEAN,CALA_ROLL,2026,45993,,,'')&lt;/Q&gt;&lt;R&gt;1&lt;/R&gt;&lt;C&gt;1&lt;/C&gt;&lt;D xsi:type="xsd:double"&gt;17.45522&lt;/D&gt;&lt;/FQL&gt;&lt;FQL&gt;&lt;Q&gt;NOW^FE_ESTIMATE(CUSTOM_EPS,MEAN,CALA_ROLL,2023,45993,,,'')&lt;/Q&gt;&lt;R&gt;1&lt;/R&gt;&lt;C&gt;1&lt;/C&gt;&lt;D xsi:type="xsd:double"&gt;2.983107&lt;/D&gt;&lt;/FQL&gt;&lt;FQL&gt;&lt;Q&gt;NOW^FE_ESTIMATE(CUSTOM_EPS,MEAN,CALA_ROLL,2024,45993,,,'')&lt;/Q&gt;&lt;R&gt;1&lt;/R&gt;&lt;C&gt;1&lt;/C&gt;&lt;D xsi:type="xsd:double"&gt;5.546731&lt;/D&gt;&lt;/FQL&gt;&lt;FQL&gt;&lt;Q&gt;NOW^FE_ESTIMATE(CUSTOM_EPS,MEAN,LTMA,,45993,,,'')&lt;/Q&gt;&lt;R&gt;1&lt;/R&gt;&lt;C&gt;1&lt;/C&gt;&lt;D xsi:type="xsd:double"&gt;12.672358&lt;/D&gt;&lt;/FQL&gt;&lt;FQL&gt;&lt;Q&gt;NOW^FE_ESTIMATE(CUSTOM_EPS,MEAN,NTMA,,45993,,,'')&lt;/Q&gt;&lt;R&gt;1&lt;/R&gt;&lt;C&gt;1&lt;/C&gt;&lt;D xsi:type="xsd:double"&gt;15.535846&lt;/D&gt;&lt;/FQL&gt;&lt;FQL&gt;&lt;Q&gt;NOW^FE_ESTIMATE(CUSTOM_EPS,MEAN,CALA_ROLL,2025,45993,,,'')&lt;/Q&gt;&lt;R&gt;1&lt;/R&gt;&lt;C&gt;1&lt;/C&gt;&lt;D xsi:type="xsd:double"&gt;13.287367&lt;/D&gt;&lt;/FQL&gt;&lt;FQL&gt;&lt;Q&gt;NOW^FE_ESTIMATE(CUSTOM_EPS,MEAN,CALA_ROLL,2026,45993,,,'')&lt;/Q&gt;&lt;R&gt;1&lt;/R&gt;&lt;C&gt;1&lt;/C&gt;&lt;D xsi:type="xsd:double"&gt;15.729911&lt;/D&gt;&lt;/FQL&gt;&lt;FQL&gt;&lt;Q&gt;AMZN^FE_ESTIMATE(CUSTOM_EPS,MEAN,CALA_ROLL,2023,45993,,,'')&lt;/Q&gt;&lt;R&gt;1&lt;/R&gt;&lt;C&gt;1&lt;/C&gt;&lt;D xsi:type="xsd:double"&gt;2.9078975&lt;/D&gt;&lt;/FQL&gt;&lt;FQL&gt;&lt;Q&gt;AMZN^FE_ESTIMATE(CUSTOM_EPS,MEAN,CALA_ROLL,2024,45993,,,'')&lt;/Q&gt;&lt;R&gt;1&lt;/R&gt;&lt;C&gt;1&lt;/C&gt;&lt;D xsi:type="xsd:double"&gt;5.552357&lt;/D&gt;&lt;/FQL&gt;&lt;FQL&gt;&lt;Q&gt;AMZN^FE_ESTIMATE(CUSTOM_EPS,MEAN,LTMA,,45993,,,'')&lt;/Q&gt;&lt;R&gt;1&lt;/R&gt;&lt;C&gt;1&lt;/C&gt;&lt;D xsi:type="xsd:double"&gt;6.690755&lt;/D&gt;&lt;/FQL&gt;&lt;FQL&gt;&lt;Q&gt;AMZN^FE_ESTIMATE(CUSTOM_EPS,MEAN,NTMA,,45993,,,'')&lt;/Q&gt;&lt;R&gt;1&lt;/R&gt;&lt;C&gt;1&lt;/C&gt;&lt;D xsi:type="xsd:double"&gt;7.9194937&lt;/D&gt;&lt;/FQL&gt;&lt;FQL&gt;&lt;Q&gt;AMZN^FE_ESTIMATE(CUSTOM_EPS,MEAN,CALA_ROLL,2025,45993,,,'')&lt;/Q&gt;&lt;R&gt;1&lt;/R&gt;&lt;C&gt;1&lt;/C&gt;&lt;D xsi:type="xsd:double"&gt;6.7890096&lt;/D&gt;&lt;/FQL&gt;&lt;FQL&gt;&lt;Q&gt;AMZN^FE_ESTIMATE(CUSTOM_EPS,MEAN,CALA_ROLL,2026,45993,,,'')&lt;/Q&gt;&lt;R&gt;1&lt;/R&gt;&lt;C&gt;1&lt;/C&gt;&lt;D xsi:type="xsd:double"&gt;8.017065&lt;/D&gt;&lt;/FQL&gt;&lt;FQL&gt;&lt;Q&gt;GOOGL^FE_ESTIMATE(CUSTOM_EPS,MEAN,CALA_ROLL,2023,45993,,,'')&lt;/Q&gt;&lt;R&gt;1&lt;/R&gt;&lt;C&gt;1&lt;/C&gt;&lt;D xsi:type="xsd:double"&gt;5.7988653&lt;/D&gt;&lt;/FQL&gt;&lt;FQL&gt;&lt;Q&gt;GOOGL^FE_ESTIMATE(CUSTOM_EPS,MEAN,CALA_ROLL,2024,45993,,,'')&lt;/Q&gt;&lt;R&gt;1&lt;/R&gt;&lt;C&gt;1&lt;/C&gt;&lt;D xsi:type="xsd:double"&gt;8.044173&lt;/D&gt;&lt;/FQL&gt;&lt;FQL&gt;&lt;Q&gt;GOOGL^FE_ESTIMATE(CUSTOM_EPS,MEAN,LTMA,,45993,,,'')&lt;/Q&gt;&lt;R&gt;1&lt;/R&gt;&lt;C&gt;1&lt;/C&gt;&lt;D xsi:type="xsd:double"&gt;10.2850485&lt;/D&gt;&lt;/FQL&gt;&lt;FQL&gt;&lt;Q&gt;GOOGL^FE_ESTIMATE(CUSTOM_EPS,MEAN,NTMA,,45993,,,'')&lt;/Q&gt;&lt;R&gt;1&lt;/R&gt;&lt;C&gt;1&lt;/C&gt;&lt;D xsi:type="xsd:double"&gt;11.1001&lt;/D&gt;&lt;/FQL&gt;&lt;FQL&gt;&lt;Q&gt;GOOGL^FE_ESTIMATE(CUSTOM_EPS,MEAN,CALA_ROLL,2025,45993,,,'')&lt;/Q&gt;&lt;R&gt;1&lt;/R&gt;&lt;C&gt;1&lt;/C&gt;&lt;D xsi:type="xsd:double"&gt;10.4784565&lt;/D&gt;&lt;/FQL&gt;&lt;FQL&gt;&lt;Q&gt;GOOGL^FE_ESTIMATE(CUSTOM_EPS,MEAN,CALA_ROLL,2026,45993,,,'')&lt;/Q&gt;&lt;R&gt;1&lt;/R&gt;&lt;C&gt;1&lt;/C&gt;&lt;D xsi:type="xsd:double"&gt;11.153753&lt;/D&gt;&lt;/FQL&gt;&lt;FQL&gt;&lt;Q&gt;AMZN^FE_ESTIMATE(FCF,MEAN,CALA_ROLL,2023,45993,,,'')&lt;/Q&gt;&lt;R&gt;1&lt;/R&gt;&lt;C&gt;1&lt;/C&gt;&lt;D xsi:type="xsd:double"&gt;33613.75&lt;/D&gt;&lt;/FQL&gt;&lt;FQL&gt;&lt;Q&gt;AMZN^FE_ESTIMATE(FCF,MEAN,CALA_ROLL,2024,45993,,,'')&lt;/Q&gt;&lt;R&gt;1&lt;/R&gt;&lt;C&gt;1&lt;/C&gt;&lt;D xsi:type="xsd:double"&gt;37087.105&lt;/D&gt;&lt;/FQL&gt;&lt;FQL&gt;&lt;Q&gt;AMZN^FE_ESTIMATE(FCF,MEAN,NTMA,,45993,,,'')&lt;/Q&gt;&lt;R&gt;1&lt;/R&gt;&lt;C&gt;1&lt;/C&gt;&lt;D xsi:type="xsd:double"&gt;44775.652&lt;/D&gt;&lt;/FQL&gt;&lt;FQL&gt;&lt;Q&gt;AMZN^FE_ESTIMATE(FCF,MEAN,CALA_ROLL,2025,45993,,,'')&lt;/Q&gt;&lt;R&gt;1&lt;/R&gt;&lt;C&gt;1&lt;/C&gt;&lt;D xsi:type="xsd:double"&gt;21123&lt;/D&gt;&lt;/FQL&gt;&lt;FQL&gt;&lt;Q&gt;AMZN^FE_ESTIMATE(FCF,MEAN,CALA_ROLL,2026,45993,,,'')&lt;/Q&gt;&lt;R&gt;1&lt;/R&gt;&lt;C&gt;1&lt;/C&gt;&lt;D xsi:type="xsd:double"&gt;46817.1&lt;/D&gt;&lt;/FQL&gt;&lt;FQL&gt;&lt;Q&gt;GOOGL^FE_ESTIMATE(FCF,MEAN,CALA_ROLL,2023,45993,,,'')&lt;/Q&gt;&lt;R&gt;1&lt;/R&gt;&lt;C&gt;1&lt;/C&gt;&lt;D xsi:type="xsd:double"&gt;69766.766&lt;/D&gt;&lt;/FQL&gt;&lt;FQL&gt;&lt;Q&gt;GOOGL^FE_ESTIMATE(FCF,MEAN,CALA_ROLL,2024,45993,,,'')&lt;/Q&gt;&lt;R&gt;1&lt;/R&gt;&lt;C&gt;1&lt;/C&gt;&lt;D xsi:type="xsd:double"&gt;71477.5&lt;/D&gt;&lt;/FQL&gt;&lt;FQL&gt;&lt;Q&gt;GOOGL^FE_ESTIMATE(FCF,MEAN,NTMA,,45993,,,'')&lt;/Q&gt;&lt;R&gt;1&lt;/R&gt;&lt;C&gt;1&lt;/C&gt;&lt;D xsi:type="xsd:double"&gt;68772.445&lt;/D&gt;&lt;/FQL&gt;&lt;FQL&gt;&lt;Q&gt;GOOGL^FE_ESTIMATE(FCF,MEAN,CALA_ROLL,2025,45993,,,'')&lt;/Q&gt;&lt;R&gt;1&lt;/R&gt;&lt;C&gt;1&lt;/C&gt;&lt;D xsi:type="xsd:double"&gt;65828.9&lt;/D&gt;&lt;/FQL&gt;&lt;FQL&gt;&lt;Q&gt;GOOGL^FE_ESTIMATE(FCF,MEAN,CALA_ROLL,2026,45993,,,'')&lt;/Q&gt;&lt;R&gt;1&lt;/R&gt;&lt;C&gt;1&lt;/C&gt;&lt;D xsi:type="xsd:double"&gt;69026.51&lt;/D&gt;&lt;/FQL&gt;&lt;FQL&gt;&lt;Q&gt;MSFT^FE_ESTIMATE(FCF,MEAN,CALA_ROLL,2023,45993,,,'')&lt;/Q&gt;&lt;R&gt;1&lt;/R&gt;&lt;C&gt;1&lt;/C&gt;&lt;D xsi:type="xsd:double"&gt;66334.016&lt;/D&gt;&lt;/FQL&gt;&lt;FQL&gt;&lt;Q&gt;MSFT^FE_ESTIMATE(FCF,MEAN,CALA_ROLL,2024,45993,,,'')&lt;/Q&gt;&lt;R&gt;1&lt;/R&gt;&lt;C&gt;1&lt;/C&gt;&lt;D xsi:type="xsd:double"&gt;71498.2&lt;/D&gt;&lt;/FQL&gt;&lt;FQL&gt;&lt;Q&gt;MSFT^FE_ESTIMATE(FCF,MEAN,NTMA,,45993,,,'')&lt;/Q&gt;&lt;R&gt;1&lt;/R&gt;&lt;C&gt;1&lt;/C&gt;&lt;D xsi:type="xsd:double"&gt;77647.66&lt;/D&gt;&lt;/FQL&gt;&lt;FQL&gt;&lt;Q&gt;MSFT^FE_ESTIMATE(FCF,MEAN,CALA_ROLL,2025,45993,,,'')&lt;/Q&gt;&lt;R&gt;1&lt;/R&gt;&lt;C&gt;1&lt;/C&gt;&lt;D xsi:type="xsd:double"&gt;72303.61&lt;/D&gt;&lt;/FQL&gt;&lt;FQL&gt;&lt;Q&gt;MSFT^FE_ESTIMATE(FCF,MEAN,CALA_ROLL,2026,45993,,,'')&lt;/Q&gt;&lt;R&gt;1&lt;/R&gt;&lt;C&gt;1&lt;/C&gt;&lt;D xsi:type="xsd:double"&gt;78248.97&lt;/D&gt;&lt;/FQL&gt;&lt;FQL&gt;&lt;Q&gt;ADBE^FE_ESTIMATE(FCF,MEAN,CALA_ROLL,2023,45993,,,'')&lt;/Q&gt;&lt;R&gt;1&lt;/R&gt;&lt;C&gt;1&lt;/C&gt;&lt;D xsi:type="xsd:double"&gt;7030.179&lt;/D&gt;&lt;/FQL&gt;&lt;FQL&gt;&lt;Q&gt;ADBE^FE_ESTIMATE(FCF,MEAN,CALA_ROLL,2024,45993,,,'')&lt;/Q&gt;&lt;R&gt;1&lt;/R&gt;&lt;C&gt;1&lt;/C&gt;&lt;D xsi:type="xsd:double"&gt;7915.2505&lt;/D&gt;&lt;/FQL&gt;&lt;FQL&gt;&lt;Q&gt;ADBE^FE_ESTIMATE(FCF,MEAN,NTMA,,45993,,,'')&lt;/Q&gt;&lt;R&gt;1&lt;/R&gt;&lt;C&gt;1&lt;/C&gt;&lt;D xsi:type="xsd:double"&gt;10373.175&lt;/D&gt;&lt;/FQL&gt;&lt;FQL&gt;&lt;Q&gt;ADBE^FE_ESTIMATE(FCF,MEAN,CALA_ROLL,2025,45993,,,'')&lt;/Q&gt;&lt;R&gt;1&lt;/R&gt;&lt;C&gt;1&lt;/C&gt;&lt;D xsi:type="xsd:double"&gt;9451.334&lt;/D&gt;&lt;/FQL&gt;&lt;FQL&gt;&lt;Q&gt;ADBE^FE_ESTIMATE(FCF,MEAN,CALA_ROLL,2026,45993,,,'')&lt;/Q&gt;&lt;R&gt;1&lt;/R&gt;&lt;C&gt;1&lt;/C&gt;&lt;D xsi:type="xsd:double"&gt;10455.015&lt;/D&gt;&lt;/FQL&gt;&lt;FQL&gt;&lt;Q&gt;DDOG^FE_ESTIMATE(FCF,MEAN,CALA_ROLL,2023,45993,,,'')&lt;/Q&gt;&lt;R&gt;1&lt;/R&gt;&lt;C&gt;1&lt;/C&gt;&lt;D xsi:type="xsd:double"&gt;597.57306&lt;/D&gt;&lt;/FQL&gt;&lt;FQL&gt;&lt;Q&gt;DDOG^FE_ESTIMATE(FCF,MEAN,CALA_ROLL,2024,45993,,,'')&lt;/Q&gt;&lt;R&gt;1&lt;/R&gt;&lt;C&gt;1&lt;/C&gt;&lt;D xsi:type="xsd:double"&gt;777.2125&lt;/D&gt;&lt;/FQL&gt;&lt;FQL&gt;&lt;Q&gt;DDOG^FE_ESTIMATE(FCF,MEAN,NTMA,,45993,,,'')&lt;/Q&gt;&lt;R&gt;1&lt;/R&gt;&lt;C&gt;1&lt;/C&gt;&lt;D xsi:type="xsd:double"&gt;1081.4141&lt;/D&gt;&lt;/FQL&gt;&lt;FQL&gt;&lt;Q&gt;DDOG^FE_ESTIMATE(FCF,MEAN,CALA_ROLL,2025,45993,,,'')&lt;/Q&gt;&lt;R&gt;1&lt;/R&gt;&lt;C&gt;1&lt;/C&gt;&lt;D xsi:type="xsd:double"&gt;886.31866&lt;/D&gt;&lt;/FQL&gt;&lt;FQL&gt;&lt;Q&gt;DDOG^FE_ESTIMATE(FCF,MEAN,CALA_ROLL,2026,45993,,,'')&lt;/Q&gt;&lt;R&gt;1&lt;/R&gt;&lt;C&gt;1&lt;/C&gt;&lt;D xsi:type="xsd:double"&gt;1098.2526&lt;/D&gt;&lt;/FQL&gt;&lt;FQL&gt;&lt;Q&gt;INTU^FE_ESTIMATE(FCF,MEAN,CALA_ROLL,2023,45993,,,'')&lt;/Q&gt;&lt;R&gt;1&lt;/R&gt;&lt;C&gt;1&lt;/C&gt;&lt;D xsi:type="xsd:double"&gt;4662.2397&lt;/D&gt;&lt;/FQL&gt;&lt;FQL&gt;&lt;Q&gt;INTU^FE_ESTIMATE(FCF,MEAN,CALA_ROLL,2024,45993,,,'')&lt;/Q&gt;&lt;R&gt;1&lt;/R&gt;&lt;C&gt;1&lt;/C&gt;&lt;D xsi:type="xsd:double"&gt;5324.907&lt;/D&gt;&lt;/FQL&gt;&lt;FQL&gt;&lt;Q&gt;INTU^FE_ESTIMATE(FCF,MEAN,NTMA,,45993,,,'')&lt;/Q&gt;&lt;R&gt;1&lt;/R&gt;&lt;C&gt;1&lt;/C&gt;&lt;D xsi:type="xsd:double"&gt;7353.4497&lt;/D&gt;&lt;/FQL&gt;&lt;FQL&gt;&lt;Q&gt;INTU^FE_ESTIMATE(FCF,MEAN,CALA_ROLL,2025,45993,,,'')&lt;/Q&gt;&lt;R&gt;1&lt;/R&gt;&lt;C&gt;1&lt;/C&gt;&lt;D xsi:type="xsd:double"&gt;6496.947&lt;/D&gt;&lt;/FQL&gt;&lt;FQL&gt;&lt;Q&gt;INTU^FE_ESTIMATE(FCF,MEAN,CALA_ROLL,2026,45993,,,'')&lt;/Q&gt;&lt;R&gt;1&lt;/R&gt;&lt;C&gt;1&lt;/C&gt;&lt;D xsi:type="xsd:double"&gt;7422.866&lt;/D&gt;&lt;/FQL&gt;&lt;FQL&gt;&lt;Q&gt;IOT^FE_ESTIMATE(FCF,MEAN,CALA_ROLL,2023,45993,,,'')&lt;/Q&gt;&lt;R&gt;1&lt;/R&gt;&lt;C&gt;1&lt;/C&gt;&lt;D xsi:type="xsd:double"&gt;15.113546&lt;/D&gt;&lt;/FQL&gt;&lt;FQL&gt;&lt;Q&gt;IOT^FE_ESTIMATE(FCF,MEAN,CALA_ROLL,2024,45993,,,'')&lt;/Q&gt;&lt;R&gt;1&lt;/R&gt;&lt;C&gt;1&lt;/C&gt;&lt;D xsi:type="xsd:double"&gt;104.436264&lt;/D&gt;&lt;/FQL&gt;&lt;FQL&gt;&lt;Q&gt;IOT^FE_ESTIMATE(FCF,MEAN,NTMA,,45993,,,'')&lt;/Q&gt;&lt;R&gt;1&lt;/R&gt;&lt;C&gt;1&lt;/C&gt;&lt;D xsi:type="xsd:double"&gt;251.27702&lt;/D&gt;&lt;/FQL&gt;&lt;FQL&gt;&lt;Q&gt;IOT^FE_ESTIMATE(FCF,MEAN,CALA_ROLL,2025,45993,,,'')&lt;/Q&gt;&lt;R&gt;1&lt;/R&gt;&lt;C&gt;1&lt;/C&gt;&lt;D xsi:type="xsd:double"&gt;183.61333&lt;/D&gt;&lt;/FQL&gt;&lt;FQL&gt;&lt;Q&gt;IOT^FE_ESTIMATE(FCF,MEAN,CALA_ROLL,2026,45993,,,'')&lt;/Q&gt;&lt;R&gt;1&lt;/R&gt;&lt;C&gt;1&lt;/C&gt;&lt;D xsi:type="xsd:double"&gt;257.0723&lt;/D&gt;&lt;/FQL&gt;&lt;FQL&gt;&lt;Q&gt;MNDY^FE_ESTIMATE(FCF,MEAN,CALA_ROLL,2023,45993,,,'')&lt;/Q&gt;&lt;R&gt;1&lt;/R&gt;&lt;C&gt;1&lt;/C&gt;&lt;D xsi:type="xsd:double"&gt;204.945&lt;/D&gt;&lt;/FQL&gt;&lt;FQL&gt;&lt;Q&gt;MNDY^FE_ESTIMATE(FCF,MEAN,CALA_ROLL,2024,45993,,,'')&lt;/Q&gt;&lt;R&gt;1&lt;/R&gt;&lt;C&gt;1&lt;/C&gt;&lt;D xsi:type="xsd:double"&gt;295.83&lt;/D&gt;&lt;/FQL&gt;&lt;FQL&gt;&lt;Q&gt;MNDY^FE_ESTIMATE(FCF,MEAN,NTMA,,45993,,,'')&lt;/Q&gt;&lt;R&gt;1&lt;/R&gt;&lt;C&gt;1&lt;/C&gt;&lt;D xsi:type="xsd:double"&gt;399.4438&lt;/D&gt;&lt;/FQL&gt;&lt;FQL&gt;&lt;Q&gt;MNDY^FE_ESTIMATE(FCF,MEAN,CALA_ROLL,2025,45993,,,'')&lt;/Q&gt;&lt;R&gt;1&lt;/R&gt;&lt;C&gt;1&lt;/C&gt;&lt;D xsi:type="xsd:double"&gt;332.5732&lt;/D&gt;&lt;/FQL&gt;&lt;FQL&gt;&lt;Q&gt;MNDY^FE_ESTIMATE(FCF,MEAN,CALA_ROLL,2026,45993,,,'')&lt;/Q&gt;&lt;R&gt;1&lt;/R&gt;&lt;C&gt;1&lt;/C&gt;&lt;D xsi:type="xsd:double"&gt;405.21536&lt;/D&gt;&lt;/FQL&gt;&lt;FQL&gt;&lt;Q&gt;NOW^FE_ESTIMATE(FCF,MEAN,CALA_ROLL,2023,45993,,,'')&lt;/Q&gt;&lt;R&gt;1&lt;/R&gt;&lt;C&gt;1&lt;/C&gt;&lt;D xsi:type="xsd:double"&gt;2711.595&lt;/D&gt;&lt;/FQL&gt;&lt;FQL&gt;&lt;Q&gt;NOW^FE_ESTIMATE(FCF,MEAN,CALA_ROLL,2024,45993,,,'')&lt;/Q&gt;&lt;R&gt;1&lt;/R&gt;&lt;C&gt;1&lt;/C&gt;&lt;D xsi:type="xsd:double"&gt;3437.4937&lt;/D&gt;&lt;/FQL&gt;&lt;FQL&gt;&lt;Q&gt;NOW^FE_ESTIMATE(FCF,MEAN,NTMA,,45993,,,'')&lt;/Q&gt;&lt;R&gt;1&lt;/R&gt;&lt;C&gt;1&lt;/C&gt;&lt;D xsi:type="xsd:double"&gt;5281.7495&lt;/D&gt;&lt;/FQL&gt;&lt;FQL&gt;&lt;Q&gt;NOW^FE_ESTIMATE(FCF,MEAN,CALA_ROLL,2025,45993,,,'')&lt;/Q&gt;&lt;R&gt;1&lt;/R&gt;&lt;C&gt;1&lt;/C&gt;&lt;D xsi:type="xsd:double"&gt;4496.093&lt;/D&gt;&lt;/FQL&gt;&lt;FQL&gt;&lt;Q&gt;NOW^FE_ESTIMATE(FCF,MEAN,CALA_ROLL,2026,45993,,,'')&lt;/Q&gt;&lt;R&gt;1&lt;/R&gt;&lt;C&gt;1&lt;/C&gt;&lt;D xsi:type="xsd:double"&gt;5349.559&lt;/D&gt;&lt;/FQL&gt;&lt;/Schema&gt;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<sst xmlns="http://schemas.openxmlformats.org/spreadsheetml/2006/main" count="1384" uniqueCount="491">
  <si>
    <t>Product Revenue</t>
  </si>
  <si>
    <t>Professional Services Revenue</t>
  </si>
  <si>
    <t>Total Revenue</t>
  </si>
  <si>
    <t>Sales &amp; Marketing</t>
  </si>
  <si>
    <t>Total Operating Expenses</t>
  </si>
  <si>
    <t>Operating Income</t>
  </si>
  <si>
    <t>% Margin</t>
  </si>
  <si>
    <t>Net Income</t>
  </si>
  <si>
    <t>Cash Flow from Operations</t>
  </si>
  <si>
    <t>Gross Profit</t>
  </si>
  <si>
    <t>Research &amp; Development</t>
  </si>
  <si>
    <t>General &amp; Administrative</t>
  </si>
  <si>
    <t xml:space="preserve"> </t>
  </si>
  <si>
    <t>Most recent quarter</t>
  </si>
  <si>
    <t>X</t>
  </si>
  <si>
    <t>Most recent fiscal year</t>
  </si>
  <si>
    <t>Most recent calendar year</t>
  </si>
  <si>
    <t>Quarter</t>
  </si>
  <si>
    <t>1Q</t>
  </si>
  <si>
    <t>2Q</t>
  </si>
  <si>
    <t>3Q</t>
  </si>
  <si>
    <t>4Q</t>
  </si>
  <si>
    <t>FY</t>
  </si>
  <si>
    <t>CY</t>
  </si>
  <si>
    <t>Number of days in period</t>
  </si>
  <si>
    <t>Number of days in year</t>
  </si>
  <si>
    <t>Date of earnings report</t>
  </si>
  <si>
    <t>Date prior to earnings report</t>
  </si>
  <si>
    <t>($ millions, except per share amounts)</t>
  </si>
  <si>
    <t>Snowflake Inc.</t>
  </si>
  <si>
    <t>Fiscal Year Ends Jan 31</t>
  </si>
  <si>
    <t>Total revenue</t>
  </si>
  <si>
    <t>% yoy</t>
  </si>
  <si>
    <t>% qoq</t>
  </si>
  <si>
    <t>Income Statement (Non-GAAP)</t>
  </si>
  <si>
    <t>% total revenue</t>
  </si>
  <si>
    <t>--</t>
  </si>
  <si>
    <t>Product revenue</t>
  </si>
  <si>
    <t>Professional services revenue</t>
  </si>
  <si>
    <t>% gross margin</t>
  </si>
  <si>
    <t>% operating margin</t>
  </si>
  <si>
    <t>GAAP EPS (Diluted)</t>
  </si>
  <si>
    <t>GAAP EPS (Basic)</t>
  </si>
  <si>
    <t>Interest Income</t>
  </si>
  <si>
    <t>Goodwill</t>
  </si>
  <si>
    <t>Balance Sheet</t>
  </si>
  <si>
    <t>Other</t>
  </si>
  <si>
    <t>Free Cash Flow</t>
  </si>
  <si>
    <t>Total Customers</t>
  </si>
  <si>
    <t>Average product revenue per customer</t>
  </si>
  <si>
    <t>Dollar-based net expansion rate</t>
  </si>
  <si>
    <t>Remaining performance obligations</t>
  </si>
  <si>
    <t>Average product revenue per customer (annualized)</t>
  </si>
  <si>
    <t>Revenue by geography</t>
  </si>
  <si>
    <t>United States</t>
  </si>
  <si>
    <t>Rest of World</t>
  </si>
  <si>
    <t>Restricted Cash</t>
  </si>
  <si>
    <t>Income Statement</t>
  </si>
  <si>
    <t>PRODREV</t>
  </si>
  <si>
    <t>TREV</t>
  </si>
  <si>
    <t>AGP</t>
  </si>
  <si>
    <t>PRODREVYY</t>
  </si>
  <si>
    <t>PRODREVQQ</t>
  </si>
  <si>
    <t>SERVREVYY</t>
  </si>
  <si>
    <t>SERVREVQQ</t>
  </si>
  <si>
    <t>OPEX</t>
  </si>
  <si>
    <t>OPEXYY</t>
  </si>
  <si>
    <t>OPEXQQ</t>
  </si>
  <si>
    <t>AOI</t>
  </si>
  <si>
    <t>AOIYY</t>
  </si>
  <si>
    <t>AOIM</t>
  </si>
  <si>
    <t>TAXES</t>
  </si>
  <si>
    <t>Non-GAAP EPS (Diluted)</t>
  </si>
  <si>
    <t>Non-GAAP EPS (Basic)</t>
  </si>
  <si>
    <t>NONGAAPEPS</t>
  </si>
  <si>
    <t>SERVREV</t>
  </si>
  <si>
    <t>OCF</t>
  </si>
  <si>
    <t>LFCF</t>
  </si>
  <si>
    <t>$ change qoq</t>
  </si>
  <si>
    <t>BILLCF</t>
  </si>
  <si>
    <t>BILLCFYY</t>
  </si>
  <si>
    <t>TREVYY</t>
  </si>
  <si>
    <t>UFCF</t>
  </si>
  <si>
    <t>WADSO</t>
  </si>
  <si>
    <t>TCASH</t>
  </si>
  <si>
    <t>TDEBT</t>
  </si>
  <si>
    <t>BILLCFQQ</t>
  </si>
  <si>
    <t>TREVQQ</t>
  </si>
  <si>
    <t>Net customer adds</t>
  </si>
  <si>
    <t>Cash Flow Statement</t>
  </si>
  <si>
    <t>CUST</t>
  </si>
  <si>
    <t>ARPC</t>
  </si>
  <si>
    <t>APREVPC</t>
  </si>
  <si>
    <t>MNCUST</t>
  </si>
  <si>
    <t>RPO</t>
  </si>
  <si>
    <t>NER</t>
  </si>
  <si>
    <t>PRODREVCHG</t>
  </si>
  <si>
    <t>CUSTADD</t>
  </si>
  <si>
    <t>CUSTYY</t>
  </si>
  <si>
    <t>CUSTQQ</t>
  </si>
  <si>
    <t>ARPCYY</t>
  </si>
  <si>
    <t>APRCQQ</t>
  </si>
  <si>
    <t>APREVPCYY</t>
  </si>
  <si>
    <t>APREVPCQQ</t>
  </si>
  <si>
    <t>MNCUSTYY</t>
  </si>
  <si>
    <t>MNCUSTQQ</t>
  </si>
  <si>
    <t>MNCUSTADD</t>
  </si>
  <si>
    <t>RPOCHG</t>
  </si>
  <si>
    <t>RPOYY</t>
  </si>
  <si>
    <t>RPOQQ</t>
  </si>
  <si>
    <t>Low</t>
  </si>
  <si>
    <t>High</t>
  </si>
  <si>
    <t>AGPM</t>
  </si>
  <si>
    <t>Billings</t>
  </si>
  <si>
    <t>% total customers</t>
  </si>
  <si>
    <t>LTV: CAC</t>
  </si>
  <si>
    <t>Customer Acquisition Costs</t>
  </si>
  <si>
    <t>GAAP S&amp;M</t>
  </si>
  <si>
    <t>TTM GAAP</t>
  </si>
  <si>
    <t>New ARR</t>
  </si>
  <si>
    <t>CAC</t>
  </si>
  <si>
    <t>Customer Lifetime Value</t>
  </si>
  <si>
    <t>Gross Margin</t>
  </si>
  <si>
    <t>Churn</t>
  </si>
  <si>
    <t>Discount Rate</t>
  </si>
  <si>
    <t>LTV</t>
  </si>
  <si>
    <t>LTV:CAC</t>
  </si>
  <si>
    <t>Amortization</t>
  </si>
  <si>
    <t>SNOW</t>
  </si>
  <si>
    <t>Actual</t>
  </si>
  <si>
    <t>Non-GAAP EPS</t>
  </si>
  <si>
    <t>STDEFREV</t>
  </si>
  <si>
    <t>STDEFREVYY</t>
  </si>
  <si>
    <t>STDEFREVQQ</t>
  </si>
  <si>
    <t>LTDEFREV</t>
  </si>
  <si>
    <t>LTDEFREVYY</t>
  </si>
  <si>
    <t>LTDEFREVQQ</t>
  </si>
  <si>
    <t>TDEFREV</t>
  </si>
  <si>
    <t>TDEFREVYY</t>
  </si>
  <si>
    <t>TDEFREVQQ</t>
  </si>
  <si>
    <t>Factset date format</t>
  </si>
  <si>
    <t>BILLBS</t>
  </si>
  <si>
    <t>BILLBSYY</t>
  </si>
  <si>
    <t>BILLBSQQ</t>
  </si>
  <si>
    <t>Remaining Performance Obligations (RPO)</t>
  </si>
  <si>
    <t>Total Deferred Revenue</t>
  </si>
  <si>
    <t>PAGPM</t>
  </si>
  <si>
    <t>Current RPO</t>
  </si>
  <si>
    <t>DSOs</t>
  </si>
  <si>
    <t>Accounts Payable</t>
  </si>
  <si>
    <t>Cost of Product Revenue</t>
  </si>
  <si>
    <t>This sheet contains FactSet XML data for use with this workbook's =FDS codes.  Modifying the worksheet's contents may damage the workbook's =FDS functionality.</t>
  </si>
  <si>
    <t>Adjusted Free Cash Flow</t>
  </si>
  <si>
    <t>Kash Rangan</t>
  </si>
  <si>
    <t>(415) 249-7318</t>
  </si>
  <si>
    <t>kash.rangan@gs.com</t>
  </si>
  <si>
    <t>% of total RPO</t>
  </si>
  <si>
    <t>x</t>
  </si>
  <si>
    <t>`</t>
  </si>
  <si>
    <t>Numerical Year</t>
  </si>
  <si>
    <t>Forbes Global 2000 Customers</t>
  </si>
  <si>
    <t>% YoY</t>
  </si>
  <si>
    <t>% QoQ</t>
  </si>
  <si>
    <t>% G2K</t>
  </si>
  <si>
    <t>Matthew Martino</t>
  </si>
  <si>
    <t>matt.martino@gs.com</t>
  </si>
  <si>
    <t>(212) 902-0695</t>
  </si>
  <si>
    <t>Deals &gt;$1mn in TCV</t>
  </si>
  <si>
    <t>Avg. TTM Product Revenue Customer &gt;$1mn</t>
  </si>
  <si>
    <t>TTM Product Revenue G2K Customers</t>
  </si>
  <si>
    <t xml:space="preserve">Implied TTM Revenue </t>
  </si>
  <si>
    <t xml:space="preserve">% TTM Revenue </t>
  </si>
  <si>
    <t>Net Adds</t>
  </si>
  <si>
    <t>Avg. TTM Product Revenue Customer &lt;$1mn</t>
  </si>
  <si>
    <t>Implied Q/Q Deceleration</t>
  </si>
  <si>
    <t>Customers &gt;$1mn in Revenue</t>
  </si>
  <si>
    <t>Customers &lt;$1mn in Revenue</t>
  </si>
  <si>
    <t>% seasonality</t>
  </si>
  <si>
    <t xml:space="preserve">TTM Revenue </t>
  </si>
  <si>
    <t>$ change yoy</t>
  </si>
  <si>
    <t>Cash &amp; Cash Equivalents</t>
  </si>
  <si>
    <t>Total Debt</t>
  </si>
  <si>
    <t>Net Debt</t>
  </si>
  <si>
    <t>Non-GAAP Operating Margin</t>
  </si>
  <si>
    <t>Adjusted Free Cash Flow Margin</t>
  </si>
  <si>
    <t>AFCFM</t>
  </si>
  <si>
    <t>Net New Product Revenue (Q/Q)</t>
  </si>
  <si>
    <t xml:space="preserve">Snowpark Revenue </t>
  </si>
  <si>
    <t>% Revenue</t>
  </si>
  <si>
    <t>cRPO</t>
  </si>
  <si>
    <t>cRPOYY</t>
  </si>
  <si>
    <t>cRPOQQ</t>
  </si>
  <si>
    <t>Employee Headcount</t>
  </si>
  <si>
    <t>Net New Adds (YoY)</t>
  </si>
  <si>
    <t>Net New Adds (QoQ)</t>
  </si>
  <si>
    <t>Cost of Revenue</t>
  </si>
  <si>
    <t>% total</t>
  </si>
  <si>
    <t>Total Employees</t>
  </si>
  <si>
    <t>Fiscal Year Ends Jan. 31</t>
  </si>
  <si>
    <t>Consensus As Of:</t>
  </si>
  <si>
    <t>Operating Expenses</t>
  </si>
  <si>
    <t>Capital Expenditures</t>
  </si>
  <si>
    <t>% free cash flow margin</t>
  </si>
  <si>
    <t>Deferred Revenue (Short-Term)</t>
  </si>
  <si>
    <t xml:space="preserve">    % yoy</t>
  </si>
  <si>
    <t xml:space="preserve">    % qoq</t>
  </si>
  <si>
    <t>Deferred Revenue (Long-Term)</t>
  </si>
  <si>
    <t>Deferred Revenue (Total)</t>
  </si>
  <si>
    <t>Miscellaneous</t>
  </si>
  <si>
    <t>Deferred Revenue Δ (Short Term, Balance Sheet)</t>
  </si>
  <si>
    <t>Deferred Revenue Δ (Implied)</t>
  </si>
  <si>
    <t>Deferred Revenue Δ (Balance Sheet)</t>
  </si>
  <si>
    <t>Billings (Implied, Balance Sheet)</t>
  </si>
  <si>
    <t>Billings (Short Term, Balance Sheet)</t>
  </si>
  <si>
    <t>% gross margins</t>
  </si>
  <si>
    <t>Cost of Professional Services Revenue</t>
  </si>
  <si>
    <t>Snowflake Metrics</t>
  </si>
  <si>
    <t>Current Remaining Performance Obligations (cRPO)</t>
  </si>
  <si>
    <t>Total Customer Count</t>
  </si>
  <si>
    <t>Non-GAAP Adjusted Free Cash Flow</t>
  </si>
  <si>
    <t>% Non-GAAP Adjusted Free Cash Flow Margin</t>
  </si>
  <si>
    <t>Total Billings (via Cash Flow Statement)</t>
  </si>
  <si>
    <t>Short-Term Deferred Revenue</t>
  </si>
  <si>
    <t>Long-Term Deferred Revenue</t>
  </si>
  <si>
    <t>Check</t>
  </si>
  <si>
    <t>Current Assets</t>
  </si>
  <si>
    <t>Short-Term Investments</t>
  </si>
  <si>
    <t>Accounts Receivable, Net</t>
  </si>
  <si>
    <t>Prepaid Expense &amp; Other Current Assets</t>
  </si>
  <si>
    <t>Total Current Assets</t>
  </si>
  <si>
    <t>Long-Term Investments</t>
  </si>
  <si>
    <t>Property &amp; Equipment, Net</t>
  </si>
  <si>
    <t>Operating Lease Right-of-Use Assets</t>
  </si>
  <si>
    <t>Deferred Commissions</t>
  </si>
  <si>
    <t>Other Assets, Non-Current</t>
  </si>
  <si>
    <t>Total Assets</t>
  </si>
  <si>
    <t>Current Liabilities</t>
  </si>
  <si>
    <t>Accrued Expenses &amp; Other Current Liabilities</t>
  </si>
  <si>
    <t>Deferred Revenue, Current</t>
  </si>
  <si>
    <t>Operating Lease Liabilities, Current</t>
  </si>
  <si>
    <t>Total Current Liabilities</t>
  </si>
  <si>
    <t>Deferred Revenue, Non-Current</t>
  </si>
  <si>
    <t>Operating Lease Liabilities, Non-Current</t>
  </si>
  <si>
    <t>Other Liabilities, Non-Current</t>
  </si>
  <si>
    <t>Stockholders' Equity</t>
  </si>
  <si>
    <t>Class A Common Stock</t>
  </si>
  <si>
    <t>Class B Common Stock</t>
  </si>
  <si>
    <t>Additional Paid-In Capital</t>
  </si>
  <si>
    <t>Accumulated Other Comprehensive Loss</t>
  </si>
  <si>
    <t>Accumulated Deficit</t>
  </si>
  <si>
    <t>Total Stockholders' Equity</t>
  </si>
  <si>
    <t>Total Liabilities &amp; Stockholders' Equity</t>
  </si>
  <si>
    <t>Key Metrics</t>
  </si>
  <si>
    <t>Total Cash &amp; Cash Equivalents</t>
  </si>
  <si>
    <t>NETDEBT</t>
  </si>
  <si>
    <t>Drivers</t>
  </si>
  <si>
    <t xml:space="preserve">  Days in Period</t>
  </si>
  <si>
    <t xml:space="preserve">  Days Change (YoY)</t>
  </si>
  <si>
    <t xml:space="preserve">  Days Change (%, YoY)</t>
  </si>
  <si>
    <t xml:space="preserve">  $ Change</t>
  </si>
  <si>
    <t>DPOs</t>
  </si>
  <si>
    <t>Accrued Expenses &amp; Other Current Liabilities as % of Revenue</t>
  </si>
  <si>
    <t>Operating Lease Liabilities, Current as % of Revenue</t>
  </si>
  <si>
    <t>Operating Lease Liabilities, Non-Current as % of Revenue</t>
  </si>
  <si>
    <t xml:space="preserve">  % Revenue</t>
  </si>
  <si>
    <t>Property and Equipment, Net (P&amp;E, Net)</t>
  </si>
  <si>
    <t>Depreciation &amp; Amortization</t>
  </si>
  <si>
    <t>Operating Activities</t>
  </si>
  <si>
    <t>Non-Cash Operating Lease Costs</t>
  </si>
  <si>
    <t>Changes in Assets &amp; Liabilities</t>
  </si>
  <si>
    <t>Deferred Revenue</t>
  </si>
  <si>
    <t>Investing Activities</t>
  </si>
  <si>
    <t>Purchase of Property &amp; Equipment</t>
  </si>
  <si>
    <t>Purchases of Investments</t>
  </si>
  <si>
    <t>Cash Flow from Investments</t>
  </si>
  <si>
    <t>Financing Activities</t>
  </si>
  <si>
    <t>Cash Flow from Financing</t>
  </si>
  <si>
    <t>Effect of Foreign Exchange Rate Changes on Cash, Cash Equivalents, and Restricted Cash</t>
  </si>
  <si>
    <t>Cash Flow From Operations</t>
  </si>
  <si>
    <t>Deferred Commissions, Current</t>
  </si>
  <si>
    <t>Intangible Assets, Net</t>
  </si>
  <si>
    <t>Deferred Commissions, Non-Current</t>
  </si>
  <si>
    <t>Noncontrolling Interest</t>
  </si>
  <si>
    <t>Redeemable Convertible Preferred Stock</t>
  </si>
  <si>
    <t>Stockholders' Equity (Deficit)</t>
  </si>
  <si>
    <t>Amortization of Deferred Commissions</t>
  </si>
  <si>
    <t>Stock-Based Compensation, Net of Amounts Capitalized</t>
  </si>
  <si>
    <t>Net Amortization (Accretion) of Premiums (Discounts) on Investments</t>
  </si>
  <si>
    <t>Net Realized &amp; Unrealized Losses (Gains) on Strategic Investments in Equity Securities</t>
  </si>
  <si>
    <t>Deferred Income Tax</t>
  </si>
  <si>
    <t>Other (Should SNOW add a line)</t>
  </si>
  <si>
    <t>Prepaid Expenses &amp; Other Assets</t>
  </si>
  <si>
    <t>Accrued Expenses &amp; Other Liabilities</t>
  </si>
  <si>
    <t>Operating Lease Liabilities</t>
  </si>
  <si>
    <t>Capitalized Internal-Use Software Development Costs</t>
  </si>
  <si>
    <t>Cash Paid for Business Combinations, Net of Cash, Cash Equivalents, and Restricted Cash Acquired</t>
  </si>
  <si>
    <t>Purchases of Intangible Assets</t>
  </si>
  <si>
    <t>Sales of Investments</t>
  </si>
  <si>
    <t>Maturities &amp; Redemption of Investments</t>
  </si>
  <si>
    <t>Proceeds from Exercise of Stock Options</t>
  </si>
  <si>
    <t>Proceeds from Issuance of Common Stock Under Employee Stock Purchase Plan</t>
  </si>
  <si>
    <t>Taxes Paid Related to Net Share Settlement of Equity Awards</t>
  </si>
  <si>
    <t>Repurchases of Common Stock</t>
  </si>
  <si>
    <t>Capital Contributions from Noncontrolling Interest Holders</t>
  </si>
  <si>
    <t>Payments of Deferred Purchase Considerations for Business Combinations</t>
  </si>
  <si>
    <t>Restricted Cash (Implied)</t>
  </si>
  <si>
    <t>Proceeds from Issuance of Redeemable Convertible Preferred Stock, Net of Issuance Costs</t>
  </si>
  <si>
    <t>Proceeds from Early Exercised Stock Options</t>
  </si>
  <si>
    <t>%  FCF Margin</t>
  </si>
  <si>
    <t>Repurchases of Early Exercised Stock Options &amp; Restricted Common Stock</t>
  </si>
  <si>
    <t>Proceeds from Repayments of a Nonrecourse Promissory Note</t>
  </si>
  <si>
    <t>Payments of Deferred Offering Costs</t>
  </si>
  <si>
    <t>Repurchase of Common Stock in Connection with Issuer Tender Offer</t>
  </si>
  <si>
    <t>Proceeds from Initial Public Offering &amp; Private Placements, Net of Underwriting Discounts &amp; Other Offering Costs (Net of Reimbursements Received from the Underwriters)</t>
  </si>
  <si>
    <t>Deferred Commissions, Current as % of Revenue</t>
  </si>
  <si>
    <t>Deferred Commissions, Non-Current as % of Revenue</t>
  </si>
  <si>
    <t>Prepaid Expenses &amp; Other Current Assets as % of Revenue</t>
  </si>
  <si>
    <t>Other Assets, Non-Current as % of Revenue</t>
  </si>
  <si>
    <t>Other Liabilities, Non-Current as % of Revenue</t>
  </si>
  <si>
    <t xml:space="preserve">  Cost of Goods Sold (Non-GAAP)</t>
  </si>
  <si>
    <t>Capitalized Internal Use Software</t>
  </si>
  <si>
    <t>Capitalized Internal Use Software Development Costs</t>
  </si>
  <si>
    <t>Net Cash Paid on Payroll Tax-Related Items on Employee Stock Transactions</t>
  </si>
  <si>
    <t>%  Adj. FCF Margin</t>
  </si>
  <si>
    <t>Implied Depreciation</t>
  </si>
  <si>
    <t>P&amp;E, Net</t>
  </si>
  <si>
    <t>Depreciation - % of Revenue</t>
  </si>
  <si>
    <t>Depreciation - % of Fixed Assets</t>
  </si>
  <si>
    <t>Accumulated Amortization &amp; Depreciation</t>
  </si>
  <si>
    <t xml:space="preserve">Accumulated Amortization  </t>
  </si>
  <si>
    <t>Accumulated Depreciation</t>
  </si>
  <si>
    <t>Total Cost of Revenue</t>
  </si>
  <si>
    <t xml:space="preserve">    % gross margin</t>
  </si>
  <si>
    <t xml:space="preserve">    % revenue</t>
  </si>
  <si>
    <t>GAAP Operating Income</t>
  </si>
  <si>
    <t xml:space="preserve">    % operating margin</t>
  </si>
  <si>
    <t>GAAP Income Before Taxes</t>
  </si>
  <si>
    <t>(Provision for) Benefit from Income Taxes</t>
  </si>
  <si>
    <t xml:space="preserve">    Effective Tax Rate</t>
  </si>
  <si>
    <t>GAAP Net Income</t>
  </si>
  <si>
    <t>% GAAP net margin</t>
  </si>
  <si>
    <t>Other Comprehensive Income (Loss), Net of Taxes</t>
  </si>
  <si>
    <t>Comprehensive Loss</t>
  </si>
  <si>
    <t>Weighted Average Basic Shares Outstanding</t>
  </si>
  <si>
    <t>Weighted Average Diluted Shares Outstanding</t>
  </si>
  <si>
    <t>Net Loss Attributable to Noncontrolling Interest</t>
  </si>
  <si>
    <t>Non-GAAP Gross Profit</t>
  </si>
  <si>
    <t>Non-GAAP Operating Income</t>
  </si>
  <si>
    <t>OI</t>
  </si>
  <si>
    <t>Non-GAAP Income Before Taxes</t>
  </si>
  <si>
    <t>Non-GAAP Net Income</t>
  </si>
  <si>
    <t>% Non-GAAP net margin</t>
  </si>
  <si>
    <t>Stock Based Compensation (SBC)</t>
  </si>
  <si>
    <t xml:space="preserve">  Sales &amp; Marketing</t>
  </si>
  <si>
    <t xml:space="preserve">  General &amp; Administrative</t>
  </si>
  <si>
    <t xml:space="preserve">  Other</t>
  </si>
  <si>
    <t>Total SBC</t>
  </si>
  <si>
    <t xml:space="preserve">  Sales &amp; Marketing as a % of Revenue</t>
  </si>
  <si>
    <t xml:space="preserve">  Research &amp; Development as a % of Revenue</t>
  </si>
  <si>
    <t xml:space="preserve">  General &amp; Administrative as a % of Revenue</t>
  </si>
  <si>
    <t xml:space="preserve">  Other as a % of Revenue</t>
  </si>
  <si>
    <t>Total SBC as a % of Revenue</t>
  </si>
  <si>
    <t>Other Non-GAAP Adjustments</t>
  </si>
  <si>
    <t>Amortization of Acquired Intangibles</t>
  </si>
  <si>
    <t>Cost of Professional Services &amp; Other Revenue</t>
  </si>
  <si>
    <t>Expenses Associted with Acquisitions &amp; Strategic Investments</t>
  </si>
  <si>
    <t>Income Tax Expenses Effect Related to the Above Adjustments</t>
  </si>
  <si>
    <t>Adjustments Attributables to Noncontrolling Interest, Net of Tax</t>
  </si>
  <si>
    <t>Amortization Schedule</t>
  </si>
  <si>
    <t>Cost of Professional Services &amp; Other</t>
  </si>
  <si>
    <t>Total Amortization</t>
  </si>
  <si>
    <t xml:space="preserve">    % total revenue</t>
  </si>
  <si>
    <t>Professional Services &amp; Other Revenue</t>
  </si>
  <si>
    <t xml:space="preserve">    % gross margins</t>
  </si>
  <si>
    <t xml:space="preserve">  Cost of Product Revenue</t>
  </si>
  <si>
    <t xml:space="preserve">  Cost of Professional Services &amp; Other Revenue</t>
  </si>
  <si>
    <t xml:space="preserve">  Research &amp; Development  </t>
  </si>
  <si>
    <t xml:space="preserve">  Cost of Product Revenue as a % of Revenue</t>
  </si>
  <si>
    <t xml:space="preserve">  Cost of Professional Services &amp; Other Revenue as % of Revenue</t>
  </si>
  <si>
    <t>Total Liquid Securities</t>
  </si>
  <si>
    <t>Implied Interest Rate</t>
  </si>
  <si>
    <t xml:space="preserve">% of total </t>
  </si>
  <si>
    <t>Basic Shares - Beginning Balance (Actual)</t>
  </si>
  <si>
    <t>Shares Issued for Options</t>
  </si>
  <si>
    <t>Share Repurchased</t>
  </si>
  <si>
    <t>Basic Shares - Ending Balance (Actual)</t>
  </si>
  <si>
    <t>Basic Shares</t>
  </si>
  <si>
    <t>Effect of Dilutive Securities</t>
  </si>
  <si>
    <t>Stock-Based Compensation</t>
  </si>
  <si>
    <t xml:space="preserve">Buyback Authorization Remaining </t>
  </si>
  <si>
    <t>Implied Avg. Stock Price</t>
  </si>
  <si>
    <t>Share Count Growth (%)</t>
  </si>
  <si>
    <t>Diluted Shares</t>
  </si>
  <si>
    <t>% Increase (QoQ)</t>
  </si>
  <si>
    <t>N</t>
  </si>
  <si>
    <t>Quarterly Guidance</t>
  </si>
  <si>
    <t xml:space="preserve">Average   </t>
  </si>
  <si>
    <t>Beat/Miss (%)</t>
  </si>
  <si>
    <t>Beat/Miss ($)</t>
  </si>
  <si>
    <t>Beat/Miss (bps)</t>
  </si>
  <si>
    <t>Annual Guidance</t>
  </si>
  <si>
    <t>Implied YoY Growth Rate (Average)</t>
  </si>
  <si>
    <t>Quarterly Beat</t>
  </si>
  <si>
    <t>Full-Year Raise</t>
  </si>
  <si>
    <t>True Raise</t>
  </si>
  <si>
    <t>YoY Expansion</t>
  </si>
  <si>
    <t>Stock Reaction</t>
  </si>
  <si>
    <t>Earnings Date</t>
  </si>
  <si>
    <t>Earnings Date + 1</t>
  </si>
  <si>
    <t>Closing Price (Day Of Earnings)</t>
  </si>
  <si>
    <t>Closing Price (Day After Earnings)</t>
  </si>
  <si>
    <t>Δ (%)</t>
  </si>
  <si>
    <t>Δ ($)</t>
  </si>
  <si>
    <t>NASDAQ Closing Price (Day Of Earnings)</t>
  </si>
  <si>
    <t>NASDAQ Closing Price (Day After Earnings)</t>
  </si>
  <si>
    <t>Product Gross Margins</t>
  </si>
  <si>
    <t>Efficiency Analysis</t>
  </si>
  <si>
    <t>TTM</t>
  </si>
  <si>
    <t>ARR (Proxy)</t>
  </si>
  <si>
    <t>GAAP CAC</t>
  </si>
  <si>
    <t>Non-GAAP S&amp;M</t>
  </si>
  <si>
    <t>Non-GAAP CAC</t>
  </si>
  <si>
    <t>SaaS Rule Of:</t>
  </si>
  <si>
    <t>Revenue Growth Rate</t>
  </si>
  <si>
    <t>Free Cash Flow Margin</t>
  </si>
  <si>
    <t xml:space="preserve">Rule Of: </t>
  </si>
  <si>
    <t>Change in Deferred Revenue</t>
  </si>
  <si>
    <t>Total Billings (via Balance Sheet)</t>
  </si>
  <si>
    <t xml:space="preserve">Total Revenue </t>
  </si>
  <si>
    <t>$ Δ</t>
  </si>
  <si>
    <t>% total deferred revenue</t>
  </si>
  <si>
    <t xml:space="preserve">% total revenue </t>
  </si>
  <si>
    <t>Change in Short-Term Deferred Revenue</t>
  </si>
  <si>
    <t>Short-Term Billings</t>
  </si>
  <si>
    <t>Change in Long-Term Deferred Revenue</t>
  </si>
  <si>
    <t>Long-Term Billings</t>
  </si>
  <si>
    <t>Other Income / (Expense), Net</t>
  </si>
  <si>
    <t>Settlement of Cash Flow Hedges</t>
  </si>
  <si>
    <t>Share Repurchases (in $MM)</t>
  </si>
  <si>
    <t>Product Revenue (ex. Leap Year)</t>
  </si>
  <si>
    <t>Net New Revenue (YoY)</t>
  </si>
  <si>
    <t>Net New Revenue (QoQ)</t>
  </si>
  <si>
    <t>Seasonality</t>
  </si>
  <si>
    <t>Share Count (Ex. Share Repurchases)</t>
  </si>
  <si>
    <t>Share Count Growth (Ex. Share Repurchases)</t>
  </si>
  <si>
    <t>Net New Product Revenue (Implied)</t>
  </si>
  <si>
    <t>% Seasonality</t>
  </si>
  <si>
    <t>Snowflake Analyst Model</t>
  </si>
  <si>
    <t>Ticker:</t>
  </si>
  <si>
    <t>Date:</t>
  </si>
  <si>
    <t>Nishad Patwardhan</t>
  </si>
  <si>
    <t>(332) 245-7726</t>
  </si>
  <si>
    <t>nishad.patwardhan@gs.com</t>
  </si>
  <si>
    <t>Selina Zhang</t>
  </si>
  <si>
    <t>(212) 357-9979</t>
  </si>
  <si>
    <t>selina.zhang@gs.com</t>
  </si>
  <si>
    <t>Snowflake Summit On-Site Attendance</t>
  </si>
  <si>
    <t>Iceberg Tables Customers</t>
  </si>
  <si>
    <t>% Total Customers</t>
  </si>
  <si>
    <t>Snowflake AI Customers</t>
  </si>
  <si>
    <t>Notebooks Customers</t>
  </si>
  <si>
    <t xml:space="preserve">Storage % of Product Revenue </t>
  </si>
  <si>
    <t xml:space="preserve">Storage Revenue </t>
  </si>
  <si>
    <t xml:space="preserve">Implied Compute Revenue </t>
  </si>
  <si>
    <t>% Product Revenue</t>
  </si>
  <si>
    <t>Compute Revenue vs. Product Revenue Growth</t>
  </si>
  <si>
    <t>Interest Expense</t>
  </si>
  <si>
    <t>Restructuring Charges</t>
  </si>
  <si>
    <t>Amortization of Debt Issuance Costs</t>
  </si>
  <si>
    <t>Total Liabilities</t>
  </si>
  <si>
    <t>Convertible Senior Notes, Net</t>
  </si>
  <si>
    <t>Gross Proceeds from Isssuance of Convertible Senior Notes</t>
  </si>
  <si>
    <t>Cash Paid for Issuance Costs on Convertibel Senior Notes</t>
  </si>
  <si>
    <t>Purchase of Capped Calls Related to Convertibel Senior Notes</t>
  </si>
  <si>
    <t>Net Change in Cash, Cash Equivalents, and Restricted Cash</t>
  </si>
  <si>
    <t>Cash &amp; Cash Equivalents, and Restricted Cash - Beginning of Period</t>
  </si>
  <si>
    <t>Cash &amp; Cash Equivalents, and Restricted Cash - End of Period</t>
  </si>
  <si>
    <t>Cash and Cash Equivalents from B/S</t>
  </si>
  <si>
    <t>Total Cash, Cash Equivalents and Restricted Cash</t>
  </si>
  <si>
    <t>Growth ex. Snowpark</t>
  </si>
  <si>
    <t>Days in Period</t>
  </si>
  <si>
    <t>% of FY</t>
  </si>
  <si>
    <t>Expansion / Contraction</t>
  </si>
  <si>
    <t>FCF / OpInc</t>
  </si>
  <si>
    <t xml:space="preserve">Data Engineering </t>
  </si>
  <si>
    <t>Restructuring Charges, Net</t>
  </si>
  <si>
    <t>Asset Impairment Related to Office Facility Exit</t>
  </si>
  <si>
    <t>Expansion / Contraction (bps)</t>
  </si>
  <si>
    <t>AI/ML Weekly Users</t>
  </si>
  <si>
    <t>a</t>
  </si>
  <si>
    <t>AI Revenue (Run-rate)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</si>
</sst>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\x;\(#,##0.0\)\x;0.0_)\x;@_)_x"/>
    <numFmt numFmtId="165" formatCode="#,##0.0_);\(#,##0.0\);#,##0.0_);@_)"/>
    <numFmt numFmtId="166" formatCode="&quot;$&quot;_(#,##0.00_);&quot;$&quot;\(#,##0.00\);&quot;$&quot;_(0.00_);@_)"/>
    <numFmt numFmtId="167" formatCode="#,##0.00_);\(#,##0.00\);0.00_);@_)"/>
    <numFmt numFmtId="168" formatCode="\€_(#,##0.00_);\€\(#,##0.00\);\€_(0.00_);@_)"/>
    <numFmt numFmtId="169" formatCode="0.0_)\%;\(0.0\)\%;0.0_)\%;@_)_%"/>
    <numFmt numFmtId="170" formatCode="#,##0.0_)_%;\(#,##0.0\)_%;0.0_)_%;@_)_%"/>
    <numFmt numFmtId="171" formatCode="#,##0.0_)_x;\(#,##0.0\)_x;0.0_)_x;@_)_x"/>
    <numFmt numFmtId="172" formatCode="#,##0%_);\(#,##0%\)"/>
    <numFmt numFmtId="173" formatCode=";;;"/>
    <numFmt numFmtId="174" formatCode="mmmm\ dd\,\ yyyy\ h:mm\ AM/PM"/>
    <numFmt numFmtId="175" formatCode="0.0_);\(0.0\)"/>
    <numFmt numFmtId="176" formatCode="0.0%"/>
    <numFmt numFmtId="177" formatCode="yyyy\ &quot;(A)&quot;"/>
    <numFmt numFmtId="178" formatCode="&quot;CY&quot;yy"/>
    <numFmt numFmtId="179" formatCode="yyyy"/>
    <numFmt numFmtId="180" formatCode="yyyy\ &quot;(E)&quot;"/>
    <numFmt numFmtId="181" formatCode="m/d/yy"/>
    <numFmt numFmtId="182" formatCode="#,##0.0"/>
    <numFmt numFmtId="183" formatCode="0.0%_);\(0.0%\);0.0%_);@_)"/>
    <numFmt numFmtId="184" formatCode="0.0"/>
    <numFmt numFmtId="185" formatCode="#,##0.00_);\(#,##0.00\);#,##0.00_);@_)"/>
    <numFmt numFmtId="186" formatCode="#,##0.0_);\(#,##0.0\)"/>
    <numFmt numFmtId="187" formatCode="&quot;$&quot;#,##0.0"/>
    <numFmt numFmtId="188" formatCode="#,##0_);\(#,##0\);#,##0_);@_)"/>
    <numFmt numFmtId="189" formatCode="0.0\x_);\(0.0\x\);0.0\x_);@_)"/>
    <numFmt numFmtId="190" formatCode="0.0\x"/>
    <numFmt numFmtId="191" formatCode="&quot;$&quot;#,##0_);\(&quot;$&quot;#,##0\);&quot;$&quot;#,##0_);@_)"/>
    <numFmt numFmtId="192" formatCode="0.00%_);\(0.00%\);0.00%_);@_)"/>
    <numFmt numFmtId="193" formatCode="&quot;$&quot;#,##0"/>
    <numFmt numFmtId="194" formatCode="&quot;$&quot;#,##0.0_);\(&quot;$&quot;#,##0.0\)"/>
    <numFmt numFmtId="195" formatCode="0.000"/>
    <numFmt numFmtId="196" formatCode="#,##0.000_);\(#,##0.000\)"/>
    <numFmt numFmtId="197" formatCode="_(* #,##0_);_(* \(#,##0\);_(* &quot;-&quot;??_);_(@_)"/>
    <numFmt numFmtId="198" formatCode="mm/dd/yy;@"/>
    <numFmt numFmtId="199" formatCode="[$-409]mmm\-yy;@"/>
    <numFmt numFmtId="200" formatCode="0.00_);\(0.00\)"/>
    <numFmt numFmtId="201" formatCode="_(&quot;$&quot;* #,##0_);_(&quot;$&quot;* \(#,##0\);_(&quot;$&quot;* &quot;-&quot;??_);_(@_)"/>
    <numFmt numFmtId="202" formatCode="&quot;$&quot;\ #,##0_);[Red]\(&quot;$&quot;#,##0\)"/>
    <numFmt numFmtId="203" formatCode="#,##0;[Red]#,##0"/>
    <numFmt numFmtId="204" formatCode="\~&quot;$&quot;#,##0"/>
    <numFmt numFmtId="205" formatCode="_(* #,##0.0_);_(* \(#,##0.0\);_(* &quot;-&quot;??_);_(@_)"/>
    <numFmt numFmtId="206" formatCode="[$-409]mmmm\ d\,\ yyyy;@"/>
    <numFmt numFmtId="207" formatCode="_(* #,##0.000_);_(* \(#,##0.000\);_(* &quot;-&quot;??_);_(@_)"/>
    <numFmt numFmtId="208" formatCode="0.0&quot;bps&quot;"/>
  </numFmts>
  <fonts count="88"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355F"/>
      <name val="Arial"/>
      <family val="2"/>
    </font>
    <font>
      <b/>
      <u val="singleAccounting"/>
      <sz val="10"/>
      <color rgb="FF00355F"/>
      <name val="Arial"/>
      <family val="2"/>
    </font>
    <font>
      <b/>
      <sz val="22"/>
      <color rgb="FF00355F"/>
      <name val="Arial"/>
      <family val="2"/>
    </font>
    <font>
      <b/>
      <sz val="16"/>
      <color rgb="FF00355F"/>
      <name val="Arial"/>
      <family val="2"/>
    </font>
    <font>
      <sz val="9"/>
      <color indexed="8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u/>
      <sz val="11"/>
      <color theme="10"/>
      <name val="Helvetica Neue"/>
      <family val="2"/>
    </font>
    <font>
      <sz val="11"/>
      <color indexed="8"/>
      <name val="Arial"/>
      <family val="2"/>
      <scheme val="minor"/>
    </font>
    <font>
      <b/>
      <sz val="10"/>
      <name val="Arial"/>
      <family val="2"/>
    </font>
    <font>
      <sz val="11"/>
      <color rgb="FF000000"/>
      <name val="Helvetica Neue"/>
    </font>
    <font>
      <sz val="11"/>
      <color theme="1"/>
      <name val="Arial"/>
      <family val="2"/>
    </font>
    <font>
      <sz val="9"/>
      <color theme="1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i/>
      <sz val="9"/>
      <color indexed="8"/>
      <name val="Arial"/>
      <family val="2"/>
    </font>
    <font>
      <b/>
      <u val="singleAccounting"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i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u/>
      <sz val="10"/>
      <color theme="1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i/>
      <sz val="10"/>
      <color rgb="FF008000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b/>
      <sz val="9"/>
      <color theme="1"/>
      <name val="Arial"/>
      <family val="2"/>
    </font>
    <font>
      <i/>
      <sz val="9"/>
      <name val="Arial"/>
      <family val="2"/>
    </font>
    <font>
      <i/>
      <sz val="9"/>
      <color rgb="FF0000FF"/>
      <name val="Arial"/>
      <family val="2"/>
    </font>
    <font>
      <sz val="10"/>
      <color theme="1"/>
      <name val="Helvetica"/>
      <family val="2"/>
    </font>
    <font>
      <sz val="9"/>
      <color rgb="FF660066"/>
      <name val="Arial"/>
      <family val="2"/>
    </font>
    <font>
      <b/>
      <sz val="9"/>
      <color rgb="FF660066"/>
      <name val="Arial"/>
      <family val="2"/>
    </font>
    <font>
      <i/>
      <sz val="11"/>
      <name val="Arial"/>
      <family val="2"/>
      <scheme val="minor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u/>
      <sz val="11"/>
      <color theme="10"/>
      <name val="Univers LT Std 55"/>
      <family val="2"/>
    </font>
    <font>
      <u/>
      <sz val="10"/>
      <color theme="10"/>
      <name val="Arial"/>
      <family val="2"/>
    </font>
    <font>
      <b/>
      <i/>
      <sz val="10"/>
      <color theme="1"/>
      <name val="Arial"/>
      <family val="2"/>
    </font>
    <font>
      <i/>
      <sz val="10"/>
      <color rgb="FF0000FF"/>
      <name val="Arial"/>
      <family val="2"/>
    </font>
    <font>
      <sz val="12"/>
      <name val="AGaramond"/>
      <family val="1"/>
    </font>
    <font>
      <sz val="10"/>
      <color theme="8"/>
      <name val="Arial"/>
      <family val="2"/>
    </font>
    <font>
      <sz val="10"/>
      <color theme="1"/>
      <name val="Arial"/>
      <family val="2"/>
      <scheme val="minor"/>
    </font>
    <font>
      <i/>
      <sz val="10"/>
      <name val="Arial"/>
      <family val="2"/>
    </font>
    <font>
      <i/>
      <sz val="10"/>
      <name val="Arial"/>
      <family val="2"/>
      <scheme val="minor"/>
    </font>
    <font>
      <b/>
      <sz val="9"/>
      <color rgb="FFFF0000"/>
      <name val="Arial"/>
      <family val="2"/>
    </font>
    <font>
      <i/>
      <sz val="10"/>
      <color theme="0"/>
      <name val="Arial"/>
      <family val="2"/>
    </font>
    <font>
      <i/>
      <sz val="8"/>
      <name val="Arial"/>
      <family val="2"/>
    </font>
    <font>
      <i/>
      <sz val="8"/>
      <color indexed="8"/>
      <name val="Arial"/>
      <family val="2"/>
    </font>
    <font>
      <b/>
      <i/>
      <sz val="9"/>
      <name val="Arial"/>
      <family val="2"/>
    </font>
    <font>
      <b/>
      <i/>
      <sz val="9"/>
      <color rgb="FF660066"/>
      <name val="Arial"/>
      <family val="2"/>
    </font>
    <font>
      <sz val="10"/>
      <color indexed="8"/>
      <name val="Arial"/>
      <family val="2"/>
    </font>
    <font>
      <sz val="10"/>
      <color rgb="FF007E39"/>
      <name val="Arial"/>
      <family val="2"/>
    </font>
    <font>
      <sz val="10"/>
      <name val="Helv"/>
    </font>
    <font>
      <sz val="8"/>
      <name val="Helvetica"/>
      <family val="2"/>
    </font>
    <font>
      <sz val="10"/>
      <name val="Tms Rmn"/>
    </font>
    <font>
      <i/>
      <sz val="10"/>
      <color indexed="8"/>
      <name val="Arial"/>
      <family val="2"/>
    </font>
    <font>
      <u/>
      <sz val="10"/>
      <name val="Arial"/>
      <family val="2"/>
    </font>
    <font>
      <u/>
      <sz val="10"/>
      <color rgb="FF0000FF"/>
      <name val="Arial"/>
      <family val="2"/>
    </font>
    <font>
      <i/>
      <sz val="10"/>
      <color rgb="FFFF0000"/>
      <name val="Arial"/>
      <family val="2"/>
    </font>
    <font>
      <b/>
      <i/>
      <sz val="10"/>
      <name val="Arial"/>
      <family val="2"/>
    </font>
    <font>
      <b/>
      <sz val="10"/>
      <color rgb="FF007E39"/>
      <name val="Arial"/>
      <family val="2"/>
    </font>
    <font>
      <i/>
      <sz val="8"/>
      <color theme="0"/>
      <name val="Arial"/>
      <family val="2"/>
    </font>
    <font>
      <b/>
      <i/>
      <sz val="10"/>
      <color indexed="8"/>
      <name val="Arial"/>
      <family val="2"/>
    </font>
    <font>
      <b/>
      <sz val="10"/>
      <color rgb="FF006400"/>
      <name val="Arial"/>
      <family val="2"/>
    </font>
    <font>
      <sz val="10"/>
      <color rgb="FF006400"/>
      <name val="Arial"/>
      <family val="2"/>
    </font>
    <font>
      <i/>
      <sz val="10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rgb="FF7399C6"/>
      <name val="Arial"/>
      <family val="2"/>
      <scheme val="minor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rgb="FFE2EAF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rgb="FF00355F"/>
      </bottom>
      <diagonal/>
    </border>
    <border>
      <left/>
      <right/>
      <top style="hair">
        <color rgb="FF4D4D4D"/>
      </top>
      <bottom style="hair">
        <color rgb="FF4D4D4D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 style="thin">
        <color indexed="64"/>
      </right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0">
    <xf numFmtId="0" fontId="0" fillId="0" borderId="0"/>
    <xf numFmtId="0" fontId="6" fillId="0" borderId="0" applyNumberFormat="0" applyFill="0" applyBorder="0" applyProtection="0">
      <alignment horizontal="left"/>
    </xf>
    <xf numFmtId="0" fontId="7" fillId="0" borderId="0" applyNumberFormat="0" applyFill="0" applyBorder="0" applyProtection="0">
      <alignment horizontal="centerContinuous"/>
    </xf>
    <xf numFmtId="0" fontId="6" fillId="0" borderId="1" applyNumberFormat="0" applyFill="0" applyProtection="0">
      <alignment horizontal="center"/>
    </xf>
    <xf numFmtId="0" fontId="8" fillId="0" borderId="0" applyNumberFormat="0" applyFill="0" applyBorder="0" applyAlignment="0" applyProtection="0"/>
    <xf numFmtId="0" fontId="5" fillId="2" borderId="0" applyNumberFormat="0" applyFont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9" fillId="0" borderId="0" applyNumberFormat="0" applyFill="0" applyBorder="0" applyProtection="0">
      <alignment vertical="top"/>
    </xf>
    <xf numFmtId="170" fontId="5" fillId="0" borderId="0" applyFont="0" applyFill="0" applyBorder="0" applyAlignment="0" applyProtection="0"/>
    <xf numFmtId="0" fontId="10" fillId="0" borderId="2" applyNumberFormat="0" applyFill="0" applyAlignment="0" applyProtection="0"/>
    <xf numFmtId="171" fontId="5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/>
    <xf numFmtId="0" fontId="14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0" fontId="19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5" fillId="0" borderId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0" fillId="0" borderId="0"/>
    <xf numFmtId="0" fontId="48" fillId="0" borderId="0"/>
    <xf numFmtId="0" fontId="2" fillId="0" borderId="0"/>
    <xf numFmtId="0" fontId="2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58" fillId="0" borderId="0">
      <protection locked="0"/>
    </xf>
    <xf numFmtId="9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1" fillId="0" borderId="0"/>
    <xf numFmtId="0" fontId="72" fillId="0" borderId="0">
      <protection locked="0"/>
    </xf>
    <xf numFmtId="37" fontId="73" fillId="0" borderId="0"/>
    <xf numFmtId="194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202" fontId="71" fillId="0" borderId="0" applyFill="0" applyBorder="0" applyAlignment="0">
      <protection hidden="1"/>
    </xf>
    <xf numFmtId="9" fontId="1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431">
    <xf numFmtId="0" fontId="0" fillId="0" borderId="0" xfId="0"/>
    <xf numFmtId="0" fontId="12" fillId="3" borderId="0" xfId="0" applyFont="1" applyFill="1"/>
    <xf numFmtId="0" fontId="12" fillId="0" borderId="0" xfId="0" applyFont="1"/>
    <xf numFmtId="173" fontId="10" fillId="0" borderId="0" xfId="41" applyNumberFormat="1" applyFont="1" applyAlignment="1">
      <alignment vertical="center"/>
    </xf>
    <xf numFmtId="174" fontId="18" fillId="0" borderId="0" xfId="41" applyNumberFormat="1" applyFont="1" applyAlignment="1">
      <alignment horizontal="left"/>
    </xf>
    <xf numFmtId="175" fontId="19" fillId="0" borderId="0" xfId="42" applyNumberFormat="1" applyFill="1" applyAlignment="1" applyProtection="1">
      <alignment horizontal="right" vertical="center"/>
    </xf>
    <xf numFmtId="176" fontId="10" fillId="0" borderId="0" xfId="43" applyNumberFormat="1" applyFont="1" applyFill="1" applyAlignment="1">
      <alignment horizontal="right" vertical="center"/>
    </xf>
    <xf numFmtId="176" fontId="10" fillId="0" borderId="0" xfId="43" applyNumberFormat="1" applyFont="1" applyFill="1" applyBorder="1" applyAlignment="1">
      <alignment horizontal="right" vertical="center"/>
    </xf>
    <xf numFmtId="0" fontId="10" fillId="0" borderId="0" xfId="41" applyFont="1" applyAlignment="1">
      <alignment horizontal="right" vertical="center"/>
    </xf>
    <xf numFmtId="0" fontId="10" fillId="0" borderId="0" xfId="41" applyFont="1" applyAlignment="1">
      <alignment vertical="center"/>
    </xf>
    <xf numFmtId="176" fontId="10" fillId="0" borderId="0" xfId="43" applyNumberFormat="1" applyFont="1" applyFill="1" applyBorder="1" applyAlignment="1">
      <alignment vertical="center"/>
    </xf>
    <xf numFmtId="0" fontId="4" fillId="0" borderId="0" xfId="41"/>
    <xf numFmtId="0" fontId="21" fillId="0" borderId="0" xfId="41" applyFont="1" applyAlignment="1">
      <alignment vertical="center"/>
    </xf>
    <xf numFmtId="9" fontId="10" fillId="0" borderId="0" xfId="43" applyFont="1" applyFill="1" applyBorder="1" applyAlignment="1">
      <alignment horizontal="right" vertical="center"/>
    </xf>
    <xf numFmtId="177" fontId="22" fillId="0" borderId="0" xfId="41" applyNumberFormat="1" applyFont="1" applyAlignment="1">
      <alignment horizontal="centerContinuous" vertical="top"/>
    </xf>
    <xf numFmtId="0" fontId="23" fillId="0" borderId="0" xfId="41" applyFont="1" applyAlignment="1">
      <alignment horizontal="centerContinuous"/>
    </xf>
    <xf numFmtId="0" fontId="24" fillId="0" borderId="0" xfId="41" applyFont="1" applyAlignment="1">
      <alignment horizontal="right" vertical="center"/>
    </xf>
    <xf numFmtId="0" fontId="25" fillId="0" borderId="0" xfId="41" applyFont="1" applyAlignment="1">
      <alignment horizontal="center" vertical="center"/>
    </xf>
    <xf numFmtId="0" fontId="25" fillId="4" borderId="0" xfId="41" applyFont="1" applyFill="1" applyAlignment="1">
      <alignment horizontal="center" vertical="center"/>
    </xf>
    <xf numFmtId="178" fontId="24" fillId="4" borderId="0" xfId="41" applyNumberFormat="1" applyFont="1" applyFill="1" applyAlignment="1">
      <alignment horizontal="center" vertical="center"/>
    </xf>
    <xf numFmtId="17" fontId="26" fillId="0" borderId="0" xfId="41" applyNumberFormat="1" applyFont="1" applyAlignment="1">
      <alignment horizontal="center" vertical="center"/>
    </xf>
    <xf numFmtId="179" fontId="25" fillId="4" borderId="0" xfId="41" applyNumberFormat="1" applyFont="1" applyFill="1" applyAlignment="1">
      <alignment horizontal="center" vertical="center"/>
    </xf>
    <xf numFmtId="177" fontId="25" fillId="4" borderId="0" xfId="41" applyNumberFormat="1" applyFont="1" applyFill="1" applyAlignment="1">
      <alignment horizontal="center" vertical="center"/>
    </xf>
    <xf numFmtId="180" fontId="25" fillId="4" borderId="0" xfId="41" applyNumberFormat="1" applyFont="1" applyFill="1" applyAlignment="1">
      <alignment horizontal="center" vertical="center"/>
    </xf>
    <xf numFmtId="17" fontId="25" fillId="0" borderId="0" xfId="41" applyNumberFormat="1" applyFont="1" applyAlignment="1">
      <alignment horizontal="center" vertical="center"/>
    </xf>
    <xf numFmtId="180" fontId="25" fillId="0" borderId="0" xfId="41" applyNumberFormat="1" applyFont="1" applyAlignment="1">
      <alignment horizontal="center" vertical="center"/>
    </xf>
    <xf numFmtId="0" fontId="27" fillId="0" borderId="3" xfId="41" applyFont="1" applyBorder="1" applyAlignment="1">
      <alignment vertical="center"/>
    </xf>
    <xf numFmtId="0" fontId="27" fillId="0" borderId="4" xfId="41" applyFont="1" applyBorder="1" applyAlignment="1">
      <alignment horizontal="center" vertical="center"/>
    </xf>
    <xf numFmtId="0" fontId="27" fillId="4" borderId="4" xfId="41" applyFont="1" applyFill="1" applyBorder="1" applyAlignment="1">
      <alignment horizontal="center" vertical="center"/>
    </xf>
    <xf numFmtId="0" fontId="27" fillId="0" borderId="3" xfId="41" applyFont="1" applyBorder="1" applyAlignment="1">
      <alignment horizontal="center" vertical="center"/>
    </xf>
    <xf numFmtId="0" fontId="10" fillId="0" borderId="4" xfId="41" applyFont="1" applyBorder="1" applyAlignment="1">
      <alignment horizontal="right" vertical="center"/>
    </xf>
    <xf numFmtId="0" fontId="10" fillId="0" borderId="5" xfId="41" applyFont="1" applyBorder="1" applyAlignment="1">
      <alignment horizontal="right" vertical="center"/>
    </xf>
    <xf numFmtId="0" fontId="27" fillId="0" borderId="6" xfId="41" applyFont="1" applyBorder="1" applyAlignment="1">
      <alignment vertical="center"/>
    </xf>
    <xf numFmtId="0" fontId="27" fillId="0" borderId="7" xfId="41" applyFont="1" applyBorder="1" applyAlignment="1">
      <alignment horizontal="center" vertical="center"/>
    </xf>
    <xf numFmtId="0" fontId="27" fillId="4" borderId="7" xfId="41" applyFont="1" applyFill="1" applyBorder="1" applyAlignment="1">
      <alignment horizontal="center" vertical="center"/>
    </xf>
    <xf numFmtId="0" fontId="10" fillId="0" borderId="7" xfId="41" applyFont="1" applyBorder="1" applyAlignment="1">
      <alignment horizontal="right" vertical="center"/>
    </xf>
    <xf numFmtId="0" fontId="10" fillId="0" borderId="6" xfId="41" applyFont="1" applyBorder="1" applyAlignment="1">
      <alignment horizontal="right" vertical="center"/>
    </xf>
    <xf numFmtId="0" fontId="10" fillId="0" borderId="7" xfId="41" applyFont="1" applyBorder="1" applyAlignment="1">
      <alignment vertical="center"/>
    </xf>
    <xf numFmtId="0" fontId="10" fillId="0" borderId="8" xfId="41" applyFont="1" applyBorder="1" applyAlignment="1">
      <alignment vertical="center"/>
    </xf>
    <xf numFmtId="0" fontId="27" fillId="0" borderId="9" xfId="41" applyFont="1" applyBorder="1" applyAlignment="1">
      <alignment vertical="center"/>
    </xf>
    <xf numFmtId="0" fontId="27" fillId="0" borderId="10" xfId="41" applyFont="1" applyBorder="1" applyAlignment="1">
      <alignment horizontal="center" vertical="center"/>
    </xf>
    <xf numFmtId="0" fontId="27" fillId="4" borderId="10" xfId="41" applyFont="1" applyFill="1" applyBorder="1" applyAlignment="1">
      <alignment horizontal="center" vertical="center"/>
    </xf>
    <xf numFmtId="0" fontId="10" fillId="0" borderId="9" xfId="41" applyFont="1" applyBorder="1" applyAlignment="1">
      <alignment horizontal="right" vertical="center"/>
    </xf>
    <xf numFmtId="0" fontId="27" fillId="0" borderId="11" xfId="41" applyFont="1" applyBorder="1" applyAlignment="1">
      <alignment horizontal="center" vertical="center"/>
    </xf>
    <xf numFmtId="0" fontId="27" fillId="0" borderId="0" xfId="41" applyFont="1" applyAlignment="1">
      <alignment vertical="center"/>
    </xf>
    <xf numFmtId="0" fontId="27" fillId="0" borderId="0" xfId="41" applyFont="1" applyAlignment="1">
      <alignment horizontal="center" vertical="center"/>
    </xf>
    <xf numFmtId="0" fontId="28" fillId="0" borderId="0" xfId="41" applyFont="1" applyAlignment="1">
      <alignment vertical="center"/>
    </xf>
    <xf numFmtId="181" fontId="23" fillId="0" borderId="0" xfId="41" applyNumberFormat="1" applyFont="1" applyAlignment="1">
      <alignment horizontal="center" vertical="center"/>
    </xf>
    <xf numFmtId="181" fontId="28" fillId="0" borderId="0" xfId="41" applyNumberFormat="1" applyFont="1" applyAlignment="1">
      <alignment horizontal="center" vertical="center"/>
    </xf>
    <xf numFmtId="177" fontId="25" fillId="0" borderId="0" xfId="41" applyNumberFormat="1" applyFont="1" applyAlignment="1">
      <alignment horizontal="center" vertical="center"/>
    </xf>
    <xf numFmtId="0" fontId="24" fillId="0" borderId="0" xfId="41" applyFont="1" applyAlignment="1">
      <alignment horizontal="center" vertical="center"/>
    </xf>
    <xf numFmtId="173" fontId="10" fillId="0" borderId="0" xfId="41" applyNumberFormat="1" applyFont="1" applyAlignment="1">
      <alignment horizontal="center" vertical="center"/>
    </xf>
    <xf numFmtId="0" fontId="10" fillId="0" borderId="0" xfId="41" applyFont="1" applyAlignment="1">
      <alignment horizontal="center" vertical="center"/>
    </xf>
    <xf numFmtId="0" fontId="18" fillId="0" borderId="0" xfId="41" applyFont="1" applyAlignment="1">
      <alignment horizontal="center" vertical="center"/>
    </xf>
    <xf numFmtId="0" fontId="28" fillId="0" borderId="0" xfId="41" applyFont="1" applyAlignment="1">
      <alignment horizontal="center" vertical="center"/>
    </xf>
    <xf numFmtId="181" fontId="28" fillId="0" borderId="0" xfId="41" applyNumberFormat="1" applyFont="1" applyAlignment="1">
      <alignment horizontal="right" vertical="center"/>
    </xf>
    <xf numFmtId="181" fontId="10" fillId="0" borderId="0" xfId="41" applyNumberFormat="1" applyFont="1" applyAlignment="1">
      <alignment horizontal="right" vertical="center"/>
    </xf>
    <xf numFmtId="173" fontId="5" fillId="0" borderId="0" xfId="0" applyNumberFormat="1" applyFont="1" applyAlignment="1">
      <alignment horizontal="left" indent="1"/>
    </xf>
    <xf numFmtId="0" fontId="5" fillId="0" borderId="0" xfId="0" applyFont="1"/>
    <xf numFmtId="0" fontId="29" fillId="0" borderId="0" xfId="0" applyFont="1"/>
    <xf numFmtId="177" fontId="30" fillId="0" borderId="0" xfId="41" applyNumberFormat="1" applyFont="1" applyAlignment="1">
      <alignment horizontal="centerContinuous" vertical="top"/>
    </xf>
    <xf numFmtId="0" fontId="31" fillId="0" borderId="0" xfId="41" applyFont="1" applyAlignment="1">
      <alignment horizontal="centerContinuous"/>
    </xf>
    <xf numFmtId="0" fontId="15" fillId="0" borderId="0" xfId="41" applyFont="1" applyAlignment="1">
      <alignment horizontal="center" vertical="center"/>
    </xf>
    <xf numFmtId="17" fontId="32" fillId="0" borderId="0" xfId="41" applyNumberFormat="1" applyFont="1" applyAlignment="1">
      <alignment horizontal="center" vertical="center"/>
    </xf>
    <xf numFmtId="0" fontId="0" fillId="0" borderId="14" xfId="0" applyBorder="1"/>
    <xf numFmtId="182" fontId="0" fillId="0" borderId="14" xfId="0" applyNumberFormat="1" applyBorder="1"/>
    <xf numFmtId="0" fontId="15" fillId="5" borderId="15" xfId="41" applyFont="1" applyFill="1" applyBorder="1" applyAlignment="1">
      <alignment horizontal="center" vertical="center"/>
    </xf>
    <xf numFmtId="179" fontId="15" fillId="5" borderId="16" xfId="41" applyNumberFormat="1" applyFont="1" applyFill="1" applyBorder="1" applyAlignment="1">
      <alignment horizontal="center" vertical="center"/>
    </xf>
    <xf numFmtId="0" fontId="0" fillId="5" borderId="16" xfId="0" applyFill="1" applyBorder="1"/>
    <xf numFmtId="0" fontId="0" fillId="5" borderId="17" xfId="0" applyFill="1" applyBorder="1"/>
    <xf numFmtId="182" fontId="0" fillId="5" borderId="13" xfId="0" applyNumberFormat="1" applyFill="1" applyBorder="1"/>
    <xf numFmtId="176" fontId="0" fillId="0" borderId="0" xfId="0" applyNumberFormat="1" applyAlignment="1">
      <alignment horizontal="right"/>
    </xf>
    <xf numFmtId="176" fontId="0" fillId="5" borderId="16" xfId="0" applyNumberFormat="1" applyFill="1" applyBorder="1" applyAlignment="1">
      <alignment horizontal="right"/>
    </xf>
    <xf numFmtId="183" fontId="34" fillId="0" borderId="0" xfId="0" applyNumberFormat="1" applyFont="1"/>
    <xf numFmtId="176" fontId="34" fillId="0" borderId="0" xfId="0" applyNumberFormat="1" applyFont="1" applyAlignment="1">
      <alignment horizontal="right"/>
    </xf>
    <xf numFmtId="0" fontId="34" fillId="0" borderId="14" xfId="0" applyFont="1" applyBorder="1"/>
    <xf numFmtId="176" fontId="0" fillId="0" borderId="0" xfId="0" applyNumberFormat="1"/>
    <xf numFmtId="0" fontId="5" fillId="0" borderId="0" xfId="0" applyFont="1" applyAlignment="1">
      <alignment horizontal="left" indent="2"/>
    </xf>
    <xf numFmtId="0" fontId="29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37" fillId="0" borderId="0" xfId="0" applyFont="1"/>
    <xf numFmtId="0" fontId="29" fillId="0" borderId="0" xfId="0" applyFont="1" applyAlignment="1">
      <alignment horizontal="left"/>
    </xf>
    <xf numFmtId="182" fontId="0" fillId="5" borderId="16" xfId="0" applyNumberFormat="1" applyFill="1" applyBorder="1"/>
    <xf numFmtId="182" fontId="34" fillId="5" borderId="16" xfId="0" applyNumberFormat="1" applyFont="1" applyFill="1" applyBorder="1"/>
    <xf numFmtId="182" fontId="0" fillId="0" borderId="0" xfId="0" applyNumberFormat="1"/>
    <xf numFmtId="184" fontId="34" fillId="0" borderId="0" xfId="0" applyNumberFormat="1" applyFont="1"/>
    <xf numFmtId="184" fontId="0" fillId="5" borderId="16" xfId="0" applyNumberFormat="1" applyFill="1" applyBorder="1"/>
    <xf numFmtId="0" fontId="38" fillId="0" borderId="0" xfId="0" applyFont="1"/>
    <xf numFmtId="9" fontId="0" fillId="0" borderId="0" xfId="0" applyNumberFormat="1"/>
    <xf numFmtId="9" fontId="34" fillId="0" borderId="0" xfId="0" applyNumberFormat="1" applyFont="1"/>
    <xf numFmtId="165" fontId="0" fillId="0" borderId="0" xfId="0" applyNumberFormat="1"/>
    <xf numFmtId="176" fontId="38" fillId="0" borderId="0" xfId="0" applyNumberFormat="1" applyFont="1"/>
    <xf numFmtId="0" fontId="33" fillId="0" borderId="0" xfId="0" applyFont="1"/>
    <xf numFmtId="0" fontId="0" fillId="5" borderId="13" xfId="0" applyFill="1" applyBorder="1"/>
    <xf numFmtId="182" fontId="38" fillId="5" borderId="16" xfId="0" applyNumberFormat="1" applyFont="1" applyFill="1" applyBorder="1"/>
    <xf numFmtId="182" fontId="38" fillId="0" borderId="0" xfId="0" applyNumberFormat="1" applyFont="1"/>
    <xf numFmtId="182" fontId="0" fillId="0" borderId="0" xfId="0" applyNumberFormat="1" applyAlignment="1">
      <alignment horizontal="right"/>
    </xf>
    <xf numFmtId="176" fontId="0" fillId="5" borderId="16" xfId="0" quotePrefix="1" applyNumberFormat="1" applyFill="1" applyBorder="1" applyAlignment="1">
      <alignment horizontal="right"/>
    </xf>
    <xf numFmtId="187" fontId="0" fillId="0" borderId="0" xfId="0" applyNumberFormat="1"/>
    <xf numFmtId="176" fontId="38" fillId="5" borderId="16" xfId="0" applyNumberFormat="1" applyFont="1" applyFill="1" applyBorder="1"/>
    <xf numFmtId="3" fontId="0" fillId="5" borderId="16" xfId="0" applyNumberFormat="1" applyFill="1" applyBorder="1"/>
    <xf numFmtId="186" fontId="0" fillId="0" borderId="0" xfId="0" applyNumberFormat="1"/>
    <xf numFmtId="3" fontId="34" fillId="0" borderId="14" xfId="0" applyNumberFormat="1" applyFont="1" applyBorder="1"/>
    <xf numFmtId="3" fontId="0" fillId="5" borderId="13" xfId="0" applyNumberFormat="1" applyFill="1" applyBorder="1"/>
    <xf numFmtId="3" fontId="12" fillId="0" borderId="14" xfId="0" applyNumberFormat="1" applyFont="1" applyBorder="1"/>
    <xf numFmtId="9" fontId="34" fillId="0" borderId="14" xfId="0" applyNumberFormat="1" applyFont="1" applyBorder="1"/>
    <xf numFmtId="9" fontId="0" fillId="5" borderId="13" xfId="0" applyNumberFormat="1" applyFill="1" applyBorder="1"/>
    <xf numFmtId="0" fontId="41" fillId="0" borderId="0" xfId="0" applyFont="1"/>
    <xf numFmtId="173" fontId="0" fillId="0" borderId="0" xfId="0" applyNumberFormat="1" applyAlignment="1">
      <alignment horizontal="left" indent="1"/>
    </xf>
    <xf numFmtId="0" fontId="34" fillId="0" borderId="0" xfId="0" applyFont="1"/>
    <xf numFmtId="187" fontId="12" fillId="0" borderId="0" xfId="0" quotePrefix="1" applyNumberFormat="1" applyFont="1" applyAlignment="1">
      <alignment horizontal="right"/>
    </xf>
    <xf numFmtId="187" fontId="12" fillId="0" borderId="0" xfId="0" applyNumberFormat="1" applyFont="1"/>
    <xf numFmtId="187" fontId="12" fillId="5" borderId="16" xfId="0" applyNumberFormat="1" applyFont="1" applyFill="1" applyBorder="1"/>
    <xf numFmtId="3" fontId="12" fillId="0" borderId="0" xfId="0" applyNumberFormat="1" applyFont="1"/>
    <xf numFmtId="186" fontId="0" fillId="5" borderId="16" xfId="0" applyNumberFormat="1" applyFill="1" applyBorder="1"/>
    <xf numFmtId="182" fontId="0" fillId="5" borderId="16" xfId="0" applyNumberFormat="1" applyFill="1" applyBorder="1" applyAlignment="1">
      <alignment horizontal="right"/>
    </xf>
    <xf numFmtId="192" fontId="0" fillId="0" borderId="0" xfId="0" applyNumberFormat="1"/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5" fontId="34" fillId="0" borderId="0" xfId="0" applyNumberFormat="1" applyFont="1"/>
    <xf numFmtId="0" fontId="0" fillId="5" borderId="18" xfId="0" applyFill="1" applyBorder="1"/>
    <xf numFmtId="190" fontId="0" fillId="0" borderId="0" xfId="0" applyNumberFormat="1"/>
    <xf numFmtId="190" fontId="0" fillId="0" borderId="18" xfId="0" applyNumberFormat="1" applyBorder="1"/>
    <xf numFmtId="189" fontId="0" fillId="5" borderId="16" xfId="0" applyNumberFormat="1" applyFill="1" applyBorder="1"/>
    <xf numFmtId="183" fontId="0" fillId="5" borderId="16" xfId="0" applyNumberFormat="1" applyFill="1" applyBorder="1"/>
    <xf numFmtId="176" fontId="0" fillId="0" borderId="0" xfId="40" applyNumberFormat="1" applyFont="1"/>
    <xf numFmtId="188" fontId="0" fillId="0" borderId="0" xfId="0" applyNumberFormat="1"/>
    <xf numFmtId="0" fontId="21" fillId="0" borderId="0" xfId="29" applyFont="1" applyAlignment="1">
      <alignment horizontal="center" vertical="center"/>
    </xf>
    <xf numFmtId="173" fontId="12" fillId="0" borderId="0" xfId="0" applyNumberFormat="1" applyFont="1" applyAlignment="1">
      <alignment horizontal="left" indent="1"/>
    </xf>
    <xf numFmtId="173" fontId="51" fillId="0" borderId="0" xfId="0" applyNumberFormat="1" applyFont="1"/>
    <xf numFmtId="173" fontId="0" fillId="0" borderId="0" xfId="0" applyNumberFormat="1"/>
    <xf numFmtId="0" fontId="52" fillId="0" borderId="0" xfId="0" applyFont="1"/>
    <xf numFmtId="184" fontId="12" fillId="0" borderId="0" xfId="0" applyNumberFormat="1" applyFont="1"/>
    <xf numFmtId="3" fontId="12" fillId="5" borderId="13" xfId="0" applyNumberFormat="1" applyFont="1" applyFill="1" applyBorder="1"/>
    <xf numFmtId="9" fontId="0" fillId="5" borderId="16" xfId="40" applyFont="1" applyFill="1" applyBorder="1"/>
    <xf numFmtId="176" fontId="0" fillId="5" borderId="16" xfId="40" applyNumberFormat="1" applyFont="1" applyFill="1" applyBorder="1"/>
    <xf numFmtId="0" fontId="0" fillId="3" borderId="0" xfId="0" applyFill="1"/>
    <xf numFmtId="4" fontId="0" fillId="0" borderId="0" xfId="0" applyNumberFormat="1"/>
    <xf numFmtId="4" fontId="0" fillId="0" borderId="0" xfId="40" applyNumberFormat="1" applyFont="1"/>
    <xf numFmtId="0" fontId="1" fillId="0" borderId="0" xfId="41" applyFont="1"/>
    <xf numFmtId="0" fontId="4" fillId="0" borderId="0" xfId="41" applyAlignment="1">
      <alignment horizontal="center"/>
    </xf>
    <xf numFmtId="0" fontId="10" fillId="0" borderId="0" xfId="41" applyFont="1" applyAlignment="1">
      <alignment horizontal="left" vertical="center"/>
    </xf>
    <xf numFmtId="176" fontId="0" fillId="3" borderId="0" xfId="0" applyNumberFormat="1" applyFill="1" applyAlignment="1">
      <alignment horizontal="right"/>
    </xf>
    <xf numFmtId="9" fontId="34" fillId="3" borderId="14" xfId="0" applyNumberFormat="1" applyFont="1" applyFill="1" applyBorder="1"/>
    <xf numFmtId="184" fontId="12" fillId="3" borderId="0" xfId="0" applyNumberFormat="1" applyFont="1" applyFill="1"/>
    <xf numFmtId="9" fontId="34" fillId="3" borderId="0" xfId="0" applyNumberFormat="1" applyFont="1" applyFill="1"/>
    <xf numFmtId="176" fontId="38" fillId="3" borderId="0" xfId="0" applyNumberFormat="1" applyFont="1" applyFill="1"/>
    <xf numFmtId="183" fontId="34" fillId="3" borderId="0" xfId="0" applyNumberFormat="1" applyFont="1" applyFill="1"/>
    <xf numFmtId="190" fontId="0" fillId="3" borderId="0" xfId="0" applyNumberFormat="1" applyFill="1"/>
    <xf numFmtId="0" fontId="33" fillId="5" borderId="16" xfId="0" applyFont="1" applyFill="1" applyBorder="1"/>
    <xf numFmtId="9" fontId="0" fillId="0" borderId="0" xfId="40" applyFont="1"/>
    <xf numFmtId="9" fontId="0" fillId="0" borderId="0" xfId="40" applyFont="1" applyFill="1" applyBorder="1"/>
    <xf numFmtId="3" fontId="0" fillId="5" borderId="16" xfId="0" applyNumberFormat="1" applyFill="1" applyBorder="1" applyAlignment="1">
      <alignment horizontal="right"/>
    </xf>
    <xf numFmtId="0" fontId="5" fillId="0" borderId="19" xfId="0" applyFont="1" applyBorder="1"/>
    <xf numFmtId="0" fontId="0" fillId="0" borderId="19" xfId="0" applyBorder="1"/>
    <xf numFmtId="0" fontId="0" fillId="0" borderId="13" xfId="0" applyBorder="1" applyAlignment="1">
      <alignment horizontal="left" indent="1"/>
    </xf>
    <xf numFmtId="0" fontId="33" fillId="0" borderId="19" xfId="0" applyFont="1" applyBorder="1" applyAlignment="1">
      <alignment horizontal="left" indent="2"/>
    </xf>
    <xf numFmtId="0" fontId="35" fillId="0" borderId="19" xfId="0" applyFont="1" applyBorder="1" applyAlignment="1">
      <alignment horizontal="left" indent="2"/>
    </xf>
    <xf numFmtId="0" fontId="0" fillId="0" borderId="19" xfId="0" applyBorder="1" applyAlignment="1">
      <alignment horizontal="left" indent="1"/>
    </xf>
    <xf numFmtId="0" fontId="33" fillId="0" borderId="19" xfId="0" applyFont="1" applyBorder="1" applyAlignment="1">
      <alignment horizontal="left" indent="1"/>
    </xf>
    <xf numFmtId="0" fontId="0" fillId="0" borderId="13" xfId="0" applyBorder="1"/>
    <xf numFmtId="0" fontId="0" fillId="0" borderId="19" xfId="0" applyBorder="1" applyAlignment="1">
      <alignment horizontal="left" indent="2"/>
    </xf>
    <xf numFmtId="0" fontId="33" fillId="0" borderId="19" xfId="0" applyFont="1" applyBorder="1" applyAlignment="1">
      <alignment horizontal="left" indent="3"/>
    </xf>
    <xf numFmtId="0" fontId="37" fillId="0" borderId="19" xfId="0" applyFont="1" applyBorder="1"/>
    <xf numFmtId="0" fontId="37" fillId="0" borderId="19" xfId="0" applyFont="1" applyBorder="1" applyAlignment="1">
      <alignment horizontal="left"/>
    </xf>
    <xf numFmtId="0" fontId="29" fillId="0" borderId="19" xfId="0" applyFont="1" applyBorder="1"/>
    <xf numFmtId="195" fontId="29" fillId="0" borderId="19" xfId="0" applyNumberFormat="1" applyFont="1" applyBorder="1" applyAlignment="1">
      <alignment horizontal="left" indent="2"/>
    </xf>
    <xf numFmtId="0" fontId="0" fillId="3" borderId="16" xfId="0" applyFill="1" applyBorder="1"/>
    <xf numFmtId="190" fontId="29" fillId="0" borderId="19" xfId="0" applyNumberFormat="1" applyFont="1" applyBorder="1" applyAlignment="1">
      <alignment horizontal="left"/>
    </xf>
    <xf numFmtId="9" fontId="0" fillId="0" borderId="0" xfId="40" applyFont="1" applyAlignment="1">
      <alignment horizontal="right"/>
    </xf>
    <xf numFmtId="0" fontId="0" fillId="7" borderId="19" xfId="0" applyFill="1" applyBorder="1" applyAlignment="1">
      <alignment horizontal="left" indent="2"/>
    </xf>
    <xf numFmtId="0" fontId="0" fillId="7" borderId="0" xfId="0" applyFill="1"/>
    <xf numFmtId="0" fontId="0" fillId="7" borderId="16" xfId="0" applyFill="1" applyBorder="1"/>
    <xf numFmtId="3" fontId="12" fillId="7" borderId="0" xfId="0" applyNumberFormat="1" applyFont="1" applyFill="1"/>
    <xf numFmtId="182" fontId="38" fillId="7" borderId="16" xfId="0" applyNumberFormat="1" applyFont="1" applyFill="1" applyBorder="1"/>
    <xf numFmtId="3" fontId="0" fillId="7" borderId="16" xfId="0" applyNumberFormat="1" applyFill="1" applyBorder="1"/>
    <xf numFmtId="0" fontId="33" fillId="7" borderId="19" xfId="0" applyFont="1" applyFill="1" applyBorder="1" applyAlignment="1">
      <alignment horizontal="left" indent="2"/>
    </xf>
    <xf numFmtId="176" fontId="0" fillId="7" borderId="0" xfId="0" applyNumberFormat="1" applyFill="1" applyAlignment="1">
      <alignment horizontal="right"/>
    </xf>
    <xf numFmtId="176" fontId="0" fillId="7" borderId="16" xfId="0" applyNumberFormat="1" applyFill="1" applyBorder="1" applyAlignment="1">
      <alignment horizontal="right"/>
    </xf>
    <xf numFmtId="176" fontId="34" fillId="7" borderId="0" xfId="0" applyNumberFormat="1" applyFont="1" applyFill="1" applyAlignment="1">
      <alignment horizontal="right"/>
    </xf>
    <xf numFmtId="0" fontId="33" fillId="7" borderId="19" xfId="0" applyFont="1" applyFill="1" applyBorder="1" applyAlignment="1">
      <alignment horizontal="left" indent="3"/>
    </xf>
    <xf numFmtId="0" fontId="0" fillId="9" borderId="19" xfId="0" applyFill="1" applyBorder="1" applyAlignment="1">
      <alignment horizontal="left" indent="2"/>
    </xf>
    <xf numFmtId="0" fontId="0" fillId="9" borderId="0" xfId="0" applyFill="1"/>
    <xf numFmtId="0" fontId="0" fillId="9" borderId="16" xfId="0" applyFill="1" applyBorder="1"/>
    <xf numFmtId="3" fontId="12" fillId="9" borderId="0" xfId="0" applyNumberFormat="1" applyFont="1" applyFill="1"/>
    <xf numFmtId="182" fontId="38" fillId="9" borderId="16" xfId="0" applyNumberFormat="1" applyFont="1" applyFill="1" applyBorder="1"/>
    <xf numFmtId="3" fontId="0" fillId="9" borderId="16" xfId="0" applyNumberFormat="1" applyFill="1" applyBorder="1"/>
    <xf numFmtId="0" fontId="33" fillId="9" borderId="19" xfId="0" applyFont="1" applyFill="1" applyBorder="1" applyAlignment="1">
      <alignment horizontal="left" indent="2"/>
    </xf>
    <xf numFmtId="176" fontId="0" fillId="9" borderId="0" xfId="0" applyNumberFormat="1" applyFill="1" applyAlignment="1">
      <alignment horizontal="right"/>
    </xf>
    <xf numFmtId="176" fontId="0" fillId="9" borderId="16" xfId="0" applyNumberFormat="1" applyFill="1" applyBorder="1" applyAlignment="1">
      <alignment horizontal="right"/>
    </xf>
    <xf numFmtId="176" fontId="34" fillId="9" borderId="0" xfId="0" applyNumberFormat="1" applyFont="1" applyFill="1" applyAlignment="1">
      <alignment horizontal="right"/>
    </xf>
    <xf numFmtId="0" fontId="0" fillId="9" borderId="19" xfId="0" applyFill="1" applyBorder="1"/>
    <xf numFmtId="0" fontId="33" fillId="9" borderId="19" xfId="0" applyFont="1" applyFill="1" applyBorder="1" applyAlignment="1">
      <alignment horizontal="left" indent="3"/>
    </xf>
    <xf numFmtId="0" fontId="33" fillId="8" borderId="19" xfId="0" applyFont="1" applyFill="1" applyBorder="1" applyAlignment="1">
      <alignment horizontal="left" indent="2"/>
    </xf>
    <xf numFmtId="0" fontId="0" fillId="8" borderId="0" xfId="0" applyFill="1"/>
    <xf numFmtId="187" fontId="12" fillId="8" borderId="0" xfId="0" applyNumberFormat="1" applyFont="1" applyFill="1"/>
    <xf numFmtId="0" fontId="0" fillId="8" borderId="16" xfId="0" applyFill="1" applyBorder="1"/>
    <xf numFmtId="187" fontId="12" fillId="8" borderId="16" xfId="0" applyNumberFormat="1" applyFont="1" applyFill="1" applyBorder="1"/>
    <xf numFmtId="187" fontId="12" fillId="8" borderId="0" xfId="0" quotePrefix="1" applyNumberFormat="1" applyFont="1" applyFill="1" applyAlignment="1">
      <alignment horizontal="right"/>
    </xf>
    <xf numFmtId="176" fontId="0" fillId="8" borderId="0" xfId="0" applyNumberFormat="1" applyFill="1" applyAlignment="1">
      <alignment horizontal="right"/>
    </xf>
    <xf numFmtId="176" fontId="0" fillId="8" borderId="16" xfId="0" applyNumberFormat="1" applyFill="1" applyBorder="1" applyAlignment="1">
      <alignment horizontal="right"/>
    </xf>
    <xf numFmtId="183" fontId="12" fillId="8" borderId="0" xfId="0" applyNumberFormat="1" applyFont="1" applyFill="1"/>
    <xf numFmtId="183" fontId="0" fillId="8" borderId="0" xfId="0" applyNumberFormat="1" applyFill="1"/>
    <xf numFmtId="0" fontId="35" fillId="8" borderId="19" xfId="0" applyFont="1" applyFill="1" applyBorder="1" applyAlignment="1">
      <alignment horizontal="left" indent="2"/>
    </xf>
    <xf numFmtId="0" fontId="29" fillId="8" borderId="13" xfId="0" applyFont="1" applyFill="1" applyBorder="1" applyAlignment="1">
      <alignment horizontal="left" indent="1"/>
    </xf>
    <xf numFmtId="0" fontId="29" fillId="8" borderId="14" xfId="0" applyFont="1" applyFill="1" applyBorder="1"/>
    <xf numFmtId="0" fontId="29" fillId="8" borderId="13" xfId="0" applyFont="1" applyFill="1" applyBorder="1"/>
    <xf numFmtId="182" fontId="15" fillId="8" borderId="14" xfId="0" applyNumberFormat="1" applyFont="1" applyFill="1" applyBorder="1"/>
    <xf numFmtId="182" fontId="15" fillId="8" borderId="13" xfId="0" applyNumberFormat="1" applyFont="1" applyFill="1" applyBorder="1"/>
    <xf numFmtId="0" fontId="29" fillId="7" borderId="13" xfId="0" applyFont="1" applyFill="1" applyBorder="1"/>
    <xf numFmtId="0" fontId="29" fillId="7" borderId="14" xfId="0" applyFont="1" applyFill="1" applyBorder="1"/>
    <xf numFmtId="0" fontId="36" fillId="7" borderId="14" xfId="0" applyFont="1" applyFill="1" applyBorder="1"/>
    <xf numFmtId="3" fontId="29" fillId="7" borderId="13" xfId="0" applyNumberFormat="1" applyFont="1" applyFill="1" applyBorder="1"/>
    <xf numFmtId="3" fontId="36" fillId="7" borderId="14" xfId="0" applyNumberFormat="1" applyFont="1" applyFill="1" applyBorder="1"/>
    <xf numFmtId="3" fontId="29" fillId="7" borderId="14" xfId="0" applyNumberFormat="1" applyFont="1" applyFill="1" applyBorder="1"/>
    <xf numFmtId="0" fontId="29" fillId="7" borderId="19" xfId="0" applyFont="1" applyFill="1" applyBorder="1" applyAlignment="1">
      <alignment horizontal="left" indent="2"/>
    </xf>
    <xf numFmtId="0" fontId="29" fillId="7" borderId="0" xfId="0" applyFont="1" applyFill="1"/>
    <xf numFmtId="0" fontId="29" fillId="7" borderId="16" xfId="0" applyFont="1" applyFill="1" applyBorder="1"/>
    <xf numFmtId="176" fontId="29" fillId="7" borderId="0" xfId="0" applyNumberFormat="1" applyFont="1" applyFill="1" applyAlignment="1">
      <alignment horizontal="right"/>
    </xf>
    <xf numFmtId="176" fontId="29" fillId="7" borderId="16" xfId="0" applyNumberFormat="1" applyFont="1" applyFill="1" applyBorder="1" applyAlignment="1">
      <alignment horizontal="right"/>
    </xf>
    <xf numFmtId="3" fontId="29" fillId="7" borderId="0" xfId="0" applyNumberFormat="1" applyFont="1" applyFill="1" applyAlignment="1">
      <alignment horizontal="right"/>
    </xf>
    <xf numFmtId="0" fontId="29" fillId="9" borderId="19" xfId="0" applyFont="1" applyFill="1" applyBorder="1" applyAlignment="1">
      <alignment horizontal="left" indent="2"/>
    </xf>
    <xf numFmtId="3" fontId="29" fillId="9" borderId="0" xfId="0" applyNumberFormat="1" applyFont="1" applyFill="1" applyAlignment="1">
      <alignment horizontal="right"/>
    </xf>
    <xf numFmtId="176" fontId="29" fillId="9" borderId="16" xfId="0" applyNumberFormat="1" applyFont="1" applyFill="1" applyBorder="1" applyAlignment="1">
      <alignment horizontal="right"/>
    </xf>
    <xf numFmtId="0" fontId="0" fillId="0" borderId="16" xfId="0" applyBorder="1"/>
    <xf numFmtId="176" fontId="0" fillId="0" borderId="16" xfId="0" applyNumberFormat="1" applyBorder="1" applyAlignment="1">
      <alignment horizontal="right"/>
    </xf>
    <xf numFmtId="0" fontId="29" fillId="3" borderId="0" xfId="0" applyFont="1" applyFill="1"/>
    <xf numFmtId="9" fontId="0" fillId="3" borderId="0" xfId="40" applyFont="1" applyFill="1" applyBorder="1"/>
    <xf numFmtId="9" fontId="0" fillId="3" borderId="0" xfId="0" applyNumberFormat="1" applyFill="1"/>
    <xf numFmtId="9" fontId="0" fillId="0" borderId="0" xfId="40" applyFont="1" applyFill="1"/>
    <xf numFmtId="184" fontId="29" fillId="0" borderId="0" xfId="0" applyNumberFormat="1" applyFont="1"/>
    <xf numFmtId="176" fontId="12" fillId="7" borderId="0" xfId="0" applyNumberFormat="1" applyFont="1" applyFill="1" applyAlignment="1">
      <alignment horizontal="right"/>
    </xf>
    <xf numFmtId="176" fontId="12" fillId="7" borderId="16" xfId="0" applyNumberFormat="1" applyFont="1" applyFill="1" applyBorder="1" applyAlignment="1">
      <alignment horizontal="right"/>
    </xf>
    <xf numFmtId="3" fontId="34" fillId="3" borderId="14" xfId="0" applyNumberFormat="1" applyFont="1" applyFill="1" applyBorder="1"/>
    <xf numFmtId="173" fontId="23" fillId="0" borderId="0" xfId="41" applyNumberFormat="1" applyFont="1"/>
    <xf numFmtId="173" fontId="23" fillId="0" borderId="0" xfId="41" applyNumberFormat="1" applyFont="1" applyAlignment="1">
      <alignment horizontal="right"/>
    </xf>
    <xf numFmtId="0" fontId="23" fillId="0" borderId="0" xfId="4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7" fontId="5" fillId="0" borderId="0" xfId="0" applyNumberFormat="1" applyFont="1"/>
    <xf numFmtId="0" fontId="31" fillId="0" borderId="19" xfId="0" applyFont="1" applyBorder="1"/>
    <xf numFmtId="165" fontId="0" fillId="0" borderId="0" xfId="0" applyNumberFormat="1" applyAlignment="1">
      <alignment horizontal="right"/>
    </xf>
    <xf numFmtId="165" fontId="0" fillId="5" borderId="16" xfId="0" applyNumberFormat="1" applyFill="1" applyBorder="1" applyAlignment="1">
      <alignment horizontal="right"/>
    </xf>
    <xf numFmtId="9" fontId="0" fillId="5" borderId="16" xfId="0" applyNumberFormat="1" applyFill="1" applyBorder="1" applyAlignment="1">
      <alignment horizontal="right"/>
    </xf>
    <xf numFmtId="188" fontId="34" fillId="0" borderId="14" xfId="0" applyNumberFormat="1" applyFont="1" applyBorder="1"/>
    <xf numFmtId="173" fontId="62" fillId="0" borderId="0" xfId="0" applyNumberFormat="1" applyFont="1"/>
    <xf numFmtId="3" fontId="15" fillId="7" borderId="14" xfId="0" applyNumberFormat="1" applyFont="1" applyFill="1" applyBorder="1"/>
    <xf numFmtId="3" fontId="15" fillId="7" borderId="13" xfId="0" applyNumberFormat="1" applyFont="1" applyFill="1" applyBorder="1"/>
    <xf numFmtId="3" fontId="15" fillId="9" borderId="14" xfId="0" applyNumberFormat="1" applyFont="1" applyFill="1" applyBorder="1"/>
    <xf numFmtId="3" fontId="15" fillId="9" borderId="13" xfId="0" applyNumberFormat="1" applyFont="1" applyFill="1" applyBorder="1"/>
    <xf numFmtId="182" fontId="0" fillId="0" borderId="0" xfId="40" applyNumberFormat="1" applyFont="1" applyAlignment="1"/>
    <xf numFmtId="39" fontId="29" fillId="0" borderId="0" xfId="0" applyNumberFormat="1" applyFont="1"/>
    <xf numFmtId="39" fontId="5" fillId="0" borderId="0" xfId="0" applyNumberFormat="1" applyFont="1" applyAlignment="1">
      <alignment horizontal="left" indent="2"/>
    </xf>
    <xf numFmtId="39" fontId="29" fillId="0" borderId="0" xfId="0" applyNumberFormat="1" applyFont="1" applyAlignment="1">
      <alignment horizontal="left" indent="1"/>
    </xf>
    <xf numFmtId="7" fontId="29" fillId="0" borderId="0" xfId="0" applyNumberFormat="1" applyFont="1"/>
    <xf numFmtId="39" fontId="5" fillId="0" borderId="0" xfId="0" applyNumberFormat="1" applyFont="1"/>
    <xf numFmtId="196" fontId="29" fillId="0" borderId="0" xfId="0" applyNumberFormat="1" applyFont="1"/>
    <xf numFmtId="0" fontId="34" fillId="3" borderId="14" xfId="0" applyFont="1" applyFill="1" applyBorder="1"/>
    <xf numFmtId="0" fontId="15" fillId="9" borderId="13" xfId="0" applyFont="1" applyFill="1" applyBorder="1"/>
    <xf numFmtId="0" fontId="15" fillId="9" borderId="14" xfId="0" applyFont="1" applyFill="1" applyBorder="1"/>
    <xf numFmtId="37" fontId="0" fillId="0" borderId="0" xfId="0" applyNumberFormat="1"/>
    <xf numFmtId="37" fontId="33" fillId="0" borderId="19" xfId="0" applyNumberFormat="1" applyFont="1" applyBorder="1" applyAlignment="1">
      <alignment horizontal="left" indent="1"/>
    </xf>
    <xf numFmtId="37" fontId="0" fillId="5" borderId="16" xfId="0" applyNumberFormat="1" applyFill="1" applyBorder="1"/>
    <xf numFmtId="37" fontId="0" fillId="5" borderId="13" xfId="0" applyNumberFormat="1" applyFill="1" applyBorder="1"/>
    <xf numFmtId="37" fontId="0" fillId="0" borderId="0" xfId="0" applyNumberFormat="1" applyAlignment="1">
      <alignment horizontal="right"/>
    </xf>
    <xf numFmtId="37" fontId="0" fillId="5" borderId="16" xfId="0" applyNumberFormat="1" applyFill="1" applyBorder="1" applyAlignment="1">
      <alignment horizontal="right"/>
    </xf>
    <xf numFmtId="37" fontId="0" fillId="0" borderId="0" xfId="0" applyNumberFormat="1" applyAlignment="1">
      <alignment horizontal="left" indent="1"/>
    </xf>
    <xf numFmtId="37" fontId="0" fillId="0" borderId="13" xfId="0" applyNumberFormat="1" applyBorder="1" applyAlignment="1">
      <alignment horizontal="left" indent="1"/>
    </xf>
    <xf numFmtId="37" fontId="0" fillId="0" borderId="14" xfId="0" applyNumberFormat="1" applyBorder="1"/>
    <xf numFmtId="37" fontId="34" fillId="0" borderId="14" xfId="0" applyNumberFormat="1" applyFont="1" applyBorder="1"/>
    <xf numFmtId="37" fontId="34" fillId="3" borderId="14" xfId="0" applyNumberFormat="1" applyFont="1" applyFill="1" applyBorder="1"/>
    <xf numFmtId="9" fontId="33" fillId="0" borderId="19" xfId="40" applyFont="1" applyBorder="1" applyAlignment="1">
      <alignment horizontal="left" indent="1"/>
    </xf>
    <xf numFmtId="9" fontId="0" fillId="5" borderId="16" xfId="40" applyFont="1" applyFill="1" applyBorder="1" applyAlignment="1">
      <alignment horizontal="right"/>
    </xf>
    <xf numFmtId="37" fontId="12" fillId="0" borderId="0" xfId="0" applyNumberFormat="1" applyFont="1" applyAlignment="1">
      <alignment horizontal="left" indent="1"/>
    </xf>
    <xf numFmtId="37" fontId="12" fillId="0" borderId="13" xfId="0" applyNumberFormat="1" applyFont="1" applyBorder="1" applyAlignment="1">
      <alignment horizontal="left" indent="1"/>
    </xf>
    <xf numFmtId="37" fontId="12" fillId="0" borderId="14" xfId="0" applyNumberFormat="1" applyFont="1" applyBorder="1"/>
    <xf numFmtId="37" fontId="12" fillId="5" borderId="13" xfId="0" applyNumberFormat="1" applyFont="1" applyFill="1" applyBorder="1"/>
    <xf numFmtId="37" fontId="12" fillId="0" borderId="0" xfId="0" applyNumberFormat="1" applyFont="1"/>
    <xf numFmtId="0" fontId="0" fillId="0" borderId="0" xfId="0" applyAlignment="1">
      <alignment horizontal="centerContinuous"/>
    </xf>
    <xf numFmtId="176" fontId="12" fillId="9" borderId="0" xfId="0" applyNumberFormat="1" applyFont="1" applyFill="1" applyAlignment="1">
      <alignment horizontal="right"/>
    </xf>
    <xf numFmtId="165" fontId="0" fillId="0" borderId="0" xfId="40" applyNumberFormat="1" applyFont="1"/>
    <xf numFmtId="165" fontId="0" fillId="0" borderId="0" xfId="40" applyNumberFormat="1" applyFont="1" applyAlignment="1">
      <alignment horizontal="right"/>
    </xf>
    <xf numFmtId="185" fontId="0" fillId="0" borderId="0" xfId="0" applyNumberFormat="1"/>
    <xf numFmtId="173" fontId="41" fillId="0" borderId="0" xfId="41" applyNumberFormat="1" applyFont="1" applyAlignment="1">
      <alignment vertical="center"/>
    </xf>
    <xf numFmtId="0" fontId="24" fillId="0" borderId="0" xfId="57" applyFont="1">
      <protection locked="0"/>
    </xf>
    <xf numFmtId="0" fontId="28" fillId="0" borderId="0" xfId="41" applyFont="1" applyAlignment="1">
      <alignment horizontal="left" vertical="center"/>
    </xf>
    <xf numFmtId="0" fontId="24" fillId="0" borderId="0" xfId="41" applyFont="1" applyAlignment="1">
      <alignment horizontal="left" vertical="center"/>
    </xf>
    <xf numFmtId="198" fontId="28" fillId="0" borderId="0" xfId="41" applyNumberFormat="1" applyFont="1" applyAlignment="1">
      <alignment horizontal="left" vertical="center"/>
    </xf>
    <xf numFmtId="15" fontId="28" fillId="0" borderId="0" xfId="41" applyNumberFormat="1" applyFont="1" applyAlignment="1">
      <alignment vertical="center"/>
    </xf>
    <xf numFmtId="0" fontId="63" fillId="0" borderId="0" xfId="41" applyFont="1" applyAlignment="1">
      <alignment horizontal="left" vertical="center"/>
    </xf>
    <xf numFmtId="0" fontId="24" fillId="0" borderId="0" xfId="41" applyFont="1" applyAlignment="1">
      <alignment vertical="center"/>
    </xf>
    <xf numFmtId="181" fontId="27" fillId="0" borderId="0" xfId="41" applyNumberFormat="1" applyFont="1" applyAlignment="1">
      <alignment horizontal="left" vertical="center"/>
    </xf>
    <xf numFmtId="199" fontId="45" fillId="4" borderId="0" xfId="41" applyNumberFormat="1" applyFont="1" applyFill="1" applyAlignment="1">
      <alignment horizontal="center" vertical="center"/>
    </xf>
    <xf numFmtId="173" fontId="64" fillId="0" borderId="0" xfId="41" applyNumberFormat="1" applyFont="1" applyAlignment="1">
      <alignment vertical="center"/>
    </xf>
    <xf numFmtId="0" fontId="47" fillId="4" borderId="0" xfId="29" applyFont="1" applyFill="1" applyAlignment="1">
      <alignment horizontal="center" vertical="center"/>
    </xf>
    <xf numFmtId="0" fontId="21" fillId="4" borderId="0" xfId="29" applyFont="1" applyFill="1" applyAlignment="1">
      <alignment horizontal="center" vertical="center"/>
    </xf>
    <xf numFmtId="0" fontId="10" fillId="0" borderId="0" xfId="41" applyFont="1" applyAlignment="1">
      <alignment horizontal="left" vertical="center" indent="1"/>
    </xf>
    <xf numFmtId="0" fontId="49" fillId="0" borderId="0" xfId="41" applyFont="1" applyAlignment="1">
      <alignment horizontal="right" vertical="center"/>
    </xf>
    <xf numFmtId="0" fontId="49" fillId="4" borderId="0" xfId="41" applyFont="1" applyFill="1" applyAlignment="1">
      <alignment horizontal="right" vertical="center"/>
    </xf>
    <xf numFmtId="165" fontId="49" fillId="0" borderId="0" xfId="41" applyNumberFormat="1" applyFont="1" applyAlignment="1">
      <alignment horizontal="right" vertical="center"/>
    </xf>
    <xf numFmtId="165" fontId="49" fillId="4" borderId="0" xfId="41" applyNumberFormat="1" applyFont="1" applyFill="1" applyAlignment="1">
      <alignment horizontal="right" vertical="center"/>
    </xf>
    <xf numFmtId="0" fontId="41" fillId="3" borderId="0" xfId="0" applyFont="1" applyFill="1" applyAlignment="1">
      <alignment horizontal="left"/>
    </xf>
    <xf numFmtId="0" fontId="25" fillId="0" borderId="12" xfId="41" applyFont="1" applyBorder="1" applyAlignment="1">
      <alignment horizontal="left" vertical="center" indent="1"/>
    </xf>
    <xf numFmtId="0" fontId="25" fillId="0" borderId="14" xfId="41" applyFont="1" applyBorder="1" applyAlignment="1">
      <alignment horizontal="left" vertical="center" indent="1"/>
    </xf>
    <xf numFmtId="5" fontId="25" fillId="0" borderId="14" xfId="41" applyNumberFormat="1" applyFont="1" applyBorder="1" applyAlignment="1">
      <alignment horizontal="right" vertical="center"/>
    </xf>
    <xf numFmtId="5" fontId="25" fillId="4" borderId="14" xfId="41" applyNumberFormat="1" applyFont="1" applyFill="1" applyBorder="1" applyAlignment="1">
      <alignment horizontal="right" vertical="center"/>
    </xf>
    <xf numFmtId="0" fontId="43" fillId="0" borderId="0" xfId="41" applyFont="1" applyAlignment="1">
      <alignment vertical="center"/>
    </xf>
    <xf numFmtId="9" fontId="65" fillId="0" borderId="0" xfId="58" applyFont="1" applyFill="1" applyBorder="1" applyAlignment="1" applyProtection="1">
      <alignment horizontal="left" indent="1"/>
      <protection locked="0"/>
    </xf>
    <xf numFmtId="9" fontId="46" fillId="0" borderId="0" xfId="58" applyFont="1" applyAlignment="1">
      <alignment horizontal="right" vertical="center"/>
    </xf>
    <xf numFmtId="9" fontId="46" fillId="4" borderId="0" xfId="58" applyFont="1" applyFill="1" applyAlignment="1">
      <alignment horizontal="right" vertical="center"/>
    </xf>
    <xf numFmtId="0" fontId="46" fillId="0" borderId="0" xfId="41" applyFont="1" applyAlignment="1">
      <alignment vertical="center"/>
    </xf>
    <xf numFmtId="5" fontId="46" fillId="4" borderId="0" xfId="41" applyNumberFormat="1" applyFont="1" applyFill="1" applyAlignment="1">
      <alignment horizontal="right" vertical="center"/>
    </xf>
    <xf numFmtId="9" fontId="66" fillId="0" borderId="0" xfId="58" applyFont="1" applyFill="1" applyBorder="1" applyAlignment="1" applyProtection="1">
      <alignment horizontal="left" indent="1"/>
      <protection locked="0"/>
    </xf>
    <xf numFmtId="5" fontId="1" fillId="4" borderId="0" xfId="41" applyNumberFormat="1" applyFont="1" applyFill="1" applyAlignment="1">
      <alignment horizontal="right" vertical="center"/>
    </xf>
    <xf numFmtId="5" fontId="67" fillId="4" borderId="0" xfId="41" applyNumberFormat="1" applyFont="1" applyFill="1" applyAlignment="1">
      <alignment horizontal="right" vertical="center"/>
    </xf>
    <xf numFmtId="5" fontId="25" fillId="4" borderId="0" xfId="41" applyNumberFormat="1" applyFont="1" applyFill="1" applyAlignment="1">
      <alignment horizontal="right" vertical="center"/>
    </xf>
    <xf numFmtId="0" fontId="41" fillId="0" borderId="0" xfId="0" applyFont="1" applyAlignment="1">
      <alignment horizontal="left" indent="1"/>
    </xf>
    <xf numFmtId="7" fontId="25" fillId="0" borderId="14" xfId="41" applyNumberFormat="1" applyFont="1" applyBorder="1" applyAlignment="1">
      <alignment horizontal="right" vertical="center"/>
    </xf>
    <xf numFmtId="7" fontId="25" fillId="4" borderId="14" xfId="41" applyNumberFormat="1" applyFont="1" applyFill="1" applyBorder="1" applyAlignment="1">
      <alignment horizontal="right" vertical="center"/>
    </xf>
    <xf numFmtId="9" fontId="41" fillId="0" borderId="0" xfId="58" applyFont="1"/>
    <xf numFmtId="9" fontId="41" fillId="0" borderId="0" xfId="58" applyFont="1" applyAlignment="1">
      <alignment horizontal="right"/>
    </xf>
    <xf numFmtId="5" fontId="50" fillId="4" borderId="0" xfId="41" applyNumberFormat="1" applyFont="1" applyFill="1" applyAlignment="1">
      <alignment horizontal="right" vertical="center"/>
    </xf>
    <xf numFmtId="5" fontId="50" fillId="0" borderId="0" xfId="41" applyNumberFormat="1" applyFont="1" applyAlignment="1">
      <alignment horizontal="right" vertical="center"/>
    </xf>
    <xf numFmtId="9" fontId="46" fillId="0" borderId="0" xfId="58" quotePrefix="1" applyFont="1" applyAlignment="1">
      <alignment horizontal="right" vertical="center"/>
    </xf>
    <xf numFmtId="9" fontId="65" fillId="0" borderId="0" xfId="58" applyFont="1" applyFill="1" applyBorder="1" applyAlignment="1" applyProtection="1">
      <alignment horizontal="left" indent="2"/>
      <protection locked="0"/>
    </xf>
    <xf numFmtId="194" fontId="46" fillId="0" borderId="0" xfId="41" quotePrefix="1" applyNumberFormat="1" applyFont="1" applyAlignment="1">
      <alignment horizontal="right" vertical="center"/>
    </xf>
    <xf numFmtId="9" fontId="66" fillId="0" borderId="0" xfId="58" applyFont="1" applyFill="1" applyBorder="1" applyAlignment="1" applyProtection="1">
      <alignment horizontal="left" indent="2"/>
      <protection locked="0"/>
    </xf>
    <xf numFmtId="5" fontId="68" fillId="4" borderId="0" xfId="41" applyNumberFormat="1" applyFont="1" applyFill="1" applyAlignment="1">
      <alignment horizontal="right" vertical="center"/>
    </xf>
    <xf numFmtId="0" fontId="25" fillId="0" borderId="0" xfId="41" applyFont="1" applyAlignment="1">
      <alignment horizontal="left" vertical="center" indent="1"/>
    </xf>
    <xf numFmtId="0" fontId="10" fillId="4" borderId="0" xfId="41" applyFont="1" applyFill="1" applyAlignment="1">
      <alignment vertical="center"/>
    </xf>
    <xf numFmtId="9" fontId="46" fillId="0" borderId="0" xfId="58" applyFont="1" applyFill="1" applyAlignment="1">
      <alignment horizontal="right" vertical="center"/>
    </xf>
    <xf numFmtId="9" fontId="49" fillId="0" borderId="0" xfId="40" applyFont="1" applyAlignment="1">
      <alignment horizontal="right" vertical="center"/>
    </xf>
    <xf numFmtId="9" fontId="49" fillId="4" borderId="0" xfId="40" applyFont="1" applyFill="1" applyAlignment="1">
      <alignment horizontal="right" vertical="center"/>
    </xf>
    <xf numFmtId="9" fontId="41" fillId="3" borderId="0" xfId="40" applyFont="1" applyFill="1" applyAlignment="1">
      <alignment horizontal="left"/>
    </xf>
    <xf numFmtId="9" fontId="65" fillId="0" borderId="0" xfId="40" applyFont="1" applyFill="1" applyBorder="1" applyAlignment="1" applyProtection="1">
      <alignment horizontal="left" indent="1"/>
      <protection locked="0"/>
    </xf>
    <xf numFmtId="9" fontId="46" fillId="0" borderId="0" xfId="40" applyFont="1" applyAlignment="1">
      <alignment horizontal="right" vertical="center"/>
    </xf>
    <xf numFmtId="9" fontId="46" fillId="4" borderId="0" xfId="40" applyFont="1" applyFill="1" applyAlignment="1">
      <alignment horizontal="right" vertical="center"/>
    </xf>
    <xf numFmtId="9" fontId="46" fillId="0" borderId="0" xfId="40" applyFont="1" applyAlignment="1">
      <alignment vertical="center"/>
    </xf>
    <xf numFmtId="173" fontId="61" fillId="0" borderId="0" xfId="41" applyNumberFormat="1" applyFont="1" applyAlignment="1">
      <alignment vertical="center"/>
    </xf>
    <xf numFmtId="0" fontId="67" fillId="0" borderId="0" xfId="41" applyFont="1" applyAlignment="1">
      <alignment horizontal="left" vertical="center"/>
    </xf>
    <xf numFmtId="9" fontId="67" fillId="0" borderId="0" xfId="40" applyFont="1" applyAlignment="1">
      <alignment horizontal="left" vertical="center"/>
    </xf>
    <xf numFmtId="9" fontId="64" fillId="0" borderId="0" xfId="40" applyFont="1" applyAlignment="1">
      <alignment vertical="center"/>
    </xf>
    <xf numFmtId="0" fontId="25" fillId="0" borderId="12" xfId="41" applyFont="1" applyBorder="1" applyAlignment="1">
      <alignment horizontal="left" vertical="center" indent="2"/>
    </xf>
    <xf numFmtId="37" fontId="41" fillId="3" borderId="0" xfId="0" applyNumberFormat="1" applyFont="1" applyFill="1" applyAlignment="1">
      <alignment horizontal="left"/>
    </xf>
    <xf numFmtId="37" fontId="25" fillId="0" borderId="12" xfId="41" applyNumberFormat="1" applyFont="1" applyBorder="1" applyAlignment="1">
      <alignment horizontal="left" vertical="center" indent="1"/>
    </xf>
    <xf numFmtId="37" fontId="25" fillId="0" borderId="14" xfId="41" applyNumberFormat="1" applyFont="1" applyBorder="1" applyAlignment="1">
      <alignment horizontal="left" vertical="center" indent="1"/>
    </xf>
    <xf numFmtId="37" fontId="25" fillId="0" borderId="14" xfId="41" applyNumberFormat="1" applyFont="1" applyBorder="1" applyAlignment="1">
      <alignment horizontal="right" vertical="center"/>
    </xf>
    <xf numFmtId="37" fontId="25" fillId="4" borderId="14" xfId="41" applyNumberFormat="1" applyFont="1" applyFill="1" applyBorder="1" applyAlignment="1">
      <alignment horizontal="right" vertical="center"/>
    </xf>
    <xf numFmtId="37" fontId="43" fillId="0" borderId="0" xfId="41" applyNumberFormat="1" applyFont="1" applyAlignment="1">
      <alignment vertical="center"/>
    </xf>
    <xf numFmtId="187" fontId="12" fillId="3" borderId="0" xfId="0" applyNumberFormat="1" applyFont="1" applyFill="1"/>
    <xf numFmtId="3" fontId="12" fillId="3" borderId="14" xfId="0" applyNumberFormat="1" applyFont="1" applyFill="1" applyBorder="1"/>
    <xf numFmtId="196" fontId="41" fillId="0" borderId="0" xfId="0" applyNumberFormat="1" applyFont="1"/>
    <xf numFmtId="0" fontId="56" fillId="7" borderId="19" xfId="0" applyFont="1" applyFill="1" applyBorder="1" applyAlignment="1">
      <alignment horizontal="left" indent="2"/>
    </xf>
    <xf numFmtId="9" fontId="29" fillId="7" borderId="16" xfId="40" applyFont="1" applyFill="1" applyBorder="1"/>
    <xf numFmtId="9" fontId="29" fillId="9" borderId="0" xfId="40" applyFont="1" applyFill="1"/>
    <xf numFmtId="182" fontId="29" fillId="0" borderId="0" xfId="40" applyNumberFormat="1" applyFont="1" applyAlignment="1"/>
    <xf numFmtId="176" fontId="34" fillId="7" borderId="0" xfId="0" applyNumberFormat="1" applyFont="1" applyFill="1"/>
    <xf numFmtId="0" fontId="29" fillId="3" borderId="0" xfId="0" applyFont="1" applyFill="1" applyAlignment="1">
      <alignment horizontal="left"/>
    </xf>
    <xf numFmtId="0" fontId="0" fillId="3" borderId="0" xfId="0" applyFill="1" applyAlignment="1">
      <alignment horizontal="centerContinuous"/>
    </xf>
    <xf numFmtId="0" fontId="29" fillId="3" borderId="0" xfId="0" applyFont="1" applyFill="1" applyAlignment="1">
      <alignment horizontal="right"/>
    </xf>
    <xf numFmtId="3" fontId="29" fillId="3" borderId="0" xfId="0" applyNumberFormat="1" applyFont="1" applyFill="1" applyAlignment="1">
      <alignment horizontal="centerContinuous"/>
    </xf>
    <xf numFmtId="9" fontId="0" fillId="3" borderId="0" xfId="40" applyFont="1" applyFill="1" applyAlignment="1">
      <alignment horizontal="right"/>
    </xf>
    <xf numFmtId="0" fontId="69" fillId="0" borderId="0" xfId="57" applyFont="1">
      <protection locked="0"/>
    </xf>
    <xf numFmtId="0" fontId="44" fillId="0" borderId="0" xfId="57" applyFont="1" applyAlignment="1">
      <alignment horizontal="right"/>
      <protection locked="0"/>
    </xf>
    <xf numFmtId="39" fontId="44" fillId="0" borderId="0" xfId="57" applyNumberFormat="1" applyFont="1" applyAlignment="1">
      <alignment horizontal="right"/>
      <protection locked="0"/>
    </xf>
    <xf numFmtId="0" fontId="69" fillId="0" borderId="0" xfId="57" applyFont="1" applyAlignment="1">
      <alignment horizontal="center"/>
      <protection locked="0"/>
    </xf>
    <xf numFmtId="0" fontId="44" fillId="0" borderId="0" xfId="57" applyFont="1" applyAlignment="1">
      <alignment horizontal="center"/>
      <protection locked="0"/>
    </xf>
    <xf numFmtId="0" fontId="44" fillId="10" borderId="15" xfId="57" applyFont="1" applyFill="1" applyBorder="1" applyAlignment="1">
      <alignment horizontal="center"/>
      <protection locked="0"/>
    </xf>
    <xf numFmtId="199" fontId="44" fillId="0" borderId="0" xfId="57" applyNumberFormat="1" applyFont="1" applyAlignment="1">
      <alignment horizontal="center"/>
      <protection locked="0"/>
    </xf>
    <xf numFmtId="199" fontId="44" fillId="10" borderId="16" xfId="57" applyNumberFormat="1" applyFont="1" applyFill="1" applyBorder="1" applyAlignment="1">
      <alignment horizontal="center"/>
      <protection locked="0"/>
    </xf>
    <xf numFmtId="39" fontId="34" fillId="0" borderId="0" xfId="57" applyNumberFormat="1" applyFont="1">
      <protection locked="0"/>
    </xf>
    <xf numFmtId="39" fontId="5" fillId="10" borderId="16" xfId="0" applyNumberFormat="1" applyFont="1" applyFill="1" applyBorder="1" applyAlignment="1">
      <alignment horizontal="right"/>
    </xf>
    <xf numFmtId="39" fontId="38" fillId="0" borderId="0" xfId="57" applyNumberFormat="1" applyFont="1">
      <protection locked="0"/>
    </xf>
    <xf numFmtId="196" fontId="34" fillId="0" borderId="0" xfId="57" applyNumberFormat="1" applyFont="1">
      <protection locked="0"/>
    </xf>
    <xf numFmtId="39" fontId="12" fillId="0" borderId="0" xfId="57" applyNumberFormat="1" applyFont="1">
      <protection locked="0"/>
    </xf>
    <xf numFmtId="39" fontId="12" fillId="10" borderId="16" xfId="0" applyNumberFormat="1" applyFont="1" applyFill="1" applyBorder="1" applyAlignment="1">
      <alignment horizontal="right"/>
    </xf>
    <xf numFmtId="196" fontId="52" fillId="0" borderId="0" xfId="0" applyNumberFormat="1" applyFont="1"/>
    <xf numFmtId="196" fontId="5" fillId="0" borderId="0" xfId="0" applyNumberFormat="1" applyFont="1"/>
    <xf numFmtId="4" fontId="69" fillId="0" borderId="0" xfId="57" applyNumberFormat="1" applyFont="1">
      <protection locked="0"/>
    </xf>
    <xf numFmtId="4" fontId="69" fillId="0" borderId="0" xfId="57" applyNumberFormat="1" applyFont="1" applyAlignment="1">
      <alignment horizontal="right"/>
      <protection locked="0"/>
    </xf>
    <xf numFmtId="39" fontId="29" fillId="10" borderId="16" xfId="0" applyNumberFormat="1" applyFont="1" applyFill="1" applyBorder="1" applyAlignment="1">
      <alignment horizontal="right"/>
    </xf>
    <xf numFmtId="0" fontId="5" fillId="3" borderId="0" xfId="0" applyFont="1" applyFill="1"/>
    <xf numFmtId="0" fontId="41" fillId="0" borderId="0" xfId="0" applyFont="1" applyAlignment="1">
      <alignment horizontal="right"/>
    </xf>
    <xf numFmtId="9" fontId="69" fillId="0" borderId="0" xfId="58" quotePrefix="1" applyFont="1" applyFill="1" applyBorder="1" applyAlignment="1" applyProtection="1">
      <alignment horizontal="center"/>
      <protection locked="0"/>
    </xf>
    <xf numFmtId="9" fontId="69" fillId="0" borderId="0" xfId="58" applyFont="1" applyFill="1" applyBorder="1" applyAlignment="1" applyProtection="1">
      <alignment horizontal="right"/>
      <protection locked="0"/>
    </xf>
    <xf numFmtId="39" fontId="29" fillId="10" borderId="16" xfId="58" applyNumberFormat="1" applyFont="1" applyFill="1" applyBorder="1" applyAlignment="1">
      <alignment horizontal="right"/>
    </xf>
    <xf numFmtId="2" fontId="41" fillId="0" borderId="0" xfId="0" applyNumberFormat="1" applyFont="1"/>
    <xf numFmtId="196" fontId="34" fillId="0" borderId="0" xfId="58" quotePrefix="1" applyNumberFormat="1" applyFont="1" applyFill="1" applyBorder="1" applyAlignment="1" applyProtection="1">
      <alignment horizontal="right"/>
      <protection locked="0"/>
    </xf>
    <xf numFmtId="39" fontId="12" fillId="0" borderId="0" xfId="58" quotePrefix="1" applyNumberFormat="1" applyFont="1" applyFill="1" applyBorder="1" applyAlignment="1" applyProtection="1">
      <alignment horizontal="right"/>
      <protection locked="0"/>
    </xf>
    <xf numFmtId="39" fontId="5" fillId="10" borderId="16" xfId="58" applyNumberFormat="1" applyFont="1" applyFill="1" applyBorder="1" applyAlignment="1">
      <alignment horizontal="right"/>
    </xf>
    <xf numFmtId="39" fontId="38" fillId="0" borderId="0" xfId="58" quotePrefix="1" applyNumberFormat="1" applyFont="1" applyFill="1" applyBorder="1" applyAlignment="1" applyProtection="1">
      <alignment horizontal="right"/>
      <protection locked="0"/>
    </xf>
    <xf numFmtId="39" fontId="12" fillId="0" borderId="0" xfId="58" applyNumberFormat="1" applyFont="1" applyFill="1" applyBorder="1" applyAlignment="1" applyProtection="1">
      <alignment horizontal="right"/>
      <protection locked="0"/>
    </xf>
    <xf numFmtId="200" fontId="41" fillId="0" borderId="0" xfId="0" applyNumberFormat="1" applyFont="1"/>
    <xf numFmtId="39" fontId="12" fillId="3" borderId="0" xfId="58" quotePrefix="1" applyNumberFormat="1" applyFont="1" applyFill="1" applyBorder="1" applyAlignment="1" applyProtection="1">
      <alignment horizontal="right"/>
      <protection locked="0"/>
    </xf>
    <xf numFmtId="9" fontId="12" fillId="0" borderId="0" xfId="58" applyFont="1" applyFill="1" applyBorder="1" applyProtection="1">
      <protection locked="0"/>
    </xf>
    <xf numFmtId="9" fontId="12" fillId="0" borderId="0" xfId="58" applyFont="1" applyFill="1" applyBorder="1" applyAlignment="1" applyProtection="1">
      <alignment horizontal="right"/>
      <protection locked="0"/>
    </xf>
    <xf numFmtId="196" fontId="64" fillId="0" borderId="0" xfId="0" applyNumberFormat="1" applyFont="1" applyAlignment="1">
      <alignment horizontal="center"/>
    </xf>
    <xf numFmtId="196" fontId="33" fillId="0" borderId="0" xfId="0" applyNumberFormat="1" applyFont="1" applyAlignment="1">
      <alignment horizontal="right"/>
    </xf>
    <xf numFmtId="196" fontId="33" fillId="10" borderId="16" xfId="0" applyNumberFormat="1" applyFont="1" applyFill="1" applyBorder="1" applyAlignment="1">
      <alignment horizontal="right"/>
    </xf>
    <xf numFmtId="196" fontId="33" fillId="0" borderId="0" xfId="0" applyNumberFormat="1" applyFont="1"/>
    <xf numFmtId="0" fontId="64" fillId="0" borderId="0" xfId="0" applyFont="1" applyAlignment="1">
      <alignment horizontal="center"/>
    </xf>
    <xf numFmtId="2" fontId="33" fillId="0" borderId="0" xfId="0" applyNumberFormat="1" applyFont="1" applyAlignment="1">
      <alignment horizontal="left"/>
    </xf>
    <xf numFmtId="0" fontId="33" fillId="0" borderId="0" xfId="0" applyFont="1" applyAlignment="1">
      <alignment horizontal="right"/>
    </xf>
    <xf numFmtId="9" fontId="41" fillId="0" borderId="0" xfId="58" applyFont="1" applyBorder="1"/>
    <xf numFmtId="39" fontId="70" fillId="0" borderId="0" xfId="58" applyNumberFormat="1" applyFont="1" applyFill="1" applyBorder="1" applyProtection="1">
      <protection locked="0"/>
    </xf>
    <xf numFmtId="39" fontId="38" fillId="10" borderId="16" xfId="0" applyNumberFormat="1" applyFont="1" applyFill="1" applyBorder="1" applyAlignment="1">
      <alignment horizontal="right"/>
    </xf>
    <xf numFmtId="173" fontId="43" fillId="0" borderId="0" xfId="41" applyNumberFormat="1" applyFont="1" applyAlignment="1">
      <alignment horizontal="right"/>
    </xf>
    <xf numFmtId="39" fontId="12" fillId="0" borderId="0" xfId="58" applyNumberFormat="1" applyFont="1" applyFill="1" applyBorder="1" applyProtection="1">
      <protection locked="0"/>
    </xf>
    <xf numFmtId="39" fontId="12" fillId="10" borderId="16" xfId="58" applyNumberFormat="1" applyFont="1" applyFill="1" applyBorder="1" applyProtection="1">
      <protection locked="0"/>
    </xf>
    <xf numFmtId="39" fontId="34" fillId="0" borderId="0" xfId="58" applyNumberFormat="1" applyFont="1" applyFill="1" applyBorder="1" applyProtection="1">
      <protection locked="0"/>
    </xf>
    <xf numFmtId="9" fontId="34" fillId="0" borderId="0" xfId="58" applyFont="1" applyFill="1" applyBorder="1" applyProtection="1">
      <protection locked="0"/>
    </xf>
    <xf numFmtId="9" fontId="34" fillId="0" borderId="0" xfId="58" applyFont="1" applyFill="1" applyBorder="1" applyAlignment="1" applyProtection="1">
      <alignment horizontal="right"/>
      <protection locked="0"/>
    </xf>
    <xf numFmtId="182" fontId="5" fillId="10" borderId="16" xfId="58" applyNumberFormat="1" applyFont="1" applyFill="1" applyBorder="1"/>
    <xf numFmtId="9" fontId="5" fillId="10" borderId="17" xfId="58" applyFont="1" applyFill="1" applyBorder="1"/>
    <xf numFmtId="9" fontId="5" fillId="10" borderId="16" xfId="58" applyFont="1" applyFill="1" applyBorder="1"/>
    <xf numFmtId="175" fontId="12" fillId="0" borderId="0" xfId="0" applyNumberFormat="1" applyFont="1"/>
    <xf numFmtId="175" fontId="12" fillId="0" borderId="14" xfId="57" applyNumberFormat="1" applyFont="1" applyBorder="1">
      <protection locked="0"/>
    </xf>
    <xf numFmtId="175" fontId="12" fillId="10" borderId="13" xfId="0" applyNumberFormat="1" applyFont="1" applyFill="1" applyBorder="1"/>
    <xf numFmtId="175" fontId="41" fillId="0" borderId="0" xfId="0" applyNumberFormat="1" applyFont="1"/>
    <xf numFmtId="175" fontId="69" fillId="0" borderId="0" xfId="57" applyNumberFormat="1" applyFont="1" applyAlignment="1">
      <alignment horizontal="right"/>
      <protection locked="0"/>
    </xf>
    <xf numFmtId="175" fontId="34" fillId="10" borderId="16" xfId="0" applyNumberFormat="1" applyFont="1" applyFill="1" applyBorder="1"/>
    <xf numFmtId="175" fontId="69" fillId="0" borderId="0" xfId="57" applyNumberFormat="1" applyFont="1">
      <protection locked="0"/>
    </xf>
    <xf numFmtId="175" fontId="5" fillId="10" borderId="16" xfId="0" applyNumberFormat="1" applyFont="1" applyFill="1" applyBorder="1"/>
    <xf numFmtId="175" fontId="5" fillId="10" borderId="16" xfId="0" applyNumberFormat="1" applyFont="1" applyFill="1" applyBorder="1" applyAlignment="1">
      <alignment horizontal="right"/>
    </xf>
    <xf numFmtId="9" fontId="5" fillId="10" borderId="16" xfId="58" applyFont="1" applyFill="1" applyBorder="1" applyAlignment="1">
      <alignment horizontal="right"/>
    </xf>
    <xf numFmtId="186" fontId="41" fillId="0" borderId="0" xfId="0" applyNumberFormat="1" applyFont="1"/>
    <xf numFmtId="186" fontId="70" fillId="0" borderId="0" xfId="58" quotePrefix="1" applyNumberFormat="1" applyFont="1" applyFill="1" applyBorder="1" applyAlignment="1" applyProtection="1">
      <protection locked="0"/>
    </xf>
    <xf numFmtId="186" fontId="70" fillId="0" borderId="0" xfId="58" applyNumberFormat="1" applyFont="1" applyFill="1" applyBorder="1" applyAlignment="1" applyProtection="1">
      <protection locked="0"/>
    </xf>
    <xf numFmtId="186" fontId="70" fillId="10" borderId="16" xfId="58" applyNumberFormat="1" applyFont="1" applyFill="1" applyBorder="1" applyAlignment="1"/>
    <xf numFmtId="37" fontId="69" fillId="0" borderId="0" xfId="57" applyNumberFormat="1" applyFont="1" applyAlignment="1">
      <alignment horizontal="right"/>
      <protection locked="0"/>
    </xf>
    <xf numFmtId="37" fontId="69" fillId="0" borderId="0" xfId="57" applyNumberFormat="1" applyFont="1">
      <protection locked="0"/>
    </xf>
    <xf numFmtId="39" fontId="41" fillId="0" borderId="0" xfId="0" applyNumberFormat="1" applyFont="1"/>
    <xf numFmtId="39" fontId="69" fillId="0" borderId="0" xfId="57" applyNumberFormat="1" applyFont="1" applyAlignment="1">
      <alignment horizontal="right"/>
      <protection locked="0"/>
    </xf>
    <xf numFmtId="39" fontId="38" fillId="0" borderId="0" xfId="57" applyNumberFormat="1" applyFont="1" applyAlignment="1">
      <alignment horizontal="right"/>
      <protection locked="0"/>
    </xf>
    <xf numFmtId="39" fontId="69" fillId="0" borderId="0" xfId="58" applyNumberFormat="1" applyFont="1" applyFill="1" applyBorder="1" applyAlignment="1" applyProtection="1">
      <alignment horizontal="right"/>
      <protection locked="0"/>
    </xf>
    <xf numFmtId="9" fontId="12" fillId="0" borderId="0" xfId="58" applyFont="1"/>
    <xf numFmtId="9" fontId="12" fillId="0" borderId="0" xfId="58" applyFont="1" applyFill="1" applyBorder="1" applyAlignment="1" applyProtection="1">
      <protection locked="0"/>
    </xf>
    <xf numFmtId="9" fontId="12" fillId="0" borderId="14" xfId="58" applyFont="1" applyFill="1" applyBorder="1" applyProtection="1">
      <protection locked="0"/>
    </xf>
    <xf numFmtId="9" fontId="12" fillId="0" borderId="14" xfId="58" applyFont="1" applyFill="1" applyBorder="1" applyAlignment="1" applyProtection="1">
      <alignment horizontal="right"/>
      <protection locked="0"/>
    </xf>
    <xf numFmtId="9" fontId="5" fillId="10" borderId="13" xfId="58" applyFont="1" applyFill="1" applyBorder="1"/>
    <xf numFmtId="186" fontId="69" fillId="0" borderId="0" xfId="58" quotePrefix="1" applyNumberFormat="1" applyFont="1" applyFill="1" applyBorder="1" applyAlignment="1" applyProtection="1">
      <alignment horizontal="center"/>
      <protection locked="0"/>
    </xf>
    <xf numFmtId="186" fontId="69" fillId="0" borderId="0" xfId="58" applyNumberFormat="1" applyFont="1" applyFill="1" applyBorder="1" applyAlignment="1" applyProtection="1">
      <alignment horizontal="right"/>
      <protection locked="0"/>
    </xf>
    <xf numFmtId="186" fontId="5" fillId="10" borderId="16" xfId="58" applyNumberFormat="1" applyFont="1" applyFill="1" applyBorder="1"/>
    <xf numFmtId="39" fontId="38" fillId="10" borderId="16" xfId="0" applyNumberFormat="1" applyFont="1" applyFill="1" applyBorder="1"/>
    <xf numFmtId="37" fontId="70" fillId="0" borderId="0" xfId="58" applyNumberFormat="1" applyFont="1"/>
    <xf numFmtId="37" fontId="70" fillId="0" borderId="14" xfId="58" applyNumberFormat="1" applyFont="1" applyFill="1" applyBorder="1" applyProtection="1">
      <protection locked="0"/>
    </xf>
    <xf numFmtId="37" fontId="70" fillId="0" borderId="14" xfId="58" applyNumberFormat="1" applyFont="1" applyFill="1" applyBorder="1" applyAlignment="1" applyProtection="1">
      <alignment horizontal="right"/>
      <protection locked="0"/>
    </xf>
    <xf numFmtId="9" fontId="12" fillId="10" borderId="13" xfId="58" applyFont="1" applyFill="1" applyBorder="1"/>
    <xf numFmtId="9" fontId="69" fillId="0" borderId="0" xfId="58" quotePrefix="1" applyFont="1" applyFill="1" applyBorder="1" applyAlignment="1" applyProtection="1">
      <alignment horizontal="right"/>
      <protection locked="0"/>
    </xf>
    <xf numFmtId="186" fontId="38" fillId="10" borderId="16" xfId="58" applyNumberFormat="1" applyFont="1" applyFill="1" applyBorder="1" applyAlignment="1">
      <alignment horizontal="right"/>
    </xf>
    <xf numFmtId="37" fontId="38" fillId="0" borderId="0" xfId="58" applyNumberFormat="1" applyFont="1"/>
    <xf numFmtId="37" fontId="38" fillId="0" borderId="14" xfId="58" applyNumberFormat="1" applyFont="1" applyFill="1" applyBorder="1" applyProtection="1">
      <protection locked="0"/>
    </xf>
    <xf numFmtId="37" fontId="38" fillId="0" borderId="14" xfId="58" applyNumberFormat="1" applyFont="1" applyFill="1" applyBorder="1" applyAlignment="1" applyProtection="1">
      <alignment horizontal="right"/>
      <protection locked="0"/>
    </xf>
    <xf numFmtId="39" fontId="38" fillId="0" borderId="14" xfId="58" applyNumberFormat="1" applyFont="1" applyFill="1" applyBorder="1" applyAlignment="1" applyProtection="1">
      <alignment horizontal="right"/>
      <protection locked="0"/>
    </xf>
    <xf numFmtId="39" fontId="38" fillId="10" borderId="13" xfId="58" applyNumberFormat="1" applyFont="1" applyFill="1" applyBorder="1"/>
    <xf numFmtId="9" fontId="12" fillId="10" borderId="16" xfId="58" applyFont="1" applyFill="1" applyBorder="1" applyAlignment="1">
      <alignment horizontal="right"/>
    </xf>
    <xf numFmtId="39" fontId="12" fillId="0" borderId="14" xfId="58" applyNumberFormat="1" applyFont="1" applyFill="1" applyBorder="1" applyAlignment="1" applyProtection="1">
      <alignment horizontal="right"/>
      <protection locked="0"/>
    </xf>
    <xf numFmtId="10" fontId="41" fillId="0" borderId="0" xfId="58" applyNumberFormat="1" applyFont="1"/>
    <xf numFmtId="10" fontId="69" fillId="0" borderId="0" xfId="58" quotePrefix="1" applyNumberFormat="1" applyFont="1" applyFill="1" applyBorder="1" applyAlignment="1" applyProtection="1">
      <alignment horizontal="right"/>
      <protection locked="0"/>
    </xf>
    <xf numFmtId="10" fontId="69" fillId="0" borderId="0" xfId="58" applyNumberFormat="1" applyFont="1" applyFill="1" applyBorder="1" applyAlignment="1" applyProtection="1">
      <alignment horizontal="right"/>
      <protection locked="0"/>
    </xf>
    <xf numFmtId="10" fontId="12" fillId="0" borderId="0" xfId="58" applyNumberFormat="1" applyFont="1" applyFill="1" applyBorder="1" applyAlignment="1" applyProtection="1">
      <protection locked="0"/>
    </xf>
    <xf numFmtId="10" fontId="12" fillId="10" borderId="16" xfId="58" applyNumberFormat="1" applyFont="1" applyFill="1" applyBorder="1" applyAlignment="1">
      <alignment horizontal="right"/>
    </xf>
    <xf numFmtId="10" fontId="5" fillId="0" borderId="0" xfId="0" applyNumberFormat="1" applyFont="1"/>
    <xf numFmtId="9" fontId="69" fillId="0" borderId="0" xfId="58" applyFont="1" applyFill="1" applyBorder="1" applyProtection="1">
      <protection locked="0"/>
    </xf>
    <xf numFmtId="39" fontId="69" fillId="0" borderId="0" xfId="58" applyNumberFormat="1" applyFont="1" applyFill="1" applyBorder="1" applyProtection="1">
      <protection locked="0"/>
    </xf>
    <xf numFmtId="39" fontId="38" fillId="0" borderId="0" xfId="58" applyNumberFormat="1" applyFont="1" applyFill="1" applyBorder="1" applyProtection="1">
      <protection locked="0"/>
    </xf>
    <xf numFmtId="0" fontId="69" fillId="0" borderId="0" xfId="57" applyFont="1" applyAlignment="1">
      <alignment horizontal="right"/>
      <protection locked="0"/>
    </xf>
    <xf numFmtId="9" fontId="5" fillId="10" borderId="17" xfId="58" applyFont="1" applyFill="1" applyBorder="1" applyAlignment="1">
      <alignment horizontal="right"/>
    </xf>
    <xf numFmtId="9" fontId="69" fillId="0" borderId="0" xfId="58" applyFont="1" applyAlignment="1" applyProtection="1">
      <alignment horizontal="right"/>
      <protection locked="0"/>
    </xf>
    <xf numFmtId="39" fontId="69" fillId="0" borderId="0" xfId="57" applyNumberFormat="1" applyFont="1">
      <protection locked="0"/>
    </xf>
    <xf numFmtId="176" fontId="12" fillId="0" borderId="0" xfId="58" applyNumberFormat="1" applyFont="1" applyFill="1" applyBorder="1" applyProtection="1">
      <protection locked="0"/>
    </xf>
    <xf numFmtId="0" fontId="69" fillId="0" borderId="0" xfId="60" applyFont="1" applyAlignment="1">
      <alignment horizontal="centerContinuous" vertical="center"/>
    </xf>
    <xf numFmtId="0" fontId="69" fillId="0" borderId="0" xfId="61" applyFont="1" applyProtection="1"/>
    <xf numFmtId="37" fontId="12" fillId="0" borderId="0" xfId="62" applyFont="1" applyAlignment="1">
      <alignment horizontal="left" vertical="center"/>
    </xf>
    <xf numFmtId="37" fontId="69" fillId="0" borderId="0" xfId="63" applyNumberFormat="1" applyFont="1" applyFill="1" applyBorder="1" applyAlignment="1">
      <alignment horizontal="right"/>
    </xf>
    <xf numFmtId="172" fontId="69" fillId="0" borderId="0" xfId="57" applyNumberFormat="1" applyFont="1" applyAlignment="1">
      <alignment horizontal="right"/>
      <protection locked="0"/>
    </xf>
    <xf numFmtId="172" fontId="69" fillId="0" borderId="0" xfId="63" applyNumberFormat="1" applyFont="1" applyFill="1" applyBorder="1" applyAlignment="1">
      <alignment horizontal="right"/>
    </xf>
    <xf numFmtId="37" fontId="69" fillId="0" borderId="0" xfId="64" applyNumberFormat="1" applyFont="1" applyFill="1" applyBorder="1" applyAlignment="1" applyProtection="1">
      <alignment horizontal="right"/>
      <protection locked="0"/>
    </xf>
    <xf numFmtId="172" fontId="12" fillId="0" borderId="0" xfId="61" applyNumberFormat="1" applyFont="1">
      <protection locked="0"/>
    </xf>
    <xf numFmtId="172" fontId="69" fillId="0" borderId="0" xfId="57" applyNumberFormat="1" applyFont="1">
      <protection locked="0"/>
    </xf>
    <xf numFmtId="1" fontId="12" fillId="0" borderId="0" xfId="57" applyNumberFormat="1" applyFont="1" applyAlignment="1">
      <alignment horizontal="right"/>
      <protection locked="0"/>
    </xf>
    <xf numFmtId="1" fontId="12" fillId="0" borderId="0" xfId="64" applyNumberFormat="1" applyFont="1" applyFill="1" applyBorder="1" applyAlignment="1" applyProtection="1">
      <alignment horizontal="right"/>
      <protection locked="0"/>
    </xf>
    <xf numFmtId="5" fontId="69" fillId="0" borderId="0" xfId="57" applyNumberFormat="1" applyFont="1" applyAlignment="1">
      <alignment horizontal="right"/>
      <protection locked="0"/>
    </xf>
    <xf numFmtId="5" fontId="69" fillId="0" borderId="0" xfId="64" applyNumberFormat="1" applyFont="1" applyFill="1" applyBorder="1" applyAlignment="1" applyProtection="1">
      <alignment horizontal="right"/>
      <protection locked="0"/>
    </xf>
    <xf numFmtId="172" fontId="74" fillId="0" borderId="0" xfId="57" applyNumberFormat="1" applyFont="1" applyAlignment="1">
      <alignment horizontal="right"/>
      <protection locked="0"/>
    </xf>
    <xf numFmtId="172" fontId="74" fillId="0" borderId="0" xfId="63" applyNumberFormat="1" applyFont="1" applyFill="1" applyBorder="1" applyAlignment="1">
      <alignment horizontal="right"/>
    </xf>
    <xf numFmtId="193" fontId="75" fillId="0" borderId="0" xfId="57" applyNumberFormat="1" applyFont="1">
      <protection locked="0"/>
    </xf>
    <xf numFmtId="193" fontId="76" fillId="0" borderId="0" xfId="57" applyNumberFormat="1" applyFont="1" applyAlignment="1">
      <alignment horizontal="right"/>
      <protection locked="0"/>
    </xf>
    <xf numFmtId="193" fontId="12" fillId="0" borderId="0" xfId="57" applyNumberFormat="1" applyFont="1">
      <protection locked="0"/>
    </xf>
    <xf numFmtId="193" fontId="12" fillId="0" borderId="0" xfId="57" applyNumberFormat="1" applyFont="1" applyAlignment="1">
      <alignment horizontal="right"/>
      <protection locked="0"/>
    </xf>
    <xf numFmtId="0" fontId="12" fillId="0" borderId="0" xfId="57" applyFont="1">
      <protection locked="0"/>
    </xf>
    <xf numFmtId="0" fontId="12" fillId="0" borderId="0" xfId="57" applyFont="1" applyAlignment="1">
      <alignment horizontal="right"/>
      <protection locked="0"/>
    </xf>
    <xf numFmtId="201" fontId="53" fillId="0" borderId="0" xfId="59" applyNumberFormat="1" applyFont="1" applyFill="1" applyBorder="1" applyAlignment="1" applyProtection="1">
      <alignment horizontal="right"/>
      <protection locked="0"/>
    </xf>
    <xf numFmtId="17" fontId="69" fillId="0" borderId="0" xfId="65" applyNumberFormat="1" applyFont="1" applyFill="1" applyBorder="1" applyAlignment="1">
      <alignment horizontal="center" vertical="center"/>
      <protection hidden="1"/>
    </xf>
    <xf numFmtId="15" fontId="12" fillId="0" borderId="0" xfId="57" applyNumberFormat="1" applyFont="1">
      <protection locked="0"/>
    </xf>
    <xf numFmtId="2" fontId="69" fillId="0" borderId="0" xfId="57" applyNumberFormat="1" applyFont="1">
      <protection locked="0"/>
    </xf>
    <xf numFmtId="2" fontId="69" fillId="0" borderId="0" xfId="57" applyNumberFormat="1" applyFont="1" applyAlignment="1">
      <alignment horizontal="right"/>
      <protection locked="0"/>
    </xf>
    <xf numFmtId="193" fontId="69" fillId="0" borderId="0" xfId="57" applyNumberFormat="1" applyFont="1">
      <protection locked="0"/>
    </xf>
    <xf numFmtId="193" fontId="69" fillId="0" borderId="0" xfId="57" applyNumberFormat="1" applyFont="1" applyAlignment="1">
      <alignment horizontal="right"/>
      <protection locked="0"/>
    </xf>
    <xf numFmtId="193" fontId="12" fillId="0" borderId="0" xfId="58" applyNumberFormat="1" applyFont="1" applyFill="1" applyBorder="1" applyProtection="1">
      <protection locked="0"/>
    </xf>
    <xf numFmtId="193" fontId="12" fillId="0" borderId="0" xfId="58" applyNumberFormat="1" applyFont="1" applyFill="1" applyBorder="1" applyAlignment="1" applyProtection="1">
      <alignment horizontal="right"/>
      <protection locked="0"/>
    </xf>
    <xf numFmtId="193" fontId="77" fillId="0" borderId="0" xfId="58" applyNumberFormat="1" applyFont="1" applyFill="1" applyBorder="1" applyAlignment="1" applyProtection="1">
      <alignment horizontal="right"/>
      <protection locked="0"/>
    </xf>
    <xf numFmtId="9" fontId="77" fillId="0" borderId="0" xfId="58" applyFont="1" applyFill="1" applyBorder="1" applyProtection="1">
      <protection locked="0"/>
    </xf>
    <xf numFmtId="9" fontId="77" fillId="0" borderId="0" xfId="58" applyFont="1" applyFill="1" applyBorder="1" applyAlignment="1" applyProtection="1">
      <alignment horizontal="right"/>
      <protection locked="0"/>
    </xf>
    <xf numFmtId="1" fontId="69" fillId="0" borderId="0" xfId="57" applyNumberFormat="1" applyFont="1">
      <protection locked="0"/>
    </xf>
    <xf numFmtId="1" fontId="69" fillId="0" borderId="0" xfId="57" applyNumberFormat="1" applyFont="1" applyAlignment="1">
      <alignment horizontal="right"/>
      <protection locked="0"/>
    </xf>
    <xf numFmtId="203" fontId="77" fillId="0" borderId="0" xfId="58" applyNumberFormat="1" applyFont="1" applyFill="1" applyBorder="1" applyProtection="1">
      <protection locked="0"/>
    </xf>
    <xf numFmtId="203" fontId="69" fillId="0" borderId="0" xfId="58" applyNumberFormat="1" applyFont="1" applyFill="1" applyBorder="1" applyAlignment="1" applyProtection="1">
      <alignment horizontal="right"/>
      <protection locked="0"/>
    </xf>
    <xf numFmtId="193" fontId="77" fillId="0" borderId="0" xfId="58" applyNumberFormat="1" applyFont="1" applyFill="1" applyBorder="1" applyProtection="1">
      <protection locked="0"/>
    </xf>
    <xf numFmtId="3" fontId="69" fillId="0" borderId="0" xfId="57" applyNumberFormat="1" applyFont="1">
      <protection locked="0"/>
    </xf>
    <xf numFmtId="3" fontId="69" fillId="0" borderId="0" xfId="57" applyNumberFormat="1" applyFont="1" applyAlignment="1">
      <alignment horizontal="right"/>
      <protection locked="0"/>
    </xf>
    <xf numFmtId="176" fontId="69" fillId="0" borderId="0" xfId="57" applyNumberFormat="1" applyFont="1">
      <protection locked="0"/>
    </xf>
    <xf numFmtId="176" fontId="69" fillId="0" borderId="0" xfId="57" applyNumberFormat="1" applyFont="1" applyAlignment="1">
      <alignment horizontal="right"/>
      <protection locked="0"/>
    </xf>
    <xf numFmtId="3" fontId="77" fillId="0" borderId="0" xfId="58" applyNumberFormat="1" applyFont="1" applyFill="1" applyBorder="1" applyProtection="1">
      <protection locked="0"/>
    </xf>
    <xf numFmtId="3" fontId="77" fillId="0" borderId="0" xfId="58" applyNumberFormat="1" applyFont="1" applyFill="1" applyBorder="1" applyAlignment="1" applyProtection="1">
      <alignment horizontal="right"/>
      <protection locked="0"/>
    </xf>
    <xf numFmtId="0" fontId="74" fillId="0" borderId="0" xfId="57" applyFont="1">
      <protection locked="0"/>
    </xf>
    <xf numFmtId="0" fontId="74" fillId="0" borderId="0" xfId="57" applyFont="1" applyAlignment="1">
      <alignment horizontal="right"/>
      <protection locked="0"/>
    </xf>
    <xf numFmtId="44" fontId="69" fillId="0" borderId="0" xfId="59" applyFont="1" applyFill="1" applyBorder="1" applyProtection="1">
      <protection locked="0"/>
    </xf>
    <xf numFmtId="44" fontId="69" fillId="0" borderId="0" xfId="59" applyFont="1" applyFill="1" applyBorder="1" applyAlignment="1" applyProtection="1">
      <alignment horizontal="right"/>
      <protection locked="0"/>
    </xf>
    <xf numFmtId="3" fontId="12" fillId="0" borderId="0" xfId="57" applyNumberFormat="1" applyFont="1">
      <protection locked="0"/>
    </xf>
    <xf numFmtId="3" fontId="12" fillId="0" borderId="0" xfId="57" applyNumberFormat="1" applyFont="1" applyAlignment="1">
      <alignment horizontal="right"/>
      <protection locked="0"/>
    </xf>
    <xf numFmtId="37" fontId="69" fillId="0" borderId="0" xfId="59" applyNumberFormat="1" applyFont="1" applyFill="1" applyBorder="1" applyAlignment="1" applyProtection="1">
      <alignment horizontal="left" indent="1"/>
      <protection locked="0"/>
    </xf>
    <xf numFmtId="37" fontId="69" fillId="0" borderId="0" xfId="59" applyNumberFormat="1" applyFont="1" applyFill="1" applyBorder="1" applyAlignment="1" applyProtection="1">
      <alignment horizontal="right"/>
      <protection locked="0"/>
    </xf>
    <xf numFmtId="0" fontId="69" fillId="0" borderId="0" xfId="57" applyFont="1" applyAlignment="1">
      <alignment horizontal="left" indent="1"/>
      <protection locked="0"/>
    </xf>
    <xf numFmtId="9" fontId="69" fillId="0" borderId="0" xfId="58" applyFont="1" applyFill="1" applyBorder="1" applyAlignment="1" applyProtection="1">
      <alignment horizontal="left" indent="1"/>
      <protection locked="0"/>
    </xf>
    <xf numFmtId="37" fontId="69" fillId="0" borderId="0" xfId="59" applyNumberFormat="1" applyFont="1" applyFill="1" applyBorder="1" applyProtection="1">
      <protection locked="0"/>
    </xf>
    <xf numFmtId="5" fontId="69" fillId="0" borderId="0" xfId="59" applyNumberFormat="1" applyFont="1" applyFill="1" applyBorder="1" applyAlignment="1" applyProtection="1">
      <alignment horizontal="left" indent="1"/>
      <protection locked="0"/>
    </xf>
    <xf numFmtId="5" fontId="69" fillId="0" borderId="0" xfId="59" applyNumberFormat="1" applyFont="1" applyFill="1" applyBorder="1" applyAlignment="1" applyProtection="1">
      <alignment horizontal="right"/>
      <protection locked="0"/>
    </xf>
    <xf numFmtId="193" fontId="41" fillId="0" borderId="0" xfId="57" applyNumberFormat="1" applyFont="1">
      <protection locked="0"/>
    </xf>
    <xf numFmtId="0" fontId="41" fillId="0" borderId="0" xfId="57" applyFont="1">
      <protection locked="0"/>
    </xf>
    <xf numFmtId="204" fontId="74" fillId="0" borderId="0" xfId="57" applyNumberFormat="1" applyFont="1">
      <protection locked="0"/>
    </xf>
    <xf numFmtId="204" fontId="74" fillId="0" borderId="0" xfId="57" applyNumberFormat="1" applyFont="1" applyAlignment="1">
      <alignment horizontal="right"/>
      <protection locked="0"/>
    </xf>
    <xf numFmtId="9" fontId="74" fillId="0" borderId="0" xfId="58" applyFont="1" applyFill="1" applyBorder="1" applyProtection="1">
      <protection locked="0"/>
    </xf>
    <xf numFmtId="9" fontId="74" fillId="0" borderId="0" xfId="58" applyFont="1" applyFill="1" applyBorder="1" applyAlignment="1" applyProtection="1">
      <alignment horizontal="right"/>
      <protection locked="0"/>
    </xf>
    <xf numFmtId="193" fontId="69" fillId="0" borderId="0" xfId="58" applyNumberFormat="1" applyFont="1" applyFill="1" applyBorder="1" applyProtection="1">
      <protection locked="0"/>
    </xf>
    <xf numFmtId="193" fontId="69" fillId="0" borderId="0" xfId="58" applyNumberFormat="1" applyFont="1" applyFill="1" applyBorder="1" applyAlignment="1" applyProtection="1">
      <alignment horizontal="right"/>
      <protection locked="0"/>
    </xf>
    <xf numFmtId="0" fontId="34" fillId="0" borderId="0" xfId="57" applyFont="1">
      <protection locked="0"/>
    </xf>
    <xf numFmtId="0" fontId="34" fillId="0" borderId="0" xfId="57" applyFont="1" applyAlignment="1">
      <alignment horizontal="right"/>
      <protection locked="0"/>
    </xf>
    <xf numFmtId="2" fontId="12" fillId="0" borderId="0" xfId="57" applyNumberFormat="1" applyFont="1">
      <protection locked="0"/>
    </xf>
    <xf numFmtId="0" fontId="70" fillId="0" borderId="0" xfId="57" applyFont="1">
      <protection locked="0"/>
    </xf>
    <xf numFmtId="195" fontId="12" fillId="0" borderId="0" xfId="58" applyNumberFormat="1" applyFont="1" applyFill="1" applyBorder="1" applyProtection="1">
      <protection locked="0"/>
    </xf>
    <xf numFmtId="37" fontId="12" fillId="0" borderId="0" xfId="57" applyNumberFormat="1" applyFont="1">
      <protection locked="0"/>
    </xf>
    <xf numFmtId="176" fontId="12" fillId="0" borderId="0" xfId="57" applyNumberFormat="1" applyFont="1">
      <protection locked="0"/>
    </xf>
    <xf numFmtId="1" fontId="12" fillId="0" borderId="0" xfId="57" applyNumberFormat="1" applyFont="1">
      <protection locked="0"/>
    </xf>
    <xf numFmtId="0" fontId="61" fillId="0" borderId="0" xfId="57" applyFont="1" applyAlignment="1">
      <alignment horizontal="left" indent="1"/>
      <protection locked="0"/>
    </xf>
    <xf numFmtId="0" fontId="61" fillId="0" borderId="0" xfId="57" applyFont="1">
      <protection locked="0"/>
    </xf>
    <xf numFmtId="201" fontId="12" fillId="0" borderId="0" xfId="59" applyNumberFormat="1" applyFont="1" applyFill="1" applyBorder="1" applyProtection="1">
      <protection locked="0"/>
    </xf>
    <xf numFmtId="9" fontId="12" fillId="0" borderId="0" xfId="58" applyFont="1" applyFill="1" applyBorder="1" applyAlignment="1" applyProtection="1">
      <alignment horizontal="left" indent="1"/>
      <protection locked="0"/>
    </xf>
    <xf numFmtId="1" fontId="12" fillId="0" borderId="0" xfId="57" applyNumberFormat="1" applyFont="1" applyAlignment="1">
      <alignment horizontal="left" indent="1"/>
      <protection locked="0"/>
    </xf>
    <xf numFmtId="0" fontId="75" fillId="0" borderId="0" xfId="57" applyFont="1">
      <protection locked="0"/>
    </xf>
    <xf numFmtId="187" fontId="12" fillId="0" borderId="0" xfId="58" applyNumberFormat="1" applyFont="1" applyFill="1" applyBorder="1" applyProtection="1">
      <protection locked="0"/>
    </xf>
    <xf numFmtId="37" fontId="61" fillId="0" borderId="0" xfId="57" applyNumberFormat="1" applyFont="1">
      <protection locked="0"/>
    </xf>
    <xf numFmtId="187" fontId="61" fillId="0" borderId="0" xfId="57" applyNumberFormat="1" applyFont="1">
      <protection locked="0"/>
    </xf>
    <xf numFmtId="205" fontId="61" fillId="0" borderId="0" xfId="56" applyNumberFormat="1" applyFont="1" applyFill="1" applyBorder="1" applyProtection="1">
      <protection locked="0"/>
    </xf>
    <xf numFmtId="9" fontId="53" fillId="0" borderId="0" xfId="58" applyFont="1" applyFill="1" applyBorder="1" applyProtection="1">
      <protection locked="0"/>
    </xf>
    <xf numFmtId="5" fontId="12" fillId="0" borderId="0" xfId="57" applyNumberFormat="1" applyFont="1">
      <protection locked="0"/>
    </xf>
    <xf numFmtId="0" fontId="69" fillId="0" borderId="0" xfId="57" applyFont="1" applyAlignment="1">
      <alignment horizontal="centerContinuous"/>
      <protection locked="0"/>
    </xf>
    <xf numFmtId="0" fontId="44" fillId="0" borderId="0" xfId="57" applyFont="1" applyAlignment="1">
      <alignment horizontal="centerContinuous"/>
      <protection locked="0"/>
    </xf>
    <xf numFmtId="39" fontId="70" fillId="0" borderId="0" xfId="57" applyNumberFormat="1" applyFont="1">
      <protection locked="0"/>
    </xf>
    <xf numFmtId="39" fontId="12" fillId="0" borderId="0" xfId="57" applyNumberFormat="1" applyFont="1" applyAlignment="1">
      <alignment horizontal="right"/>
      <protection locked="0"/>
    </xf>
    <xf numFmtId="39" fontId="5" fillId="0" borderId="0" xfId="0" applyNumberFormat="1" applyFont="1" applyAlignment="1">
      <alignment horizontal="right"/>
    </xf>
    <xf numFmtId="39" fontId="41" fillId="0" borderId="0" xfId="0" applyNumberFormat="1" applyFont="1" applyAlignment="1">
      <alignment horizontal="right"/>
    </xf>
    <xf numFmtId="39" fontId="5" fillId="0" borderId="0" xfId="58" applyNumberFormat="1" applyFont="1" applyFill="1" applyBorder="1"/>
    <xf numFmtId="39" fontId="5" fillId="10" borderId="16" xfId="0" applyNumberFormat="1" applyFont="1" applyFill="1" applyBorder="1"/>
    <xf numFmtId="39" fontId="34" fillId="0" borderId="0" xfId="57" applyNumberFormat="1" applyFont="1" applyAlignment="1">
      <alignment horizontal="right"/>
      <protection locked="0"/>
    </xf>
    <xf numFmtId="9" fontId="5" fillId="0" borderId="0" xfId="58" applyFont="1"/>
    <xf numFmtId="196" fontId="12" fillId="10" borderId="16" xfId="0" applyNumberFormat="1" applyFont="1" applyFill="1" applyBorder="1"/>
    <xf numFmtId="196" fontId="5" fillId="10" borderId="16" xfId="0" applyNumberFormat="1" applyFont="1" applyFill="1" applyBorder="1"/>
    <xf numFmtId="37" fontId="5" fillId="0" borderId="0" xfId="58" applyNumberFormat="1" applyFont="1" applyFill="1" applyBorder="1"/>
    <xf numFmtId="37" fontId="5" fillId="10" borderId="16" xfId="58" applyNumberFormat="1" applyFont="1" applyFill="1" applyBorder="1"/>
    <xf numFmtId="196" fontId="64" fillId="0" borderId="0" xfId="0" applyNumberFormat="1" applyFont="1"/>
    <xf numFmtId="196" fontId="33" fillId="0" borderId="0" xfId="58" applyNumberFormat="1" applyFont="1" applyFill="1" applyBorder="1" applyAlignment="1">
      <alignment horizontal="right"/>
    </xf>
    <xf numFmtId="196" fontId="33" fillId="10" borderId="16" xfId="58" applyNumberFormat="1" applyFont="1" applyFill="1" applyBorder="1"/>
    <xf numFmtId="196" fontId="33" fillId="10" borderId="16" xfId="58" applyNumberFormat="1" applyFont="1" applyFill="1" applyBorder="1" applyAlignment="1">
      <alignment horizontal="right"/>
    </xf>
    <xf numFmtId="9" fontId="12" fillId="10" borderId="16" xfId="58" applyFont="1" applyFill="1" applyBorder="1"/>
    <xf numFmtId="0" fontId="64" fillId="0" borderId="0" xfId="0" applyFont="1"/>
    <xf numFmtId="9" fontId="69" fillId="0" borderId="0" xfId="58" applyFont="1" applyProtection="1">
      <protection locked="0"/>
    </xf>
    <xf numFmtId="9" fontId="34" fillId="0" borderId="0" xfId="58" applyFont="1" applyAlignment="1" applyProtection="1">
      <alignment horizontal="right"/>
      <protection locked="0"/>
    </xf>
    <xf numFmtId="0" fontId="74" fillId="10" borderId="17" xfId="57" applyFont="1" applyFill="1" applyBorder="1" applyAlignment="1">
      <alignment horizontal="right"/>
      <protection locked="0"/>
    </xf>
    <xf numFmtId="9" fontId="38" fillId="0" borderId="0" xfId="58" applyFont="1" applyAlignment="1" applyProtection="1">
      <alignment horizontal="right"/>
      <protection locked="0"/>
    </xf>
    <xf numFmtId="39" fontId="70" fillId="0" borderId="0" xfId="57" applyNumberFormat="1" applyFont="1" applyAlignment="1">
      <alignment horizontal="right"/>
      <protection locked="0"/>
    </xf>
    <xf numFmtId="9" fontId="12" fillId="0" borderId="0" xfId="58" applyFont="1" applyAlignment="1" applyProtection="1">
      <alignment horizontal="right"/>
      <protection locked="0"/>
    </xf>
    <xf numFmtId="39" fontId="70" fillId="3" borderId="0" xfId="57" applyNumberFormat="1" applyFont="1" applyFill="1" applyAlignment="1">
      <alignment horizontal="right"/>
      <protection locked="0"/>
    </xf>
    <xf numFmtId="39" fontId="69" fillId="0" borderId="0" xfId="57" quotePrefix="1" applyNumberFormat="1" applyFont="1" applyAlignment="1">
      <alignment horizontal="right"/>
      <protection locked="0"/>
    </xf>
    <xf numFmtId="39" fontId="12" fillId="0" borderId="0" xfId="57" quotePrefix="1" applyNumberFormat="1" applyFont="1" applyAlignment="1">
      <alignment horizontal="right"/>
      <protection locked="0"/>
    </xf>
    <xf numFmtId="39" fontId="34" fillId="3" borderId="0" xfId="57" applyNumberFormat="1" applyFont="1" applyFill="1" applyAlignment="1">
      <alignment horizontal="right"/>
      <protection locked="0"/>
    </xf>
    <xf numFmtId="9" fontId="69" fillId="0" borderId="0" xfId="58" quotePrefix="1" applyFont="1" applyAlignment="1" applyProtection="1">
      <alignment horizontal="right"/>
      <protection locked="0"/>
    </xf>
    <xf numFmtId="9" fontId="69" fillId="3" borderId="0" xfId="58" applyFont="1" applyFill="1" applyAlignment="1" applyProtection="1">
      <alignment horizontal="right"/>
      <protection locked="0"/>
    </xf>
    <xf numFmtId="9" fontId="34" fillId="0" borderId="0" xfId="58" applyFont="1" applyProtection="1">
      <protection locked="0"/>
    </xf>
    <xf numFmtId="196" fontId="56" fillId="0" borderId="0" xfId="58" applyNumberFormat="1" applyFont="1" applyFill="1" applyBorder="1"/>
    <xf numFmtId="196" fontId="78" fillId="0" borderId="0" xfId="58" applyNumberFormat="1" applyFont="1" applyFill="1" applyBorder="1"/>
    <xf numFmtId="196" fontId="56" fillId="10" borderId="16" xfId="58" applyNumberFormat="1" applyFont="1" applyFill="1" applyBorder="1"/>
    <xf numFmtId="196" fontId="56" fillId="0" borderId="0" xfId="0" applyNumberFormat="1" applyFont="1"/>
    <xf numFmtId="39" fontId="52" fillId="0" borderId="0" xfId="0" applyNumberFormat="1" applyFont="1"/>
    <xf numFmtId="9" fontId="5" fillId="10" borderId="13" xfId="58" applyFont="1" applyFill="1" applyBorder="1" applyAlignment="1">
      <alignment horizontal="right"/>
    </xf>
    <xf numFmtId="10" fontId="34" fillId="0" borderId="0" xfId="58" applyNumberFormat="1" applyFont="1" applyFill="1" applyBorder="1" applyAlignment="1" applyProtection="1">
      <protection locked="0"/>
    </xf>
    <xf numFmtId="39" fontId="12" fillId="10" borderId="13" xfId="58" applyNumberFormat="1" applyFont="1" applyFill="1" applyBorder="1"/>
    <xf numFmtId="39" fontId="29" fillId="0" borderId="0" xfId="0" applyNumberFormat="1" applyFont="1" applyAlignment="1">
      <alignment horizontal="left"/>
    </xf>
    <xf numFmtId="9" fontId="41" fillId="0" borderId="0" xfId="40" applyFont="1"/>
    <xf numFmtId="9" fontId="69" fillId="0" borderId="0" xfId="40" applyFont="1" applyFill="1" applyBorder="1" applyProtection="1">
      <protection locked="0"/>
    </xf>
    <xf numFmtId="9" fontId="69" fillId="0" borderId="0" xfId="40" applyFont="1" applyFill="1" applyBorder="1" applyAlignment="1" applyProtection="1">
      <alignment horizontal="right"/>
      <protection locked="0"/>
    </xf>
    <xf numFmtId="9" fontId="5" fillId="10" borderId="16" xfId="40" applyFont="1" applyFill="1" applyBorder="1" applyAlignment="1">
      <alignment horizontal="right"/>
    </xf>
    <xf numFmtId="9" fontId="5" fillId="0" borderId="0" xfId="40" applyFont="1"/>
    <xf numFmtId="186" fontId="70" fillId="0" borderId="0" xfId="58" quotePrefix="1" applyNumberFormat="1" applyFont="1" applyFill="1" applyBorder="1" applyAlignment="1" applyProtection="1">
      <alignment horizontal="right"/>
      <protection locked="0"/>
    </xf>
    <xf numFmtId="186" fontId="70" fillId="10" borderId="16" xfId="58" applyNumberFormat="1" applyFont="1" applyFill="1" applyBorder="1" applyAlignment="1">
      <alignment horizontal="right"/>
    </xf>
    <xf numFmtId="186" fontId="69" fillId="0" borderId="0" xfId="58" quotePrefix="1" applyNumberFormat="1" applyFont="1" applyFill="1" applyBorder="1" applyAlignment="1" applyProtection="1">
      <alignment horizontal="right"/>
      <protection locked="0"/>
    </xf>
    <xf numFmtId="186" fontId="5" fillId="10" borderId="16" xfId="58" applyNumberFormat="1" applyFont="1" applyFill="1" applyBorder="1" applyAlignment="1">
      <alignment horizontal="right"/>
    </xf>
    <xf numFmtId="9" fontId="12" fillId="10" borderId="13" xfId="58" applyFont="1" applyFill="1" applyBorder="1" applyAlignment="1">
      <alignment horizontal="right"/>
    </xf>
    <xf numFmtId="0" fontId="44" fillId="0" borderId="0" xfId="57" applyFont="1">
      <protection locked="0"/>
    </xf>
    <xf numFmtId="196" fontId="29" fillId="10" borderId="13" xfId="58" applyNumberFormat="1" applyFont="1" applyFill="1" applyBorder="1" applyAlignment="1"/>
    <xf numFmtId="9" fontId="66" fillId="0" borderId="0" xfId="58" applyFont="1" applyFill="1" applyBorder="1" applyProtection="1">
      <protection locked="0"/>
    </xf>
    <xf numFmtId="9" fontId="12" fillId="0" borderId="0" xfId="58" quotePrefix="1" applyFont="1" applyFill="1" applyBorder="1" applyAlignment="1" applyProtection="1">
      <alignment horizontal="right"/>
      <protection locked="0"/>
    </xf>
    <xf numFmtId="196" fontId="15" fillId="0" borderId="14" xfId="58" quotePrefix="1" applyNumberFormat="1" applyFont="1" applyFill="1" applyBorder="1" applyAlignment="1" applyProtection="1">
      <protection locked="0"/>
    </xf>
    <xf numFmtId="9" fontId="66" fillId="0" borderId="0" xfId="58" applyFont="1" applyFill="1" applyBorder="1" applyAlignment="1" applyProtection="1">
      <alignment horizontal="left"/>
      <protection locked="0"/>
    </xf>
    <xf numFmtId="196" fontId="41" fillId="0" borderId="0" xfId="0" applyNumberFormat="1" applyFont="1" applyAlignment="1">
      <alignment horizontal="left"/>
    </xf>
    <xf numFmtId="196" fontId="34" fillId="0" borderId="14" xfId="58" quotePrefix="1" applyNumberFormat="1" applyFont="1" applyFill="1" applyBorder="1" applyAlignment="1" applyProtection="1">
      <alignment horizontal="right"/>
      <protection locked="0"/>
    </xf>
    <xf numFmtId="196" fontId="34" fillId="0" borderId="14" xfId="58" applyNumberFormat="1" applyFont="1" applyFill="1" applyBorder="1" applyAlignment="1" applyProtection="1">
      <alignment horizontal="right"/>
      <protection locked="0"/>
    </xf>
    <xf numFmtId="196" fontId="5" fillId="10" borderId="13" xfId="58" applyNumberFormat="1" applyFont="1" applyFill="1" applyBorder="1" applyAlignment="1"/>
    <xf numFmtId="196" fontId="5" fillId="10" borderId="13" xfId="0" applyNumberFormat="1" applyFont="1" applyFill="1" applyBorder="1" applyAlignment="1">
      <alignment horizontal="right"/>
    </xf>
    <xf numFmtId="9" fontId="80" fillId="0" borderId="0" xfId="58" applyFont="1" applyFill="1" applyBorder="1" applyProtection="1">
      <protection locked="0"/>
    </xf>
    <xf numFmtId="9" fontId="41" fillId="0" borderId="0" xfId="58" applyFont="1" applyFill="1" applyBorder="1"/>
    <xf numFmtId="9" fontId="65" fillId="0" borderId="0" xfId="58" applyFont="1" applyFill="1" applyBorder="1" applyProtection="1">
      <protection locked="0"/>
    </xf>
    <xf numFmtId="196" fontId="34" fillId="0" borderId="14" xfId="58" quotePrefix="1" applyNumberFormat="1" applyFont="1" applyFill="1" applyBorder="1" applyAlignment="1" applyProtection="1">
      <protection locked="0"/>
    </xf>
    <xf numFmtId="9" fontId="41" fillId="0" borderId="0" xfId="58" applyFont="1" applyFill="1" applyBorder="1" applyAlignment="1">
      <alignment horizontal="right"/>
    </xf>
    <xf numFmtId="9" fontId="69" fillId="0" borderId="19" xfId="58" applyFont="1" applyBorder="1" applyAlignment="1" applyProtection="1">
      <alignment horizontal="right"/>
      <protection locked="0"/>
    </xf>
    <xf numFmtId="9" fontId="5" fillId="10" borderId="19" xfId="58" applyFont="1" applyFill="1" applyBorder="1"/>
    <xf numFmtId="9" fontId="69" fillId="0" borderId="19" xfId="58" applyFont="1" applyFill="1" applyBorder="1" applyAlignment="1" applyProtection="1">
      <alignment horizontal="right"/>
      <protection locked="0"/>
    </xf>
    <xf numFmtId="9" fontId="69" fillId="0" borderId="0" xfId="58" applyFont="1" applyFill="1" applyProtection="1">
      <protection locked="0"/>
    </xf>
    <xf numFmtId="9" fontId="69" fillId="0" borderId="0" xfId="58" applyFont="1" applyFill="1" applyAlignment="1" applyProtection="1">
      <alignment horizontal="right"/>
      <protection locked="0"/>
    </xf>
    <xf numFmtId="0" fontId="5" fillId="10" borderId="16" xfId="0" applyFont="1" applyFill="1" applyBorder="1" applyAlignment="1">
      <alignment horizontal="right"/>
    </xf>
    <xf numFmtId="9" fontId="69" fillId="0" borderId="0" xfId="58" applyFont="1" applyFill="1" applyBorder="1" applyAlignment="1" applyProtection="1">
      <alignment horizontal="centerContinuous"/>
      <protection locked="0"/>
    </xf>
    <xf numFmtId="196" fontId="34" fillId="0" borderId="0" xfId="57" applyNumberFormat="1" applyFont="1" applyAlignment="1">
      <alignment horizontal="right"/>
      <protection locked="0"/>
    </xf>
    <xf numFmtId="196" fontId="5" fillId="10" borderId="17" xfId="0" applyNumberFormat="1" applyFont="1" applyFill="1" applyBorder="1"/>
    <xf numFmtId="196" fontId="15" fillId="10" borderId="13" xfId="58" applyNumberFormat="1" applyFont="1" applyFill="1" applyBorder="1" applyAlignment="1"/>
    <xf numFmtId="196" fontId="34" fillId="0" borderId="0" xfId="58" applyNumberFormat="1" applyFont="1" applyFill="1" applyBorder="1" applyAlignment="1" applyProtection="1">
      <alignment horizontal="right"/>
      <protection locked="0"/>
    </xf>
    <xf numFmtId="0" fontId="29" fillId="10" borderId="16" xfId="0" applyFont="1" applyFill="1" applyBorder="1"/>
    <xf numFmtId="196" fontId="52" fillId="0" borderId="0" xfId="0" applyNumberFormat="1" applyFont="1" applyAlignment="1">
      <alignment horizontal="right"/>
    </xf>
    <xf numFmtId="196" fontId="44" fillId="0" borderId="14" xfId="57" applyNumberFormat="1" applyFont="1" applyBorder="1" applyAlignment="1">
      <alignment horizontal="right"/>
      <protection locked="0"/>
    </xf>
    <xf numFmtId="196" fontId="29" fillId="10" borderId="13" xfId="0" applyNumberFormat="1" applyFont="1" applyFill="1" applyBorder="1" applyAlignment="1">
      <alignment horizontal="right"/>
    </xf>
    <xf numFmtId="0" fontId="5" fillId="10" borderId="16" xfId="0" applyFont="1" applyFill="1" applyBorder="1"/>
    <xf numFmtId="196" fontId="69" fillId="0" borderId="0" xfId="58" quotePrefix="1" applyNumberFormat="1" applyFont="1" applyFill="1" applyBorder="1" applyAlignment="1" applyProtection="1">
      <alignment horizontal="right"/>
      <protection locked="0"/>
    </xf>
    <xf numFmtId="196" fontId="69" fillId="0" borderId="0" xfId="58" applyNumberFormat="1" applyFont="1" applyFill="1" applyBorder="1" applyAlignment="1" applyProtection="1">
      <alignment horizontal="right"/>
      <protection locked="0"/>
    </xf>
    <xf numFmtId="7" fontId="69" fillId="0" borderId="0" xfId="58" applyNumberFormat="1" applyFont="1" applyFill="1" applyBorder="1" applyAlignment="1" applyProtection="1">
      <alignment horizontal="right"/>
      <protection locked="0"/>
    </xf>
    <xf numFmtId="7" fontId="5" fillId="10" borderId="16" xfId="58" applyNumberFormat="1" applyFont="1" applyFill="1" applyBorder="1" applyAlignment="1">
      <alignment horizontal="right"/>
    </xf>
    <xf numFmtId="200" fontId="12" fillId="0" borderId="0" xfId="0" applyNumberFormat="1" applyFont="1"/>
    <xf numFmtId="39" fontId="12" fillId="0" borderId="0" xfId="58" quotePrefix="1" applyNumberFormat="1" applyFont="1" applyFill="1" applyBorder="1" applyAlignment="1" applyProtection="1">
      <protection locked="0"/>
    </xf>
    <xf numFmtId="0" fontId="29" fillId="10" borderId="17" xfId="0" applyFont="1" applyFill="1" applyBorder="1"/>
    <xf numFmtId="9" fontId="44" fillId="0" borderId="0" xfId="58" applyFont="1" applyFill="1" applyAlignment="1" applyProtection="1">
      <alignment horizontal="right"/>
      <protection locked="0"/>
    </xf>
    <xf numFmtId="9" fontId="44" fillId="0" borderId="0" xfId="58" applyFont="1" applyAlignment="1" applyProtection="1">
      <alignment horizontal="right"/>
      <protection locked="0"/>
    </xf>
    <xf numFmtId="9" fontId="29" fillId="10" borderId="16" xfId="58" applyFont="1" applyFill="1" applyBorder="1"/>
    <xf numFmtId="0" fontId="5" fillId="0" borderId="0" xfId="0" applyFont="1" applyAlignment="1">
      <alignment horizontal="right"/>
    </xf>
    <xf numFmtId="0" fontId="41" fillId="0" borderId="0" xfId="0" applyFont="1" applyAlignment="1">
      <alignment horizontal="left"/>
    </xf>
    <xf numFmtId="10" fontId="41" fillId="0" borderId="0" xfId="0" applyNumberFormat="1" applyFont="1"/>
    <xf numFmtId="196" fontId="44" fillId="0" borderId="0" xfId="57" applyNumberFormat="1" applyFont="1" applyAlignment="1">
      <alignment horizontal="right"/>
      <protection locked="0"/>
    </xf>
    <xf numFmtId="184" fontId="5" fillId="0" borderId="0" xfId="0" applyNumberFormat="1" applyFont="1"/>
    <xf numFmtId="184" fontId="17" fillId="0" borderId="0" xfId="0" applyNumberFormat="1" applyFont="1"/>
    <xf numFmtId="9" fontId="81" fillId="0" borderId="0" xfId="58" applyFont="1" applyProtection="1">
      <protection locked="0"/>
    </xf>
    <xf numFmtId="9" fontId="81" fillId="0" borderId="0" xfId="58" applyFont="1" applyAlignment="1" applyProtection="1">
      <alignment horizontal="right"/>
      <protection locked="0"/>
    </xf>
    <xf numFmtId="7" fontId="5" fillId="10" borderId="16" xfId="0" applyNumberFormat="1" applyFont="1" applyFill="1" applyBorder="1" applyAlignment="1">
      <alignment horizontal="right"/>
    </xf>
    <xf numFmtId="9" fontId="29" fillId="10" borderId="16" xfId="58" applyFont="1" applyFill="1" applyBorder="1" applyAlignment="1">
      <alignment horizontal="right"/>
    </xf>
    <xf numFmtId="39" fontId="57" fillId="0" borderId="0" xfId="57" applyNumberFormat="1" applyFont="1">
      <protection locked="0"/>
    </xf>
    <xf numFmtId="39" fontId="57" fillId="0" borderId="0" xfId="57" applyNumberFormat="1" applyFont="1" applyAlignment="1">
      <alignment horizontal="right"/>
      <protection locked="0"/>
    </xf>
    <xf numFmtId="196" fontId="33" fillId="10" borderId="16" xfId="0" applyNumberFormat="1" applyFont="1" applyFill="1" applyBorder="1"/>
    <xf numFmtId="9" fontId="61" fillId="0" borderId="0" xfId="40" applyFont="1" applyAlignment="1" applyProtection="1">
      <alignment horizontal="right"/>
      <protection locked="0"/>
    </xf>
    <xf numFmtId="9" fontId="64" fillId="0" borderId="0" xfId="40" applyFont="1"/>
    <xf numFmtId="9" fontId="74" fillId="0" borderId="0" xfId="40" applyFont="1" applyAlignment="1" applyProtection="1">
      <alignment horizontal="right"/>
      <protection locked="0"/>
    </xf>
    <xf numFmtId="39" fontId="64" fillId="0" borderId="0" xfId="0" applyNumberFormat="1" applyFont="1"/>
    <xf numFmtId="9" fontId="61" fillId="0" borderId="0" xfId="58" quotePrefix="1" applyFont="1" applyFill="1" applyBorder="1" applyAlignment="1" applyProtection="1">
      <alignment horizontal="right"/>
      <protection locked="0"/>
    </xf>
    <xf numFmtId="9" fontId="61" fillId="0" borderId="0" xfId="58" applyFont="1" applyFill="1" applyBorder="1" applyAlignment="1" applyProtection="1">
      <alignment horizontal="right"/>
      <protection locked="0"/>
    </xf>
    <xf numFmtId="9" fontId="61" fillId="10" borderId="16" xfId="58" applyFont="1" applyFill="1" applyBorder="1" applyAlignment="1">
      <alignment horizontal="right"/>
    </xf>
    <xf numFmtId="9" fontId="61" fillId="10" borderId="16" xfId="58" applyFont="1" applyFill="1" applyBorder="1"/>
    <xf numFmtId="9" fontId="74" fillId="10" borderId="16" xfId="40" applyFont="1" applyFill="1" applyBorder="1" applyAlignment="1" applyProtection="1">
      <alignment horizontal="right"/>
      <protection locked="0"/>
    </xf>
    <xf numFmtId="9" fontId="74" fillId="0" borderId="0" xfId="40" applyFont="1" applyAlignment="1" applyProtection="1">
      <alignment horizontal="center"/>
      <protection locked="0"/>
    </xf>
    <xf numFmtId="9" fontId="61" fillId="0" borderId="0" xfId="40" quotePrefix="1" applyFont="1" applyFill="1" applyBorder="1" applyAlignment="1" applyProtection="1">
      <alignment horizontal="right"/>
      <protection locked="0"/>
    </xf>
    <xf numFmtId="9" fontId="61" fillId="0" borderId="0" xfId="40" applyFont="1" applyFill="1" applyBorder="1" applyAlignment="1" applyProtection="1">
      <alignment horizontal="right"/>
      <protection locked="0"/>
    </xf>
    <xf numFmtId="9" fontId="61" fillId="10" borderId="16" xfId="40" applyFont="1" applyFill="1" applyBorder="1" applyAlignment="1">
      <alignment horizontal="right"/>
    </xf>
    <xf numFmtId="9" fontId="61" fillId="10" borderId="16" xfId="40" applyFont="1" applyFill="1" applyBorder="1"/>
    <xf numFmtId="9" fontId="33" fillId="0" borderId="0" xfId="40" applyFont="1"/>
    <xf numFmtId="9" fontId="74" fillId="0" borderId="0" xfId="40" applyFont="1" applyFill="1" applyBorder="1" applyAlignment="1" applyProtection="1">
      <alignment horizontal="right"/>
      <protection locked="0"/>
    </xf>
    <xf numFmtId="9" fontId="33" fillId="10" borderId="16" xfId="40" applyFont="1" applyFill="1" applyBorder="1"/>
    <xf numFmtId="9" fontId="33" fillId="10" borderId="16" xfId="40" applyFont="1" applyFill="1" applyBorder="1" applyAlignment="1">
      <alignment horizontal="right"/>
    </xf>
    <xf numFmtId="9" fontId="64" fillId="0" borderId="0" xfId="58" applyFont="1" applyFill="1" applyBorder="1"/>
    <xf numFmtId="9" fontId="33" fillId="10" borderId="16" xfId="58" applyFont="1" applyFill="1" applyBorder="1" applyAlignment="1">
      <alignment horizontal="right"/>
    </xf>
    <xf numFmtId="9" fontId="64" fillId="0" borderId="0" xfId="58" applyFont="1" applyFill="1" applyBorder="1" applyAlignment="1">
      <alignment horizontal="right"/>
    </xf>
    <xf numFmtId="0" fontId="64" fillId="0" borderId="0" xfId="0" applyFont="1" applyAlignment="1">
      <alignment horizontal="right"/>
    </xf>
    <xf numFmtId="9" fontId="64" fillId="0" borderId="0" xfId="0" applyNumberFormat="1" applyFont="1" applyAlignment="1">
      <alignment horizontal="right"/>
    </xf>
    <xf numFmtId="9" fontId="74" fillId="0" borderId="0" xfId="58" quotePrefix="1" applyFont="1" applyFill="1" applyBorder="1" applyAlignment="1" applyProtection="1">
      <alignment horizontal="right"/>
      <protection locked="0"/>
    </xf>
    <xf numFmtId="10" fontId="74" fillId="0" borderId="0" xfId="58" applyNumberFormat="1" applyFont="1" applyFill="1" applyBorder="1" applyAlignment="1" applyProtection="1">
      <alignment horizontal="right"/>
      <protection locked="0"/>
    </xf>
    <xf numFmtId="10" fontId="33" fillId="10" borderId="16" xfId="58" applyNumberFormat="1" applyFont="1" applyFill="1" applyBorder="1" applyAlignment="1">
      <alignment horizontal="right"/>
    </xf>
    <xf numFmtId="10" fontId="74" fillId="0" borderId="0" xfId="58" quotePrefix="1" applyNumberFormat="1" applyFont="1" applyFill="1" applyBorder="1" applyAlignment="1" applyProtection="1">
      <alignment horizontal="right"/>
      <protection locked="0"/>
    </xf>
    <xf numFmtId="10" fontId="33" fillId="10" borderId="16" xfId="58" applyNumberFormat="1" applyFont="1" applyFill="1" applyBorder="1"/>
    <xf numFmtId="9" fontId="12" fillId="0" borderId="0" xfId="40" quotePrefix="1" applyFont="1" applyFill="1" applyBorder="1" applyAlignment="1" applyProtection="1">
      <alignment horizontal="right"/>
      <protection locked="0"/>
    </xf>
    <xf numFmtId="9" fontId="12" fillId="0" borderId="0" xfId="40" applyFont="1" applyFill="1" applyBorder="1" applyAlignment="1" applyProtection="1">
      <alignment horizontal="right"/>
      <protection locked="0"/>
    </xf>
    <xf numFmtId="9" fontId="12" fillId="10" borderId="16" xfId="40" applyFont="1" applyFill="1" applyBorder="1" applyAlignment="1">
      <alignment horizontal="right"/>
    </xf>
    <xf numFmtId="9" fontId="64" fillId="0" borderId="0" xfId="0" applyNumberFormat="1" applyFont="1"/>
    <xf numFmtId="9" fontId="33" fillId="10" borderId="16" xfId="58" applyFont="1" applyFill="1" applyBorder="1"/>
    <xf numFmtId="0" fontId="33" fillId="10" borderId="16" xfId="0" applyFont="1" applyFill="1" applyBorder="1" applyAlignment="1">
      <alignment horizontal="right"/>
    </xf>
    <xf numFmtId="196" fontId="69" fillId="0" borderId="0" xfId="57" applyNumberFormat="1" applyFont="1" applyAlignment="1">
      <alignment horizontal="center"/>
      <protection locked="0"/>
    </xf>
    <xf numFmtId="199" fontId="81" fillId="0" borderId="0" xfId="57" applyNumberFormat="1" applyFont="1" applyAlignment="1">
      <alignment horizontal="center"/>
      <protection locked="0"/>
    </xf>
    <xf numFmtId="199" fontId="81" fillId="10" borderId="16" xfId="57" applyNumberFormat="1" applyFont="1" applyFill="1" applyBorder="1" applyAlignment="1">
      <alignment horizontal="center"/>
      <protection locked="0"/>
    </xf>
    <xf numFmtId="9" fontId="74" fillId="0" borderId="0" xfId="40" applyFont="1" applyAlignment="1" applyProtection="1">
      <protection locked="0"/>
    </xf>
    <xf numFmtId="9" fontId="74" fillId="10" borderId="16" xfId="40" applyFont="1" applyFill="1" applyBorder="1" applyAlignment="1" applyProtection="1">
      <protection locked="0"/>
    </xf>
    <xf numFmtId="196" fontId="5" fillId="10" borderId="16" xfId="0" applyNumberFormat="1" applyFont="1" applyFill="1" applyBorder="1" applyAlignment="1">
      <alignment horizontal="right"/>
    </xf>
    <xf numFmtId="176" fontId="64" fillId="0" borderId="0" xfId="40" applyNumberFormat="1" applyFont="1"/>
    <xf numFmtId="176" fontId="74" fillId="0" borderId="0" xfId="40" applyNumberFormat="1" applyFont="1" applyAlignment="1" applyProtection="1">
      <alignment horizontal="right"/>
      <protection locked="0"/>
    </xf>
    <xf numFmtId="176" fontId="74" fillId="10" borderId="16" xfId="40" applyNumberFormat="1" applyFont="1" applyFill="1" applyBorder="1" applyAlignment="1" applyProtection="1">
      <alignment horizontal="right"/>
      <protection locked="0"/>
    </xf>
    <xf numFmtId="176" fontId="57" fillId="0" borderId="0" xfId="40" applyNumberFormat="1" applyFont="1" applyAlignment="1" applyProtection="1">
      <alignment horizontal="right"/>
      <protection locked="0"/>
    </xf>
    <xf numFmtId="176" fontId="74" fillId="0" borderId="0" xfId="40" applyNumberFormat="1" applyFont="1" applyAlignment="1" applyProtection="1">
      <alignment horizontal="center"/>
      <protection locked="0"/>
    </xf>
    <xf numFmtId="176" fontId="64" fillId="0" borderId="0" xfId="58" applyNumberFormat="1" applyFont="1" applyFill="1" applyBorder="1"/>
    <xf numFmtId="176" fontId="74" fillId="0" borderId="0" xfId="58" applyNumberFormat="1" applyFont="1" applyFill="1" applyBorder="1" applyAlignment="1" applyProtection="1">
      <alignment horizontal="right"/>
      <protection locked="0"/>
    </xf>
    <xf numFmtId="176" fontId="33" fillId="10" borderId="16" xfId="58" applyNumberFormat="1" applyFont="1" applyFill="1" applyBorder="1" applyAlignment="1">
      <alignment horizontal="right"/>
    </xf>
    <xf numFmtId="176" fontId="33" fillId="10" borderId="16" xfId="58" applyNumberFormat="1" applyFont="1" applyFill="1" applyBorder="1"/>
    <xf numFmtId="176" fontId="61" fillId="0" borderId="0" xfId="58" applyNumberFormat="1" applyFont="1" applyFill="1" applyBorder="1" applyAlignment="1" applyProtection="1">
      <alignment horizontal="right"/>
      <protection locked="0"/>
    </xf>
    <xf numFmtId="176" fontId="64" fillId="0" borderId="0" xfId="0" applyNumberFormat="1" applyFont="1" applyAlignment="1">
      <alignment horizontal="right"/>
    </xf>
    <xf numFmtId="176" fontId="33" fillId="0" borderId="0" xfId="0" applyNumberFormat="1" applyFont="1"/>
    <xf numFmtId="10" fontId="64" fillId="0" borderId="0" xfId="0" applyNumberFormat="1" applyFont="1"/>
    <xf numFmtId="10" fontId="57" fillId="0" borderId="0" xfId="57" applyNumberFormat="1" applyFont="1">
      <protection locked="0"/>
    </xf>
    <xf numFmtId="10" fontId="57" fillId="0" borderId="0" xfId="57" applyNumberFormat="1" applyFont="1" applyAlignment="1">
      <alignment horizontal="right"/>
      <protection locked="0"/>
    </xf>
    <xf numFmtId="10" fontId="33" fillId="10" borderId="16" xfId="0" applyNumberFormat="1" applyFont="1" applyFill="1" applyBorder="1"/>
    <xf numFmtId="10" fontId="12" fillId="0" borderId="0" xfId="40" applyNumberFormat="1" applyFont="1" applyProtection="1">
      <protection locked="0"/>
    </xf>
    <xf numFmtId="10" fontId="5" fillId="10" borderId="16" xfId="40" applyNumberFormat="1" applyFont="1" applyFill="1" applyBorder="1"/>
    <xf numFmtId="10" fontId="33" fillId="0" borderId="0" xfId="0" applyNumberFormat="1" applyFont="1"/>
    <xf numFmtId="199" fontId="44" fillId="0" borderId="0" xfId="57" applyNumberFormat="1" applyFont="1" applyAlignment="1">
      <alignment horizontal="right"/>
      <protection locked="0"/>
    </xf>
    <xf numFmtId="199" fontId="44" fillId="10" borderId="16" xfId="57" applyNumberFormat="1" applyFont="1" applyFill="1" applyBorder="1" applyAlignment="1">
      <alignment horizontal="right"/>
      <protection locked="0"/>
    </xf>
    <xf numFmtId="196" fontId="36" fillId="0" borderId="14" xfId="66" quotePrefix="1" applyNumberFormat="1" applyFont="1" applyFill="1" applyBorder="1" applyAlignment="1" applyProtection="1">
      <alignment horizontal="right"/>
      <protection locked="0"/>
    </xf>
    <xf numFmtId="196" fontId="29" fillId="10" borderId="13" xfId="66" applyNumberFormat="1" applyFont="1" applyFill="1" applyBorder="1" applyAlignment="1">
      <alignment horizontal="right"/>
    </xf>
    <xf numFmtId="196" fontId="15" fillId="0" borderId="14" xfId="66" quotePrefix="1" applyNumberFormat="1" applyFont="1" applyFill="1" applyBorder="1" applyAlignment="1" applyProtection="1">
      <alignment horizontal="right"/>
      <protection locked="0"/>
    </xf>
    <xf numFmtId="39" fontId="12" fillId="0" borderId="0" xfId="66" applyNumberFormat="1" applyFont="1" applyFill="1" applyBorder="1" applyAlignment="1" applyProtection="1">
      <alignment horizontal="right"/>
      <protection locked="0"/>
    </xf>
    <xf numFmtId="39" fontId="12" fillId="10" borderId="16" xfId="66" applyNumberFormat="1" applyFont="1" applyFill="1" applyBorder="1" applyAlignment="1">
      <alignment horizontal="right"/>
    </xf>
    <xf numFmtId="39" fontId="12" fillId="0" borderId="0" xfId="66" quotePrefix="1" applyNumberFormat="1" applyFont="1" applyFill="1" applyBorder="1" applyAlignment="1" applyProtection="1">
      <alignment horizontal="right"/>
      <protection locked="0"/>
    </xf>
    <xf numFmtId="196" fontId="82" fillId="0" borderId="14" xfId="66" quotePrefix="1" applyNumberFormat="1" applyFont="1" applyFill="1" applyBorder="1" applyAlignment="1" applyProtection="1">
      <alignment horizontal="right"/>
      <protection locked="0"/>
    </xf>
    <xf numFmtId="9" fontId="69" fillId="0" borderId="0" xfId="66" quotePrefix="1" applyFont="1" applyFill="1" applyBorder="1" applyAlignment="1" applyProtection="1">
      <alignment horizontal="right"/>
      <protection locked="0"/>
    </xf>
    <xf numFmtId="9" fontId="69" fillId="0" borderId="0" xfId="66" applyFont="1" applyFill="1" applyBorder="1" applyAlignment="1" applyProtection="1">
      <alignment horizontal="right"/>
      <protection locked="0"/>
    </xf>
    <xf numFmtId="9" fontId="5" fillId="10" borderId="16" xfId="66" applyFont="1" applyFill="1" applyBorder="1" applyAlignment="1">
      <alignment horizontal="right"/>
    </xf>
    <xf numFmtId="196" fontId="12" fillId="0" borderId="0" xfId="66" quotePrefix="1" applyNumberFormat="1" applyFont="1" applyFill="1" applyBorder="1" applyAlignment="1" applyProtection="1">
      <alignment horizontal="right"/>
      <protection locked="0"/>
    </xf>
    <xf numFmtId="196" fontId="5" fillId="10" borderId="16" xfId="66" applyNumberFormat="1" applyFont="1" applyFill="1" applyBorder="1" applyAlignment="1">
      <alignment horizontal="right"/>
    </xf>
    <xf numFmtId="196" fontId="34" fillId="0" borderId="0" xfId="66" quotePrefix="1" applyNumberFormat="1" applyFont="1" applyFill="1" applyBorder="1" applyAlignment="1" applyProtection="1">
      <alignment horizontal="right"/>
      <protection locked="0"/>
    </xf>
    <xf numFmtId="196" fontId="39" fillId="0" borderId="14" xfId="66" quotePrefix="1" applyNumberFormat="1" applyFont="1" applyFill="1" applyBorder="1" applyAlignment="1" applyProtection="1">
      <alignment horizontal="right"/>
      <protection locked="0"/>
    </xf>
    <xf numFmtId="9" fontId="12" fillId="0" borderId="0" xfId="66" applyFont="1" applyFill="1" applyBorder="1" applyAlignment="1" applyProtection="1">
      <alignment horizontal="right"/>
      <protection locked="0"/>
    </xf>
    <xf numFmtId="9" fontId="12" fillId="10" borderId="16" xfId="66" applyFont="1" applyFill="1" applyBorder="1" applyAlignment="1">
      <alignment horizontal="right"/>
    </xf>
    <xf numFmtId="9" fontId="12" fillId="0" borderId="0" xfId="66" quotePrefix="1" applyFont="1" applyFill="1" applyBorder="1" applyAlignment="1" applyProtection="1">
      <alignment horizontal="right"/>
      <protection locked="0"/>
    </xf>
    <xf numFmtId="39" fontId="83" fillId="0" borderId="0" xfId="66" applyNumberFormat="1" applyFont="1" applyFill="1" applyBorder="1" applyAlignment="1" applyProtection="1">
      <alignment horizontal="right"/>
      <protection locked="0"/>
    </xf>
    <xf numFmtId="0" fontId="29" fillId="10" borderId="16" xfId="0" applyFont="1" applyFill="1" applyBorder="1" applyAlignment="1">
      <alignment horizontal="right"/>
    </xf>
    <xf numFmtId="9" fontId="5" fillId="0" borderId="0" xfId="0" applyNumberFormat="1" applyFont="1"/>
    <xf numFmtId="9" fontId="29" fillId="10" borderId="16" xfId="0" applyNumberFormat="1" applyFont="1" applyFill="1" applyBorder="1" applyAlignment="1">
      <alignment horizontal="right"/>
    </xf>
    <xf numFmtId="9" fontId="5" fillId="0" borderId="0" xfId="0" applyNumberFormat="1" applyFont="1" applyAlignment="1">
      <alignment horizontal="right"/>
    </xf>
    <xf numFmtId="39" fontId="29" fillId="10" borderId="17" xfId="0" applyNumberFormat="1" applyFont="1" applyFill="1" applyBorder="1" applyAlignment="1">
      <alignment horizontal="right"/>
    </xf>
    <xf numFmtId="37" fontId="5" fillId="0" borderId="0" xfId="0" applyNumberFormat="1" applyFont="1"/>
    <xf numFmtId="37" fontId="29" fillId="10" borderId="16" xfId="0" applyNumberFormat="1" applyFont="1" applyFill="1" applyBorder="1" applyAlignment="1">
      <alignment horizontal="right"/>
    </xf>
    <xf numFmtId="37" fontId="41" fillId="0" borderId="0" xfId="0" applyNumberFormat="1" applyFont="1"/>
    <xf numFmtId="37" fontId="5" fillId="0" borderId="0" xfId="0" applyNumberFormat="1" applyFont="1" applyAlignment="1">
      <alignment horizontal="left" indent="2"/>
    </xf>
    <xf numFmtId="37" fontId="69" fillId="0" borderId="0" xfId="57" applyNumberFormat="1" applyFont="1" applyAlignment="1">
      <alignment horizontal="center"/>
      <protection locked="0"/>
    </xf>
    <xf numFmtId="37" fontId="69" fillId="10" borderId="16" xfId="57" applyNumberFormat="1" applyFont="1" applyFill="1" applyBorder="1" applyAlignment="1">
      <alignment horizontal="center"/>
      <protection locked="0"/>
    </xf>
    <xf numFmtId="37" fontId="34" fillId="0" borderId="0" xfId="57" applyNumberFormat="1" applyFont="1" applyAlignment="1">
      <alignment horizontal="right"/>
      <protection locked="0"/>
    </xf>
    <xf numFmtId="37" fontId="69" fillId="10" borderId="16" xfId="57" applyNumberFormat="1" applyFont="1" applyFill="1" applyBorder="1" applyAlignment="1">
      <alignment horizontal="right"/>
      <protection locked="0"/>
    </xf>
    <xf numFmtId="37" fontId="38" fillId="0" borderId="0" xfId="57" applyNumberFormat="1" applyFont="1" applyAlignment="1">
      <alignment horizontal="right"/>
      <protection locked="0"/>
    </xf>
    <xf numFmtId="199" fontId="69" fillId="10" borderId="16" xfId="57" applyNumberFormat="1" applyFont="1" applyFill="1" applyBorder="1" applyAlignment="1">
      <alignment horizontal="center"/>
      <protection locked="0"/>
    </xf>
    <xf numFmtId="199" fontId="69" fillId="0" borderId="0" xfId="57" applyNumberFormat="1" applyFont="1" applyAlignment="1">
      <alignment horizontal="center"/>
      <protection locked="0"/>
    </xf>
    <xf numFmtId="9" fontId="5" fillId="0" borderId="0" xfId="58" applyFont="1" applyAlignment="1">
      <alignment horizontal="left" indent="2"/>
    </xf>
    <xf numFmtId="9" fontId="69" fillId="10" borderId="16" xfId="58" applyFont="1" applyFill="1" applyBorder="1" applyAlignment="1" applyProtection="1">
      <alignment horizontal="center"/>
      <protection locked="0"/>
    </xf>
    <xf numFmtId="9" fontId="69" fillId="0" borderId="0" xfId="58" applyFont="1" applyAlignment="1" applyProtection="1">
      <alignment horizontal="center"/>
      <protection locked="0"/>
    </xf>
    <xf numFmtId="39" fontId="69" fillId="0" borderId="0" xfId="57" applyNumberFormat="1" applyFont="1" applyAlignment="1">
      <alignment horizontal="center"/>
      <protection locked="0"/>
    </xf>
    <xf numFmtId="39" fontId="69" fillId="10" borderId="16" xfId="57" applyNumberFormat="1" applyFont="1" applyFill="1" applyBorder="1" applyAlignment="1">
      <alignment horizontal="center"/>
      <protection locked="0"/>
    </xf>
    <xf numFmtId="9" fontId="69" fillId="10" borderId="16" xfId="58" applyFont="1" applyFill="1" applyBorder="1" applyAlignment="1" applyProtection="1">
      <alignment horizontal="right"/>
      <protection locked="0"/>
    </xf>
    <xf numFmtId="9" fontId="34" fillId="0" borderId="0" xfId="58" applyFont="1" applyAlignment="1" applyProtection="1">
      <protection locked="0"/>
    </xf>
    <xf numFmtId="9" fontId="34" fillId="0" borderId="0" xfId="58" applyFont="1" applyFill="1" applyAlignment="1" applyProtection="1">
      <protection locked="0"/>
    </xf>
    <xf numFmtId="39" fontId="12" fillId="0" borderId="0" xfId="0" applyNumberFormat="1" applyFont="1"/>
    <xf numFmtId="37" fontId="12" fillId="0" borderId="0" xfId="0" applyNumberFormat="1" applyFont="1" applyAlignment="1">
      <alignment horizontal="left" indent="2"/>
    </xf>
    <xf numFmtId="39" fontId="12" fillId="0" borderId="0" xfId="57" applyNumberFormat="1" applyFont="1" applyAlignment="1">
      <alignment horizontal="center"/>
      <protection locked="0"/>
    </xf>
    <xf numFmtId="39" fontId="12" fillId="10" borderId="16" xfId="57" applyNumberFormat="1" applyFont="1" applyFill="1" applyBorder="1" applyAlignment="1">
      <alignment horizontal="center"/>
      <protection locked="0"/>
    </xf>
    <xf numFmtId="9" fontId="12" fillId="10" borderId="16" xfId="58" applyFont="1" applyFill="1" applyBorder="1" applyAlignment="1" applyProtection="1">
      <alignment horizontal="center"/>
      <protection locked="0"/>
    </xf>
    <xf numFmtId="37" fontId="12" fillId="0" borderId="0" xfId="58" applyNumberFormat="1" applyFont="1" applyAlignment="1" applyProtection="1">
      <alignment horizontal="right"/>
      <protection locked="0"/>
    </xf>
    <xf numFmtId="199" fontId="44" fillId="10" borderId="17" xfId="57" applyNumberFormat="1" applyFont="1" applyFill="1" applyBorder="1" applyAlignment="1">
      <alignment horizontal="center"/>
      <protection locked="0"/>
    </xf>
    <xf numFmtId="203" fontId="41" fillId="0" borderId="0" xfId="0" applyNumberFormat="1" applyFont="1"/>
    <xf numFmtId="203" fontId="5" fillId="0" borderId="0" xfId="0" applyNumberFormat="1" applyFont="1" applyAlignment="1">
      <alignment horizontal="left" indent="2"/>
    </xf>
    <xf numFmtId="203" fontId="69" fillId="0" borderId="0" xfId="57" applyNumberFormat="1" applyFont="1" applyAlignment="1">
      <alignment horizontal="center"/>
      <protection locked="0"/>
    </xf>
    <xf numFmtId="203" fontId="69" fillId="10" borderId="16" xfId="57" applyNumberFormat="1" applyFont="1" applyFill="1" applyBorder="1" applyAlignment="1">
      <alignment horizontal="center"/>
      <protection locked="0"/>
    </xf>
    <xf numFmtId="37" fontId="44" fillId="0" borderId="0" xfId="57" applyNumberFormat="1" applyFont="1" applyAlignment="1">
      <alignment horizontal="center"/>
      <protection locked="0"/>
    </xf>
    <xf numFmtId="37" fontId="44" fillId="10" borderId="16" xfId="57" applyNumberFormat="1" applyFont="1" applyFill="1" applyBorder="1" applyAlignment="1">
      <alignment horizontal="center"/>
      <protection locked="0"/>
    </xf>
    <xf numFmtId="9" fontId="44" fillId="0" borderId="0" xfId="58" applyFont="1" applyAlignment="1" applyProtection="1">
      <alignment horizontal="center"/>
      <protection locked="0"/>
    </xf>
    <xf numFmtId="37" fontId="38" fillId="10" borderId="16" xfId="57" applyNumberFormat="1" applyFont="1" applyFill="1" applyBorder="1" applyAlignment="1">
      <alignment horizontal="right"/>
      <protection locked="0"/>
    </xf>
    <xf numFmtId="0" fontId="64" fillId="0" borderId="0" xfId="0" applyFont="1" applyAlignment="1">
      <alignment horizontal="left" indent="1"/>
    </xf>
    <xf numFmtId="37" fontId="33" fillId="0" borderId="0" xfId="0" applyNumberFormat="1" applyFont="1" applyAlignment="1">
      <alignment horizontal="left" indent="3"/>
    </xf>
    <xf numFmtId="199" fontId="81" fillId="0" borderId="0" xfId="57" applyNumberFormat="1" applyFont="1" applyAlignment="1">
      <alignment horizontal="left" indent="1"/>
      <protection locked="0"/>
    </xf>
    <xf numFmtId="199" fontId="81" fillId="10" borderId="16" xfId="57" applyNumberFormat="1" applyFont="1" applyFill="1" applyBorder="1" applyAlignment="1">
      <alignment horizontal="left" indent="1"/>
      <protection locked="0"/>
    </xf>
    <xf numFmtId="37" fontId="40" fillId="10" borderId="16" xfId="57" applyNumberFormat="1" applyFont="1" applyFill="1" applyBorder="1" applyAlignment="1">
      <alignment horizontal="left" indent="1"/>
      <protection locked="0"/>
    </xf>
    <xf numFmtId="37" fontId="81" fillId="0" borderId="0" xfId="57" applyNumberFormat="1" applyFont="1" applyAlignment="1">
      <alignment horizontal="left" indent="1"/>
      <protection locked="0"/>
    </xf>
    <xf numFmtId="9" fontId="34" fillId="0" borderId="0" xfId="58" applyFont="1" applyFill="1" applyAlignment="1" applyProtection="1">
      <alignment horizontal="right"/>
      <protection locked="0"/>
    </xf>
    <xf numFmtId="9" fontId="38" fillId="10" borderId="16" xfId="58" applyFont="1" applyFill="1" applyBorder="1" applyAlignment="1" applyProtection="1">
      <alignment horizontal="right"/>
      <protection locked="0"/>
    </xf>
    <xf numFmtId="37" fontId="33" fillId="0" borderId="0" xfId="0" applyNumberFormat="1" applyFont="1" applyAlignment="1">
      <alignment horizontal="left" indent="2"/>
    </xf>
    <xf numFmtId="9" fontId="40" fillId="10" borderId="16" xfId="58" applyFont="1" applyFill="1" applyBorder="1" applyAlignment="1" applyProtection="1">
      <alignment horizontal="right"/>
      <protection locked="0"/>
    </xf>
    <xf numFmtId="37" fontId="61" fillId="10" borderId="16" xfId="58" applyNumberFormat="1" applyFont="1" applyFill="1" applyBorder="1" applyAlignment="1" applyProtection="1">
      <alignment horizontal="right"/>
      <protection locked="0"/>
    </xf>
    <xf numFmtId="198" fontId="34" fillId="0" borderId="0" xfId="57" applyNumberFormat="1" applyFont="1" applyAlignment="1">
      <alignment horizontal="center"/>
      <protection locked="0"/>
    </xf>
    <xf numFmtId="198" fontId="69" fillId="0" borderId="0" xfId="57" applyNumberFormat="1" applyFont="1" applyAlignment="1">
      <alignment horizontal="center"/>
      <protection locked="0"/>
    </xf>
    <xf numFmtId="9" fontId="69" fillId="0" borderId="0" xfId="40" applyFont="1" applyAlignment="1" applyProtection="1">
      <alignment horizontal="center"/>
      <protection locked="0"/>
    </xf>
    <xf numFmtId="9" fontId="61" fillId="10" borderId="16" xfId="58" applyFont="1" applyFill="1" applyBorder="1" applyAlignment="1" applyProtection="1">
      <alignment horizontal="right"/>
      <protection locked="0"/>
    </xf>
    <xf numFmtId="9" fontId="69" fillId="10" borderId="16" xfId="40" applyFont="1" applyFill="1" applyBorder="1" applyAlignment="1" applyProtection="1">
      <alignment horizontal="right"/>
      <protection locked="0"/>
    </xf>
    <xf numFmtId="9" fontId="61" fillId="0" borderId="0" xfId="40" applyFont="1" applyFill="1" applyBorder="1"/>
    <xf numFmtId="9" fontId="12" fillId="0" borderId="0" xfId="58" applyFont="1" applyAlignment="1">
      <alignment horizontal="right"/>
    </xf>
    <xf numFmtId="39" fontId="69" fillId="0" borderId="0" xfId="58" applyNumberFormat="1" applyFont="1" applyFill="1" applyBorder="1" applyAlignment="1" applyProtection="1">
      <alignment horizontal="left" indent="1"/>
      <protection locked="0"/>
    </xf>
    <xf numFmtId="39" fontId="12" fillId="10" borderId="16" xfId="58" applyNumberFormat="1" applyFont="1" applyFill="1" applyBorder="1" applyAlignment="1" applyProtection="1">
      <alignment horizontal="right"/>
      <protection locked="0"/>
    </xf>
    <xf numFmtId="39" fontId="12" fillId="0" borderId="0" xfId="58" applyNumberFormat="1" applyFont="1" applyFill="1" applyBorder="1" applyAlignment="1" applyProtection="1">
      <alignment horizontal="center"/>
      <protection locked="0"/>
    </xf>
    <xf numFmtId="39" fontId="12" fillId="10" borderId="16" xfId="58" applyNumberFormat="1" applyFont="1" applyFill="1" applyBorder="1" applyAlignment="1" applyProtection="1">
      <alignment horizontal="center"/>
      <protection locked="0"/>
    </xf>
    <xf numFmtId="199" fontId="44" fillId="0" borderId="0" xfId="57" applyNumberFormat="1" applyFont="1" applyAlignment="1">
      <alignment horizontal="centerContinuous"/>
      <protection locked="0"/>
    </xf>
    <xf numFmtId="9" fontId="12" fillId="0" borderId="0" xfId="58" applyFont="1" applyAlignment="1">
      <alignment horizontal="left" indent="1"/>
    </xf>
    <xf numFmtId="9" fontId="38" fillId="0" borderId="0" xfId="58" applyFont="1" applyBorder="1" applyAlignment="1" applyProtection="1">
      <alignment horizontal="right"/>
      <protection locked="0"/>
    </xf>
    <xf numFmtId="9" fontId="5" fillId="0" borderId="0" xfId="58" applyFont="1" applyFill="1" applyAlignment="1">
      <alignment horizontal="left" indent="1"/>
    </xf>
    <xf numFmtId="9" fontId="69" fillId="0" borderId="0" xfId="58" applyFont="1" applyAlignment="1" applyProtection="1">
      <protection locked="0"/>
    </xf>
    <xf numFmtId="9" fontId="69" fillId="10" borderId="16" xfId="58" applyFont="1" applyFill="1" applyBorder="1" applyAlignment="1" applyProtection="1">
      <protection locked="0"/>
    </xf>
    <xf numFmtId="9" fontId="5" fillId="0" borderId="0" xfId="58" applyFont="1" applyFill="1"/>
    <xf numFmtId="9" fontId="12" fillId="0" borderId="0" xfId="58" applyFont="1" applyBorder="1" applyAlignment="1" applyProtection="1">
      <alignment horizontal="right"/>
      <protection locked="0"/>
    </xf>
    <xf numFmtId="9" fontId="12" fillId="10" borderId="16" xfId="58" applyFont="1" applyFill="1" applyBorder="1" applyAlignment="1" applyProtection="1">
      <alignment horizontal="right"/>
      <protection locked="0"/>
    </xf>
    <xf numFmtId="9" fontId="5" fillId="0" borderId="0" xfId="58" applyFont="1" applyFill="1" applyAlignment="1">
      <alignment horizontal="left"/>
    </xf>
    <xf numFmtId="184" fontId="0" fillId="3" borderId="0" xfId="0" applyNumberFormat="1" applyFill="1"/>
    <xf numFmtId="37" fontId="12" fillId="0" borderId="0" xfId="58" applyNumberFormat="1" applyFont="1" applyAlignment="1">
      <alignment horizontal="right"/>
    </xf>
    <xf numFmtId="37" fontId="12" fillId="0" borderId="12" xfId="0" applyNumberFormat="1" applyFont="1" applyBorder="1" applyAlignment="1">
      <alignment horizontal="left" indent="1"/>
    </xf>
    <xf numFmtId="37" fontId="70" fillId="0" borderId="14" xfId="57" applyNumberFormat="1" applyFont="1" applyBorder="1" applyAlignment="1">
      <alignment horizontal="right"/>
      <protection locked="0"/>
    </xf>
    <xf numFmtId="37" fontId="12" fillId="10" borderId="13" xfId="57" applyNumberFormat="1" applyFont="1" applyFill="1" applyBorder="1" applyAlignment="1">
      <alignment horizontal="right"/>
      <protection locked="0"/>
    </xf>
    <xf numFmtId="37" fontId="12" fillId="0" borderId="0" xfId="58" applyNumberFormat="1" applyFont="1" applyFill="1" applyAlignment="1">
      <alignment horizontal="right"/>
    </xf>
    <xf numFmtId="37" fontId="5" fillId="0" borderId="0" xfId="0" applyNumberFormat="1" applyFont="1" applyAlignment="1">
      <alignment horizontal="right"/>
    </xf>
    <xf numFmtId="37" fontId="69" fillId="0" borderId="0" xfId="58" applyNumberFormat="1" applyFont="1" applyFill="1" applyBorder="1" applyAlignment="1" applyProtection="1">
      <alignment horizontal="left" indent="1"/>
      <protection locked="0"/>
    </xf>
    <xf numFmtId="37" fontId="12" fillId="0" borderId="0" xfId="58" applyNumberFormat="1" applyFont="1" applyFill="1" applyBorder="1" applyAlignment="1" applyProtection="1">
      <alignment horizontal="right"/>
      <protection locked="0"/>
    </xf>
    <xf numFmtId="37" fontId="12" fillId="10" borderId="16" xfId="58" applyNumberFormat="1" applyFont="1" applyFill="1" applyBorder="1" applyAlignment="1" applyProtection="1">
      <alignment horizontal="right"/>
      <protection locked="0"/>
    </xf>
    <xf numFmtId="9" fontId="44" fillId="0" borderId="0" xfId="40" applyFont="1" applyAlignment="1" applyProtection="1">
      <alignment horizontal="right"/>
      <protection locked="0"/>
    </xf>
    <xf numFmtId="37" fontId="5" fillId="0" borderId="12" xfId="0" applyNumberFormat="1" applyFont="1" applyBorder="1"/>
    <xf numFmtId="39" fontId="38" fillId="0" borderId="14" xfId="58" quotePrefix="1" applyNumberFormat="1" applyFont="1" applyFill="1" applyBorder="1" applyAlignment="1" applyProtection="1">
      <protection locked="0"/>
    </xf>
    <xf numFmtId="37" fontId="12" fillId="10" borderId="13" xfId="0" applyNumberFormat="1" applyFont="1" applyFill="1" applyBorder="1"/>
    <xf numFmtId="9" fontId="61" fillId="0" borderId="0" xfId="58" applyFont="1" applyAlignment="1">
      <alignment horizontal="left" indent="1"/>
    </xf>
    <xf numFmtId="9" fontId="12" fillId="10" borderId="16" xfId="58" quotePrefix="1" applyFont="1" applyFill="1" applyBorder="1" applyAlignment="1" applyProtection="1">
      <alignment horizontal="right"/>
      <protection locked="0"/>
    </xf>
    <xf numFmtId="9" fontId="15" fillId="0" borderId="0" xfId="58" applyFont="1" applyFill="1" applyBorder="1" applyAlignment="1" applyProtection="1">
      <alignment horizontal="center"/>
      <protection locked="0"/>
    </xf>
    <xf numFmtId="9" fontId="15" fillId="10" borderId="16" xfId="58" applyFont="1" applyFill="1" applyBorder="1" applyAlignment="1" applyProtection="1">
      <alignment horizontal="center"/>
      <protection locked="0"/>
    </xf>
    <xf numFmtId="186" fontId="15" fillId="0" borderId="0" xfId="0" applyNumberFormat="1" applyFont="1"/>
    <xf numFmtId="37" fontId="38" fillId="0" borderId="14" xfId="58" quotePrefix="1" applyNumberFormat="1" applyFont="1" applyFill="1" applyBorder="1" applyAlignment="1" applyProtection="1">
      <protection locked="0"/>
    </xf>
    <xf numFmtId="37" fontId="38" fillId="0" borderId="14" xfId="58" applyNumberFormat="1" applyFont="1" applyFill="1" applyBorder="1" applyAlignment="1" applyProtection="1">
      <protection locked="0"/>
    </xf>
    <xf numFmtId="37" fontId="12" fillId="0" borderId="14" xfId="58" applyNumberFormat="1" applyFont="1" applyFill="1" applyBorder="1" applyAlignment="1" applyProtection="1">
      <protection locked="0"/>
    </xf>
    <xf numFmtId="37" fontId="12" fillId="0" borderId="0" xfId="58" quotePrefix="1" applyNumberFormat="1" applyFont="1" applyFill="1" applyBorder="1" applyAlignment="1" applyProtection="1">
      <alignment horizontal="right"/>
      <protection locked="0"/>
    </xf>
    <xf numFmtId="37" fontId="12" fillId="0" borderId="0" xfId="57" applyNumberFormat="1" applyFont="1" applyAlignment="1">
      <alignment horizontal="right"/>
      <protection locked="0"/>
    </xf>
    <xf numFmtId="37" fontId="15" fillId="10" borderId="16" xfId="57" applyNumberFormat="1" applyFont="1" applyFill="1" applyBorder="1" applyAlignment="1">
      <alignment horizontal="center"/>
      <protection locked="0"/>
    </xf>
    <xf numFmtId="37" fontId="12" fillId="10" borderId="16" xfId="57" applyNumberFormat="1" applyFont="1" applyFill="1" applyBorder="1" applyAlignment="1">
      <alignment horizontal="right"/>
      <protection locked="0"/>
    </xf>
    <xf numFmtId="37" fontId="12" fillId="0" borderId="0" xfId="0" applyNumberFormat="1" applyFont="1" applyAlignment="1">
      <alignment horizontal="right"/>
    </xf>
    <xf numFmtId="37" fontId="12" fillId="0" borderId="12" xfId="0" applyNumberFormat="1" applyFont="1" applyBorder="1"/>
    <xf numFmtId="37" fontId="12" fillId="0" borderId="14" xfId="58" quotePrefix="1" applyNumberFormat="1" applyFont="1" applyFill="1" applyBorder="1" applyAlignment="1" applyProtection="1">
      <protection locked="0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right"/>
    </xf>
    <xf numFmtId="37" fontId="41" fillId="0" borderId="0" xfId="58" applyNumberFormat="1" applyFont="1"/>
    <xf numFmtId="37" fontId="33" fillId="0" borderId="0" xfId="58" applyNumberFormat="1" applyFont="1" applyAlignment="1">
      <alignment horizontal="left" indent="1"/>
    </xf>
    <xf numFmtId="37" fontId="44" fillId="10" borderId="16" xfId="58" applyNumberFormat="1" applyFont="1" applyFill="1" applyBorder="1" applyAlignment="1" applyProtection="1">
      <alignment horizontal="right"/>
      <protection locked="0"/>
    </xf>
    <xf numFmtId="37" fontId="5" fillId="0" borderId="0" xfId="58" applyNumberFormat="1" applyFont="1" applyAlignment="1">
      <alignment horizontal="right"/>
    </xf>
    <xf numFmtId="39" fontId="12" fillId="10" borderId="13" xfId="0" applyNumberFormat="1" applyFont="1" applyFill="1" applyBorder="1"/>
    <xf numFmtId="4" fontId="41" fillId="0" borderId="0" xfId="0" applyNumberFormat="1" applyFont="1" applyAlignment="1">
      <alignment horizontal="left"/>
    </xf>
    <xf numFmtId="4" fontId="12" fillId="0" borderId="0" xfId="58" quotePrefix="1" applyNumberFormat="1" applyFont="1" applyFill="1" applyBorder="1" applyAlignment="1" applyProtection="1">
      <alignment horizontal="right"/>
      <protection locked="0"/>
    </xf>
    <xf numFmtId="4" fontId="12" fillId="0" borderId="0" xfId="58" applyNumberFormat="1" applyFont="1" applyFill="1" applyBorder="1" applyAlignment="1" applyProtection="1">
      <alignment horizontal="right"/>
      <protection locked="0"/>
    </xf>
    <xf numFmtId="4" fontId="12" fillId="10" borderId="17" xfId="0" applyNumberFormat="1" applyFont="1" applyFill="1" applyBorder="1"/>
    <xf numFmtId="4" fontId="12" fillId="0" borderId="0" xfId="0" applyNumberFormat="1" applyFont="1" applyAlignment="1">
      <alignment horizontal="right"/>
    </xf>
    <xf numFmtId="37" fontId="33" fillId="0" borderId="0" xfId="58" applyNumberFormat="1" applyFont="1" applyFill="1" applyBorder="1" applyAlignment="1">
      <alignment horizontal="right"/>
    </xf>
    <xf numFmtId="9" fontId="41" fillId="0" borderId="0" xfId="58" applyFont="1" applyFill="1"/>
    <xf numFmtId="9" fontId="12" fillId="0" borderId="0" xfId="58" applyFont="1" applyFill="1" applyBorder="1"/>
    <xf numFmtId="9" fontId="12" fillId="0" borderId="0" xfId="58" applyFont="1" applyFill="1"/>
    <xf numFmtId="9" fontId="74" fillId="0" borderId="0" xfId="58" quotePrefix="1" applyFont="1" applyFill="1" applyBorder="1" applyAlignment="1" applyProtection="1">
      <alignment horizontal="center"/>
      <protection locked="0"/>
    </xf>
    <xf numFmtId="9" fontId="74" fillId="0" borderId="0" xfId="58" applyFont="1" applyFill="1" applyBorder="1" applyAlignment="1" applyProtection="1">
      <alignment horizontal="center"/>
      <protection locked="0"/>
    </xf>
    <xf numFmtId="0" fontId="33" fillId="0" borderId="0" xfId="0" applyFont="1" applyAlignment="1">
      <alignment horizontal="center"/>
    </xf>
    <xf numFmtId="2" fontId="12" fillId="0" borderId="0" xfId="0" applyNumberFormat="1" applyFont="1"/>
    <xf numFmtId="2" fontId="12" fillId="0" borderId="0" xfId="58" quotePrefix="1" applyNumberFormat="1" applyFont="1" applyFill="1" applyBorder="1" applyAlignment="1" applyProtection="1">
      <alignment horizontal="center"/>
      <protection locked="0"/>
    </xf>
    <xf numFmtId="2" fontId="12" fillId="0" borderId="0" xfId="58" applyNumberFormat="1" applyFont="1" applyFill="1" applyBorder="1" applyAlignment="1" applyProtection="1">
      <alignment horizontal="right"/>
      <protection locked="0"/>
    </xf>
    <xf numFmtId="2" fontId="12" fillId="0" borderId="0" xfId="58" applyNumberFormat="1" applyFont="1" applyFill="1" applyBorder="1"/>
    <xf numFmtId="2" fontId="12" fillId="0" borderId="0" xfId="0" applyNumberFormat="1" applyFont="1" applyAlignment="1">
      <alignment horizontal="right"/>
    </xf>
    <xf numFmtId="2" fontId="37" fillId="0" borderId="0" xfId="0" applyNumberFormat="1" applyFont="1"/>
    <xf numFmtId="9" fontId="5" fillId="0" borderId="0" xfId="58" applyFont="1" applyFill="1" applyBorder="1"/>
    <xf numFmtId="9" fontId="5" fillId="0" borderId="0" xfId="58" applyFont="1" applyFill="1" applyAlignment="1">
      <alignment horizontal="right"/>
    </xf>
    <xf numFmtId="2" fontId="5" fillId="0" borderId="0" xfId="0" applyNumberFormat="1" applyFont="1"/>
    <xf numFmtId="39" fontId="44" fillId="0" borderId="0" xfId="57" applyNumberFormat="1" applyFont="1" applyAlignment="1">
      <alignment horizontal="center"/>
      <protection locked="0"/>
    </xf>
    <xf numFmtId="39" fontId="29" fillId="0" borderId="0" xfId="0" applyNumberFormat="1" applyFont="1" applyAlignment="1">
      <alignment horizontal="right"/>
    </xf>
    <xf numFmtId="9" fontId="69" fillId="0" borderId="0" xfId="58" applyFont="1" applyFill="1" applyBorder="1" applyAlignment="1" applyProtection="1">
      <alignment horizontal="center"/>
      <protection locked="0"/>
    </xf>
    <xf numFmtId="9" fontId="29" fillId="0" borderId="0" xfId="58" applyFont="1" applyFill="1" applyBorder="1"/>
    <xf numFmtId="200" fontId="41" fillId="0" borderId="0" xfId="0" applyNumberFormat="1" applyFont="1" applyAlignment="1">
      <alignment horizontal="right"/>
    </xf>
    <xf numFmtId="200" fontId="5" fillId="0" borderId="0" xfId="0" applyNumberFormat="1" applyFont="1" applyAlignment="1">
      <alignment horizontal="left"/>
    </xf>
    <xf numFmtId="200" fontId="44" fillId="0" borderId="0" xfId="57" applyNumberFormat="1" applyFont="1" applyAlignment="1">
      <alignment horizontal="right"/>
      <protection locked="0"/>
    </xf>
    <xf numFmtId="200" fontId="29" fillId="0" borderId="0" xfId="0" applyNumberFormat="1" applyFont="1" applyAlignment="1">
      <alignment horizontal="right"/>
    </xf>
    <xf numFmtId="200" fontId="5" fillId="0" borderId="0" xfId="0" applyNumberFormat="1" applyFont="1" applyAlignment="1">
      <alignment horizontal="right"/>
    </xf>
    <xf numFmtId="200" fontId="5" fillId="0" borderId="0" xfId="0" applyNumberFormat="1" applyFont="1"/>
    <xf numFmtId="200" fontId="44" fillId="0" borderId="0" xfId="57" applyNumberFormat="1" applyFont="1">
      <protection locked="0"/>
    </xf>
    <xf numFmtId="200" fontId="29" fillId="0" borderId="0" xfId="0" applyNumberFormat="1" applyFont="1"/>
    <xf numFmtId="200" fontId="69" fillId="0" borderId="0" xfId="57" applyNumberFormat="1" applyFont="1" applyAlignment="1">
      <alignment horizontal="right"/>
      <protection locked="0"/>
    </xf>
    <xf numFmtId="9" fontId="41" fillId="0" borderId="0" xfId="58" applyFont="1" applyFill="1" applyAlignment="1">
      <alignment horizontal="right"/>
    </xf>
    <xf numFmtId="9" fontId="29" fillId="0" borderId="0" xfId="58" applyFont="1" applyFill="1" applyBorder="1" applyAlignment="1">
      <alignment horizontal="right"/>
    </xf>
    <xf numFmtId="7" fontId="41" fillId="0" borderId="0" xfId="0" applyNumberFormat="1" applyFont="1"/>
    <xf numFmtId="7" fontId="69" fillId="0" borderId="0" xfId="57" applyNumberFormat="1" applyFont="1">
      <protection locked="0"/>
    </xf>
    <xf numFmtId="7" fontId="69" fillId="0" borderId="0" xfId="57" applyNumberFormat="1" applyFont="1" applyAlignment="1">
      <alignment horizontal="right"/>
      <protection locked="0"/>
    </xf>
    <xf numFmtId="7" fontId="69" fillId="0" borderId="0" xfId="58" quotePrefix="1" applyNumberFormat="1" applyFont="1" applyFill="1" applyBorder="1" applyAlignment="1" applyProtection="1">
      <alignment horizontal="right"/>
      <protection locked="0"/>
    </xf>
    <xf numFmtId="184" fontId="41" fillId="0" borderId="0" xfId="0" applyNumberFormat="1" applyFont="1"/>
    <xf numFmtId="184" fontId="44" fillId="0" borderId="0" xfId="57" applyNumberFormat="1" applyFont="1">
      <protection locked="0"/>
    </xf>
    <xf numFmtId="184" fontId="44" fillId="0" borderId="0" xfId="57" applyNumberFormat="1" applyFont="1" applyAlignment="1">
      <alignment horizontal="right"/>
      <protection locked="0"/>
    </xf>
    <xf numFmtId="184" fontId="66" fillId="0" borderId="0" xfId="57" applyNumberFormat="1" applyFont="1" applyAlignment="1">
      <alignment horizontal="right"/>
      <protection locked="0"/>
    </xf>
    <xf numFmtId="184" fontId="69" fillId="0" borderId="0" xfId="57" applyNumberFormat="1" applyFont="1">
      <protection locked="0"/>
    </xf>
    <xf numFmtId="184" fontId="69" fillId="0" borderId="0" xfId="57" applyNumberFormat="1" applyFont="1" applyAlignment="1">
      <alignment horizontal="right"/>
      <protection locked="0"/>
    </xf>
    <xf numFmtId="200" fontId="69" fillId="0" borderId="0" xfId="57" applyNumberFormat="1" applyFont="1">
      <protection locked="0"/>
    </xf>
    <xf numFmtId="0" fontId="12" fillId="0" borderId="0" xfId="29" applyAlignment="1">
      <alignment horizontal="left" vertical="center"/>
    </xf>
    <xf numFmtId="39" fontId="5" fillId="0" borderId="12" xfId="0" applyNumberFormat="1" applyFont="1" applyBorder="1"/>
    <xf numFmtId="39" fontId="38" fillId="0" borderId="14" xfId="58" applyNumberFormat="1" applyFont="1" applyFill="1" applyBorder="1" applyAlignment="1" applyProtection="1">
      <protection locked="0"/>
    </xf>
    <xf numFmtId="9" fontId="61" fillId="0" borderId="0" xfId="40" applyFont="1" applyAlignment="1">
      <alignment horizontal="left" indent="1"/>
    </xf>
    <xf numFmtId="9" fontId="15" fillId="10" borderId="16" xfId="40" applyFont="1" applyFill="1" applyBorder="1" applyAlignment="1" applyProtection="1">
      <alignment horizontal="right"/>
      <protection locked="0"/>
    </xf>
    <xf numFmtId="9" fontId="12" fillId="10" borderId="16" xfId="40" applyFont="1" applyFill="1" applyBorder="1" applyAlignment="1" applyProtection="1">
      <alignment horizontal="right"/>
      <protection locked="0"/>
    </xf>
    <xf numFmtId="9" fontId="12" fillId="0" borderId="0" xfId="40" applyFont="1" applyAlignment="1">
      <alignment horizontal="right"/>
    </xf>
    <xf numFmtId="9" fontId="15" fillId="10" borderId="16" xfId="40" applyFont="1" applyFill="1" applyBorder="1" applyAlignment="1" applyProtection="1">
      <alignment horizontal="center"/>
      <protection locked="0"/>
    </xf>
    <xf numFmtId="9" fontId="34" fillId="0" borderId="0" xfId="40" quotePrefix="1" applyFont="1" applyFill="1" applyBorder="1" applyAlignment="1" applyProtection="1">
      <alignment horizontal="right"/>
      <protection locked="0"/>
    </xf>
    <xf numFmtId="9" fontId="34" fillId="0" borderId="0" xfId="40" applyFont="1" applyFill="1" applyBorder="1" applyAlignment="1" applyProtection="1">
      <alignment horizontal="right"/>
      <protection locked="0"/>
    </xf>
    <xf numFmtId="186" fontId="38" fillId="0" borderId="14" xfId="0" applyNumberFormat="1" applyFont="1" applyBorder="1"/>
    <xf numFmtId="186" fontId="12" fillId="5" borderId="13" xfId="0" applyNumberFormat="1" applyFont="1" applyFill="1" applyBorder="1"/>
    <xf numFmtId="196" fontId="5" fillId="10" borderId="17" xfId="58" applyNumberFormat="1" applyFont="1" applyFill="1" applyBorder="1" applyAlignment="1"/>
    <xf numFmtId="196" fontId="38" fillId="0" borderId="0" xfId="57" applyNumberFormat="1" applyFont="1" applyAlignment="1">
      <alignment horizontal="right"/>
      <protection locked="0"/>
    </xf>
    <xf numFmtId="196" fontId="15" fillId="10" borderId="17" xfId="58" applyNumberFormat="1" applyFont="1" applyFill="1" applyBorder="1" applyAlignment="1"/>
    <xf numFmtId="196" fontId="70" fillId="0" borderId="0" xfId="58" quotePrefix="1" applyNumberFormat="1" applyFont="1" applyFill="1" applyBorder="1" applyAlignment="1" applyProtection="1">
      <alignment horizontal="right"/>
      <protection locked="0"/>
    </xf>
    <xf numFmtId="196" fontId="70" fillId="0" borderId="18" xfId="58" quotePrefix="1" applyNumberFormat="1" applyFont="1" applyFill="1" applyBorder="1" applyAlignment="1" applyProtection="1">
      <alignment horizontal="right"/>
      <protection locked="0"/>
    </xf>
    <xf numFmtId="9" fontId="33" fillId="0" borderId="0" xfId="58" applyFont="1" applyFill="1" applyBorder="1"/>
    <xf numFmtId="39" fontId="44" fillId="0" borderId="0" xfId="58" applyNumberFormat="1" applyFont="1" applyFill="1" applyBorder="1" applyAlignment="1" applyProtection="1">
      <alignment horizontal="right"/>
      <protection locked="0"/>
    </xf>
    <xf numFmtId="39" fontId="44" fillId="0" borderId="0" xfId="58" applyNumberFormat="1" applyFont="1" applyFill="1" applyBorder="1" applyProtection="1">
      <protection locked="0"/>
    </xf>
    <xf numFmtId="9" fontId="44" fillId="0" borderId="0" xfId="40" applyFont="1" applyFill="1" applyBorder="1" applyProtection="1">
      <protection locked="0"/>
    </xf>
    <xf numFmtId="9" fontId="29" fillId="10" borderId="16" xfId="40" applyFont="1" applyFill="1" applyBorder="1" applyAlignment="1">
      <alignment horizontal="right"/>
    </xf>
    <xf numFmtId="9" fontId="69" fillId="0" borderId="0" xfId="40" applyFont="1" applyAlignment="1" applyProtection="1">
      <alignment horizontal="right"/>
      <protection locked="0"/>
    </xf>
    <xf numFmtId="9" fontId="84" fillId="0" borderId="0" xfId="40" applyFont="1" applyAlignment="1"/>
    <xf numFmtId="37" fontId="0" fillId="0" borderId="13" xfId="0" applyNumberFormat="1" applyBorder="1"/>
    <xf numFmtId="196" fontId="34" fillId="0" borderId="18" xfId="58" quotePrefix="1" applyNumberFormat="1" applyFont="1" applyFill="1" applyBorder="1" applyAlignment="1" applyProtection="1">
      <protection locked="0"/>
    </xf>
    <xf numFmtId="10" fontId="41" fillId="0" borderId="0" xfId="40" applyNumberFormat="1" applyFont="1"/>
    <xf numFmtId="10" fontId="69" fillId="0" borderId="0" xfId="40" applyNumberFormat="1" applyFont="1" applyFill="1" applyBorder="1" applyProtection="1">
      <protection locked="0"/>
    </xf>
    <xf numFmtId="10" fontId="69" fillId="0" borderId="0" xfId="40" applyNumberFormat="1" applyFont="1" applyFill="1" applyBorder="1" applyAlignment="1" applyProtection="1">
      <alignment horizontal="right"/>
      <protection locked="0"/>
    </xf>
    <xf numFmtId="10" fontId="5" fillId="10" borderId="16" xfId="40" applyNumberFormat="1" applyFont="1" applyFill="1" applyBorder="1" applyAlignment="1">
      <alignment horizontal="right"/>
    </xf>
    <xf numFmtId="10" fontId="5" fillId="0" borderId="0" xfId="40" applyNumberFormat="1" applyFont="1"/>
    <xf numFmtId="9" fontId="44" fillId="0" borderId="0" xfId="58" quotePrefix="1" applyFont="1" applyFill="1" applyBorder="1" applyAlignment="1" applyProtection="1">
      <alignment horizontal="centerContinuous"/>
      <protection locked="0"/>
    </xf>
    <xf numFmtId="9" fontId="44" fillId="0" borderId="0" xfId="58" applyFont="1" applyFill="1" applyBorder="1" applyAlignment="1" applyProtection="1">
      <alignment horizontal="centerContinuous"/>
      <protection locked="0"/>
    </xf>
    <xf numFmtId="39" fontId="15" fillId="0" borderId="0" xfId="58" quotePrefix="1" applyNumberFormat="1" applyFont="1" applyFill="1" applyBorder="1" applyAlignment="1" applyProtection="1">
      <alignment horizontal="centerContinuous"/>
      <protection locked="0"/>
    </xf>
    <xf numFmtId="196" fontId="29" fillId="10" borderId="16" xfId="0" applyNumberFormat="1" applyFont="1" applyFill="1" applyBorder="1" applyAlignment="1">
      <alignment horizontal="right"/>
    </xf>
    <xf numFmtId="37" fontId="34" fillId="0" borderId="0" xfId="66" quotePrefix="1" applyNumberFormat="1" applyFont="1" applyFill="1" applyBorder="1" applyAlignment="1" applyProtection="1">
      <alignment horizontal="right"/>
      <protection locked="0"/>
    </xf>
    <xf numFmtId="37" fontId="34" fillId="0" borderId="0" xfId="66" applyNumberFormat="1" applyFont="1" applyFill="1" applyBorder="1" applyAlignment="1" applyProtection="1">
      <alignment horizontal="right"/>
      <protection locked="0"/>
    </xf>
    <xf numFmtId="37" fontId="38" fillId="0" borderId="0" xfId="66" applyNumberFormat="1" applyFont="1" applyFill="1" applyBorder="1" applyAlignment="1" applyProtection="1">
      <alignment horizontal="right"/>
      <protection locked="0"/>
    </xf>
    <xf numFmtId="37" fontId="12" fillId="0" borderId="0" xfId="66" quotePrefix="1" applyNumberFormat="1" applyFont="1" applyFill="1" applyBorder="1" applyAlignment="1" applyProtection="1">
      <alignment horizontal="right"/>
      <protection locked="0"/>
    </xf>
    <xf numFmtId="37" fontId="12" fillId="0" borderId="0" xfId="66" applyNumberFormat="1" applyFont="1" applyFill="1" applyBorder="1" applyAlignment="1" applyProtection="1">
      <alignment horizontal="right"/>
      <protection locked="0"/>
    </xf>
    <xf numFmtId="39" fontId="34" fillId="0" borderId="0" xfId="0" applyNumberFormat="1" applyFont="1"/>
    <xf numFmtId="0" fontId="31" fillId="0" borderId="19" xfId="0" applyFont="1" applyBorder="1" applyAlignment="1">
      <alignment horizontal="left" indent="1"/>
    </xf>
    <xf numFmtId="9" fontId="34" fillId="0" borderId="0" xfId="0" applyNumberFormat="1" applyFont="1" applyAlignment="1">
      <alignment horizontal="right"/>
    </xf>
    <xf numFmtId="176" fontId="0" fillId="5" borderId="18" xfId="0" applyNumberFormat="1" applyFill="1" applyBorder="1" applyAlignment="1">
      <alignment horizontal="right"/>
    </xf>
    <xf numFmtId="182" fontId="0" fillId="0" borderId="18" xfId="0" applyNumberFormat="1" applyBorder="1"/>
    <xf numFmtId="176" fontId="0" fillId="0" borderId="0" xfId="40" applyNumberFormat="1" applyFont="1" applyBorder="1"/>
    <xf numFmtId="10" fontId="64" fillId="0" borderId="0" xfId="0" applyNumberFormat="1" applyFont="1" applyAlignment="1">
      <alignment horizontal="right"/>
    </xf>
    <xf numFmtId="10" fontId="33" fillId="0" borderId="0" xfId="0" applyNumberFormat="1" applyFont="1" applyAlignment="1">
      <alignment horizontal="right"/>
    </xf>
    <xf numFmtId="10" fontId="74" fillId="0" borderId="0" xfId="40" applyNumberFormat="1" applyFont="1" applyFill="1" applyBorder="1" applyAlignment="1" applyProtection="1">
      <alignment horizontal="right"/>
      <protection locked="0"/>
    </xf>
    <xf numFmtId="10" fontId="33" fillId="10" borderId="16" xfId="40" applyNumberFormat="1" applyFont="1" applyFill="1" applyBorder="1" applyAlignment="1">
      <alignment horizontal="right"/>
    </xf>
    <xf numFmtId="0" fontId="31" fillId="0" borderId="0" xfId="41" applyFont="1" applyAlignment="1">
      <alignment horizontal="left"/>
    </xf>
    <xf numFmtId="9" fontId="69" fillId="0" borderId="0" xfId="57" applyNumberFormat="1" applyFont="1">
      <protection locked="0"/>
    </xf>
    <xf numFmtId="0" fontId="66" fillId="0" borderId="0" xfId="57" applyFont="1" applyAlignment="1">
      <alignment horizontal="right"/>
      <protection locked="0"/>
    </xf>
    <xf numFmtId="39" fontId="44" fillId="0" borderId="0" xfId="57" applyNumberFormat="1" applyFont="1">
      <protection locked="0"/>
    </xf>
    <xf numFmtId="10" fontId="29" fillId="10" borderId="16" xfId="40" applyNumberFormat="1" applyFont="1" applyFill="1" applyBorder="1" applyAlignment="1">
      <alignment horizontal="right"/>
    </xf>
    <xf numFmtId="10" fontId="5" fillId="0" borderId="0" xfId="40" applyNumberFormat="1" applyFont="1" applyAlignment="1">
      <alignment horizontal="right"/>
    </xf>
    <xf numFmtId="9" fontId="12" fillId="0" borderId="0" xfId="0" applyNumberFormat="1" applyFont="1"/>
    <xf numFmtId="9" fontId="5" fillId="0" borderId="0" xfId="40" applyFont="1" applyAlignment="1">
      <alignment horizontal="left" indent="2"/>
    </xf>
    <xf numFmtId="9" fontId="44" fillId="0" borderId="0" xfId="40" applyFont="1" applyAlignment="1" applyProtection="1">
      <alignment horizontal="center"/>
      <protection locked="0"/>
    </xf>
    <xf numFmtId="9" fontId="44" fillId="10" borderId="16" xfId="40" applyFont="1" applyFill="1" applyBorder="1" applyAlignment="1" applyProtection="1">
      <alignment horizontal="center"/>
      <protection locked="0"/>
    </xf>
    <xf numFmtId="0" fontId="29" fillId="0" borderId="0" xfId="0" applyFont="1" applyAlignment="1">
      <alignment horizontal="centerContinuous"/>
    </xf>
    <xf numFmtId="9" fontId="0" fillId="0" borderId="0" xfId="40" applyFont="1" applyFill="1" applyAlignment="1">
      <alignment horizontal="right"/>
    </xf>
    <xf numFmtId="9" fontId="74" fillId="0" borderId="0" xfId="40" applyFont="1" applyFill="1" applyAlignment="1" applyProtection="1">
      <alignment horizontal="right"/>
      <protection locked="0"/>
    </xf>
    <xf numFmtId="196" fontId="34" fillId="0" borderId="0" xfId="58" quotePrefix="1" applyNumberFormat="1" applyFont="1" applyFill="1" applyBorder="1" applyAlignment="1" applyProtection="1">
      <protection locked="0"/>
    </xf>
    <xf numFmtId="4" fontId="0" fillId="0" borderId="0" xfId="0" applyNumberFormat="1" applyAlignment="1">
      <alignment horizontal="centerContinuous"/>
    </xf>
    <xf numFmtId="9" fontId="29" fillId="0" borderId="0" xfId="40" applyFont="1" applyAlignment="1">
      <alignment horizontal="centerContinuous"/>
    </xf>
    <xf numFmtId="4" fontId="29" fillId="0" borderId="0" xfId="0" applyNumberFormat="1" applyFont="1" applyAlignment="1">
      <alignment horizontal="centerContinuous"/>
    </xf>
    <xf numFmtId="9" fontId="29" fillId="0" borderId="0" xfId="40" applyFont="1" applyFill="1" applyAlignment="1">
      <alignment horizontal="center"/>
    </xf>
    <xf numFmtId="9" fontId="62" fillId="0" borderId="0" xfId="0" applyNumberFormat="1" applyFont="1"/>
    <xf numFmtId="37" fontId="83" fillId="0" borderId="0" xfId="66" applyNumberFormat="1" applyFont="1" applyFill="1" applyBorder="1" applyAlignment="1" applyProtection="1">
      <alignment horizontal="right"/>
      <protection locked="0"/>
    </xf>
    <xf numFmtId="37" fontId="29" fillId="0" borderId="0" xfId="0" applyNumberFormat="1" applyFont="1"/>
    <xf numFmtId="0" fontId="55" fillId="3" borderId="0" xfId="53" applyFont="1" applyFill="1" applyAlignment="1" applyProtection="1"/>
    <xf numFmtId="0" fontId="55" fillId="3" borderId="0" xfId="55" applyFill="1" applyAlignment="1" applyProtection="1"/>
    <xf numFmtId="14" fontId="29" fillId="3" borderId="0" xfId="0" quotePrefix="1" applyNumberFormat="1" applyFont="1" applyFill="1" applyAlignment="1">
      <alignment horizontal="left"/>
    </xf>
    <xf numFmtId="14" fontId="29" fillId="3" borderId="0" xfId="0" applyNumberFormat="1" applyFont="1" applyFill="1"/>
    <xf numFmtId="0" fontId="60" fillId="3" borderId="0" xfId="0" applyFont="1" applyFill="1"/>
    <xf numFmtId="206" fontId="85" fillId="3" borderId="0" xfId="55" applyNumberFormat="1" applyFont="1" applyFill="1" applyAlignment="1" applyProtection="1"/>
    <xf numFmtId="0" fontId="86" fillId="3" borderId="0" xfId="55" applyFont="1" applyFill="1"/>
    <xf numFmtId="10" fontId="34" fillId="0" borderId="0" xfId="40" applyNumberFormat="1" applyFont="1" applyBorder="1"/>
    <xf numFmtId="176" fontId="0" fillId="5" borderId="16" xfId="40" applyNumberFormat="1" applyFont="1" applyFill="1" applyBorder="1" applyAlignment="1">
      <alignment horizontal="right"/>
    </xf>
    <xf numFmtId="191" fontId="84" fillId="0" borderId="0" xfId="0" applyNumberFormat="1" applyFont="1"/>
    <xf numFmtId="3" fontId="34" fillId="0" borderId="0" xfId="0" applyNumberFormat="1" applyFont="1"/>
    <xf numFmtId="9" fontId="34" fillId="0" borderId="0" xfId="40" applyFont="1"/>
    <xf numFmtId="3" fontId="34" fillId="0" borderId="0" xfId="40" applyNumberFormat="1" applyFont="1"/>
    <xf numFmtId="9" fontId="12" fillId="0" borderId="0" xfId="40" applyFont="1"/>
    <xf numFmtId="43" fontId="12" fillId="0" borderId="0" xfId="56" applyFont="1" applyAlignment="1">
      <alignment horizontal="left" indent="1"/>
    </xf>
    <xf numFmtId="43" fontId="5" fillId="0" borderId="0" xfId="56" applyFont="1" applyAlignment="1">
      <alignment horizontal="left" indent="2"/>
    </xf>
    <xf numFmtId="43" fontId="5" fillId="0" borderId="0" xfId="56" applyFont="1"/>
    <xf numFmtId="43" fontId="29" fillId="0" borderId="0" xfId="56" applyFont="1" applyAlignment="1">
      <alignment horizontal="left" indent="1"/>
    </xf>
    <xf numFmtId="43" fontId="29" fillId="0" borderId="12" xfId="56" applyFont="1" applyBorder="1"/>
    <xf numFmtId="43" fontId="29" fillId="0" borderId="0" xfId="56" applyFont="1"/>
    <xf numFmtId="43" fontId="5" fillId="0" borderId="0" xfId="56" applyFont="1" applyAlignment="1">
      <alignment horizontal="left" indent="1"/>
    </xf>
    <xf numFmtId="43" fontId="12" fillId="0" borderId="0" xfId="56" applyFont="1"/>
    <xf numFmtId="207" fontId="70" fillId="0" borderId="0" xfId="56" applyNumberFormat="1" applyFont="1"/>
    <xf numFmtId="207" fontId="70" fillId="0" borderId="0" xfId="56" applyNumberFormat="1" applyFont="1" applyProtection="1">
      <protection locked="0"/>
    </xf>
    <xf numFmtId="207" fontId="12" fillId="10" borderId="16" xfId="56" applyNumberFormat="1" applyFont="1" applyFill="1" applyBorder="1"/>
    <xf numFmtId="207" fontId="34" fillId="6" borderId="0" xfId="56" applyNumberFormat="1" applyFont="1" applyFill="1" applyProtection="1">
      <protection locked="0"/>
    </xf>
    <xf numFmtId="207" fontId="12" fillId="0" borderId="0" xfId="56" applyNumberFormat="1" applyFont="1" applyProtection="1">
      <protection locked="0"/>
    </xf>
    <xf numFmtId="207" fontId="34" fillId="0" borderId="0" xfId="56" applyNumberFormat="1" applyFont="1" applyProtection="1">
      <protection locked="0"/>
    </xf>
    <xf numFmtId="207" fontId="41" fillId="0" borderId="0" xfId="56" applyNumberFormat="1" applyFont="1"/>
    <xf numFmtId="207" fontId="38" fillId="0" borderId="0" xfId="56" applyNumberFormat="1" applyFont="1" applyProtection="1">
      <protection locked="0"/>
    </xf>
    <xf numFmtId="207" fontId="5" fillId="0" borderId="0" xfId="56" applyNumberFormat="1" applyFont="1"/>
    <xf numFmtId="207" fontId="34" fillId="0" borderId="0" xfId="56" applyNumberFormat="1" applyFont="1" applyAlignment="1" applyProtection="1">
      <alignment horizontal="right"/>
      <protection locked="0"/>
    </xf>
    <xf numFmtId="207" fontId="12" fillId="0" borderId="0" xfId="56" applyNumberFormat="1" applyFont="1" applyAlignment="1" applyProtection="1">
      <alignment horizontal="right"/>
      <protection locked="0"/>
    </xf>
    <xf numFmtId="207" fontId="34" fillId="0" borderId="0" xfId="56" applyNumberFormat="1" applyFont="1" applyFill="1" applyBorder="1" applyAlignment="1" applyProtection="1">
      <alignment horizontal="right"/>
      <protection locked="0"/>
    </xf>
    <xf numFmtId="207" fontId="12" fillId="0" borderId="0" xfId="56" applyNumberFormat="1" applyFont="1" applyFill="1" applyBorder="1" applyAlignment="1" applyProtection="1">
      <alignment horizontal="right"/>
      <protection locked="0"/>
    </xf>
    <xf numFmtId="207" fontId="34" fillId="0" borderId="0" xfId="56" quotePrefix="1" applyNumberFormat="1" applyFont="1" applyFill="1" applyBorder="1" applyAlignment="1" applyProtection="1">
      <alignment horizontal="right"/>
      <protection locked="0"/>
    </xf>
    <xf numFmtId="207" fontId="5" fillId="0" borderId="0" xfId="56" applyNumberFormat="1" applyFont="1" applyAlignment="1">
      <alignment horizontal="right"/>
    </xf>
    <xf numFmtId="207" fontId="70" fillId="0" borderId="0" xfId="56" applyNumberFormat="1" applyFont="1" applyFill="1" applyBorder="1" applyAlignment="1" applyProtection="1">
      <alignment horizontal="right"/>
      <protection locked="0"/>
    </xf>
    <xf numFmtId="207" fontId="41" fillId="0" borderId="0" xfId="56" applyNumberFormat="1" applyFont="1" applyAlignment="1">
      <alignment horizontal="right"/>
    </xf>
    <xf numFmtId="207" fontId="52" fillId="0" borderId="0" xfId="56" applyNumberFormat="1" applyFont="1"/>
    <xf numFmtId="207" fontId="29" fillId="0" borderId="12" xfId="56" applyNumberFormat="1" applyFont="1" applyBorder="1"/>
    <xf numFmtId="207" fontId="29" fillId="0" borderId="14" xfId="56" applyNumberFormat="1" applyFont="1" applyFill="1" applyBorder="1"/>
    <xf numFmtId="207" fontId="29" fillId="10" borderId="13" xfId="56" applyNumberFormat="1" applyFont="1" applyFill="1" applyBorder="1"/>
    <xf numFmtId="207" fontId="29" fillId="0" borderId="0" xfId="56" applyNumberFormat="1" applyFont="1"/>
    <xf numFmtId="207" fontId="69" fillId="0" borderId="0" xfId="56" quotePrefix="1" applyNumberFormat="1" applyFont="1" applyFill="1" applyBorder="1" applyAlignment="1" applyProtection="1">
      <alignment horizontal="right"/>
      <protection locked="0"/>
    </xf>
    <xf numFmtId="207" fontId="69" fillId="0" borderId="0" xfId="56" applyNumberFormat="1" applyFont="1" applyFill="1" applyBorder="1" applyAlignment="1" applyProtection="1">
      <alignment horizontal="right"/>
      <protection locked="0"/>
    </xf>
    <xf numFmtId="207" fontId="5" fillId="10" borderId="16" xfId="56" applyNumberFormat="1" applyFont="1" applyFill="1" applyBorder="1"/>
    <xf numFmtId="207" fontId="69" fillId="0" borderId="0" xfId="56" quotePrefix="1" applyNumberFormat="1" applyFont="1" applyFill="1" applyBorder="1" applyAlignment="1" applyProtection="1">
      <alignment horizontal="center"/>
      <protection locked="0"/>
    </xf>
    <xf numFmtId="207" fontId="5" fillId="0" borderId="0" xfId="56" applyNumberFormat="1" applyFont="1" applyAlignment="1">
      <alignment horizontal="left" indent="1"/>
    </xf>
    <xf numFmtId="207" fontId="5" fillId="0" borderId="0" xfId="56" applyNumberFormat="1" applyFont="1" applyFill="1" applyBorder="1"/>
    <xf numFmtId="207" fontId="15" fillId="0" borderId="14" xfId="56" applyNumberFormat="1" applyFont="1" applyFill="1" applyBorder="1"/>
    <xf numFmtId="207" fontId="34" fillId="0" borderId="0" xfId="56" quotePrefix="1" applyNumberFormat="1" applyFont="1" applyFill="1" applyBorder="1" applyAlignment="1" applyProtection="1">
      <alignment horizontal="center"/>
      <protection locked="0"/>
    </xf>
    <xf numFmtId="207" fontId="12" fillId="0" borderId="0" xfId="56" applyNumberFormat="1" applyFont="1"/>
    <xf numFmtId="207" fontId="12" fillId="0" borderId="0" xfId="56" quotePrefix="1" applyNumberFormat="1" applyFont="1" applyFill="1" applyBorder="1" applyAlignment="1" applyProtection="1">
      <alignment horizontal="right"/>
      <protection locked="0"/>
    </xf>
    <xf numFmtId="207" fontId="12" fillId="0" borderId="0" xfId="56" applyNumberFormat="1" applyFont="1" applyAlignment="1">
      <alignment horizontal="left"/>
    </xf>
    <xf numFmtId="207" fontId="12" fillId="0" borderId="0" xfId="56" applyNumberFormat="1" applyFont="1" applyAlignment="1">
      <alignment horizontal="right"/>
    </xf>
    <xf numFmtId="43" fontId="33" fillId="0" borderId="0" xfId="56" applyFont="1"/>
    <xf numFmtId="43" fontId="33" fillId="0" borderId="0" xfId="56" applyFont="1" applyAlignment="1">
      <alignment horizontal="left" indent="1"/>
    </xf>
    <xf numFmtId="43" fontId="0" fillId="0" borderId="0" xfId="56" applyFont="1" applyAlignment="1">
      <alignment horizontal="left" indent="1"/>
    </xf>
    <xf numFmtId="43" fontId="5" fillId="0" borderId="0" xfId="56" applyFont="1" applyFill="1" applyBorder="1" applyAlignment="1">
      <alignment horizontal="left" indent="1"/>
    </xf>
    <xf numFmtId="207" fontId="64" fillId="0" borderId="0" xfId="56" applyNumberFormat="1" applyFont="1"/>
    <xf numFmtId="207" fontId="33" fillId="0" borderId="0" xfId="56" applyNumberFormat="1" applyFont="1" applyAlignment="1">
      <alignment horizontal="left" indent="1"/>
    </xf>
    <xf numFmtId="207" fontId="33" fillId="0" borderId="0" xfId="56" applyNumberFormat="1" applyFont="1" applyFill="1" applyBorder="1"/>
    <xf numFmtId="207" fontId="61" fillId="0" borderId="0" xfId="56" applyNumberFormat="1" applyFont="1" applyFill="1" applyBorder="1"/>
    <xf numFmtId="207" fontId="33" fillId="10" borderId="16" xfId="56" applyNumberFormat="1" applyFont="1" applyFill="1" applyBorder="1"/>
    <xf numFmtId="207" fontId="33" fillId="0" borderId="0" xfId="56" applyNumberFormat="1" applyFont="1"/>
    <xf numFmtId="207" fontId="0" fillId="0" borderId="0" xfId="56" applyNumberFormat="1" applyFont="1" applyAlignment="1">
      <alignment horizontal="left" indent="1"/>
    </xf>
    <xf numFmtId="207" fontId="34" fillId="0" borderId="0" xfId="56" applyNumberFormat="1" applyFont="1" applyFill="1" applyBorder="1"/>
    <xf numFmtId="207" fontId="42" fillId="0" borderId="0" xfId="56" applyNumberFormat="1" applyFont="1"/>
    <xf numFmtId="207" fontId="41" fillId="0" borderId="0" xfId="0" applyNumberFormat="1" applyFont="1"/>
    <xf numFmtId="207" fontId="69" fillId="0" borderId="0" xfId="57" applyNumberFormat="1" applyFont="1">
      <protection locked="0"/>
    </xf>
    <xf numFmtId="207" fontId="5" fillId="10" borderId="16" xfId="58" applyNumberFormat="1" applyFont="1" applyFill="1" applyBorder="1"/>
    <xf numFmtId="207" fontId="5" fillId="0" borderId="0" xfId="0" applyNumberFormat="1" applyFont="1"/>
    <xf numFmtId="43" fontId="0" fillId="0" borderId="0" xfId="56" applyFont="1"/>
    <xf numFmtId="43" fontId="5" fillId="3" borderId="0" xfId="56" applyFont="1" applyFill="1" applyAlignment="1">
      <alignment horizontal="left" indent="1"/>
    </xf>
    <xf numFmtId="43" fontId="5" fillId="3" borderId="0" xfId="56" applyFont="1" applyFill="1"/>
    <xf numFmtId="207" fontId="5" fillId="10" borderId="16" xfId="56" applyNumberFormat="1" applyFont="1" applyFill="1" applyBorder="1" applyAlignment="1">
      <alignment horizontal="right"/>
    </xf>
    <xf numFmtId="207" fontId="12" fillId="10" borderId="16" xfId="56" applyNumberFormat="1" applyFont="1" applyFill="1" applyBorder="1" applyAlignment="1">
      <alignment horizontal="right"/>
    </xf>
    <xf numFmtId="207" fontId="29" fillId="10" borderId="13" xfId="56" applyNumberFormat="1" applyFont="1" applyFill="1" applyBorder="1" applyAlignment="1">
      <alignment horizontal="right"/>
    </xf>
    <xf numFmtId="207" fontId="69" fillId="0" borderId="0" xfId="56" applyNumberFormat="1" applyFont="1" applyProtection="1">
      <protection locked="0"/>
    </xf>
    <xf numFmtId="207" fontId="69" fillId="0" borderId="0" xfId="56" applyNumberFormat="1" applyFont="1" applyAlignment="1" applyProtection="1">
      <alignment horizontal="right"/>
      <protection locked="0"/>
    </xf>
    <xf numFmtId="207" fontId="29" fillId="10" borderId="16" xfId="56" applyNumberFormat="1" applyFont="1" applyFill="1" applyBorder="1" applyAlignment="1">
      <alignment horizontal="right"/>
    </xf>
    <xf numFmtId="207" fontId="38" fillId="0" borderId="0" xfId="56" quotePrefix="1" applyNumberFormat="1" applyFont="1" applyFill="1" applyBorder="1" applyAlignment="1" applyProtection="1">
      <alignment horizontal="right"/>
      <protection locked="0"/>
    </xf>
    <xf numFmtId="207" fontId="41" fillId="3" borderId="0" xfId="56" applyNumberFormat="1" applyFont="1" applyFill="1" applyAlignment="1">
      <alignment horizontal="left"/>
    </xf>
    <xf numFmtId="207" fontId="34" fillId="3" borderId="0" xfId="56" quotePrefix="1" applyNumberFormat="1" applyFont="1" applyFill="1" applyBorder="1" applyAlignment="1" applyProtection="1">
      <alignment horizontal="right"/>
      <protection locked="0"/>
    </xf>
    <xf numFmtId="207" fontId="12" fillId="3" borderId="0" xfId="56" quotePrefix="1" applyNumberFormat="1" applyFont="1" applyFill="1" applyBorder="1" applyAlignment="1" applyProtection="1">
      <alignment horizontal="right"/>
      <protection locked="0"/>
    </xf>
    <xf numFmtId="207" fontId="5" fillId="3" borderId="0" xfId="56" applyNumberFormat="1" applyFont="1" applyFill="1"/>
    <xf numFmtId="43" fontId="61" fillId="0" borderId="0" xfId="56" applyFont="1" applyFill="1" applyBorder="1" applyProtection="1">
      <protection locked="0"/>
    </xf>
    <xf numFmtId="43" fontId="33" fillId="0" borderId="0" xfId="56" quotePrefix="1" applyFont="1" applyAlignment="1">
      <alignment horizontal="left"/>
    </xf>
    <xf numFmtId="43" fontId="33" fillId="0" borderId="0" xfId="56" applyFont="1" applyAlignment="1">
      <alignment horizontal="left"/>
    </xf>
    <xf numFmtId="43" fontId="5" fillId="0" borderId="0" xfId="56" applyFont="1" applyBorder="1" applyAlignment="1">
      <alignment horizontal="left" indent="1"/>
    </xf>
    <xf numFmtId="43" fontId="5" fillId="0" borderId="0" xfId="56" applyFont="1" applyBorder="1" applyAlignment="1">
      <alignment horizontal="left"/>
    </xf>
    <xf numFmtId="43" fontId="12" fillId="0" borderId="12" xfId="56" applyFont="1" applyBorder="1"/>
    <xf numFmtId="43" fontId="5" fillId="0" borderId="0" xfId="56" applyFont="1" applyBorder="1"/>
    <xf numFmtId="43" fontId="5" fillId="0" borderId="12" xfId="56" applyFont="1" applyFill="1" applyBorder="1"/>
    <xf numFmtId="43" fontId="5" fillId="0" borderId="12" xfId="56" applyFont="1" applyBorder="1"/>
    <xf numFmtId="43" fontId="29" fillId="0" borderId="0" xfId="56" applyFont="1" applyAlignment="1">
      <alignment horizontal="left"/>
    </xf>
    <xf numFmtId="9" fontId="34" fillId="0" borderId="14" xfId="58" applyFont="1" applyFill="1" applyBorder="1" applyAlignment="1" applyProtection="1">
      <alignment horizontal="right"/>
      <protection locked="0"/>
    </xf>
    <xf numFmtId="175" fontId="34" fillId="0" borderId="14" xfId="57" applyNumberFormat="1" applyFont="1" applyBorder="1">
      <protection locked="0"/>
    </xf>
    <xf numFmtId="9" fontId="34" fillId="0" borderId="0" xfId="40" applyFont="1" applyFill="1" applyBorder="1" applyProtection="1">
      <protection locked="0"/>
    </xf>
    <xf numFmtId="9" fontId="34" fillId="10" borderId="16" xfId="40" applyFont="1" applyFill="1" applyBorder="1" applyAlignment="1">
      <alignment horizontal="right"/>
    </xf>
    <xf numFmtId="207" fontId="29" fillId="0" borderId="0" xfId="0" applyNumberFormat="1" applyFont="1"/>
    <xf numFmtId="176" fontId="52" fillId="0" borderId="0" xfId="58" applyNumberFormat="1" applyFont="1"/>
    <xf numFmtId="176" fontId="29" fillId="0" borderId="0" xfId="56" applyNumberFormat="1" applyFont="1" applyAlignment="1">
      <alignment horizontal="left" indent="1"/>
    </xf>
    <xf numFmtId="176" fontId="44" fillId="0" borderId="0" xfId="58" quotePrefix="1" applyNumberFormat="1" applyFont="1" applyFill="1" applyBorder="1" applyAlignment="1" applyProtection="1">
      <alignment horizontal="right"/>
      <protection locked="0"/>
    </xf>
    <xf numFmtId="176" fontId="44" fillId="0" borderId="0" xfId="58" applyNumberFormat="1" applyFont="1" applyFill="1" applyBorder="1" applyAlignment="1" applyProtection="1">
      <alignment horizontal="right"/>
      <protection locked="0"/>
    </xf>
    <xf numFmtId="176" fontId="15" fillId="0" borderId="0" xfId="58" applyNumberFormat="1" applyFont="1" applyFill="1" applyBorder="1" applyAlignment="1" applyProtection="1">
      <protection locked="0"/>
    </xf>
    <xf numFmtId="176" fontId="15" fillId="10" borderId="16" xfId="58" applyNumberFormat="1" applyFont="1" applyFill="1" applyBorder="1" applyAlignment="1">
      <alignment horizontal="right"/>
    </xf>
    <xf numFmtId="176" fontId="29" fillId="0" borderId="0" xfId="0" applyNumberFormat="1" applyFont="1"/>
    <xf numFmtId="39" fontId="34" fillId="3" borderId="0" xfId="66" applyNumberFormat="1" applyFont="1" applyFill="1" applyBorder="1" applyAlignment="1" applyProtection="1">
      <alignment horizontal="right"/>
      <protection locked="0"/>
    </xf>
    <xf numFmtId="43" fontId="44" fillId="0" borderId="0" xfId="56" applyFont="1" applyProtection="1">
      <protection locked="0"/>
    </xf>
    <xf numFmtId="43" fontId="29" fillId="0" borderId="12" xfId="56" applyFont="1" applyBorder="1" applyAlignment="1">
      <alignment horizontal="left"/>
    </xf>
    <xf numFmtId="43" fontId="74" fillId="0" borderId="0" xfId="56" applyFont="1" applyFill="1" applyBorder="1" applyProtection="1">
      <protection locked="0"/>
    </xf>
    <xf numFmtId="43" fontId="29" fillId="3" borderId="0" xfId="56" applyFont="1" applyFill="1"/>
    <xf numFmtId="43" fontId="0" fillId="3" borderId="0" xfId="56" applyFont="1" applyFill="1" applyAlignment="1">
      <alignment horizontal="left" indent="1"/>
    </xf>
    <xf numFmtId="176" fontId="41" fillId="0" borderId="0" xfId="0" applyNumberFormat="1" applyFont="1"/>
    <xf numFmtId="9" fontId="57" fillId="0" borderId="0" xfId="40" applyFont="1" applyAlignment="1" applyProtection="1">
      <alignment horizontal="right"/>
      <protection locked="0"/>
    </xf>
    <xf numFmtId="10" fontId="34" fillId="0" borderId="0" xfId="57" applyNumberFormat="1" applyFont="1" applyAlignment="1">
      <alignment horizontal="right"/>
      <protection locked="0"/>
    </xf>
    <xf numFmtId="10" fontId="34" fillId="0" borderId="0" xfId="57" applyNumberFormat="1" applyFont="1">
      <protection locked="0"/>
    </xf>
    <xf numFmtId="43" fontId="12" fillId="0" borderId="0" xfId="56" applyFont="1" applyAlignment="1">
      <alignment horizontal="left" indent="2"/>
    </xf>
    <xf numFmtId="197" fontId="64" fillId="0" borderId="0" xfId="56" applyNumberFormat="1" applyFont="1"/>
    <xf numFmtId="197" fontId="57" fillId="0" borderId="0" xfId="56" applyNumberFormat="1" applyFont="1" applyProtection="1">
      <protection locked="0"/>
    </xf>
    <xf numFmtId="197" fontId="57" fillId="0" borderId="0" xfId="56" applyNumberFormat="1" applyFont="1" applyAlignment="1" applyProtection="1">
      <alignment horizontal="right"/>
      <protection locked="0"/>
    </xf>
    <xf numFmtId="197" fontId="33" fillId="10" borderId="16" xfId="56" applyNumberFormat="1" applyFont="1" applyFill="1" applyBorder="1"/>
    <xf numFmtId="197" fontId="38" fillId="0" borderId="0" xfId="56" applyNumberFormat="1" applyFont="1" applyProtection="1">
      <protection locked="0"/>
    </xf>
    <xf numFmtId="197" fontId="0" fillId="10" borderId="16" xfId="56" applyNumberFormat="1" applyFont="1" applyFill="1" applyBorder="1"/>
    <xf numFmtId="197" fontId="33" fillId="0" borderId="0" xfId="56" applyNumberFormat="1" applyFont="1"/>
    <xf numFmtId="197" fontId="12" fillId="0" borderId="0" xfId="56" applyNumberFormat="1" applyFont="1" applyProtection="1">
      <protection locked="0"/>
    </xf>
    <xf numFmtId="197" fontId="41" fillId="0" borderId="0" xfId="0" applyNumberFormat="1" applyFont="1"/>
    <xf numFmtId="197" fontId="12" fillId="0" borderId="14" xfId="57" applyNumberFormat="1" applyFont="1" applyBorder="1">
      <protection locked="0"/>
    </xf>
    <xf numFmtId="197" fontId="5" fillId="10" borderId="13" xfId="0" applyNumberFormat="1" applyFont="1" applyFill="1" applyBorder="1"/>
    <xf numFmtId="197" fontId="5" fillId="0" borderId="0" xfId="0" applyNumberFormat="1" applyFont="1"/>
    <xf numFmtId="197" fontId="5" fillId="10" borderId="13" xfId="0" applyNumberFormat="1" applyFont="1" applyFill="1" applyBorder="1" applyAlignment="1">
      <alignment horizontal="right"/>
    </xf>
    <xf numFmtId="207" fontId="34" fillId="0" borderId="0" xfId="57" applyNumberFormat="1" applyFont="1">
      <protection locked="0"/>
    </xf>
    <xf numFmtId="207" fontId="34" fillId="0" borderId="0" xfId="57" applyNumberFormat="1" applyFont="1" applyAlignment="1">
      <alignment horizontal="right"/>
      <protection locked="0"/>
    </xf>
    <xf numFmtId="207" fontId="29" fillId="10" borderId="16" xfId="0" applyNumberFormat="1" applyFont="1" applyFill="1" applyBorder="1"/>
    <xf numFmtId="207" fontId="0" fillId="10" borderId="16" xfId="0" applyNumberFormat="1" applyFill="1" applyBorder="1"/>
    <xf numFmtId="207" fontId="12" fillId="0" borderId="0" xfId="57" applyNumberFormat="1" applyFont="1">
      <protection locked="0"/>
    </xf>
    <xf numFmtId="207" fontId="5" fillId="10" borderId="16" xfId="0" applyNumberFormat="1" applyFont="1" applyFill="1" applyBorder="1"/>
    <xf numFmtId="207" fontId="38" fillId="0" borderId="0" xfId="57" applyNumberFormat="1" applyFont="1">
      <protection locked="0"/>
    </xf>
    <xf numFmtId="207" fontId="5" fillId="10" borderId="16" xfId="0" applyNumberFormat="1" applyFont="1" applyFill="1" applyBorder="1" applyAlignment="1">
      <alignment horizontal="right"/>
    </xf>
    <xf numFmtId="207" fontId="70" fillId="0" borderId="0" xfId="57" applyNumberFormat="1" applyFont="1">
      <protection locked="0"/>
    </xf>
    <xf numFmtId="207" fontId="70" fillId="0" borderId="0" xfId="57" applyNumberFormat="1" applyFont="1" applyAlignment="1">
      <alignment horizontal="right"/>
      <protection locked="0"/>
    </xf>
    <xf numFmtId="207" fontId="29" fillId="10" borderId="16" xfId="40" applyNumberFormat="1" applyFont="1" applyFill="1" applyBorder="1"/>
    <xf numFmtId="207" fontId="15" fillId="0" borderId="0" xfId="57" applyNumberFormat="1" applyFont="1" applyAlignment="1">
      <alignment horizontal="centerContinuous"/>
      <protection locked="0"/>
    </xf>
    <xf numFmtId="207" fontId="79" fillId="0" borderId="0" xfId="57" applyNumberFormat="1" applyFont="1" applyAlignment="1">
      <alignment horizontal="centerContinuous"/>
      <protection locked="0"/>
    </xf>
    <xf numFmtId="207" fontId="69" fillId="0" borderId="0" xfId="57" applyNumberFormat="1" applyFont="1" applyAlignment="1">
      <alignment horizontal="right"/>
      <protection locked="0"/>
    </xf>
    <xf numFmtId="207" fontId="44" fillId="0" borderId="0" xfId="58" applyNumberFormat="1" applyFont="1" applyFill="1" applyProtection="1">
      <protection locked="0"/>
    </xf>
    <xf numFmtId="9" fontId="69" fillId="3" borderId="0" xfId="58" quotePrefix="1" applyFont="1" applyFill="1" applyBorder="1" applyAlignment="1" applyProtection="1">
      <alignment horizontal="right"/>
      <protection locked="0"/>
    </xf>
    <xf numFmtId="9" fontId="69" fillId="3" borderId="0" xfId="58" applyFont="1" applyFill="1" applyBorder="1" applyAlignment="1" applyProtection="1">
      <alignment horizontal="right"/>
      <protection locked="0"/>
    </xf>
    <xf numFmtId="9" fontId="74" fillId="3" borderId="0" xfId="58" quotePrefix="1" applyFont="1" applyFill="1" applyBorder="1" applyAlignment="1" applyProtection="1">
      <alignment horizontal="right"/>
      <protection locked="0"/>
    </xf>
    <xf numFmtId="9" fontId="74" fillId="3" borderId="0" xfId="58" applyFont="1" applyFill="1" applyBorder="1" applyAlignment="1" applyProtection="1">
      <alignment horizontal="right"/>
      <protection locked="0"/>
    </xf>
    <xf numFmtId="196" fontId="44" fillId="3" borderId="14" xfId="57" applyNumberFormat="1" applyFont="1" applyFill="1" applyBorder="1" applyAlignment="1">
      <alignment horizontal="right"/>
      <protection locked="0"/>
    </xf>
    <xf numFmtId="7" fontId="69" fillId="3" borderId="0" xfId="58" applyNumberFormat="1" applyFont="1" applyFill="1" applyBorder="1" applyAlignment="1" applyProtection="1">
      <alignment horizontal="right"/>
      <protection locked="0"/>
    </xf>
    <xf numFmtId="39" fontId="15" fillId="3" borderId="0" xfId="58" quotePrefix="1" applyNumberFormat="1" applyFont="1" applyFill="1" applyBorder="1" applyAlignment="1" applyProtection="1">
      <alignment horizontal="centerContinuous"/>
      <protection locked="0"/>
    </xf>
    <xf numFmtId="207" fontId="34" fillId="3" borderId="0" xfId="57" applyNumberFormat="1" applyFont="1" applyFill="1">
      <protection locked="0"/>
    </xf>
    <xf numFmtId="207" fontId="52" fillId="0" borderId="0" xfId="56" applyNumberFormat="1" applyFont="1" applyAlignment="1">
      <alignment horizontal="right"/>
    </xf>
    <xf numFmtId="207" fontId="44" fillId="0" borderId="14" xfId="56" applyNumberFormat="1" applyFont="1" applyBorder="1" applyAlignment="1" applyProtection="1">
      <alignment horizontal="right"/>
      <protection locked="0"/>
    </xf>
    <xf numFmtId="207" fontId="15" fillId="10" borderId="13" xfId="56" applyNumberFormat="1" applyFont="1" applyFill="1" applyBorder="1" applyAlignment="1"/>
    <xf numFmtId="207" fontId="44" fillId="3" borderId="14" xfId="56" applyNumberFormat="1" applyFont="1" applyFill="1" applyBorder="1" applyAlignment="1" applyProtection="1">
      <alignment horizontal="right"/>
      <protection locked="0"/>
    </xf>
    <xf numFmtId="207" fontId="44" fillId="0" borderId="0" xfId="56" applyNumberFormat="1" applyFont="1" applyAlignment="1" applyProtection="1">
      <alignment horizontal="right"/>
      <protection locked="0"/>
    </xf>
    <xf numFmtId="207" fontId="12" fillId="10" borderId="16" xfId="0" applyNumberFormat="1" applyFont="1" applyFill="1" applyBorder="1"/>
    <xf numFmtId="207" fontId="12" fillId="0" borderId="0" xfId="58" quotePrefix="1" applyNumberFormat="1" applyFont="1" applyFill="1" applyBorder="1" applyAlignment="1" applyProtection="1">
      <alignment horizontal="right"/>
      <protection locked="0"/>
    </xf>
    <xf numFmtId="207" fontId="12" fillId="3" borderId="0" xfId="58" quotePrefix="1" applyNumberFormat="1" applyFont="1" applyFill="1" applyBorder="1" applyAlignment="1" applyProtection="1">
      <alignment horizontal="right"/>
      <protection locked="0"/>
    </xf>
    <xf numFmtId="207" fontId="12" fillId="0" borderId="0" xfId="58" applyNumberFormat="1" applyFont="1" applyFill="1" applyBorder="1" applyAlignment="1" applyProtection="1">
      <alignment horizontal="right"/>
      <protection locked="0"/>
    </xf>
    <xf numFmtId="207" fontId="12" fillId="0" borderId="0" xfId="0" applyNumberFormat="1" applyFont="1"/>
    <xf numFmtId="207" fontId="69" fillId="0" borderId="0" xfId="58" quotePrefix="1" applyNumberFormat="1" applyFont="1" applyFill="1" applyBorder="1" applyAlignment="1" applyProtection="1">
      <alignment horizontal="right"/>
      <protection locked="0"/>
    </xf>
    <xf numFmtId="207" fontId="69" fillId="0" borderId="0" xfId="58" applyNumberFormat="1" applyFont="1" applyFill="1" applyBorder="1" applyAlignment="1" applyProtection="1">
      <alignment horizontal="right"/>
      <protection locked="0"/>
    </xf>
    <xf numFmtId="207" fontId="38" fillId="0" borderId="0" xfId="58" quotePrefix="1" applyNumberFormat="1" applyFont="1" applyFill="1" applyBorder="1" applyAlignment="1" applyProtection="1">
      <alignment horizontal="right"/>
      <protection locked="0"/>
    </xf>
    <xf numFmtId="207" fontId="38" fillId="3" borderId="0" xfId="58" quotePrefix="1" applyNumberFormat="1" applyFont="1" applyFill="1" applyBorder="1" applyAlignment="1" applyProtection="1">
      <alignment horizontal="right"/>
      <protection locked="0"/>
    </xf>
    <xf numFmtId="207" fontId="12" fillId="0" borderId="0" xfId="57" applyNumberFormat="1" applyFont="1" applyAlignment="1">
      <alignment horizontal="right"/>
      <protection locked="0"/>
    </xf>
    <xf numFmtId="207" fontId="5" fillId="10" borderId="17" xfId="0" applyNumberFormat="1" applyFont="1" applyFill="1" applyBorder="1"/>
    <xf numFmtId="207" fontId="15" fillId="0" borderId="14" xfId="58" quotePrefix="1" applyNumberFormat="1" applyFont="1" applyFill="1" applyBorder="1" applyAlignment="1" applyProtection="1">
      <protection locked="0"/>
    </xf>
    <xf numFmtId="207" fontId="15" fillId="10" borderId="13" xfId="58" applyNumberFormat="1" applyFont="1" applyFill="1" applyBorder="1" applyAlignment="1"/>
    <xf numFmtId="207" fontId="15" fillId="3" borderId="14" xfId="58" quotePrefix="1" applyNumberFormat="1" applyFont="1" applyFill="1" applyBorder="1" applyAlignment="1" applyProtection="1">
      <protection locked="0"/>
    </xf>
    <xf numFmtId="207" fontId="15" fillId="0" borderId="14" xfId="58" quotePrefix="1" applyNumberFormat="1" applyFont="1" applyFill="1" applyBorder="1" applyAlignment="1" applyProtection="1">
      <alignment horizontal="right"/>
      <protection locked="0"/>
    </xf>
    <xf numFmtId="207" fontId="15" fillId="10" borderId="13" xfId="58" applyNumberFormat="1" applyFont="1" applyFill="1" applyBorder="1" applyAlignment="1">
      <alignment horizontal="right"/>
    </xf>
    <xf numFmtId="207" fontId="15" fillId="0" borderId="0" xfId="58" quotePrefix="1" applyNumberFormat="1" applyFont="1" applyFill="1" applyBorder="1" applyAlignment="1" applyProtection="1">
      <protection locked="0"/>
    </xf>
    <xf numFmtId="207" fontId="41" fillId="0" borderId="0" xfId="0" applyNumberFormat="1" applyFont="1" applyAlignment="1">
      <alignment horizontal="left"/>
    </xf>
    <xf numFmtId="207" fontId="29" fillId="10" borderId="13" xfId="58" applyNumberFormat="1" applyFont="1" applyFill="1" applyBorder="1" applyAlignment="1"/>
    <xf numFmtId="207" fontId="52" fillId="0" borderId="0" xfId="0" applyNumberFormat="1" applyFont="1"/>
    <xf numFmtId="207" fontId="79" fillId="0" borderId="0" xfId="58" quotePrefix="1" applyNumberFormat="1" applyFont="1" applyFill="1" applyBorder="1" applyAlignment="1" applyProtection="1">
      <protection locked="0"/>
    </xf>
    <xf numFmtId="207" fontId="12" fillId="0" borderId="14" xfId="58" quotePrefix="1" applyNumberFormat="1" applyFont="1" applyFill="1" applyBorder="1" applyAlignment="1" applyProtection="1">
      <protection locked="0"/>
    </xf>
    <xf numFmtId="207" fontId="5" fillId="10" borderId="13" xfId="0" applyNumberFormat="1" applyFont="1" applyFill="1" applyBorder="1" applyAlignment="1">
      <alignment horizontal="right"/>
    </xf>
    <xf numFmtId="207" fontId="5" fillId="10" borderId="13" xfId="58" applyNumberFormat="1" applyFont="1" applyFill="1" applyBorder="1" applyAlignment="1"/>
    <xf numFmtId="207" fontId="12" fillId="0" borderId="0" xfId="58" quotePrefix="1" applyNumberFormat="1" applyFont="1" applyFill="1" applyBorder="1" applyAlignment="1" applyProtection="1">
      <protection locked="0"/>
    </xf>
    <xf numFmtId="207" fontId="69" fillId="0" borderId="14" xfId="58" quotePrefix="1" applyNumberFormat="1" applyFont="1" applyFill="1" applyBorder="1" applyAlignment="1" applyProtection="1">
      <alignment horizontal="right"/>
      <protection locked="0"/>
    </xf>
    <xf numFmtId="207" fontId="69" fillId="0" borderId="14" xfId="58" applyNumberFormat="1" applyFont="1" applyFill="1" applyBorder="1" applyAlignment="1" applyProtection="1">
      <alignment horizontal="right"/>
      <protection locked="0"/>
    </xf>
    <xf numFmtId="207" fontId="79" fillId="0" borderId="14" xfId="58" quotePrefix="1" applyNumberFormat="1" applyFont="1" applyFill="1" applyBorder="1" applyAlignment="1" applyProtection="1">
      <protection locked="0"/>
    </xf>
    <xf numFmtId="207" fontId="39" fillId="0" borderId="14" xfId="58" quotePrefix="1" applyNumberFormat="1" applyFont="1" applyFill="1" applyBorder="1" applyAlignment="1" applyProtection="1">
      <protection locked="0"/>
    </xf>
    <xf numFmtId="43" fontId="29" fillId="0" borderId="12" xfId="56" applyFont="1" applyBorder="1" applyAlignment="1">
      <alignment horizontal="left" indent="1"/>
    </xf>
    <xf numFmtId="43" fontId="15" fillId="0" borderId="12" xfId="56" applyFont="1" applyBorder="1"/>
    <xf numFmtId="43" fontId="15" fillId="0" borderId="12" xfId="56" applyFont="1" applyBorder="1" applyAlignment="1">
      <alignment horizontal="left" indent="1"/>
    </xf>
    <xf numFmtId="43" fontId="74" fillId="0" borderId="0" xfId="56" applyFont="1" applyFill="1" applyBorder="1" applyAlignment="1" applyProtection="1">
      <alignment horizontal="left"/>
      <protection locked="0"/>
    </xf>
    <xf numFmtId="43" fontId="0" fillId="0" borderId="12" xfId="56" applyFont="1" applyBorder="1" applyAlignment="1">
      <alignment horizontal="left"/>
    </xf>
    <xf numFmtId="43" fontId="74" fillId="0" borderId="0" xfId="56" applyFont="1" applyFill="1" applyBorder="1" applyAlignment="1" applyProtection="1">
      <alignment horizontal="left" indent="1"/>
      <protection locked="0"/>
    </xf>
    <xf numFmtId="43" fontId="12" fillId="0" borderId="0" xfId="56" applyFont="1" applyFill="1" applyBorder="1" applyProtection="1">
      <protection locked="0"/>
    </xf>
    <xf numFmtId="43" fontId="44" fillId="0" borderId="0" xfId="56" applyFont="1" applyFill="1" applyBorder="1" applyProtection="1">
      <protection locked="0"/>
    </xf>
    <xf numFmtId="43" fontId="69" fillId="0" borderId="0" xfId="56" applyFont="1" applyFill="1" applyBorder="1" applyAlignment="1" applyProtection="1">
      <alignment horizontal="left" indent="1"/>
      <protection locked="0"/>
    </xf>
    <xf numFmtId="43" fontId="12" fillId="0" borderId="0" xfId="56" applyFont="1" applyFill="1" applyBorder="1" applyAlignment="1" applyProtection="1">
      <alignment horizontal="left"/>
      <protection locked="0"/>
    </xf>
    <xf numFmtId="43" fontId="0" fillId="0" borderId="0" xfId="56" applyFont="1" applyAlignment="1">
      <alignment horizontal="left" indent="2"/>
    </xf>
    <xf numFmtId="43" fontId="56" fillId="0" borderId="0" xfId="56" applyFont="1"/>
    <xf numFmtId="173" fontId="29" fillId="0" borderId="0" xfId="0" applyNumberFormat="1" applyFont="1" applyAlignment="1">
      <alignment horizontal="left" indent="1"/>
    </xf>
    <xf numFmtId="0" fontId="29" fillId="0" borderId="13" xfId="0" applyFont="1" applyBorder="1" applyAlignment="1">
      <alignment horizontal="left" indent="1"/>
    </xf>
    <xf numFmtId="0" fontId="29" fillId="0" borderId="14" xfId="0" applyFont="1" applyBorder="1"/>
    <xf numFmtId="0" fontId="29" fillId="5" borderId="13" xfId="0" applyFont="1" applyFill="1" applyBorder="1"/>
    <xf numFmtId="182" fontId="15" fillId="0" borderId="14" xfId="0" applyNumberFormat="1" applyFont="1" applyBorder="1"/>
    <xf numFmtId="182" fontId="15" fillId="5" borderId="13" xfId="0" applyNumberFormat="1" applyFont="1" applyFill="1" applyBorder="1"/>
    <xf numFmtId="176" fontId="12" fillId="9" borderId="16" xfId="0" applyNumberFormat="1" applyFont="1" applyFill="1" applyBorder="1" applyAlignment="1">
      <alignment horizontal="right"/>
    </xf>
    <xf numFmtId="0" fontId="29" fillId="0" borderId="13" xfId="0" applyFont="1" applyBorder="1"/>
    <xf numFmtId="0" fontId="36" fillId="0" borderId="14" xfId="0" applyFont="1" applyBorder="1"/>
    <xf numFmtId="3" fontId="29" fillId="5" borderId="13" xfId="0" applyNumberFormat="1" applyFont="1" applyFill="1" applyBorder="1"/>
    <xf numFmtId="3" fontId="36" fillId="0" borderId="14" xfId="0" applyNumberFormat="1" applyFont="1" applyBorder="1"/>
    <xf numFmtId="197" fontId="36" fillId="0" borderId="14" xfId="56" applyNumberFormat="1" applyFont="1" applyFill="1" applyBorder="1"/>
    <xf numFmtId="3" fontId="29" fillId="0" borderId="14" xfId="0" applyNumberFormat="1" applyFont="1" applyBorder="1"/>
    <xf numFmtId="3" fontId="36" fillId="3" borderId="14" xfId="0" applyNumberFormat="1" applyFont="1" applyFill="1" applyBorder="1"/>
    <xf numFmtId="9" fontId="61" fillId="3" borderId="0" xfId="40" applyFont="1" applyFill="1" applyBorder="1" applyAlignment="1" applyProtection="1">
      <alignment horizontal="right"/>
      <protection locked="0"/>
    </xf>
    <xf numFmtId="9" fontId="74" fillId="3" borderId="0" xfId="40" applyFont="1" applyFill="1" applyAlignment="1" applyProtection="1">
      <alignment horizontal="right"/>
      <protection locked="0"/>
    </xf>
    <xf numFmtId="199" fontId="44" fillId="3" borderId="0" xfId="57" applyNumberFormat="1" applyFont="1" applyFill="1" applyAlignment="1">
      <alignment horizontal="center"/>
      <protection locked="0"/>
    </xf>
    <xf numFmtId="9" fontId="74" fillId="3" borderId="0" xfId="40" applyFont="1" applyFill="1" applyBorder="1" applyAlignment="1" applyProtection="1">
      <alignment horizontal="right"/>
      <protection locked="0"/>
    </xf>
    <xf numFmtId="9" fontId="61" fillId="3" borderId="0" xfId="58" applyFont="1" applyFill="1" applyBorder="1" applyAlignment="1" applyProtection="1">
      <alignment horizontal="right"/>
      <protection locked="0"/>
    </xf>
    <xf numFmtId="9" fontId="12" fillId="3" borderId="0" xfId="58" applyFont="1" applyFill="1" applyBorder="1" applyAlignment="1" applyProtection="1">
      <alignment horizontal="right"/>
      <protection locked="0"/>
    </xf>
    <xf numFmtId="196" fontId="0" fillId="0" borderId="12" xfId="56" applyNumberFormat="1" applyFont="1" applyBorder="1" applyAlignment="1">
      <alignment horizontal="left"/>
    </xf>
    <xf numFmtId="196" fontId="34" fillId="3" borderId="14" xfId="58" quotePrefix="1" applyNumberFormat="1" applyFont="1" applyFill="1" applyBorder="1" applyAlignment="1" applyProtection="1">
      <protection locked="0"/>
    </xf>
    <xf numFmtId="196" fontId="70" fillId="0" borderId="14" xfId="58" quotePrefix="1" applyNumberFormat="1" applyFont="1" applyFill="1" applyBorder="1" applyAlignment="1" applyProtection="1">
      <protection locked="0"/>
    </xf>
    <xf numFmtId="207" fontId="0" fillId="0" borderId="12" xfId="56" applyNumberFormat="1" applyFont="1" applyBorder="1" applyAlignment="1">
      <alignment horizontal="left"/>
    </xf>
    <xf numFmtId="207" fontId="34" fillId="0" borderId="14" xfId="56" quotePrefix="1" applyNumberFormat="1" applyFont="1" applyFill="1" applyBorder="1" applyAlignment="1" applyProtection="1">
      <protection locked="0"/>
    </xf>
    <xf numFmtId="207" fontId="5" fillId="10" borderId="13" xfId="56" applyNumberFormat="1" applyFont="1" applyFill="1" applyBorder="1" applyAlignment="1"/>
    <xf numFmtId="207" fontId="5" fillId="10" borderId="13" xfId="56" applyNumberFormat="1" applyFont="1" applyFill="1" applyBorder="1" applyAlignment="1">
      <alignment horizontal="right"/>
    </xf>
    <xf numFmtId="207" fontId="34" fillId="3" borderId="14" xfId="56" quotePrefix="1" applyNumberFormat="1" applyFont="1" applyFill="1" applyBorder="1" applyAlignment="1" applyProtection="1">
      <protection locked="0"/>
    </xf>
    <xf numFmtId="207" fontId="70" fillId="0" borderId="14" xfId="56" quotePrefix="1" applyNumberFormat="1" applyFont="1" applyFill="1" applyBorder="1" applyAlignment="1" applyProtection="1">
      <protection locked="0"/>
    </xf>
    <xf numFmtId="196" fontId="34" fillId="3" borderId="0" xfId="58" quotePrefix="1" applyNumberFormat="1" applyFont="1" applyFill="1" applyBorder="1" applyAlignment="1" applyProtection="1">
      <protection locked="0"/>
    </xf>
    <xf numFmtId="196" fontId="34" fillId="3" borderId="0" xfId="57" applyNumberFormat="1" applyFont="1" applyFill="1" applyAlignment="1">
      <alignment horizontal="right"/>
      <protection locked="0"/>
    </xf>
    <xf numFmtId="196" fontId="69" fillId="0" borderId="0" xfId="56" applyNumberFormat="1" applyFont="1" applyFill="1" applyBorder="1" applyProtection="1">
      <protection locked="0"/>
    </xf>
    <xf numFmtId="196" fontId="34" fillId="3" borderId="0" xfId="58" applyNumberFormat="1" applyFont="1" applyFill="1" applyBorder="1" applyAlignment="1" applyProtection="1">
      <alignment horizontal="right"/>
      <protection locked="0"/>
    </xf>
    <xf numFmtId="207" fontId="0" fillId="0" borderId="0" xfId="56" applyNumberFormat="1" applyFont="1"/>
    <xf numFmtId="207" fontId="38" fillId="0" borderId="0" xfId="56" applyNumberFormat="1" applyFont="1" applyFill="1" applyBorder="1" applyAlignment="1" applyProtection="1">
      <alignment horizontal="right"/>
      <protection locked="0"/>
    </xf>
    <xf numFmtId="207" fontId="34" fillId="3" borderId="0" xfId="56" applyNumberFormat="1" applyFont="1" applyFill="1" applyBorder="1" applyAlignment="1" applyProtection="1">
      <alignment horizontal="right"/>
      <protection locked="0"/>
    </xf>
    <xf numFmtId="207" fontId="34" fillId="3" borderId="0" xfId="57" applyNumberFormat="1" applyFont="1" applyFill="1" applyAlignment="1">
      <alignment horizontal="right"/>
      <protection locked="0"/>
    </xf>
    <xf numFmtId="207" fontId="44" fillId="3" borderId="0" xfId="58" applyNumberFormat="1" applyFont="1" applyFill="1" applyProtection="1">
      <protection locked="0"/>
    </xf>
    <xf numFmtId="207" fontId="34" fillId="3" borderId="0" xfId="56" applyNumberFormat="1" applyFont="1" applyFill="1" applyProtection="1">
      <protection locked="0"/>
    </xf>
    <xf numFmtId="207" fontId="29" fillId="3" borderId="14" xfId="56" applyNumberFormat="1" applyFont="1" applyFill="1" applyBorder="1"/>
    <xf numFmtId="207" fontId="69" fillId="3" borderId="0" xfId="56" applyNumberFormat="1" applyFont="1" applyFill="1" applyAlignment="1" applyProtection="1">
      <alignment horizontal="right"/>
      <protection locked="0"/>
    </xf>
    <xf numFmtId="43" fontId="29" fillId="0" borderId="0" xfId="56" applyFont="1" applyBorder="1"/>
    <xf numFmtId="207" fontId="29" fillId="0" borderId="0" xfId="56" applyNumberFormat="1" applyFont="1" applyFill="1" applyBorder="1"/>
    <xf numFmtId="207" fontId="29" fillId="3" borderId="0" xfId="56" applyNumberFormat="1" applyFont="1" applyFill="1" applyBorder="1"/>
    <xf numFmtId="207" fontId="70" fillId="3" borderId="0" xfId="56" applyNumberFormat="1" applyFont="1" applyFill="1" applyProtection="1">
      <protection locked="0"/>
    </xf>
    <xf numFmtId="207" fontId="34" fillId="3" borderId="0" xfId="56" applyNumberFormat="1" applyFont="1" applyFill="1" applyAlignment="1" applyProtection="1">
      <alignment horizontal="right"/>
      <protection locked="0"/>
    </xf>
    <xf numFmtId="207" fontId="5" fillId="3" borderId="0" xfId="56" applyNumberFormat="1" applyFont="1" applyFill="1" applyBorder="1"/>
    <xf numFmtId="207" fontId="12" fillId="3" borderId="0" xfId="56" applyNumberFormat="1" applyFont="1" applyFill="1" applyAlignment="1" applyProtection="1">
      <alignment horizontal="right"/>
      <protection locked="0"/>
    </xf>
    <xf numFmtId="207" fontId="12" fillId="3" borderId="0" xfId="56" applyNumberFormat="1" applyFont="1" applyFill="1" applyProtection="1">
      <protection locked="0"/>
    </xf>
    <xf numFmtId="207" fontId="57" fillId="3" borderId="0" xfId="56" applyNumberFormat="1" applyFont="1" applyFill="1" applyBorder="1"/>
    <xf numFmtId="37" fontId="0" fillId="3" borderId="0" xfId="0" applyNumberFormat="1" applyFill="1"/>
    <xf numFmtId="0" fontId="34" fillId="3" borderId="0" xfId="0" applyFont="1" applyFill="1"/>
    <xf numFmtId="207" fontId="59" fillId="0" borderId="0" xfId="56" applyNumberFormat="1" applyFont="1" applyProtection="1">
      <protection locked="0"/>
    </xf>
    <xf numFmtId="207" fontId="59" fillId="10" borderId="16" xfId="56" applyNumberFormat="1" applyFont="1" applyFill="1" applyBorder="1"/>
    <xf numFmtId="207" fontId="59" fillId="3" borderId="0" xfId="56" applyNumberFormat="1" applyFont="1" applyFill="1" applyProtection="1">
      <protection locked="0"/>
    </xf>
    <xf numFmtId="207" fontId="5" fillId="0" borderId="0" xfId="56" applyNumberFormat="1" applyFont="1" applyAlignment="1">
      <alignment horizontal="left"/>
    </xf>
    <xf numFmtId="182" fontId="0" fillId="0" borderId="16" xfId="0" applyNumberFormat="1" applyBorder="1"/>
    <xf numFmtId="197" fontId="34" fillId="10" borderId="13" xfId="0" applyNumberFormat="1" applyFont="1" applyFill="1" applyBorder="1"/>
    <xf numFmtId="39" fontId="34" fillId="0" borderId="0" xfId="66" applyNumberFormat="1" applyFont="1" applyFill="1" applyBorder="1" applyAlignment="1" applyProtection="1">
      <alignment horizontal="right"/>
      <protection locked="0"/>
    </xf>
    <xf numFmtId="176" fontId="5" fillId="0" borderId="0" xfId="40" applyNumberFormat="1" applyFont="1" applyAlignment="1"/>
    <xf numFmtId="37" fontId="41" fillId="0" borderId="0" xfId="0" applyNumberFormat="1" applyFont="1" applyAlignment="1">
      <alignment horizontal="left" indent="1"/>
    </xf>
    <xf numFmtId="43" fontId="33" fillId="3" borderId="0" xfId="56" applyFont="1" applyFill="1" applyAlignment="1">
      <alignment horizontal="left" indent="1"/>
    </xf>
    <xf numFmtId="43" fontId="33" fillId="3" borderId="0" xfId="56" applyFont="1" applyFill="1" applyAlignment="1">
      <alignment horizontal="left" indent="2"/>
    </xf>
    <xf numFmtId="37" fontId="5" fillId="0" borderId="0" xfId="40" applyNumberFormat="1" applyFont="1" applyAlignment="1">
      <alignment horizontal="right"/>
    </xf>
    <xf numFmtId="37" fontId="29" fillId="10" borderId="16" xfId="40" applyNumberFormat="1" applyFont="1" applyFill="1" applyBorder="1" applyAlignment="1">
      <alignment horizontal="right"/>
    </xf>
    <xf numFmtId="9" fontId="5" fillId="0" borderId="0" xfId="40" applyFont="1" applyAlignment="1">
      <alignment horizontal="right"/>
    </xf>
    <xf numFmtId="43" fontId="56" fillId="0" borderId="0" xfId="56" applyFont="1" applyAlignment="1">
      <alignment horizontal="left" indent="1"/>
    </xf>
    <xf numFmtId="208" fontId="78" fillId="10" borderId="16" xfId="58" applyNumberFormat="1" applyFont="1" applyFill="1" applyBorder="1" applyAlignment="1">
      <alignment horizontal="right"/>
    </xf>
    <xf numFmtId="9" fontId="78" fillId="0" borderId="0" xfId="58" applyFont="1" applyFill="1" applyBorder="1" applyAlignment="1" applyProtection="1">
      <protection locked="0"/>
    </xf>
    <xf numFmtId="9" fontId="78" fillId="0" borderId="0" xfId="40" applyFont="1" applyFill="1" applyBorder="1" applyAlignment="1" applyProtection="1">
      <protection locked="0"/>
    </xf>
    <xf numFmtId="9" fontId="78" fillId="10" borderId="16" xfId="40" applyFont="1" applyFill="1" applyBorder="1" applyAlignment="1">
      <alignment horizontal="right"/>
    </xf>
    <xf numFmtId="9" fontId="12" fillId="0" borderId="0" xfId="40" applyFont="1" applyFill="1" applyBorder="1" applyAlignment="1" applyProtection="1">
      <protection locked="0"/>
    </xf>
    <xf numFmtId="43" fontId="5" fillId="0" borderId="12" xfId="56" applyFont="1" applyBorder="1" applyAlignment="1">
      <alignment horizontal="left" indent="1"/>
    </xf>
    <xf numFmtId="196" fontId="0" fillId="0" borderId="0" xfId="0" applyNumberFormat="1"/>
    <xf numFmtId="196" fontId="12" fillId="0" borderId="14" xfId="58" quotePrefix="1" applyNumberFormat="1" applyFont="1" applyFill="1" applyBorder="1" applyAlignment="1" applyProtection="1">
      <protection locked="0"/>
    </xf>
    <xf numFmtId="196" fontId="5" fillId="0" borderId="0" xfId="56" applyNumberFormat="1" applyFont="1" applyAlignment="1">
      <alignment horizontal="left" indent="1"/>
    </xf>
    <xf numFmtId="196" fontId="69" fillId="0" borderId="0" xfId="58" applyNumberFormat="1" applyFont="1" applyFill="1" applyBorder="1" applyProtection="1">
      <protection locked="0"/>
    </xf>
    <xf numFmtId="196" fontId="5" fillId="10" borderId="16" xfId="58" applyNumberFormat="1" applyFont="1" applyFill="1" applyBorder="1" applyAlignment="1">
      <alignment horizontal="right"/>
    </xf>
    <xf numFmtId="196" fontId="38" fillId="0" borderId="0" xfId="58" applyNumberFormat="1" applyFont="1" applyFill="1" applyBorder="1" applyProtection="1">
      <protection locked="0"/>
    </xf>
    <xf numFmtId="9" fontId="44" fillId="3" borderId="0" xfId="57" applyNumberFormat="1" applyFont="1" applyFill="1" applyAlignment="1">
      <alignment horizontal="center"/>
      <protection locked="0"/>
    </xf>
    <xf numFmtId="39" fontId="34" fillId="3" borderId="0" xfId="0" applyNumberFormat="1" applyFont="1" applyFill="1"/>
    <xf numFmtId="4" fontId="0" fillId="0" borderId="0" xfId="0" applyNumberFormat="1" applyAlignment="1">
      <alignment horizontal="center"/>
    </xf>
    <xf numFmtId="176" fontId="65" fillId="0" borderId="0" xfId="40" applyNumberFormat="1" applyFont="1" applyFill="1" applyBorder="1" applyAlignment="1" applyProtection="1">
      <alignment horizontal="left" indent="1"/>
      <protection locked="0"/>
    </xf>
    <xf numFmtId="176" fontId="46" fillId="0" borderId="0" xfId="40" applyNumberFormat="1" applyFont="1" applyAlignment="1">
      <alignment horizontal="right" vertical="center"/>
    </xf>
    <xf numFmtId="176" fontId="46" fillId="4" borderId="0" xfId="40" applyNumberFormat="1" applyFont="1" applyFill="1" applyAlignment="1">
      <alignment horizontal="right" vertical="center"/>
    </xf>
    <xf numFmtId="176" fontId="46" fillId="0" borderId="0" xfId="40" applyNumberFormat="1" applyFont="1" applyAlignment="1">
      <alignment vertical="center"/>
    </xf>
    <xf numFmtId="176" fontId="41" fillId="0" borderId="0" xfId="0" applyNumberFormat="1" applyFont="1" applyAlignment="1">
      <alignment horizontal="left" indent="1"/>
    </xf>
    <xf numFmtId="9" fontId="61" fillId="0" borderId="0" xfId="40" applyFont="1" applyFill="1" applyBorder="1" applyAlignment="1">
      <alignment horizontal="right"/>
    </xf>
    <xf numFmtId="0" fontId="44" fillId="3" borderId="0" xfId="57" applyFont="1" applyFill="1" applyAlignment="1">
      <alignment horizontal="right"/>
      <protection locked="0"/>
    </xf>
    <xf numFmtId="0" fontId="69" fillId="3" borderId="0" xfId="57" applyFont="1" applyFill="1" applyAlignment="1">
      <alignment horizontal="center"/>
      <protection locked="0"/>
    </xf>
    <xf numFmtId="177" fontId="30" fillId="3" borderId="0" xfId="41" applyNumberFormat="1" applyFont="1" applyFill="1" applyAlignment="1">
      <alignment horizontal="centerContinuous" vertical="top"/>
    </xf>
    <xf numFmtId="0" fontId="44" fillId="3" borderId="0" xfId="57" applyFont="1" applyFill="1" applyAlignment="1">
      <alignment horizontal="center"/>
      <protection locked="0"/>
    </xf>
    <xf numFmtId="207" fontId="39" fillId="3" borderId="14" xfId="58" quotePrefix="1" applyNumberFormat="1" applyFont="1" applyFill="1" applyBorder="1" applyAlignment="1" applyProtection="1">
      <protection locked="0"/>
    </xf>
    <xf numFmtId="9" fontId="74" fillId="3" borderId="0" xfId="40" applyFont="1" applyFill="1" applyAlignment="1" applyProtection="1">
      <protection locked="0"/>
    </xf>
    <xf numFmtId="176" fontId="74" fillId="3" borderId="0" xfId="40" applyNumberFormat="1" applyFont="1" applyFill="1" applyAlignment="1" applyProtection="1">
      <alignment horizontal="right"/>
      <protection locked="0"/>
    </xf>
    <xf numFmtId="207" fontId="12" fillId="3" borderId="14" xfId="58" quotePrefix="1" applyNumberFormat="1" applyFont="1" applyFill="1" applyBorder="1" applyAlignment="1" applyProtection="1">
      <protection locked="0"/>
    </xf>
    <xf numFmtId="176" fontId="74" fillId="3" borderId="0" xfId="58" applyNumberFormat="1" applyFont="1" applyFill="1" applyBorder="1" applyAlignment="1" applyProtection="1">
      <alignment horizontal="right"/>
      <protection locked="0"/>
    </xf>
    <xf numFmtId="10" fontId="74" fillId="3" borderId="0" xfId="58" applyNumberFormat="1" applyFont="1" applyFill="1" applyBorder="1" applyAlignment="1" applyProtection="1">
      <alignment horizontal="right"/>
      <protection locked="0"/>
    </xf>
    <xf numFmtId="9" fontId="12" fillId="3" borderId="0" xfId="40" applyFont="1" applyFill="1" applyBorder="1" applyAlignment="1" applyProtection="1">
      <alignment horizontal="right"/>
      <protection locked="0"/>
    </xf>
    <xf numFmtId="9" fontId="69" fillId="3" borderId="0" xfId="40" applyFont="1" applyFill="1" applyBorder="1" applyAlignment="1" applyProtection="1">
      <alignment horizontal="right"/>
      <protection locked="0"/>
    </xf>
    <xf numFmtId="10" fontId="74" fillId="3" borderId="0" xfId="40" applyNumberFormat="1" applyFont="1" applyFill="1" applyBorder="1" applyAlignment="1" applyProtection="1">
      <alignment horizontal="right"/>
      <protection locked="0"/>
    </xf>
    <xf numFmtId="39" fontId="38" fillId="3" borderId="0" xfId="58" quotePrefix="1" applyNumberFormat="1" applyFont="1" applyFill="1" applyBorder="1" applyAlignment="1" applyProtection="1">
      <alignment horizontal="right"/>
      <protection locked="0"/>
    </xf>
    <xf numFmtId="207" fontId="36" fillId="3" borderId="0" xfId="57" applyNumberFormat="1" applyFont="1" applyFill="1" applyAlignment="1">
      <alignment horizontal="centerContinuous"/>
      <protection locked="0"/>
    </xf>
    <xf numFmtId="9" fontId="44" fillId="3" borderId="0" xfId="58" applyFont="1" applyFill="1" applyAlignment="1" applyProtection="1">
      <alignment horizontal="right"/>
      <protection locked="0"/>
    </xf>
    <xf numFmtId="0" fontId="69" fillId="3" borderId="0" xfId="57" applyFont="1" applyFill="1" applyAlignment="1">
      <alignment horizontal="right"/>
      <protection locked="0"/>
    </xf>
    <xf numFmtId="197" fontId="12" fillId="3" borderId="14" xfId="57" applyNumberFormat="1" applyFont="1" applyFill="1" applyBorder="1">
      <protection locked="0"/>
    </xf>
    <xf numFmtId="9" fontId="61" fillId="3" borderId="0" xfId="40" applyFont="1" applyFill="1" applyAlignment="1" applyProtection="1">
      <alignment horizontal="right"/>
      <protection locked="0"/>
    </xf>
    <xf numFmtId="39" fontId="34" fillId="3" borderId="0" xfId="57" applyNumberFormat="1" applyFont="1" applyFill="1">
      <protection locked="0"/>
    </xf>
    <xf numFmtId="39" fontId="57" fillId="3" borderId="0" xfId="57" applyNumberFormat="1" applyFont="1" applyFill="1">
      <protection locked="0"/>
    </xf>
    <xf numFmtId="39" fontId="57" fillId="3" borderId="0" xfId="57" applyNumberFormat="1" applyFont="1" applyFill="1" applyAlignment="1">
      <alignment horizontal="right"/>
      <protection locked="0"/>
    </xf>
    <xf numFmtId="197" fontId="38" fillId="3" borderId="0" xfId="56" applyNumberFormat="1" applyFont="1" applyFill="1" applyProtection="1">
      <protection locked="0"/>
    </xf>
    <xf numFmtId="197" fontId="12" fillId="3" borderId="0" xfId="56" applyNumberFormat="1" applyFont="1" applyFill="1" applyProtection="1">
      <protection locked="0"/>
    </xf>
    <xf numFmtId="10" fontId="12" fillId="3" borderId="0" xfId="40" applyNumberFormat="1" applyFont="1" applyFill="1" applyProtection="1">
      <protection locked="0"/>
    </xf>
    <xf numFmtId="9" fontId="81" fillId="3" borderId="0" xfId="58" applyFont="1" applyFill="1" applyAlignment="1" applyProtection="1">
      <alignment horizontal="right"/>
      <protection locked="0"/>
    </xf>
    <xf numFmtId="39" fontId="69" fillId="3" borderId="0" xfId="57" applyNumberFormat="1" applyFont="1" applyFill="1" applyAlignment="1">
      <alignment horizontal="right"/>
      <protection locked="0"/>
    </xf>
    <xf numFmtId="0" fontId="69" fillId="3" borderId="0" xfId="60" applyFont="1" applyFill="1" applyAlignment="1">
      <alignment horizontal="centerContinuous" vertical="center"/>
    </xf>
    <xf numFmtId="37" fontId="69" fillId="3" borderId="0" xfId="63" applyNumberFormat="1" applyFont="1" applyFill="1" applyBorder="1" applyAlignment="1">
      <alignment horizontal="right"/>
    </xf>
    <xf numFmtId="172" fontId="69" fillId="3" borderId="0" xfId="63" applyNumberFormat="1" applyFont="1" applyFill="1" applyBorder="1" applyAlignment="1">
      <alignment horizontal="right"/>
    </xf>
    <xf numFmtId="37" fontId="69" fillId="3" borderId="0" xfId="64" applyNumberFormat="1" applyFont="1" applyFill="1" applyBorder="1" applyAlignment="1" applyProtection="1">
      <alignment horizontal="right"/>
      <protection locked="0"/>
    </xf>
    <xf numFmtId="1" fontId="12" fillId="3" borderId="0" xfId="64" applyNumberFormat="1" applyFont="1" applyFill="1" applyBorder="1" applyAlignment="1" applyProtection="1">
      <alignment horizontal="right"/>
      <protection locked="0"/>
    </xf>
    <xf numFmtId="5" fontId="69" fillId="3" borderId="0" xfId="64" applyNumberFormat="1" applyFont="1" applyFill="1" applyBorder="1" applyAlignment="1" applyProtection="1">
      <alignment horizontal="right"/>
      <protection locked="0"/>
    </xf>
    <xf numFmtId="172" fontId="74" fillId="3" borderId="0" xfId="63" applyNumberFormat="1" applyFont="1" applyFill="1" applyBorder="1" applyAlignment="1">
      <alignment horizontal="right"/>
    </xf>
    <xf numFmtId="193" fontId="76" fillId="3" borderId="0" xfId="57" applyNumberFormat="1" applyFont="1" applyFill="1" applyAlignment="1">
      <alignment horizontal="right"/>
      <protection locked="0"/>
    </xf>
    <xf numFmtId="193" fontId="12" fillId="3" borderId="0" xfId="57" applyNumberFormat="1" applyFont="1" applyFill="1" applyAlignment="1">
      <alignment horizontal="right"/>
      <protection locked="0"/>
    </xf>
    <xf numFmtId="0" fontId="12" fillId="3" borderId="0" xfId="57" applyFont="1" applyFill="1" applyAlignment="1">
      <alignment horizontal="right"/>
      <protection locked="0"/>
    </xf>
    <xf numFmtId="201" fontId="53" fillId="3" borderId="0" xfId="59" applyNumberFormat="1" applyFont="1" applyFill="1" applyBorder="1" applyAlignment="1" applyProtection="1">
      <alignment horizontal="right"/>
      <protection locked="0"/>
    </xf>
    <xf numFmtId="17" fontId="69" fillId="3" borderId="0" xfId="65" applyNumberFormat="1" applyFont="1" applyFill="1" applyBorder="1" applyAlignment="1">
      <alignment horizontal="center" vertical="center"/>
      <protection hidden="1"/>
    </xf>
    <xf numFmtId="172" fontId="69" fillId="3" borderId="0" xfId="57" applyNumberFormat="1" applyFont="1" applyFill="1" applyAlignment="1">
      <alignment horizontal="right"/>
      <protection locked="0"/>
    </xf>
    <xf numFmtId="15" fontId="12" fillId="3" borderId="0" xfId="57" applyNumberFormat="1" applyFont="1" applyFill="1">
      <protection locked="0"/>
    </xf>
    <xf numFmtId="0" fontId="12" fillId="3" borderId="0" xfId="57" applyFont="1" applyFill="1">
      <protection locked="0"/>
    </xf>
    <xf numFmtId="2" fontId="69" fillId="3" borderId="0" xfId="57" applyNumberFormat="1" applyFont="1" applyFill="1" applyAlignment="1">
      <alignment horizontal="right"/>
      <protection locked="0"/>
    </xf>
    <xf numFmtId="193" fontId="69" fillId="3" borderId="0" xfId="57" applyNumberFormat="1" applyFont="1" applyFill="1" applyAlignment="1">
      <alignment horizontal="right"/>
      <protection locked="0"/>
    </xf>
    <xf numFmtId="193" fontId="12" fillId="3" borderId="0" xfId="58" applyNumberFormat="1" applyFont="1" applyFill="1" applyBorder="1" applyAlignment="1" applyProtection="1">
      <alignment horizontal="right"/>
      <protection locked="0"/>
    </xf>
    <xf numFmtId="193" fontId="77" fillId="3" borderId="0" xfId="58" applyNumberFormat="1" applyFont="1" applyFill="1" applyBorder="1" applyAlignment="1" applyProtection="1">
      <alignment horizontal="right"/>
      <protection locked="0"/>
    </xf>
    <xf numFmtId="9" fontId="77" fillId="3" borderId="0" xfId="58" applyFont="1" applyFill="1" applyBorder="1" applyAlignment="1" applyProtection="1">
      <alignment horizontal="right"/>
      <protection locked="0"/>
    </xf>
    <xf numFmtId="1" fontId="69" fillId="3" borderId="0" xfId="57" applyNumberFormat="1" applyFont="1" applyFill="1" applyAlignment="1">
      <alignment horizontal="right"/>
      <protection locked="0"/>
    </xf>
    <xf numFmtId="203" fontId="69" fillId="3" borderId="0" xfId="58" applyNumberFormat="1" applyFont="1" applyFill="1" applyBorder="1" applyAlignment="1" applyProtection="1">
      <alignment horizontal="right"/>
      <protection locked="0"/>
    </xf>
    <xf numFmtId="3" fontId="69" fillId="3" borderId="0" xfId="57" applyNumberFormat="1" applyFont="1" applyFill="1" applyAlignment="1">
      <alignment horizontal="right"/>
      <protection locked="0"/>
    </xf>
    <xf numFmtId="176" fontId="69" fillId="3" borderId="0" xfId="57" applyNumberFormat="1" applyFont="1" applyFill="1" applyAlignment="1">
      <alignment horizontal="right"/>
      <protection locked="0"/>
    </xf>
    <xf numFmtId="3" fontId="77" fillId="3" borderId="0" xfId="58" applyNumberFormat="1" applyFont="1" applyFill="1" applyBorder="1" applyAlignment="1" applyProtection="1">
      <alignment horizontal="right"/>
      <protection locked="0"/>
    </xf>
    <xf numFmtId="0" fontId="74" fillId="3" borderId="0" xfId="57" applyFont="1" applyFill="1" applyAlignment="1">
      <alignment horizontal="right"/>
      <protection locked="0"/>
    </xf>
    <xf numFmtId="44" fontId="69" fillId="3" borderId="0" xfId="59" applyFont="1" applyFill="1" applyBorder="1" applyAlignment="1" applyProtection="1">
      <alignment horizontal="right"/>
      <protection locked="0"/>
    </xf>
    <xf numFmtId="3" fontId="12" fillId="3" borderId="0" xfId="57" applyNumberFormat="1" applyFont="1" applyFill="1" applyAlignment="1">
      <alignment horizontal="right"/>
      <protection locked="0"/>
    </xf>
    <xf numFmtId="37" fontId="69" fillId="3" borderId="0" xfId="59" applyNumberFormat="1" applyFont="1" applyFill="1" applyBorder="1" applyAlignment="1" applyProtection="1">
      <alignment horizontal="right"/>
      <protection locked="0"/>
    </xf>
    <xf numFmtId="5" fontId="69" fillId="3" borderId="0" xfId="59" applyNumberFormat="1" applyFont="1" applyFill="1" applyBorder="1" applyAlignment="1" applyProtection="1">
      <alignment horizontal="right"/>
      <protection locked="0"/>
    </xf>
    <xf numFmtId="204" fontId="74" fillId="3" borderId="0" xfId="57" applyNumberFormat="1" applyFont="1" applyFill="1" applyAlignment="1">
      <alignment horizontal="right"/>
      <protection locked="0"/>
    </xf>
    <xf numFmtId="193" fontId="69" fillId="3" borderId="0" xfId="58" applyNumberFormat="1" applyFont="1" applyFill="1" applyBorder="1" applyAlignment="1" applyProtection="1">
      <alignment horizontal="right"/>
      <protection locked="0"/>
    </xf>
    <xf numFmtId="0" fontId="34" fillId="3" borderId="0" xfId="57" applyFont="1" applyFill="1" applyAlignment="1">
      <alignment horizontal="right"/>
      <protection locked="0"/>
    </xf>
    <xf numFmtId="9" fontId="12" fillId="3" borderId="0" xfId="58" applyFont="1" applyFill="1" applyBorder="1" applyProtection="1">
      <protection locked="0"/>
    </xf>
    <xf numFmtId="2" fontId="12" fillId="3" borderId="0" xfId="57" applyNumberFormat="1" applyFont="1" applyFill="1">
      <protection locked="0"/>
    </xf>
    <xf numFmtId="0" fontId="70" fillId="3" borderId="0" xfId="57" applyFont="1" applyFill="1">
      <protection locked="0"/>
    </xf>
    <xf numFmtId="195" fontId="12" fillId="3" borderId="0" xfId="58" applyNumberFormat="1" applyFont="1" applyFill="1" applyBorder="1" applyProtection="1">
      <protection locked="0"/>
    </xf>
    <xf numFmtId="37" fontId="12" fillId="3" borderId="0" xfId="57" applyNumberFormat="1" applyFont="1" applyFill="1">
      <protection locked="0"/>
    </xf>
    <xf numFmtId="176" fontId="12" fillId="3" borderId="0" xfId="57" applyNumberFormat="1" applyFont="1" applyFill="1">
      <protection locked="0"/>
    </xf>
    <xf numFmtId="1" fontId="12" fillId="3" borderId="0" xfId="57" applyNumberFormat="1" applyFont="1" applyFill="1">
      <protection locked="0"/>
    </xf>
    <xf numFmtId="0" fontId="61" fillId="3" borderId="0" xfId="57" applyFont="1" applyFill="1">
      <protection locked="0"/>
    </xf>
    <xf numFmtId="193" fontId="12" fillId="3" borderId="0" xfId="57" applyNumberFormat="1" applyFont="1" applyFill="1">
      <protection locked="0"/>
    </xf>
    <xf numFmtId="193" fontId="75" fillId="3" borderId="0" xfId="57" applyNumberFormat="1" applyFont="1" applyFill="1">
      <protection locked="0"/>
    </xf>
    <xf numFmtId="201" fontId="12" fillId="3" borderId="0" xfId="59" applyNumberFormat="1" applyFont="1" applyFill="1" applyBorder="1" applyProtection="1">
      <protection locked="0"/>
    </xf>
    <xf numFmtId="0" fontId="75" fillId="3" borderId="0" xfId="57" applyFont="1" applyFill="1">
      <protection locked="0"/>
    </xf>
    <xf numFmtId="3" fontId="12" fillId="3" borderId="0" xfId="57" applyNumberFormat="1" applyFont="1" applyFill="1">
      <protection locked="0"/>
    </xf>
    <xf numFmtId="176" fontId="12" fillId="3" borderId="0" xfId="58" applyNumberFormat="1" applyFont="1" applyFill="1" applyBorder="1" applyProtection="1">
      <protection locked="0"/>
    </xf>
    <xf numFmtId="187" fontId="12" fillId="3" borderId="0" xfId="58" applyNumberFormat="1" applyFont="1" applyFill="1" applyBorder="1" applyProtection="1">
      <protection locked="0"/>
    </xf>
    <xf numFmtId="187" fontId="61" fillId="3" borderId="0" xfId="57" applyNumberFormat="1" applyFont="1" applyFill="1">
      <protection locked="0"/>
    </xf>
    <xf numFmtId="205" fontId="61" fillId="3" borderId="0" xfId="56" applyNumberFormat="1" applyFont="1" applyFill="1" applyBorder="1" applyProtection="1">
      <protection locked="0"/>
    </xf>
    <xf numFmtId="9" fontId="53" fillId="3" borderId="0" xfId="58" applyFont="1" applyFill="1" applyBorder="1" applyProtection="1">
      <protection locked="0"/>
    </xf>
    <xf numFmtId="5" fontId="12" fillId="3" borderId="0" xfId="57" applyNumberFormat="1" applyFont="1" applyFill="1">
      <protection locked="0"/>
    </xf>
    <xf numFmtId="193" fontId="12" fillId="3" borderId="0" xfId="58" applyNumberFormat="1" applyFont="1" applyFill="1" applyBorder="1" applyProtection="1">
      <protection locked="0"/>
    </xf>
    <xf numFmtId="196" fontId="15" fillId="3" borderId="14" xfId="58" quotePrefix="1" applyNumberFormat="1" applyFont="1" applyFill="1" applyBorder="1" applyAlignment="1" applyProtection="1">
      <protection locked="0"/>
    </xf>
    <xf numFmtId="9" fontId="34" fillId="3" borderId="0" xfId="58" applyFont="1" applyFill="1" applyAlignment="1" applyProtection="1">
      <alignment horizontal="right"/>
      <protection locked="0"/>
    </xf>
    <xf numFmtId="9" fontId="69" fillId="3" borderId="0" xfId="58" applyFont="1" applyFill="1" applyBorder="1" applyAlignment="1" applyProtection="1">
      <alignment horizontal="centerContinuous"/>
      <protection locked="0"/>
    </xf>
    <xf numFmtId="39" fontId="12" fillId="3" borderId="0" xfId="58" quotePrefix="1" applyNumberFormat="1" applyFont="1" applyFill="1" applyBorder="1" applyAlignment="1" applyProtection="1">
      <protection locked="0"/>
    </xf>
    <xf numFmtId="37" fontId="12" fillId="3" borderId="14" xfId="0" applyNumberFormat="1" applyFont="1" applyFill="1" applyBorder="1"/>
    <xf numFmtId="9" fontId="61" fillId="3" borderId="0" xfId="58" quotePrefix="1" applyFont="1" applyFill="1" applyBorder="1" applyAlignment="1" applyProtection="1">
      <alignment horizontal="right"/>
      <protection locked="0"/>
    </xf>
    <xf numFmtId="9" fontId="61" fillId="3" borderId="0" xfId="40" quotePrefix="1" applyFont="1" applyFill="1" applyBorder="1" applyAlignment="1" applyProtection="1">
      <alignment horizontal="right"/>
      <protection locked="0"/>
    </xf>
    <xf numFmtId="9" fontId="69" fillId="3" borderId="0" xfId="58" quotePrefix="1" applyFont="1" applyFill="1" applyBorder="1" applyAlignment="1" applyProtection="1">
      <alignment horizontal="center"/>
      <protection locked="0"/>
    </xf>
    <xf numFmtId="9" fontId="69" fillId="3" borderId="0" xfId="58" applyFont="1" applyFill="1" applyProtection="1">
      <protection locked="0"/>
    </xf>
    <xf numFmtId="196" fontId="34" fillId="3" borderId="18" xfId="58" quotePrefix="1" applyNumberFormat="1" applyFont="1" applyFill="1" applyBorder="1" applyAlignment="1" applyProtection="1">
      <protection locked="0"/>
    </xf>
    <xf numFmtId="196" fontId="34" fillId="3" borderId="0" xfId="58" quotePrefix="1" applyNumberFormat="1" applyFont="1" applyFill="1" applyBorder="1" applyAlignment="1" applyProtection="1">
      <alignment horizontal="right"/>
      <protection locked="0"/>
    </xf>
    <xf numFmtId="207" fontId="69" fillId="3" borderId="0" xfId="56" applyNumberFormat="1" applyFont="1" applyFill="1" applyProtection="1">
      <protection locked="0"/>
    </xf>
    <xf numFmtId="207" fontId="69" fillId="3" borderId="0" xfId="56" quotePrefix="1" applyNumberFormat="1" applyFont="1" applyFill="1" applyBorder="1" applyAlignment="1" applyProtection="1">
      <alignment horizontal="center"/>
      <protection locked="0"/>
    </xf>
    <xf numFmtId="207" fontId="69" fillId="3" borderId="0" xfId="56" quotePrefix="1" applyNumberFormat="1" applyFont="1" applyFill="1" applyBorder="1" applyAlignment="1" applyProtection="1">
      <alignment horizontal="right"/>
      <protection locked="0"/>
    </xf>
    <xf numFmtId="207" fontId="70" fillId="3" borderId="0" xfId="56" applyNumberFormat="1" applyFont="1" applyFill="1" applyBorder="1" applyAlignment="1" applyProtection="1">
      <alignment horizontal="right"/>
      <protection locked="0"/>
    </xf>
    <xf numFmtId="43" fontId="41" fillId="0" borderId="0" xfId="56" applyFont="1"/>
    <xf numFmtId="43" fontId="70" fillId="0" borderId="0" xfId="56" applyFont="1" applyProtection="1">
      <protection locked="0"/>
    </xf>
    <xf numFmtId="43" fontId="12" fillId="0" borderId="0" xfId="56" applyFont="1" applyProtection="1">
      <protection locked="0"/>
    </xf>
    <xf numFmtId="43" fontId="34" fillId="0" borderId="0" xfId="56" applyFont="1" applyProtection="1">
      <protection locked="0"/>
    </xf>
    <xf numFmtId="43" fontId="12" fillId="10" borderId="16" xfId="56" applyFont="1" applyFill="1" applyBorder="1"/>
    <xf numFmtId="43" fontId="34" fillId="3" borderId="0" xfId="56" applyFont="1" applyFill="1" applyProtection="1">
      <protection locked="0"/>
    </xf>
    <xf numFmtId="207" fontId="15" fillId="3" borderId="14" xfId="56" applyNumberFormat="1" applyFont="1" applyFill="1" applyBorder="1"/>
    <xf numFmtId="9" fontId="5" fillId="0" borderId="0" xfId="40" applyFont="1" applyAlignment="1"/>
    <xf numFmtId="182" fontId="5" fillId="0" borderId="0" xfId="40" applyNumberFormat="1" applyFont="1" applyAlignment="1"/>
    <xf numFmtId="0" fontId="32" fillId="0" borderId="19" xfId="0" applyFont="1" applyBorder="1"/>
    <xf numFmtId="0" fontId="29" fillId="5" borderId="16" xfId="0" applyFont="1" applyFill="1" applyBorder="1"/>
    <xf numFmtId="176" fontId="29" fillId="0" borderId="0" xfId="0" applyNumberFormat="1" applyFont="1" applyAlignment="1">
      <alignment horizontal="right"/>
    </xf>
    <xf numFmtId="176" fontId="29" fillId="5" borderId="16" xfId="0" applyNumberFormat="1" applyFont="1" applyFill="1" applyBorder="1" applyAlignment="1">
      <alignment horizontal="right"/>
    </xf>
    <xf numFmtId="9" fontId="29" fillId="0" borderId="0" xfId="0" applyNumberFormat="1" applyFont="1" applyAlignment="1">
      <alignment horizontal="right"/>
    </xf>
    <xf numFmtId="9" fontId="29" fillId="0" borderId="0" xfId="40" applyFont="1" applyAlignment="1">
      <alignment horizontal="right"/>
    </xf>
    <xf numFmtId="9" fontId="29" fillId="5" borderId="16" xfId="0" applyNumberFormat="1" applyFont="1" applyFill="1" applyBorder="1" applyAlignment="1">
      <alignment horizontal="right"/>
    </xf>
    <xf numFmtId="182" fontId="36" fillId="5" borderId="16" xfId="0" applyNumberFormat="1" applyFont="1" applyFill="1" applyBorder="1"/>
    <xf numFmtId="197" fontId="36" fillId="0" borderId="0" xfId="56" applyNumberFormat="1" applyFont="1" applyAlignment="1"/>
    <xf numFmtId="165" fontId="29" fillId="5" borderId="16" xfId="0" applyNumberFormat="1" applyFont="1" applyFill="1" applyBorder="1" applyAlignment="1">
      <alignment horizontal="right"/>
    </xf>
    <xf numFmtId="176" fontId="34" fillId="3" borderId="0" xfId="40" applyNumberFormat="1" applyFont="1" applyFill="1" applyBorder="1"/>
    <xf numFmtId="182" fontId="0" fillId="3" borderId="0" xfId="0" applyNumberFormat="1" applyFill="1" applyAlignment="1">
      <alignment horizontal="right"/>
    </xf>
    <xf numFmtId="197" fontId="12" fillId="3" borderId="0" xfId="0" applyNumberFormat="1" applyFont="1" applyFill="1"/>
    <xf numFmtId="43" fontId="36" fillId="0" borderId="0" xfId="56" applyFont="1" applyAlignment="1">
      <alignment horizontal="right"/>
    </xf>
    <xf numFmtId="43" fontId="36" fillId="0" borderId="0" xfId="56" applyFont="1" applyAlignment="1"/>
    <xf numFmtId="182" fontId="29" fillId="0" borderId="0" xfId="0" applyNumberFormat="1" applyFont="1"/>
    <xf numFmtId="182" fontId="29" fillId="5" borderId="16" xfId="0" applyNumberFormat="1" applyFont="1" applyFill="1" applyBorder="1" applyAlignment="1">
      <alignment horizontal="right"/>
    </xf>
    <xf numFmtId="182" fontId="29" fillId="3" borderId="0" xfId="0" applyNumberFormat="1" applyFont="1" applyFill="1"/>
    <xf numFmtId="43" fontId="36" fillId="3" borderId="0" xfId="56" applyFont="1" applyFill="1" applyAlignment="1">
      <alignment horizontal="right"/>
    </xf>
    <xf numFmtId="43" fontId="52" fillId="0" borderId="0" xfId="56" applyFont="1"/>
    <xf numFmtId="43" fontId="29" fillId="0" borderId="14" xfId="56" applyFont="1" applyFill="1" applyBorder="1"/>
    <xf numFmtId="43" fontId="29" fillId="10" borderId="13" xfId="56" applyFont="1" applyFill="1" applyBorder="1" applyAlignment="1">
      <alignment horizontal="right"/>
    </xf>
    <xf numFmtId="9" fontId="15" fillId="0" borderId="0" xfId="58" applyFont="1" applyFill="1" applyBorder="1" applyAlignment="1" applyProtection="1">
      <protection locked="0"/>
    </xf>
    <xf numFmtId="2" fontId="0" fillId="0" borderId="0" xfId="40" applyNumberFormat="1" applyFont="1" applyAlignment="1">
      <alignment horizontal="right"/>
    </xf>
    <xf numFmtId="2" fontId="29" fillId="0" borderId="0" xfId="40" applyNumberFormat="1" applyFont="1" applyAlignment="1">
      <alignment horizontal="right"/>
    </xf>
    <xf numFmtId="176" fontId="69" fillId="0" borderId="0" xfId="58" applyNumberFormat="1" applyFont="1" applyAlignment="1" applyProtection="1">
      <alignment horizontal="right"/>
      <protection locked="0"/>
    </xf>
    <xf numFmtId="9" fontId="0" fillId="7" borderId="0" xfId="0" applyNumberFormat="1" applyFill="1" applyAlignment="1">
      <alignment horizontal="right"/>
    </xf>
    <xf numFmtId="2" fontId="0" fillId="0" borderId="0" xfId="0" applyNumberFormat="1"/>
    <xf numFmtId="2" fontId="0" fillId="3" borderId="0" xfId="0" applyNumberFormat="1" applyFill="1"/>
    <xf numFmtId="207" fontId="36" fillId="0" borderId="0" xfId="57" applyNumberFormat="1" applyFont="1" applyAlignment="1">
      <alignment horizontal="centerContinuous"/>
      <protection locked="0"/>
    </xf>
    <xf numFmtId="207" fontId="69" fillId="3" borderId="0" xfId="56" applyNumberFormat="1" applyFont="1" applyFill="1" applyBorder="1" applyAlignment="1" applyProtection="1">
      <alignment horizontal="right"/>
      <protection locked="0"/>
    </xf>
    <xf numFmtId="207" fontId="12" fillId="3" borderId="0" xfId="56" applyNumberFormat="1" applyFont="1" applyFill="1" applyBorder="1" applyAlignment="1" applyProtection="1">
      <alignment horizontal="right"/>
      <protection locked="0"/>
    </xf>
    <xf numFmtId="207" fontId="38" fillId="3" borderId="0" xfId="56" applyNumberFormat="1" applyFont="1" applyFill="1" applyProtection="1">
      <protection locked="0"/>
    </xf>
    <xf numFmtId="2" fontId="0" fillId="5" borderId="16" xfId="0" applyNumberFormat="1" applyFill="1" applyBorder="1"/>
    <xf numFmtId="9" fontId="33" fillId="0" borderId="19" xfId="0" applyNumberFormat="1" applyFont="1" applyBorder="1" applyAlignment="1">
      <alignment horizontal="left" indent="2"/>
    </xf>
    <xf numFmtId="9" fontId="0" fillId="5" borderId="16" xfId="0" applyNumberFormat="1" applyFill="1" applyBorder="1"/>
    <xf numFmtId="9" fontId="0" fillId="3" borderId="0" xfId="0" applyNumberFormat="1" applyFill="1" applyAlignment="1">
      <alignment horizontal="right"/>
    </xf>
    <xf numFmtId="2" fontId="29" fillId="7" borderId="0" xfId="0" applyNumberFormat="1" applyFont="1" applyFill="1" applyAlignment="1">
      <alignment horizontal="right"/>
    </xf>
    <xf numFmtId="197" fontId="34" fillId="0" borderId="14" xfId="57" applyNumberFormat="1" applyFont="1" applyBorder="1">
      <protection locked="0"/>
    </xf>
    <xf numFmtId="207" fontId="34" fillId="0" borderId="0" xfId="56" applyNumberFormat="1" applyFont="1" applyFill="1" applyProtection="1">
      <protection locked="0"/>
    </xf>
    <xf numFmtId="207" fontId="69" fillId="0" borderId="0" xfId="56" applyNumberFormat="1" applyFont="1" applyFill="1" applyAlignment="1" applyProtection="1">
      <alignment horizontal="right"/>
      <protection locked="0"/>
    </xf>
    <xf numFmtId="207" fontId="34" fillId="0" borderId="0" xfId="56" applyNumberFormat="1" applyFont="1" applyFill="1" applyAlignment="1" applyProtection="1">
      <alignment horizontal="right"/>
      <protection locked="0"/>
    </xf>
    <xf numFmtId="207" fontId="38" fillId="0" borderId="0" xfId="56" applyNumberFormat="1" applyFont="1" applyFill="1" applyProtection="1">
      <protection locked="0"/>
    </xf>
    <xf numFmtId="43" fontId="34" fillId="0" borderId="0" xfId="56" applyFont="1" applyFill="1" applyProtection="1">
      <protection locked="0"/>
    </xf>
    <xf numFmtId="207" fontId="57" fillId="0" borderId="0" xfId="56" applyNumberFormat="1" applyFont="1" applyFill="1" applyBorder="1"/>
    <xf numFmtId="10" fontId="0" fillId="0" borderId="0" xfId="40" applyNumberFormat="1" applyFont="1"/>
    <xf numFmtId="186" fontId="5" fillId="0" borderId="0" xfId="0" applyNumberFormat="1" applyFont="1" applyAlignment="1">
      <alignment horizontal="right"/>
    </xf>
    <xf numFmtId="186" fontId="29" fillId="10" borderId="16" xfId="0" applyNumberFormat="1" applyFont="1" applyFill="1" applyBorder="1" applyAlignment="1">
      <alignment horizontal="right"/>
    </xf>
    <xf numFmtId="10" fontId="44" fillId="0" borderId="0" xfId="57" applyNumberFormat="1" applyFont="1" applyAlignment="1">
      <alignment horizontal="right"/>
      <protection locked="0"/>
    </xf>
    <xf numFmtId="176" fontId="5" fillId="10" borderId="16" xfId="40" applyNumberFormat="1" applyFont="1" applyFill="1" applyBorder="1" applyAlignment="1">
      <alignment horizontal="right"/>
    </xf>
    <xf numFmtId="9" fontId="0" fillId="3" borderId="0" xfId="40" applyFont="1" applyFill="1"/>
    <xf numFmtId="165" fontId="12" fillId="0" borderId="0" xfId="66" applyNumberFormat="1" applyFont="1" applyFill="1" applyBorder="1" applyAlignment="1" applyProtection="1">
      <alignment horizontal="right"/>
      <protection locked="0"/>
    </xf>
    <xf numFmtId="186" fontId="5" fillId="0" borderId="12" xfId="0" applyNumberFormat="1" applyFont="1" applyBorder="1"/>
    <xf numFmtId="186" fontId="38" fillId="0" borderId="14" xfId="58" quotePrefix="1" applyNumberFormat="1" applyFont="1" applyFill="1" applyBorder="1" applyAlignment="1" applyProtection="1">
      <protection locked="0"/>
    </xf>
    <xf numFmtId="186" fontId="12" fillId="10" borderId="13" xfId="0" applyNumberFormat="1" applyFont="1" applyFill="1" applyBorder="1"/>
    <xf numFmtId="186" fontId="5" fillId="0" borderId="0" xfId="0" applyNumberFormat="1" applyFont="1"/>
    <xf numFmtId="186" fontId="12" fillId="0" borderId="0" xfId="0" applyNumberFormat="1" applyFont="1"/>
    <xf numFmtId="186" fontId="12" fillId="0" borderId="0" xfId="57" applyNumberFormat="1" applyFont="1">
      <protection locked="0"/>
    </xf>
    <xf numFmtId="186" fontId="12" fillId="10" borderId="16" xfId="57" applyNumberFormat="1" applyFont="1" applyFill="1" applyBorder="1" applyAlignment="1">
      <alignment horizontal="right"/>
      <protection locked="0"/>
    </xf>
    <xf numFmtId="186" fontId="70" fillId="0" borderId="0" xfId="0" applyNumberFormat="1" applyFont="1" applyAlignment="1">
      <alignment horizontal="right"/>
    </xf>
    <xf numFmtId="186" fontId="12" fillId="0" borderId="0" xfId="57" applyNumberFormat="1" applyFont="1" applyAlignment="1">
      <alignment horizontal="right"/>
      <protection locked="0"/>
    </xf>
    <xf numFmtId="186" fontId="38" fillId="0" borderId="0" xfId="57" applyNumberFormat="1" applyFont="1" applyAlignment="1">
      <alignment horizontal="right"/>
      <protection locked="0"/>
    </xf>
    <xf numFmtId="186" fontId="12" fillId="0" borderId="0" xfId="0" applyNumberFormat="1" applyFont="1" applyAlignment="1">
      <alignment horizontal="right"/>
    </xf>
    <xf numFmtId="186" fontId="51" fillId="0" borderId="0" xfId="0" applyNumberFormat="1" applyFont="1"/>
    <xf numFmtId="186" fontId="12" fillId="0" borderId="12" xfId="0" applyNumberFormat="1" applyFont="1" applyBorder="1"/>
    <xf numFmtId="186" fontId="12" fillId="0" borderId="14" xfId="58" applyNumberFormat="1" applyFont="1" applyFill="1" applyBorder="1" applyAlignment="1" applyProtection="1">
      <protection locked="0"/>
    </xf>
    <xf numFmtId="186" fontId="12" fillId="0" borderId="14" xfId="58" applyNumberFormat="1" applyFont="1" applyFill="1" applyBorder="1" applyAlignment="1" applyProtection="1">
      <alignment horizontal="right"/>
      <protection locked="0"/>
    </xf>
    <xf numFmtId="9" fontId="5" fillId="3" borderId="0" xfId="56" applyNumberFormat="1" applyFont="1" applyFill="1"/>
    <xf numFmtId="9" fontId="5" fillId="0" borderId="0" xfId="58" applyFont="1" applyAlignment="1">
      <alignment horizontal="right"/>
    </xf>
    <xf numFmtId="9" fontId="41" fillId="0" borderId="0" xfId="0" applyNumberFormat="1" applyFont="1" applyAlignment="1">
      <alignment horizontal="left" indent="1"/>
    </xf>
  </cellXfs>
  <cellStyles count="70">
    <cellStyle name="_%(SignOnly)" xfId="11" xr:uid="{00000000-0005-0000-0000-000000000000}"/>
    <cellStyle name="_%(SignSpaceOnly)" xfId="13" xr:uid="{00000000-0005-0000-0000-000001000000}"/>
    <cellStyle name="_Comma" xfId="7" xr:uid="{00000000-0005-0000-0000-000002000000}"/>
    <cellStyle name="_Currency" xfId="8" xr:uid="{00000000-0005-0000-0000-000003000000}"/>
    <cellStyle name="_Currency 2" xfId="18" xr:uid="{00000000-0005-0000-0000-000004000000}"/>
    <cellStyle name="_Currency 2 4" xfId="47" xr:uid="{00000000-0005-0000-0000-000005000000}"/>
    <cellStyle name="_CurrencySpace" xfId="9" xr:uid="{00000000-0005-0000-0000-000006000000}"/>
    <cellStyle name="_CurrencySpace 10 2" xfId="48" xr:uid="{00000000-0005-0000-0000-000007000000}"/>
    <cellStyle name="_CurrencySpace 2" xfId="19" xr:uid="{00000000-0005-0000-0000-000008000000}"/>
    <cellStyle name="_Euro" xfId="10" xr:uid="{00000000-0005-0000-0000-000009000000}"/>
    <cellStyle name="_Heading" xfId="4" xr:uid="{00000000-0005-0000-0000-00000A000000}"/>
    <cellStyle name="_Highlight" xfId="5" xr:uid="{00000000-0005-0000-0000-00000B000000}"/>
    <cellStyle name="_Multiple" xfId="6" xr:uid="{00000000-0005-0000-0000-00000C000000}"/>
    <cellStyle name="_MultipleSpace" xfId="15" xr:uid="{00000000-0005-0000-0000-00000D000000}"/>
    <cellStyle name="_SubHeading" xfId="12" xr:uid="{00000000-0005-0000-0000-00000E000000}"/>
    <cellStyle name="_Table" xfId="14" xr:uid="{00000000-0005-0000-0000-00000F000000}"/>
    <cellStyle name="_TableHead" xfId="3" xr:uid="{00000000-0005-0000-0000-000010000000}"/>
    <cellStyle name="_TableRowHead" xfId="1" xr:uid="{00000000-0005-0000-0000-000011000000}"/>
    <cellStyle name="_TableSuperHead" xfId="2" xr:uid="{00000000-0005-0000-0000-000012000000}"/>
    <cellStyle name="Comma" xfId="56" builtinId="3"/>
    <cellStyle name="Comma 10" xfId="20" xr:uid="{00000000-0005-0000-0000-000014000000}"/>
    <cellStyle name="Comma 2" xfId="21" xr:uid="{00000000-0005-0000-0000-000015000000}"/>
    <cellStyle name="Comma_ADBE-wire" xfId="64" xr:uid="{A4BF13E8-5C7A-4E0C-811C-415EBE4C781D}"/>
    <cellStyle name="Currency" xfId="59" builtinId="4"/>
    <cellStyle name="Currency [0]_Quarterly History" xfId="65" xr:uid="{56E1FF88-2C67-4CE5-8E55-C21E9A2BEC8D}"/>
    <cellStyle name="Currency 10" xfId="22" xr:uid="{00000000-0005-0000-0000-000016000000}"/>
    <cellStyle name="Currency 2" xfId="23" xr:uid="{00000000-0005-0000-0000-000017000000}"/>
    <cellStyle name="Currency 8" xfId="24" xr:uid="{00000000-0005-0000-0000-000018000000}"/>
    <cellStyle name="Currency_ADBE-wire" xfId="63" xr:uid="{1788CE7B-5CDF-411C-A708-F22C60C168F4}"/>
    <cellStyle name="Hyperlink" xfId="55" builtinId="8"/>
    <cellStyle name="Hyperlink 2" xfId="25" xr:uid="{00000000-0005-0000-0000-00001A000000}"/>
    <cellStyle name="Hyperlink 2 2" xfId="53" xr:uid="{00000000-0005-0000-0000-00001B000000}"/>
    <cellStyle name="Hyperlink 3" xfId="42" xr:uid="{00000000-0005-0000-0000-00001C000000}"/>
    <cellStyle name="Normal" xfId="0" builtinId="0"/>
    <cellStyle name="Normal 10" xfId="26" xr:uid="{00000000-0005-0000-0000-00001E000000}"/>
    <cellStyle name="Normal 143" xfId="16" xr:uid="{00000000-0005-0000-0000-00001F000000}"/>
    <cellStyle name="Normal 2" xfId="27" xr:uid="{00000000-0005-0000-0000-000020000000}"/>
    <cellStyle name="Normal 2 14" xfId="62" xr:uid="{3D4FF92F-9D72-42E5-AFEB-E47F21E53529}"/>
    <cellStyle name="Normal 2 2" xfId="28" xr:uid="{00000000-0005-0000-0000-000021000000}"/>
    <cellStyle name="Normal 2 2 2 4" xfId="49" xr:uid="{00000000-0005-0000-0000-000022000000}"/>
    <cellStyle name="Normal 2 3" xfId="29" xr:uid="{00000000-0005-0000-0000-000023000000}"/>
    <cellStyle name="Normal 2 3 2" xfId="41" xr:uid="{00000000-0005-0000-0000-000024000000}"/>
    <cellStyle name="Normal 2 4" xfId="30" xr:uid="{00000000-0005-0000-0000-000025000000}"/>
    <cellStyle name="Normal 2 5" xfId="31" xr:uid="{00000000-0005-0000-0000-000026000000}"/>
    <cellStyle name="Normal 21 2" xfId="50" xr:uid="{00000000-0005-0000-0000-000027000000}"/>
    <cellStyle name="Normal 296" xfId="68" xr:uid="{3F13739F-B13B-468B-8598-204905A1CA8F}"/>
    <cellStyle name="Normal 3" xfId="32" xr:uid="{00000000-0005-0000-0000-000028000000}"/>
    <cellStyle name="Normal 3 2" xfId="33" xr:uid="{00000000-0005-0000-0000-000029000000}"/>
    <cellStyle name="Normal 3 6" xfId="46" xr:uid="{00000000-0005-0000-0000-00002A000000}"/>
    <cellStyle name="Normal 4" xfId="34" xr:uid="{00000000-0005-0000-0000-00002B000000}"/>
    <cellStyle name="Normal 42" xfId="52" xr:uid="{00000000-0005-0000-0000-00002C000000}"/>
    <cellStyle name="Normal 44" xfId="51" xr:uid="{00000000-0005-0000-0000-00002D000000}"/>
    <cellStyle name="Normal 46" xfId="67" xr:uid="{7705AF1C-C1AB-430F-8714-7AE76EFC1CE9}"/>
    <cellStyle name="Normal 5" xfId="45" xr:uid="{00000000-0005-0000-0000-00002E000000}"/>
    <cellStyle name="Normal 6" xfId="35" xr:uid="{00000000-0005-0000-0000-00002F000000}"/>
    <cellStyle name="Normal 7" xfId="36" xr:uid="{00000000-0005-0000-0000-000030000000}"/>
    <cellStyle name="Normal 8" xfId="54" xr:uid="{00000000-0005-0000-0000-000031000000}"/>
    <cellStyle name="Normal_ADBE-wire" xfId="61" xr:uid="{93ED4AF7-BA4F-4F06-B7D0-651D9D0674A4}"/>
    <cellStyle name="Normal_EFII" xfId="57" xr:uid="{BFCAC5EE-E0FE-4677-82A8-9845F6FD4378}"/>
    <cellStyle name="Normal_Quarterly History" xfId="60" xr:uid="{83DFB9D5-03E5-4C79-AB12-21C0CDCC5801}"/>
    <cellStyle name="Percent" xfId="40" builtinId="5"/>
    <cellStyle name="Percent 10" xfId="37" xr:uid="{00000000-0005-0000-0000-000033000000}"/>
    <cellStyle name="Percent 10 2" xfId="43" xr:uid="{00000000-0005-0000-0000-000034000000}"/>
    <cellStyle name="Percent 2" xfId="38" xr:uid="{00000000-0005-0000-0000-000035000000}"/>
    <cellStyle name="Percent 3" xfId="44" xr:uid="{00000000-0005-0000-0000-000036000000}"/>
    <cellStyle name="Percent 3 10" xfId="58" xr:uid="{5B4B976F-7298-4062-870F-01DA89899A14}"/>
    <cellStyle name="Percent 3 2" xfId="66" xr:uid="{660D1DA2-EC54-4920-A19D-E2527BB2D2FF}"/>
    <cellStyle name="Percent 43" xfId="69" xr:uid="{E9A44406-812E-4A3D-AC96-AE06EC243269}"/>
    <cellStyle name="Percent 8" xfId="39" xr:uid="{00000000-0005-0000-0000-000037000000}"/>
    <cellStyle name="Percent 85" xfId="17" xr:uid="{00000000-0005-0000-0000-000038000000}"/>
  </cellStyles>
  <dxfs count="0"/>
  <tableStyles count="0" defaultTableStyle="TableStyleMedium2" defaultPivotStyle="PivotStyleLight16"/>
  <colors>
    <mruColors>
      <color rgb="FF0000FF"/>
      <color rgb="FF008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1</xdr:col>
      <xdr:colOff>577215</xdr:colOff>
      <xdr:row>4</xdr:row>
      <xdr:rowOff>53340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6225" y="228600"/>
          <a:ext cx="54864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rmwide.corp.gs.com\root\Projects\Research\ny\Software%20and%20Internet\Models%20-%20Current%20Coverage\NTNX\NTNX%20Model%20-%20Live_Final.xlsx" TargetMode="External"/><Relationship Id="rId1" Type="http://schemas.openxmlformats.org/officeDocument/2006/relationships/externalLinkPath" Target="file:///C:\Projects\Research\ny\Software%20and%20Internet\Models%20-%20Current%20Coverage\NTNX\NTNX%20Model%20-%20Live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rmwide.corp.gs.com\root\Projects\Research\ny\Software%20and%20Internet\Models%20-%20Current%20Coverage\MSFT\MSFT%20Model%20-%20updates%20for%20capex%20note.xlsx" TargetMode="External"/><Relationship Id="rId1" Type="http://schemas.openxmlformats.org/officeDocument/2006/relationships/externalLinkPath" Target="file:///C:\Projects\Research\ny\Software%20and%20Internet\Models%20-%20Current%20Coverage\MSFT\MSFT%20Model%20-%20updates%20for%20capex%20no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Cover"/>
      <sheetName val="Revenue Build"/>
      <sheetName val="Sensitivity"/>
      <sheetName val="VMware Analysis"/>
      <sheetName val="VMware"/>
      <sheetName val="IS (GAAP)"/>
      <sheetName val="IS (Non-GAAP)"/>
      <sheetName val="BS"/>
      <sheetName val="NTNX_Live_Sheet"/>
      <sheetName val="NTNX_Validation_Sheet"/>
      <sheetName val="NTNX_Annotation_Sheet"/>
      <sheetName val="CF"/>
      <sheetName val="CF Inputs"/>
      <sheetName val="Share Count Forecast"/>
      <sheetName val="DR &amp; Billings"/>
      <sheetName val="Guidance"/>
      <sheetName val="Dates "/>
      <sheetName val="Consensus"/>
      <sheetName val="Comp Sheet"/>
      <sheetName val="NTNX_Exchange_Sheet"/>
      <sheetName val="Gartner-IDC"/>
      <sheetName val="Q4"/>
      <sheetName val="Q1-Q3"/>
      <sheetName val="Est. vs Guidance"/>
      <sheetName val="First Read"/>
      <sheetName val="SumVal"/>
      <sheetName val="GS Framework"/>
      <sheetName val="Long-Term Scenario"/>
      <sheetName val="Analyst 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9">
          <cell r="BH9">
            <v>448.58100000000002</v>
          </cell>
        </row>
      </sheetData>
      <sheetData sheetId="7">
        <row r="46">
          <cell r="BH46">
            <v>376.98599999999999</v>
          </cell>
        </row>
      </sheetData>
      <sheetData sheetId="8" refreshError="1"/>
      <sheetData sheetId="9">
        <row r="1">
          <cell r="A1" t="str">
            <v>Issuer: Nutanix Inc.</v>
          </cell>
          <cell r="C1">
            <v>2514458667</v>
          </cell>
          <cell r="F1">
            <v>2012</v>
          </cell>
          <cell r="G1">
            <v>2013</v>
          </cell>
          <cell r="H1">
            <v>2014</v>
          </cell>
          <cell r="I1">
            <v>2015</v>
          </cell>
          <cell r="J1">
            <v>2016</v>
          </cell>
          <cell r="K1" t="str">
            <v>2017 Q1</v>
          </cell>
          <cell r="L1" t="str">
            <v>2017 Q2</v>
          </cell>
          <cell r="M1" t="str">
            <v>2017 Q3</v>
          </cell>
          <cell r="N1" t="str">
            <v>2017 Q4</v>
          </cell>
          <cell r="O1">
            <v>2017</v>
          </cell>
          <cell r="P1" t="str">
            <v>2018 Q1</v>
          </cell>
          <cell r="Q1" t="str">
            <v>2018 Q2</v>
          </cell>
          <cell r="R1" t="str">
            <v>2018 Q3</v>
          </cell>
          <cell r="S1" t="str">
            <v>2018 Q4</v>
          </cell>
          <cell r="T1">
            <v>2018</v>
          </cell>
          <cell r="U1" t="str">
            <v>2019 Q1</v>
          </cell>
          <cell r="V1" t="str">
            <v>2019 Q2</v>
          </cell>
          <cell r="W1" t="str">
            <v>2019 Q3</v>
          </cell>
          <cell r="X1" t="str">
            <v>2019 Q4</v>
          </cell>
          <cell r="Y1">
            <v>2019</v>
          </cell>
          <cell r="Z1" t="str">
            <v>2020 Q1</v>
          </cell>
          <cell r="AA1" t="str">
            <v>2020 Q2</v>
          </cell>
          <cell r="AB1" t="str">
            <v>2020 Q3</v>
          </cell>
          <cell r="AC1" t="str">
            <v>2020 Q4</v>
          </cell>
          <cell r="AD1">
            <v>2020</v>
          </cell>
          <cell r="AE1" t="str">
            <v>2021 Q1</v>
          </cell>
          <cell r="AF1" t="str">
            <v>2021 Q2</v>
          </cell>
          <cell r="AG1" t="str">
            <v>2021 Q3</v>
          </cell>
          <cell r="AH1" t="str">
            <v>2021 Q4</v>
          </cell>
          <cell r="AI1">
            <v>2021</v>
          </cell>
          <cell r="AJ1" t="str">
            <v>2022 Q1</v>
          </cell>
          <cell r="AK1" t="str">
            <v>2022 Q2</v>
          </cell>
          <cell r="AL1" t="str">
            <v>2022 Q3</v>
          </cell>
          <cell r="AM1" t="str">
            <v>2022 Q4</v>
          </cell>
          <cell r="AN1">
            <v>2022</v>
          </cell>
          <cell r="AO1" t="str">
            <v>2023 Q1</v>
          </cell>
          <cell r="AP1" t="str">
            <v>2023 Q2</v>
          </cell>
          <cell r="AQ1" t="str">
            <v>2023 Q3</v>
          </cell>
          <cell r="AR1" t="str">
            <v>2023 Q4</v>
          </cell>
          <cell r="AS1">
            <v>2023</v>
          </cell>
          <cell r="AT1" t="str">
            <v>2024 Q1</v>
          </cell>
          <cell r="AU1" t="str">
            <v>2024 Q2</v>
          </cell>
          <cell r="AV1" t="str">
            <v>2024 Q3</v>
          </cell>
          <cell r="AW1" t="str">
            <v>2024 Q4</v>
          </cell>
          <cell r="AX1">
            <v>2024</v>
          </cell>
          <cell r="AY1" t="str">
            <v>2025 Q1</v>
          </cell>
          <cell r="AZ1" t="str">
            <v>2025 Q2</v>
          </cell>
          <cell r="BA1" t="str">
            <v>2025 Q3</v>
          </cell>
          <cell r="BB1" t="str">
            <v>2025 Q4</v>
          </cell>
          <cell r="BC1">
            <v>2025</v>
          </cell>
          <cell r="BD1" t="str">
            <v>2026 Q1</v>
          </cell>
          <cell r="BE1" t="str">
            <v>2026 Q2</v>
          </cell>
          <cell r="BF1" t="str">
            <v>2026 Q3</v>
          </cell>
          <cell r="BG1" t="str">
            <v>2026 Q4</v>
          </cell>
          <cell r="BH1">
            <v>2026</v>
          </cell>
          <cell r="BI1" t="str">
            <v>2027 Q1</v>
          </cell>
          <cell r="BJ1" t="str">
            <v>2027 Q2</v>
          </cell>
          <cell r="BK1" t="str">
            <v>2027 Q3</v>
          </cell>
          <cell r="BL1" t="str">
            <v>2027 Q4</v>
          </cell>
          <cell r="BM1">
            <v>2027</v>
          </cell>
          <cell r="BN1" t="str">
            <v>2028 Q1</v>
          </cell>
          <cell r="BO1" t="str">
            <v>2028 Q2</v>
          </cell>
          <cell r="BP1" t="str">
            <v>2028 Q3</v>
          </cell>
          <cell r="BQ1" t="str">
            <v>2028 Q4</v>
          </cell>
          <cell r="BR1">
            <v>2028</v>
          </cell>
          <cell r="BS1" t="str">
            <v>2029 Q1</v>
          </cell>
          <cell r="BT1" t="str">
            <v>2029 Q2</v>
          </cell>
          <cell r="BU1" t="str">
            <v>2029 Q3</v>
          </cell>
          <cell r="BV1" t="str">
            <v>2029 Q4</v>
          </cell>
          <cell r="BW1">
            <v>2029</v>
          </cell>
          <cell r="BX1" t="str">
            <v>2030 Q1</v>
          </cell>
          <cell r="BY1" t="str">
            <v>2030 Q2</v>
          </cell>
          <cell r="BZ1" t="str">
            <v>2030 Q3</v>
          </cell>
          <cell r="CA1" t="str">
            <v>2030 Q4</v>
          </cell>
          <cell r="CB1">
            <v>2030</v>
          </cell>
        </row>
        <row r="2"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Actual</v>
          </cell>
          <cell r="N2" t="str">
            <v>Actual</v>
          </cell>
          <cell r="O2" t="str">
            <v>Actual</v>
          </cell>
          <cell r="P2" t="str">
            <v>Actual</v>
          </cell>
          <cell r="Q2" t="str">
            <v>Actual</v>
          </cell>
          <cell r="R2" t="str">
            <v>Actual</v>
          </cell>
          <cell r="S2" t="str">
            <v>Actual</v>
          </cell>
          <cell r="T2" t="str">
            <v>Actual</v>
          </cell>
          <cell r="U2" t="str">
            <v>Actual</v>
          </cell>
          <cell r="V2" t="str">
            <v>Actual</v>
          </cell>
          <cell r="W2" t="str">
            <v>Actual</v>
          </cell>
          <cell r="X2" t="str">
            <v>Actual</v>
          </cell>
          <cell r="Y2" t="str">
            <v>Actual</v>
          </cell>
          <cell r="Z2" t="str">
            <v>Actual</v>
          </cell>
          <cell r="AA2" t="str">
            <v>Actual</v>
          </cell>
          <cell r="AB2" t="str">
            <v>Actual</v>
          </cell>
          <cell r="AC2" t="str">
            <v>Actual</v>
          </cell>
          <cell r="AD2" t="str">
            <v>Actual</v>
          </cell>
          <cell r="AE2" t="str">
            <v>Actual</v>
          </cell>
          <cell r="AF2" t="str">
            <v>Actual</v>
          </cell>
          <cell r="AG2" t="str">
            <v>Actual</v>
          </cell>
          <cell r="AH2" t="str">
            <v>Actual</v>
          </cell>
          <cell r="AI2" t="str">
            <v>Actual</v>
          </cell>
          <cell r="AJ2" t="str">
            <v>Actual</v>
          </cell>
          <cell r="AK2" t="str">
            <v>Actual</v>
          </cell>
          <cell r="AL2" t="str">
            <v>Actual</v>
          </cell>
          <cell r="AM2" t="str">
            <v>Actual</v>
          </cell>
          <cell r="AN2" t="str">
            <v>Actual</v>
          </cell>
          <cell r="AO2" t="str">
            <v>Actual</v>
          </cell>
          <cell r="AP2" t="str">
            <v>Actual</v>
          </cell>
          <cell r="AQ2" t="str">
            <v>Actual</v>
          </cell>
          <cell r="AR2" t="str">
            <v>Actual</v>
          </cell>
          <cell r="AS2" t="str">
            <v>Actual</v>
          </cell>
          <cell r="AT2" t="str">
            <v>Actual</v>
          </cell>
          <cell r="AU2" t="str">
            <v>Actual</v>
          </cell>
          <cell r="AV2" t="str">
            <v>Actual</v>
          </cell>
          <cell r="AW2" t="str">
            <v>Actual</v>
          </cell>
          <cell r="AX2" t="str">
            <v>Actual</v>
          </cell>
          <cell r="AY2" t="str">
            <v>Estimate</v>
          </cell>
          <cell r="AZ2" t="str">
            <v>Estimate</v>
          </cell>
          <cell r="BA2" t="str">
            <v>Estimate</v>
          </cell>
          <cell r="BB2" t="str">
            <v>Estimate</v>
          </cell>
          <cell r="BD2" t="str">
            <v>Estimate</v>
          </cell>
          <cell r="BE2" t="str">
            <v>Estimate</v>
          </cell>
          <cell r="BF2" t="str">
            <v>Estimate</v>
          </cell>
          <cell r="BG2" t="str">
            <v>Estimate</v>
          </cell>
          <cell r="BH2" t="str">
            <v>Estimate</v>
          </cell>
          <cell r="BI2" t="str">
            <v>Estimate</v>
          </cell>
          <cell r="BJ2" t="str">
            <v>Estimate</v>
          </cell>
          <cell r="BK2" t="str">
            <v>Estimate</v>
          </cell>
          <cell r="BL2" t="str">
            <v>Estimate</v>
          </cell>
          <cell r="BM2" t="str">
            <v>Estimate</v>
          </cell>
          <cell r="BN2" t="str">
            <v>Estimate</v>
          </cell>
          <cell r="BO2" t="str">
            <v>Estimate</v>
          </cell>
          <cell r="BP2" t="str">
            <v>Estimate</v>
          </cell>
          <cell r="BQ2" t="str">
            <v>Estimate</v>
          </cell>
          <cell r="BR2" t="str">
            <v>Estimate</v>
          </cell>
          <cell r="BS2" t="str">
            <v>Estimate</v>
          </cell>
          <cell r="BT2" t="str">
            <v>Estimate</v>
          </cell>
          <cell r="BU2" t="str">
            <v>Estimate</v>
          </cell>
          <cell r="BV2" t="str">
            <v>Estimate</v>
          </cell>
          <cell r="BW2" t="str">
            <v>Estimate</v>
          </cell>
          <cell r="BX2" t="str">
            <v>Estimate</v>
          </cell>
          <cell r="BY2" t="str">
            <v>Estimate</v>
          </cell>
          <cell r="BZ2" t="str">
            <v>Estimate</v>
          </cell>
          <cell r="CA2" t="str">
            <v>Estimate</v>
          </cell>
          <cell r="CB2" t="str">
            <v>Estimate</v>
          </cell>
        </row>
        <row r="3">
          <cell r="F3">
            <v>41274</v>
          </cell>
          <cell r="G3">
            <v>41639</v>
          </cell>
          <cell r="H3">
            <v>42004</v>
          </cell>
          <cell r="I3">
            <v>42369</v>
          </cell>
          <cell r="J3">
            <v>42735</v>
          </cell>
          <cell r="K3">
            <v>42825</v>
          </cell>
          <cell r="L3">
            <v>42916</v>
          </cell>
          <cell r="M3">
            <v>43008</v>
          </cell>
          <cell r="N3">
            <v>43100</v>
          </cell>
          <cell r="O3">
            <v>43100</v>
          </cell>
          <cell r="P3">
            <v>43190</v>
          </cell>
          <cell r="Q3">
            <v>43281</v>
          </cell>
          <cell r="R3">
            <v>43373</v>
          </cell>
          <cell r="S3">
            <v>43465</v>
          </cell>
          <cell r="T3">
            <v>43465</v>
          </cell>
          <cell r="U3">
            <v>43555</v>
          </cell>
          <cell r="V3">
            <v>43646</v>
          </cell>
          <cell r="W3">
            <v>43738</v>
          </cell>
          <cell r="X3">
            <v>43830</v>
          </cell>
          <cell r="Y3">
            <v>43830</v>
          </cell>
          <cell r="Z3">
            <v>43921</v>
          </cell>
          <cell r="AA3">
            <v>44012</v>
          </cell>
          <cell r="AB3">
            <v>44104</v>
          </cell>
          <cell r="AC3">
            <v>44196</v>
          </cell>
          <cell r="AD3">
            <v>44196</v>
          </cell>
          <cell r="AE3">
            <v>44286</v>
          </cell>
          <cell r="AF3">
            <v>44377</v>
          </cell>
          <cell r="AG3">
            <v>44469</v>
          </cell>
          <cell r="AH3">
            <v>44561</v>
          </cell>
          <cell r="AI3">
            <v>44561</v>
          </cell>
          <cell r="AJ3">
            <v>44651</v>
          </cell>
          <cell r="AK3">
            <v>44742</v>
          </cell>
          <cell r="AL3">
            <v>44834</v>
          </cell>
          <cell r="AM3">
            <v>44926</v>
          </cell>
          <cell r="AN3">
            <v>44926</v>
          </cell>
          <cell r="AO3">
            <v>45016</v>
          </cell>
          <cell r="AP3">
            <v>45107</v>
          </cell>
          <cell r="AQ3">
            <v>45199</v>
          </cell>
          <cell r="AR3">
            <v>45291</v>
          </cell>
          <cell r="AS3">
            <v>45291</v>
          </cell>
          <cell r="AT3">
            <v>45382</v>
          </cell>
          <cell r="AU3">
            <v>45473</v>
          </cell>
          <cell r="AV3">
            <v>45565</v>
          </cell>
          <cell r="AW3">
            <v>45657</v>
          </cell>
          <cell r="AX3">
            <v>45657</v>
          </cell>
          <cell r="AY3">
            <v>45747</v>
          </cell>
          <cell r="AZ3">
            <v>45838</v>
          </cell>
          <cell r="BA3">
            <v>45930</v>
          </cell>
          <cell r="BB3">
            <v>46022</v>
          </cell>
          <cell r="BD3">
            <v>46112</v>
          </cell>
          <cell r="BE3">
            <v>46203</v>
          </cell>
          <cell r="BF3">
            <v>46295</v>
          </cell>
          <cell r="BG3">
            <v>46387</v>
          </cell>
          <cell r="BH3">
            <v>46387</v>
          </cell>
          <cell r="BI3">
            <v>46477</v>
          </cell>
          <cell r="BJ3">
            <v>46568</v>
          </cell>
          <cell r="BK3">
            <v>46660</v>
          </cell>
          <cell r="BL3">
            <v>46752</v>
          </cell>
          <cell r="BM3">
            <v>46752</v>
          </cell>
          <cell r="BN3">
            <v>46843</v>
          </cell>
          <cell r="BO3">
            <v>46934</v>
          </cell>
          <cell r="BP3">
            <v>47026</v>
          </cell>
          <cell r="BQ3">
            <v>47118</v>
          </cell>
          <cell r="BR3">
            <v>47118</v>
          </cell>
          <cell r="BS3">
            <v>47208</v>
          </cell>
          <cell r="BT3">
            <v>47299</v>
          </cell>
          <cell r="BU3">
            <v>47391</v>
          </cell>
          <cell r="BV3">
            <v>47483</v>
          </cell>
          <cell r="BW3">
            <v>47483</v>
          </cell>
          <cell r="BX3">
            <v>47573</v>
          </cell>
          <cell r="BY3">
            <v>47664</v>
          </cell>
          <cell r="BZ3">
            <v>47756</v>
          </cell>
          <cell r="CA3">
            <v>47848</v>
          </cell>
          <cell r="CB3">
            <v>47848</v>
          </cell>
        </row>
        <row r="4">
          <cell r="A4" t="str">
            <v>Issuer: Nutanix Inc.</v>
          </cell>
          <cell r="B4" t="str">
            <v>1510E1C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Nutanix Inc.</v>
          </cell>
        </row>
        <row r="7">
          <cell r="B7" t="str">
            <v>Reporting Currency</v>
          </cell>
          <cell r="C7" t="str">
            <v>CURRENCY_ISO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</row>
        <row r="10">
          <cell r="A10" t="str">
            <v>Income Statement</v>
          </cell>
        </row>
        <row r="11">
          <cell r="B11" t="str">
            <v>Sales, net revenue</v>
          </cell>
          <cell r="C11" t="str">
            <v>SALES</v>
          </cell>
          <cell r="D11">
            <v>0</v>
          </cell>
        </row>
        <row r="12">
          <cell r="B12" t="str">
            <v>Cost of goods sold, COGS</v>
          </cell>
          <cell r="C12" t="str">
            <v>COST_GD_SD</v>
          </cell>
          <cell r="D12">
            <v>0</v>
          </cell>
        </row>
        <row r="13">
          <cell r="B13" t="str">
            <v>SG&amp;A, selling, general and admin. expense</v>
          </cell>
          <cell r="C13" t="str">
            <v>SEL_GL_AD</v>
          </cell>
          <cell r="D13">
            <v>0</v>
          </cell>
        </row>
        <row r="14">
          <cell r="B14" t="str">
            <v>Total operating expense</v>
          </cell>
          <cell r="C14" t="str">
            <v>OP_COST</v>
          </cell>
          <cell r="D14">
            <v>0</v>
          </cell>
        </row>
        <row r="15">
          <cell r="B15" t="str">
            <v>R&amp;D expense</v>
          </cell>
          <cell r="C15" t="str">
            <v>RD_EXP</v>
          </cell>
          <cell r="D15">
            <v>0</v>
          </cell>
        </row>
        <row r="16">
          <cell r="B16" t="str">
            <v>ESO expense (pre-tax)</v>
          </cell>
          <cell r="C16" t="str">
            <v>ESO_PRE_TAX</v>
          </cell>
          <cell r="D16">
            <v>0</v>
          </cell>
        </row>
        <row r="17">
          <cell r="B17" t="str">
            <v>Other operating income/(expense) (incl. leases)</v>
          </cell>
          <cell r="C17" t="str">
            <v>OTH_OP_INC_EXP</v>
          </cell>
          <cell r="D17">
            <v>0</v>
          </cell>
        </row>
        <row r="18">
          <cell r="B18" t="str">
            <v>Total operating expense (incl. D&amp;A)</v>
          </cell>
          <cell r="C18" t="str">
            <v>TOT_OPS_EXP_DDA</v>
          </cell>
          <cell r="D18">
            <v>0</v>
          </cell>
        </row>
        <row r="19">
          <cell r="B19" t="str">
            <v>Total operating expense (excl. D&amp;A)</v>
          </cell>
          <cell r="C19" t="str">
            <v>TOT_OPS_EXP</v>
          </cell>
          <cell r="D19">
            <v>0</v>
          </cell>
        </row>
        <row r="20">
          <cell r="B20" t="str">
            <v>EBITDA</v>
          </cell>
          <cell r="C20" t="str">
            <v>EBITDA_CALC</v>
          </cell>
          <cell r="D20">
            <v>0</v>
          </cell>
        </row>
        <row r="21">
          <cell r="B21" t="str">
            <v>Depreciation</v>
          </cell>
          <cell r="C21" t="str">
            <v>DEPREC</v>
          </cell>
          <cell r="D21">
            <v>0</v>
          </cell>
        </row>
        <row r="22">
          <cell r="B22" t="str">
            <v>Amortization</v>
          </cell>
          <cell r="C22" t="str">
            <v>GOODWILL_AMORT</v>
          </cell>
          <cell r="D22">
            <v>0</v>
          </cell>
        </row>
        <row r="23">
          <cell r="B23" t="str">
            <v>EBIT, operating profit</v>
          </cell>
          <cell r="C23" t="str">
            <v>EBIT</v>
          </cell>
          <cell r="D23">
            <v>0</v>
          </cell>
        </row>
        <row r="24">
          <cell r="B24" t="str">
            <v>Interest income</v>
          </cell>
          <cell r="C24" t="str">
            <v>INT_INC_IND</v>
          </cell>
          <cell r="D24">
            <v>0</v>
          </cell>
        </row>
        <row r="25">
          <cell r="B25" t="str">
            <v>Interest expense</v>
          </cell>
          <cell r="C25" t="str">
            <v>INT_EXP_IND</v>
          </cell>
          <cell r="D25">
            <v>0</v>
          </cell>
        </row>
        <row r="26">
          <cell r="B26" t="str">
            <v>Net interest income/(expense)</v>
          </cell>
          <cell r="C26" t="str">
            <v>NET_INT_EXP</v>
          </cell>
          <cell r="D26">
            <v>0</v>
          </cell>
        </row>
        <row r="27">
          <cell r="B27" t="str">
            <v>Income/(loss) from unconsolidated subs &amp; associates</v>
          </cell>
          <cell r="C27" t="str">
            <v>ASSOCIATE</v>
          </cell>
          <cell r="D27">
            <v>0</v>
          </cell>
        </row>
        <row r="28">
          <cell r="B28" t="str">
            <v>Profit/(loss) on disposals of assets, pre-tax</v>
          </cell>
          <cell r="C28" t="str">
            <v>PROFIT_ON_DISP</v>
          </cell>
          <cell r="D28">
            <v>0</v>
          </cell>
        </row>
        <row r="29">
          <cell r="B29" t="str">
            <v>Other non-ops income/(expense)</v>
          </cell>
          <cell r="C29" t="str">
            <v>OTH_COST_INC</v>
          </cell>
          <cell r="D29">
            <v>0</v>
          </cell>
        </row>
        <row r="30">
          <cell r="B30" t="str">
            <v>Pre-tax profit</v>
          </cell>
          <cell r="C30" t="str">
            <v>PT_PROF</v>
          </cell>
          <cell r="D30">
            <v>0</v>
          </cell>
        </row>
        <row r="31">
          <cell r="A31" t="str">
            <v>Additional Income Statement Items</v>
          </cell>
        </row>
        <row r="32">
          <cell r="B32" t="str">
            <v>Operating lease cost</v>
          </cell>
          <cell r="C32" t="str">
            <v>LEASE_PAY</v>
          </cell>
          <cell r="D32">
            <v>0</v>
          </cell>
        </row>
        <row r="33">
          <cell r="B33" t="str">
            <v>Lease payments (deemed interest portion)</v>
          </cell>
          <cell r="C33" t="str">
            <v>LEASE_DEEM_INT</v>
          </cell>
          <cell r="D33">
            <v>0</v>
          </cell>
        </row>
        <row r="34">
          <cell r="B34" t="str">
            <v>Lease payments (deemed depreciation portion)</v>
          </cell>
          <cell r="C34" t="str">
            <v>LEASE_DEEM_DEPR</v>
          </cell>
          <cell r="D34">
            <v>0</v>
          </cell>
        </row>
        <row r="35">
          <cell r="B35" t="str">
            <v>Gross interest charge</v>
          </cell>
          <cell r="C35" t="str">
            <v>NET_INT_CH</v>
          </cell>
          <cell r="D35">
            <v>0</v>
          </cell>
        </row>
        <row r="36">
          <cell r="B36" t="str">
            <v>Income from associates (operating)</v>
          </cell>
          <cell r="C36" t="str">
            <v>ASSOCIATE_OP</v>
          </cell>
          <cell r="D36">
            <v>0</v>
          </cell>
        </row>
        <row r="37">
          <cell r="B37" t="str">
            <v>Depreciation ROU assets   (applicable to IFRS cos.)</v>
          </cell>
          <cell r="C37" t="str">
            <v>DEPR_ROU_ASSETS</v>
          </cell>
          <cell r="D37">
            <v>0</v>
          </cell>
        </row>
        <row r="38">
          <cell r="B38" t="str">
            <v>Lease interest charge  (applicable to IFRS cos.)</v>
          </cell>
          <cell r="C38" t="str">
            <v>LEASE_INT_CHG</v>
          </cell>
          <cell r="D38">
            <v>0</v>
          </cell>
        </row>
        <row r="39">
          <cell r="B39" t="str">
            <v>Lease standard adopted (US GAAP ASC 842/ IFRS 16)</v>
          </cell>
          <cell r="C39" t="str">
            <v>LEASE_ADOPT</v>
          </cell>
        </row>
        <row r="40">
          <cell r="B40" t="str">
            <v>Stock-based compensation related to cost of goods sold (Americas software)</v>
          </cell>
          <cell r="C40" t="str">
            <v>SBC_COST_OF_GOODS_SOLD</v>
          </cell>
          <cell r="D40">
            <v>0</v>
          </cell>
        </row>
        <row r="41">
          <cell r="B41" t="str">
            <v>Stock-based compensation related to sales &amp; marketing (Americas software)</v>
          </cell>
          <cell r="C41" t="str">
            <v>SBC_SALES_MARKETING</v>
          </cell>
          <cell r="D41">
            <v>0</v>
          </cell>
        </row>
        <row r="42">
          <cell r="B42" t="str">
            <v>Stock-based compensation related to research &amp; development (Americas software)</v>
          </cell>
          <cell r="C42" t="str">
            <v>SBC_RESEARCH_DEVELOPMENT</v>
          </cell>
          <cell r="D42">
            <v>0</v>
          </cell>
        </row>
        <row r="43">
          <cell r="B43" t="str">
            <v>Stock-based compensation related to general &amp; administrative (Americas software)</v>
          </cell>
          <cell r="C43" t="str">
            <v>SBC_GEN_ADMINISTRATIVE</v>
          </cell>
          <cell r="D43">
            <v>0</v>
          </cell>
        </row>
        <row r="44">
          <cell r="B44" t="str">
            <v>Total stock-based compensation (Americas software)</v>
          </cell>
          <cell r="C44" t="str">
            <v>SBC_TOTAL</v>
          </cell>
          <cell r="D44">
            <v>0</v>
          </cell>
        </row>
        <row r="45">
          <cell r="B45" t="str">
            <v>Non-GAAP cost of goods sold</v>
          </cell>
          <cell r="C45" t="str">
            <v>COGS_N_GAAP</v>
          </cell>
          <cell r="D45">
            <v>0</v>
          </cell>
        </row>
        <row r="46">
          <cell r="B46" t="str">
            <v>Non-GAAP gross profit</v>
          </cell>
          <cell r="C46" t="str">
            <v>GROSS_PROFIT_N_GAAP</v>
          </cell>
          <cell r="D46">
            <v>0</v>
          </cell>
        </row>
        <row r="47">
          <cell r="B47" t="str">
            <v>Non-GAAP general and administrative expenses</v>
          </cell>
          <cell r="C47" t="str">
            <v>GEN_ADMIN_N_GAAP</v>
          </cell>
          <cell r="D47">
            <v>0</v>
          </cell>
        </row>
        <row r="48">
          <cell r="B48" t="str">
            <v>Non-GAAP sales &amp; marketing</v>
          </cell>
          <cell r="C48" t="str">
            <v>SALES_MARKETING_N_GAAP</v>
          </cell>
          <cell r="D48">
            <v>0</v>
          </cell>
        </row>
        <row r="49">
          <cell r="B49" t="str">
            <v>Non-GAAP research &amp; development</v>
          </cell>
          <cell r="C49" t="str">
            <v>RD_N_GAAP</v>
          </cell>
          <cell r="D49">
            <v>0</v>
          </cell>
        </row>
        <row r="50">
          <cell r="B50" t="str">
            <v>Non-GAAP operating expenses</v>
          </cell>
          <cell r="C50" t="str">
            <v>OPS_EXP_N_GAAP</v>
          </cell>
          <cell r="D50">
            <v>0</v>
          </cell>
        </row>
        <row r="51">
          <cell r="B51" t="str">
            <v>Non-GAAP operating income</v>
          </cell>
          <cell r="C51" t="str">
            <v>OP_INC_N_GAAP</v>
          </cell>
          <cell r="D51">
            <v>0</v>
          </cell>
        </row>
        <row r="52">
          <cell r="B52" t="str">
            <v>Non-GAAP net income</v>
          </cell>
          <cell r="C52" t="str">
            <v>NET_INC_N_GAAP</v>
          </cell>
          <cell r="D52">
            <v>0</v>
          </cell>
        </row>
        <row r="53">
          <cell r="A53" t="str">
            <v>Balance Sheet</v>
          </cell>
        </row>
        <row r="54">
          <cell r="B54" t="str">
            <v>Cash &amp; cash equivalents</v>
          </cell>
          <cell r="C54" t="str">
            <v>CASH_EQ</v>
          </cell>
          <cell r="D54">
            <v>0</v>
          </cell>
        </row>
        <row r="55">
          <cell r="B55" t="str">
            <v>Accounts receivable</v>
          </cell>
          <cell r="C55" t="str">
            <v>DEBTORS</v>
          </cell>
          <cell r="D55">
            <v>0</v>
          </cell>
        </row>
        <row r="56">
          <cell r="B56" t="str">
            <v>Inventory</v>
          </cell>
          <cell r="C56" t="str">
            <v>STOCKS</v>
          </cell>
          <cell r="D56">
            <v>0</v>
          </cell>
        </row>
        <row r="57">
          <cell r="B57" t="str">
            <v>Other current assets</v>
          </cell>
          <cell r="C57" t="str">
            <v>OTH_CUR_ASS</v>
          </cell>
          <cell r="D57">
            <v>0</v>
          </cell>
        </row>
        <row r="58">
          <cell r="B58" t="str">
            <v>Total current assets</v>
          </cell>
          <cell r="C58" t="str">
            <v>CUR_ASS</v>
          </cell>
          <cell r="D58">
            <v>0</v>
          </cell>
        </row>
        <row r="59">
          <cell r="B59" t="str">
            <v>Gross fixed assets, PP&amp;E</v>
          </cell>
          <cell r="C59" t="str">
            <v>GR_FIX_ASS</v>
          </cell>
          <cell r="D59">
            <v>0</v>
          </cell>
        </row>
        <row r="60">
          <cell r="B60" t="str">
            <v>Accumulated depreciation</v>
          </cell>
          <cell r="C60" t="str">
            <v>ACC_DDA</v>
          </cell>
          <cell r="D60">
            <v>0</v>
          </cell>
        </row>
        <row r="61">
          <cell r="B61" t="str">
            <v>Net PP&amp;E</v>
          </cell>
          <cell r="C61" t="str">
            <v>NET_FIX_ASS</v>
          </cell>
          <cell r="D61">
            <v>0</v>
          </cell>
        </row>
        <row r="62">
          <cell r="B62" t="str">
            <v>Gross intangibles</v>
          </cell>
          <cell r="C62" t="str">
            <v>GR_INTANG</v>
          </cell>
          <cell r="D62">
            <v>0</v>
          </cell>
        </row>
        <row r="63">
          <cell r="B63" t="str">
            <v>Accumulated amortization</v>
          </cell>
          <cell r="C63" t="str">
            <v>ACC_AMORT</v>
          </cell>
          <cell r="D63">
            <v>0</v>
          </cell>
        </row>
        <row r="64">
          <cell r="B64" t="str">
            <v>Net intangible assets</v>
          </cell>
          <cell r="C64" t="str">
            <v>NET_INTANG</v>
          </cell>
          <cell r="D64">
            <v>0</v>
          </cell>
        </row>
        <row r="65">
          <cell r="B65" t="str">
            <v>Equity method investments</v>
          </cell>
          <cell r="C65" t="str">
            <v>FIX_ASS_INV</v>
          </cell>
          <cell r="D65">
            <v>0</v>
          </cell>
        </row>
        <row r="66">
          <cell r="B66" t="str">
            <v>Investments in securities</v>
          </cell>
          <cell r="C66" t="str">
            <v>INV_SECUR</v>
          </cell>
          <cell r="D66">
            <v>0</v>
          </cell>
        </row>
        <row r="67">
          <cell r="B67" t="str">
            <v>Other long-term assets</v>
          </cell>
          <cell r="C67" t="str">
            <v>OTH_LT_ASS</v>
          </cell>
          <cell r="D67">
            <v>0</v>
          </cell>
        </row>
        <row r="68">
          <cell r="B68" t="str">
            <v>Total assets</v>
          </cell>
          <cell r="C68" t="str">
            <v>TOT_ASSET</v>
          </cell>
          <cell r="D68">
            <v>0</v>
          </cell>
        </row>
        <row r="69">
          <cell r="B69" t="str">
            <v>Accounts payable</v>
          </cell>
          <cell r="C69" t="str">
            <v>ACC_PAY_GQ</v>
          </cell>
          <cell r="D69">
            <v>0</v>
          </cell>
        </row>
        <row r="70">
          <cell r="B70" t="str">
            <v>Short-term debt</v>
          </cell>
          <cell r="C70" t="str">
            <v>SHORT_T_DEBT</v>
          </cell>
          <cell r="D70">
            <v>0</v>
          </cell>
        </row>
        <row r="71">
          <cell r="B71" t="str">
            <v>Current lease liabilities (op lease: US GAAP)</v>
          </cell>
          <cell r="C71" t="str">
            <v>ST_LEASE_LIAB</v>
          </cell>
          <cell r="D71">
            <v>0</v>
          </cell>
        </row>
        <row r="72">
          <cell r="B72" t="str">
            <v>Other current liabilities</v>
          </cell>
          <cell r="C72" t="str">
            <v>OTH_CUR_LIABS</v>
          </cell>
          <cell r="D72">
            <v>0</v>
          </cell>
        </row>
        <row r="73">
          <cell r="B73" t="str">
            <v>Total current liabilities</v>
          </cell>
          <cell r="C73" t="str">
            <v>SHORT_TERM_LIABS</v>
          </cell>
          <cell r="D73">
            <v>0</v>
          </cell>
        </row>
        <row r="74">
          <cell r="B74" t="str">
            <v>Deferred revenue</v>
          </cell>
          <cell r="C74" t="str">
            <v>TOT_DEF_REV</v>
          </cell>
          <cell r="D74">
            <v>0</v>
          </cell>
        </row>
        <row r="75">
          <cell r="B75" t="str">
            <v>Long-term  debt</v>
          </cell>
          <cell r="C75" t="str">
            <v>LT_DEBT</v>
          </cell>
          <cell r="D75">
            <v>0</v>
          </cell>
        </row>
        <row r="76">
          <cell r="B76" t="str">
            <v>Non-current lease liabilities (op lease: US GAAP)</v>
          </cell>
          <cell r="C76" t="str">
            <v>LT_LEASE_LIAB</v>
          </cell>
          <cell r="D76">
            <v>0</v>
          </cell>
        </row>
        <row r="77">
          <cell r="B77" t="str">
            <v>Other long-term liabilities</v>
          </cell>
          <cell r="C77" t="str">
            <v>OTH_LT_CRED_GQ</v>
          </cell>
          <cell r="D77">
            <v>0</v>
          </cell>
        </row>
        <row r="78">
          <cell r="B78" t="str">
            <v>Total long-term liabilities</v>
          </cell>
          <cell r="C78" t="str">
            <v>TOT_LT_LIAB</v>
          </cell>
          <cell r="D78">
            <v>0</v>
          </cell>
        </row>
        <row r="79">
          <cell r="B79" t="str">
            <v>Total liabilities</v>
          </cell>
          <cell r="C79" t="str">
            <v>TOT_LIAB</v>
          </cell>
          <cell r="D79">
            <v>0</v>
          </cell>
        </row>
        <row r="80">
          <cell r="B80" t="str">
            <v>Preferred shares</v>
          </cell>
          <cell r="C80" t="str">
            <v>PREF_SH</v>
          </cell>
          <cell r="D80">
            <v>0</v>
          </cell>
        </row>
        <row r="81">
          <cell r="B81" t="str">
            <v>Total common equity</v>
          </cell>
          <cell r="C81" t="str">
            <v>ORD_SH_FUND</v>
          </cell>
          <cell r="D81">
            <v>0</v>
          </cell>
        </row>
        <row r="82">
          <cell r="B82" t="str">
            <v>Minority interest</v>
          </cell>
          <cell r="C82" t="str">
            <v>MINORITIES</v>
          </cell>
          <cell r="D82">
            <v>0</v>
          </cell>
        </row>
        <row r="83">
          <cell r="B83" t="str">
            <v>Total shareholders' equity</v>
          </cell>
          <cell r="C83" t="str">
            <v>EQ</v>
          </cell>
          <cell r="D83">
            <v>0</v>
          </cell>
        </row>
        <row r="84">
          <cell r="B84" t="str">
            <v>Total liabilities and equity</v>
          </cell>
          <cell r="C84" t="str">
            <v>TOT_LIAB_EQ</v>
          </cell>
          <cell r="D84">
            <v>0</v>
          </cell>
        </row>
        <row r="85">
          <cell r="A85" t="str">
            <v>Additional Balance Sheet Items</v>
          </cell>
        </row>
        <row r="86">
          <cell r="B86" t="str">
            <v>Total US$ debt (in US$)</v>
          </cell>
          <cell r="C86" t="str">
            <v>TOT_USD_DEBT</v>
          </cell>
        </row>
        <row r="87">
          <cell r="B87" t="str">
            <v>% US$ debt hedged (principal)</v>
          </cell>
          <cell r="C87" t="str">
            <v>TOT_PCT_USD_DEBT_HEDGED</v>
          </cell>
        </row>
        <row r="88">
          <cell r="B88" t="str">
            <v>% Floating debt (local currency debt)</v>
          </cell>
          <cell r="C88" t="str">
            <v>FLOATING_PCT_LOCAL_DEBT</v>
          </cell>
        </row>
        <row r="89">
          <cell r="B89" t="str">
            <v>% floating debt hedged (rates)</v>
          </cell>
          <cell r="C89" t="str">
            <v>FLOATING_PCT_LOCAL_DEBT_HEDGED</v>
          </cell>
        </row>
        <row r="90">
          <cell r="B90" t="str">
            <v>Net debt</v>
          </cell>
          <cell r="C90" t="str">
            <v>NET_DEBT</v>
          </cell>
          <cell r="D90">
            <v>0</v>
          </cell>
        </row>
        <row r="91">
          <cell r="B91" t="str">
            <v>Capitalized operating leases (off-balance sheet)</v>
          </cell>
          <cell r="C91" t="str">
            <v>CAP_LEASES</v>
          </cell>
          <cell r="D91">
            <v>0</v>
          </cell>
        </row>
        <row r="92">
          <cell r="B92" t="str">
            <v>Deferred income taxes</v>
          </cell>
          <cell r="C92" t="str">
            <v>DEF_INC_TAX</v>
          </cell>
          <cell r="D92">
            <v>0</v>
          </cell>
        </row>
        <row r="93">
          <cell r="B93" t="str">
            <v>Net operating loss carryforwards (NOLs)</v>
          </cell>
          <cell r="C93" t="str">
            <v>NET_OP_LOSS_CFWD</v>
          </cell>
          <cell r="D93">
            <v>0</v>
          </cell>
        </row>
        <row r="94">
          <cell r="B94" t="str">
            <v>Associates (mkt value) used in EV calculation</v>
          </cell>
          <cell r="C94" t="str">
            <v>MV_ASSOCIATES</v>
          </cell>
          <cell r="D94">
            <v>0</v>
          </cell>
        </row>
        <row r="95">
          <cell r="B95" t="str">
            <v>Net debt adjustment</v>
          </cell>
          <cell r="C95" t="str">
            <v>NET_DEBT_ADJ</v>
          </cell>
          <cell r="D95">
            <v>0</v>
          </cell>
        </row>
        <row r="96">
          <cell r="B96" t="str">
            <v>Company borrowing margin</v>
          </cell>
          <cell r="C96" t="str">
            <v>CO_BOR_MARGIN</v>
          </cell>
        </row>
        <row r="97">
          <cell r="B97" t="str">
            <v>Unfunded pensions &amp; other provisions</v>
          </cell>
          <cell r="C97" t="str">
            <v>UNF_PENS</v>
          </cell>
          <cell r="D97">
            <v>0</v>
          </cell>
        </row>
        <row r="98">
          <cell r="B98" t="str">
            <v>Unfunded pension liabilities (off balance sheet)</v>
          </cell>
          <cell r="C98" t="str">
            <v>UNF_PENS_OFF</v>
          </cell>
          <cell r="D98">
            <v>0</v>
          </cell>
        </row>
        <row r="99">
          <cell r="B99" t="str">
            <v>Unfunded pension liabilities &amp; other, used in EV</v>
          </cell>
          <cell r="C99" t="str">
            <v>UNF_PENS_LIAB_OTH</v>
          </cell>
          <cell r="D99">
            <v>0</v>
          </cell>
        </row>
        <row r="100">
          <cell r="B100" t="str">
            <v>Adjustment for unfunded pensions &amp; goodwill</v>
          </cell>
          <cell r="C100" t="str">
            <v>ADJ_UNF_PENS_GOOD</v>
          </cell>
          <cell r="D100">
            <v>0</v>
          </cell>
        </row>
        <row r="101">
          <cell r="B101" t="str">
            <v>Other GCI adjustments</v>
          </cell>
          <cell r="C101" t="str">
            <v>OTH_GCI_ADJ</v>
          </cell>
          <cell r="D101">
            <v>0</v>
          </cell>
        </row>
        <row r="102">
          <cell r="B102" t="str">
            <v>GCI inflator</v>
          </cell>
          <cell r="C102" t="str">
            <v>GCI_INFL</v>
          </cell>
        </row>
        <row r="103">
          <cell r="B103" t="str">
            <v>Minority interest</v>
          </cell>
          <cell r="C103" t="str">
            <v>BAL_MINO_INT</v>
          </cell>
          <cell r="D103">
            <v>0</v>
          </cell>
        </row>
        <row r="104">
          <cell r="B104" t="str">
            <v>Right-of-use assets (op lease assets under US GAAP)</v>
          </cell>
          <cell r="C104" t="str">
            <v>ROU_ASSET</v>
          </cell>
          <cell r="D104">
            <v>0</v>
          </cell>
        </row>
        <row r="105">
          <cell r="A105" t="str">
            <v>Cash Flow Statement</v>
          </cell>
        </row>
        <row r="106">
          <cell r="B106" t="str">
            <v>Minority interest add-back</v>
          </cell>
          <cell r="C106" t="str">
            <v>CF_INC_MINORITY</v>
          </cell>
          <cell r="D106">
            <v>0</v>
          </cell>
        </row>
        <row r="107">
          <cell r="B107" t="str">
            <v>Depreciation &amp; amortization add-back</v>
          </cell>
          <cell r="C107" t="str">
            <v>DEPR_AMORT</v>
          </cell>
          <cell r="D107">
            <v>0</v>
          </cell>
        </row>
        <row r="108">
          <cell r="B108" t="str">
            <v>(Increase)/decrease in working capital</v>
          </cell>
          <cell r="C108" t="str">
            <v>WORK_CAP</v>
          </cell>
          <cell r="D108">
            <v>0</v>
          </cell>
        </row>
        <row r="109">
          <cell r="B109" t="str">
            <v>Other operating cash flow items</v>
          </cell>
          <cell r="C109" t="str">
            <v>OTH_OP_CF</v>
          </cell>
          <cell r="D109">
            <v>0</v>
          </cell>
        </row>
        <row r="110">
          <cell r="B110" t="str">
            <v>Cash flow from operating activities</v>
          </cell>
          <cell r="C110" t="str">
            <v>CF_OPS</v>
          </cell>
          <cell r="D110">
            <v>0</v>
          </cell>
        </row>
        <row r="111">
          <cell r="B111" t="str">
            <v>Capital expenditures, Capex</v>
          </cell>
          <cell r="C111" t="str">
            <v>CAPEX</v>
          </cell>
          <cell r="D111">
            <v>0</v>
          </cell>
        </row>
        <row r="112">
          <cell r="B112" t="str">
            <v>Acquisitions</v>
          </cell>
          <cell r="C112" t="str">
            <v>ACQ</v>
          </cell>
          <cell r="D112">
            <v>0</v>
          </cell>
        </row>
        <row r="113">
          <cell r="B113" t="str">
            <v>Divestitures</v>
          </cell>
          <cell r="C113" t="str">
            <v>DIVEST</v>
          </cell>
          <cell r="D113">
            <v>0</v>
          </cell>
        </row>
        <row r="114">
          <cell r="B114" t="str">
            <v>Other investing cash flow items</v>
          </cell>
          <cell r="C114" t="str">
            <v>OTH_INV_CF</v>
          </cell>
          <cell r="D114">
            <v>0</v>
          </cell>
        </row>
        <row r="115">
          <cell r="B115" t="str">
            <v>Cash flow from investing</v>
          </cell>
          <cell r="C115" t="str">
            <v>CF_INV</v>
          </cell>
          <cell r="D115">
            <v>0</v>
          </cell>
        </row>
        <row r="116">
          <cell r="B116" t="str">
            <v>Dividends paid</v>
          </cell>
          <cell r="C116" t="str">
            <v>DIV_PAID</v>
          </cell>
          <cell r="D116">
            <v>0</v>
          </cell>
        </row>
        <row r="117">
          <cell r="B117" t="str">
            <v>Common stock issuance/(repurchase)</v>
          </cell>
          <cell r="C117" t="str">
            <v>SH_REPUR</v>
          </cell>
          <cell r="D117">
            <v>0</v>
          </cell>
        </row>
        <row r="118">
          <cell r="B118" t="str">
            <v>Increase/(decrease) in total debt</v>
          </cell>
          <cell r="C118" t="str">
            <v>CHG_LT_DEBT</v>
          </cell>
          <cell r="D118">
            <v>0</v>
          </cell>
        </row>
        <row r="119">
          <cell r="B119" t="str">
            <v>Lease principal payments  (applicable to IFRS cos.)</v>
          </cell>
          <cell r="C119" t="str">
            <v>LEASE_PRINCIPAL_CASH</v>
          </cell>
          <cell r="D119">
            <v>0</v>
          </cell>
        </row>
        <row r="120">
          <cell r="B120" t="str">
            <v>Other financing cash flow items</v>
          </cell>
          <cell r="C120" t="str">
            <v>OTH_FIN_CF</v>
          </cell>
          <cell r="D120">
            <v>0</v>
          </cell>
        </row>
        <row r="121">
          <cell r="B121" t="str">
            <v>Cash flow from financing</v>
          </cell>
          <cell r="C121" t="str">
            <v>CF_FIN</v>
          </cell>
          <cell r="D121">
            <v>0</v>
          </cell>
        </row>
        <row r="122">
          <cell r="B122" t="str">
            <v>Total cash flow</v>
          </cell>
          <cell r="C122" t="str">
            <v>TOT_CF</v>
          </cell>
          <cell r="D122">
            <v>0</v>
          </cell>
        </row>
        <row r="123">
          <cell r="A123" t="str">
            <v>Additional Cash Flow Items</v>
          </cell>
        </row>
        <row r="124">
          <cell r="B124" t="str">
            <v>Associate and JV add-back</v>
          </cell>
          <cell r="C124" t="str">
            <v>ASSOC_JV_ADDBK</v>
          </cell>
          <cell r="D124">
            <v>0</v>
          </cell>
        </row>
        <row r="125">
          <cell r="B125" t="str">
            <v>Profit/(loss) on sale of assets</v>
          </cell>
          <cell r="C125" t="str">
            <v>PL_SALE_ASSETS</v>
          </cell>
          <cell r="D125">
            <v>0</v>
          </cell>
        </row>
        <row r="126">
          <cell r="B126" t="str">
            <v>Other non-cash adjustments</v>
          </cell>
          <cell r="C126" t="str">
            <v>OTH_NONCASH_ADJ</v>
          </cell>
          <cell r="D126">
            <v>0</v>
          </cell>
        </row>
        <row r="127">
          <cell r="B127" t="str">
            <v>Other DACF adjustments</v>
          </cell>
          <cell r="C127" t="str">
            <v>OTH_DACF_ADJ</v>
          </cell>
          <cell r="D127">
            <v>0</v>
          </cell>
        </row>
        <row r="128">
          <cell r="B128" t="str">
            <v>Change in LT deferred income taxes (Cash flow)</v>
          </cell>
          <cell r="C128" t="str">
            <v>CHG_DEF_TAX_CF</v>
          </cell>
          <cell r="D128">
            <v>0</v>
          </cell>
        </row>
        <row r="129">
          <cell r="B129" t="str">
            <v>Other items/adjustments for computing cash tax rate (except def taxes)</v>
          </cell>
          <cell r="C129" t="str">
            <v>OTH_ADJ_CASH_TAX</v>
          </cell>
          <cell r="D129">
            <v>0</v>
          </cell>
        </row>
        <row r="130">
          <cell r="B130" t="str">
            <v>Cash interest expense</v>
          </cell>
          <cell r="C130" t="str">
            <v>CASH_INT_EXP</v>
          </cell>
          <cell r="D130">
            <v>0</v>
          </cell>
        </row>
        <row r="131">
          <cell r="B131" t="str">
            <v>Cash tax expense</v>
          </cell>
          <cell r="C131" t="str">
            <v>CASH_TAX_EXP</v>
          </cell>
          <cell r="D131">
            <v>0</v>
          </cell>
        </row>
        <row r="132">
          <cell r="B132" t="str">
            <v>Dividends received from associates/JVs</v>
          </cell>
          <cell r="C132" t="str">
            <v>DIVDS_ASSOC_JV</v>
          </cell>
          <cell r="D132">
            <v>0</v>
          </cell>
        </row>
        <row r="133">
          <cell r="B133" t="str">
            <v>Capex maintenance</v>
          </cell>
          <cell r="C133" t="str">
            <v>CAPEX_MAINTENANCE</v>
          </cell>
          <cell r="D133">
            <v>0</v>
          </cell>
        </row>
        <row r="134">
          <cell r="B134" t="str">
            <v>Capex expansion</v>
          </cell>
          <cell r="C134" t="str">
            <v>CAPEX_EXPANSION</v>
          </cell>
          <cell r="D134">
            <v>0</v>
          </cell>
        </row>
        <row r="135">
          <cell r="B135" t="str">
            <v>Non-PP&amp;E capex</v>
          </cell>
          <cell r="C135" t="str">
            <v>NONPPE_CAPEX</v>
          </cell>
          <cell r="D135">
            <v>0</v>
          </cell>
        </row>
        <row r="136">
          <cell r="B136" t="str">
            <v>Dividends paid to minorities</v>
          </cell>
          <cell r="C136" t="str">
            <v>DIVDS_PD_MINORITIES</v>
          </cell>
          <cell r="D136">
            <v>0</v>
          </cell>
        </row>
        <row r="137">
          <cell r="B137" t="str">
            <v>Free cash flow (unlevered)</v>
          </cell>
          <cell r="C137" t="str">
            <v>FCF_UNLEVERED</v>
          </cell>
          <cell r="D137">
            <v>0</v>
          </cell>
        </row>
        <row r="138">
          <cell r="A138" t="str">
            <v>Other Items</v>
          </cell>
        </row>
        <row r="139">
          <cell r="B139" t="str">
            <v>License revenue</v>
          </cell>
          <cell r="C139" t="str">
            <v>LICENSE_REV</v>
          </cell>
          <cell r="D139">
            <v>0</v>
          </cell>
        </row>
        <row r="140">
          <cell r="B140" t="str">
            <v>Maintenance revenue</v>
          </cell>
          <cell r="C140" t="str">
            <v>MAINTEN_REV</v>
          </cell>
          <cell r="D140">
            <v>0</v>
          </cell>
        </row>
        <row r="141">
          <cell r="B141" t="str">
            <v>Number of employees</v>
          </cell>
          <cell r="C141" t="str">
            <v>EMPLOYEES</v>
          </cell>
        </row>
        <row r="142">
          <cell r="B142" t="str">
            <v>Total billings (revenue plus change in deferred revenue)</v>
          </cell>
          <cell r="C142" t="str">
            <v>TOT_BILLINGS</v>
          </cell>
          <cell r="D142">
            <v>0</v>
          </cell>
        </row>
        <row r="143">
          <cell r="B143" t="str">
            <v>Short term billings (revenue plus change in short term deferred revenue)</v>
          </cell>
          <cell r="C143" t="str">
            <v>ST_BILLINGS</v>
          </cell>
          <cell r="D143">
            <v>0</v>
          </cell>
        </row>
        <row r="144">
          <cell r="B144" t="str">
            <v>Remaining performance obligations</v>
          </cell>
          <cell r="C144" t="str">
            <v>REM_PERF_OBLIG</v>
          </cell>
          <cell r="D144">
            <v>0</v>
          </cell>
        </row>
        <row r="145">
          <cell r="B145" t="str">
            <v>Current remaining performance obligations</v>
          </cell>
          <cell r="C145" t="str">
            <v>CUR_REM_PERF_OBLIG</v>
          </cell>
          <cell r="D145">
            <v>0</v>
          </cell>
        </row>
        <row r="146">
          <cell r="B146" t="str">
            <v>Segment revenue name 1</v>
          </cell>
          <cell r="C146" t="str">
            <v>SEGMENT1_REV_NAME</v>
          </cell>
        </row>
        <row r="147">
          <cell r="B147" t="str">
            <v>Segment revenue value 1</v>
          </cell>
          <cell r="C147" t="str">
            <v>SEGMENT1_REV_VALUE</v>
          </cell>
          <cell r="D147">
            <v>0</v>
          </cell>
        </row>
        <row r="148">
          <cell r="B148" t="str">
            <v>Segment revenue name 2</v>
          </cell>
          <cell r="C148" t="str">
            <v>SEGMENT2_REV_NAME</v>
          </cell>
        </row>
        <row r="149">
          <cell r="B149" t="str">
            <v>Segment revenue value 2</v>
          </cell>
          <cell r="C149" t="str">
            <v>SEGMENT2_REV_VALUE</v>
          </cell>
          <cell r="D149">
            <v>0</v>
          </cell>
        </row>
        <row r="150">
          <cell r="B150" t="str">
            <v>Segment revenue name 3</v>
          </cell>
          <cell r="C150" t="str">
            <v>SEGMENT3_REV_NAME</v>
          </cell>
        </row>
        <row r="151">
          <cell r="B151" t="str">
            <v>Segment revenue value 3</v>
          </cell>
          <cell r="C151" t="str">
            <v>SEGMENT3_REV_VALUE</v>
          </cell>
          <cell r="D151">
            <v>0</v>
          </cell>
        </row>
        <row r="152">
          <cell r="B152" t="str">
            <v>Segment revenue name 4</v>
          </cell>
          <cell r="C152" t="str">
            <v>SEGMENT4_REV_NAME</v>
          </cell>
        </row>
        <row r="153">
          <cell r="B153" t="str">
            <v>Segment revenue value 4</v>
          </cell>
          <cell r="C153" t="str">
            <v>SEGMENT4_REV_VALUE</v>
          </cell>
          <cell r="D153">
            <v>0</v>
          </cell>
        </row>
        <row r="154">
          <cell r="B154" t="str">
            <v>Segment revenue name 5</v>
          </cell>
          <cell r="C154" t="str">
            <v>SEGMENT5_REV_NAME</v>
          </cell>
        </row>
        <row r="155">
          <cell r="B155" t="str">
            <v>Segment revenue value 5</v>
          </cell>
          <cell r="C155" t="str">
            <v>SEGMENT5_REV_VALUE</v>
          </cell>
          <cell r="D155">
            <v>0</v>
          </cell>
        </row>
        <row r="156">
          <cell r="B156" t="str">
            <v>Segment revenue name 6</v>
          </cell>
          <cell r="C156" t="str">
            <v>SEGMENT6_REV_NAME</v>
          </cell>
        </row>
        <row r="157">
          <cell r="B157" t="str">
            <v>Segment revenue value 6</v>
          </cell>
          <cell r="C157" t="str">
            <v>SEGMENT6_REV_VALUE</v>
          </cell>
          <cell r="D157">
            <v>0</v>
          </cell>
        </row>
        <row r="158">
          <cell r="B158" t="str">
            <v>Segment revenue name 7</v>
          </cell>
          <cell r="C158" t="str">
            <v>SEGMENT7_REV_NAME</v>
          </cell>
        </row>
        <row r="159">
          <cell r="B159" t="str">
            <v>Segment revenue value 7</v>
          </cell>
          <cell r="C159" t="str">
            <v>SEGMENT7_REV_VALUE</v>
          </cell>
          <cell r="D159">
            <v>0</v>
          </cell>
        </row>
        <row r="160">
          <cell r="B160" t="str">
            <v>Segment revenue name 8</v>
          </cell>
          <cell r="C160" t="str">
            <v>SEGMENT8_REV_NAME</v>
          </cell>
        </row>
        <row r="161">
          <cell r="B161" t="str">
            <v>Segment revenue value 8</v>
          </cell>
          <cell r="C161" t="str">
            <v>SEGMENT8_REV_VALUE</v>
          </cell>
          <cell r="D161">
            <v>0</v>
          </cell>
        </row>
        <row r="162">
          <cell r="B162" t="str">
            <v>Segment revenue name 9</v>
          </cell>
          <cell r="C162" t="str">
            <v>SEGMENT9_REV_NAME</v>
          </cell>
        </row>
        <row r="163">
          <cell r="B163" t="str">
            <v>Segment revenue value 9</v>
          </cell>
          <cell r="C163" t="str">
            <v>SEGMENT9_REV_VALUE</v>
          </cell>
          <cell r="D163">
            <v>0</v>
          </cell>
        </row>
        <row r="164">
          <cell r="B164" t="str">
            <v>Segment revenue name 10</v>
          </cell>
          <cell r="C164" t="str">
            <v>SEGMENT10_REV_NAME</v>
          </cell>
        </row>
        <row r="165">
          <cell r="B165" t="str">
            <v>Segment revenue value 10</v>
          </cell>
          <cell r="C165" t="str">
            <v>SEGMENT10_REV_VALUE</v>
          </cell>
          <cell r="D165">
            <v>0</v>
          </cell>
        </row>
        <row r="166">
          <cell r="A166" t="str">
            <v>Geographical Breakdown</v>
          </cell>
        </row>
        <row r="167">
          <cell r="B167" t="str">
            <v>Sales - % Canada</v>
          </cell>
          <cell r="C167" t="str">
            <v>SALES_CANADA</v>
          </cell>
        </row>
        <row r="168">
          <cell r="B168" t="str">
            <v>Sales - % United States</v>
          </cell>
          <cell r="C168" t="str">
            <v>SALES_US</v>
          </cell>
        </row>
        <row r="169">
          <cell r="B169" t="str">
            <v>Sales - % Other North Americas</v>
          </cell>
          <cell r="C169" t="str">
            <v>SALES_OTH_NO_AMER</v>
          </cell>
        </row>
        <row r="170">
          <cell r="B170" t="str">
            <v>Sales - % Argentina</v>
          </cell>
          <cell r="C170" t="str">
            <v>SALES_ARGENTINA</v>
          </cell>
        </row>
        <row r="171">
          <cell r="B171" t="str">
            <v>Sales - % Brazil</v>
          </cell>
          <cell r="C171" t="str">
            <v>SALES_BRAZIL</v>
          </cell>
        </row>
        <row r="172">
          <cell r="B172" t="str">
            <v>Sales - % Chile</v>
          </cell>
          <cell r="C172" t="str">
            <v>SALES_CHILE</v>
          </cell>
        </row>
        <row r="173">
          <cell r="B173" t="str">
            <v>Sales - % Colombia</v>
          </cell>
          <cell r="C173" t="str">
            <v>SALES_COLOMBIA</v>
          </cell>
        </row>
        <row r="174">
          <cell r="B174" t="str">
            <v>Sales - % Mexico</v>
          </cell>
          <cell r="C174" t="str">
            <v>SALES_MEXICO</v>
          </cell>
        </row>
        <row r="175">
          <cell r="B175" t="str">
            <v>Sales - % Venezuela</v>
          </cell>
          <cell r="C175" t="str">
            <v>SALES_VENEZUELA</v>
          </cell>
        </row>
        <row r="176">
          <cell r="B176" t="str">
            <v>Sales - % Other Latin Americas</v>
          </cell>
          <cell r="C176" t="str">
            <v>SALES_OTH_LATAM</v>
          </cell>
        </row>
        <row r="177">
          <cell r="B177" t="str">
            <v>Sales - % Austria</v>
          </cell>
          <cell r="C177" t="str">
            <v>SALES_AUSTRIA</v>
          </cell>
        </row>
        <row r="178">
          <cell r="B178" t="str">
            <v>Sales - % Belgium</v>
          </cell>
          <cell r="C178" t="str">
            <v>SALES_BEL</v>
          </cell>
        </row>
        <row r="179">
          <cell r="B179" t="str">
            <v>Sales - % France</v>
          </cell>
          <cell r="C179" t="str">
            <v>SALES_FRA</v>
          </cell>
        </row>
        <row r="180">
          <cell r="B180" t="str">
            <v>Sales - % Germany</v>
          </cell>
          <cell r="C180" t="str">
            <v>SALES_GER</v>
          </cell>
        </row>
        <row r="181">
          <cell r="B181" t="str">
            <v>Sales - % Greece</v>
          </cell>
          <cell r="C181" t="str">
            <v>SALES_GRE</v>
          </cell>
        </row>
        <row r="182">
          <cell r="B182" t="str">
            <v>Sales - % Ireland</v>
          </cell>
          <cell r="C182" t="str">
            <v>SALES_IRE</v>
          </cell>
        </row>
        <row r="183">
          <cell r="B183" t="str">
            <v>Sales - % Italy</v>
          </cell>
          <cell r="C183" t="str">
            <v>SALES_ITA</v>
          </cell>
        </row>
        <row r="184">
          <cell r="B184" t="str">
            <v>Sales - % Netherlands</v>
          </cell>
          <cell r="C184" t="str">
            <v>SALES_NETH</v>
          </cell>
        </row>
        <row r="185">
          <cell r="B185" t="str">
            <v>Sales - % Norway</v>
          </cell>
          <cell r="C185" t="str">
            <v>SALES_NOR</v>
          </cell>
        </row>
        <row r="186">
          <cell r="B186" t="str">
            <v>Sales - % Portugal</v>
          </cell>
          <cell r="C186" t="str">
            <v>SALES_POR</v>
          </cell>
        </row>
        <row r="187">
          <cell r="B187" t="str">
            <v>Sales - % Spain</v>
          </cell>
          <cell r="C187" t="str">
            <v>SALES_SPA</v>
          </cell>
        </row>
        <row r="188">
          <cell r="B188" t="str">
            <v>Sales - % Sweden</v>
          </cell>
          <cell r="C188" t="str">
            <v>SALES_SWE</v>
          </cell>
        </row>
        <row r="189">
          <cell r="B189" t="str">
            <v>Sales - % Switzerland</v>
          </cell>
          <cell r="C189" t="str">
            <v>SALES_SWIT</v>
          </cell>
        </row>
        <row r="190">
          <cell r="B190" t="str">
            <v>Sales - % UK</v>
          </cell>
          <cell r="C190" t="str">
            <v>SALES_UK</v>
          </cell>
        </row>
        <row r="191">
          <cell r="B191" t="str">
            <v>Sales - % Other Western Europe</v>
          </cell>
          <cell r="C191" t="str">
            <v>SALES_OTH_WEST_EURO</v>
          </cell>
        </row>
        <row r="192">
          <cell r="B192" t="str">
            <v>Sales - % Poland</v>
          </cell>
          <cell r="C192" t="str">
            <v>SALES_POLAND</v>
          </cell>
        </row>
        <row r="193">
          <cell r="B193" t="str">
            <v>Sales - % Russia</v>
          </cell>
          <cell r="C193" t="str">
            <v>SALES_RUSSIA</v>
          </cell>
        </row>
        <row r="194">
          <cell r="B194" t="str">
            <v>Sales - % Turkey</v>
          </cell>
          <cell r="C194" t="str">
            <v>SALES_TURKEY</v>
          </cell>
        </row>
        <row r="195">
          <cell r="B195" t="str">
            <v>Sales - % Other CEE</v>
          </cell>
          <cell r="C195" t="str">
            <v>SALES_OTH_CEE</v>
          </cell>
        </row>
        <row r="196">
          <cell r="B196" t="str">
            <v>Sales - % Saudi Arabia</v>
          </cell>
          <cell r="C196" t="str">
            <v>SALES_SAUDI_ARABIA</v>
          </cell>
        </row>
        <row r="197">
          <cell r="B197" t="str">
            <v>Sales - % United Arab Emirates</v>
          </cell>
          <cell r="C197" t="str">
            <v>SALES_UAE</v>
          </cell>
        </row>
        <row r="198">
          <cell r="B198" t="str">
            <v>Sales - % Other Middle East</v>
          </cell>
          <cell r="C198" t="str">
            <v>SALES_OTH_ME</v>
          </cell>
        </row>
        <row r="199">
          <cell r="B199" t="str">
            <v>Sales - % Nigeria</v>
          </cell>
          <cell r="C199" t="str">
            <v>SALES_NIGERIA</v>
          </cell>
        </row>
        <row r="200">
          <cell r="B200" t="str">
            <v>Sales - % South Africa</v>
          </cell>
          <cell r="C200" t="str">
            <v>SALES_SO_AFRICA</v>
          </cell>
        </row>
        <row r="201">
          <cell r="B201" t="str">
            <v>Sales - % Other Africa</v>
          </cell>
          <cell r="C201" t="str">
            <v>SALES_OTH_AFRICA</v>
          </cell>
        </row>
        <row r="202">
          <cell r="B202" t="str">
            <v>Sales - % Hong Kong</v>
          </cell>
          <cell r="C202" t="str">
            <v>SALES_HONG_KONG</v>
          </cell>
        </row>
        <row r="203">
          <cell r="B203" t="str">
            <v>Sales - % Japan</v>
          </cell>
          <cell r="C203" t="str">
            <v>SALES_JAPAN</v>
          </cell>
        </row>
        <row r="204">
          <cell r="B204" t="str">
            <v>Sales - % Singapore</v>
          </cell>
          <cell r="C204" t="str">
            <v>SALES_SINGAPORE</v>
          </cell>
        </row>
        <row r="205">
          <cell r="B205" t="str">
            <v>Sales - % South Korea</v>
          </cell>
          <cell r="C205" t="str">
            <v>SALES_SK</v>
          </cell>
        </row>
        <row r="206">
          <cell r="B206" t="str">
            <v>Sales - % Taiwan</v>
          </cell>
          <cell r="C206" t="str">
            <v>SALES_TAIWAN</v>
          </cell>
        </row>
        <row r="207">
          <cell r="B207" t="str">
            <v>Sales - % Other Developed Asia</v>
          </cell>
          <cell r="C207" t="str">
            <v>SALES_OTH_DEV_ASIA</v>
          </cell>
        </row>
        <row r="208">
          <cell r="B208" t="str">
            <v>Sales - % China</v>
          </cell>
          <cell r="C208" t="str">
            <v>SALES_CHINA</v>
          </cell>
        </row>
        <row r="209">
          <cell r="B209" t="str">
            <v>Sales - % India</v>
          </cell>
          <cell r="C209" t="str">
            <v>SALES_INDIA</v>
          </cell>
        </row>
        <row r="210">
          <cell r="B210" t="str">
            <v>Sales - % Indonesia</v>
          </cell>
          <cell r="C210" t="str">
            <v>SALES_INDONESIA</v>
          </cell>
        </row>
        <row r="211">
          <cell r="B211" t="str">
            <v>Sales - % Thailand</v>
          </cell>
          <cell r="C211" t="str">
            <v>SALES_THAILAND</v>
          </cell>
        </row>
        <row r="212">
          <cell r="B212" t="str">
            <v>Sales - % Other Emerging Asia</v>
          </cell>
          <cell r="C212" t="str">
            <v>SALES_OTH_EMERG_ASIA</v>
          </cell>
        </row>
        <row r="213">
          <cell r="B213" t="str">
            <v>Sales - % Australia</v>
          </cell>
          <cell r="C213" t="str">
            <v>SALES_AUSTRA</v>
          </cell>
        </row>
        <row r="214">
          <cell r="B214" t="str">
            <v>Sales - % New Zealand</v>
          </cell>
          <cell r="C214" t="str">
            <v>SALES_NZ</v>
          </cell>
        </row>
        <row r="215">
          <cell r="B215" t="str">
            <v>Sales - % Others</v>
          </cell>
          <cell r="C215" t="str">
            <v>SALES_OTHER</v>
          </cell>
        </row>
        <row r="216">
          <cell r="B216" t="str">
            <v>% of CoGS from U.S. (GS estimate)</v>
          </cell>
          <cell r="C216" t="str">
            <v>COGS_PCT_US</v>
          </cell>
        </row>
        <row r="217">
          <cell r="B217" t="str">
            <v>% of CoGS from non-U.S. (GS estimate)</v>
          </cell>
          <cell r="C217" t="str">
            <v>COGS_PCT_ROW</v>
          </cell>
        </row>
        <row r="218">
          <cell r="B218" t="str">
            <v>% of SG&amp;A from U.S. (GS estimate)</v>
          </cell>
          <cell r="C218" t="str">
            <v>SGA_PCT_US</v>
          </cell>
        </row>
        <row r="219">
          <cell r="B219" t="str">
            <v>% of SG&amp;A from non-U.S. (GS estimate)</v>
          </cell>
          <cell r="C219" t="str">
            <v>SGA_PCT_ROW</v>
          </cell>
        </row>
        <row r="220">
          <cell r="B220" t="str">
            <v>Sales -% Consumer (C)</v>
          </cell>
          <cell r="C220" t="str">
            <v>SALES_CONS</v>
          </cell>
        </row>
        <row r="221">
          <cell r="B221" t="str">
            <v>Sales -% Industry (I)</v>
          </cell>
          <cell r="C221" t="str">
            <v>SALES_IND</v>
          </cell>
        </row>
        <row r="222">
          <cell r="B222" t="str">
            <v>Sales -% Government (G)</v>
          </cell>
          <cell r="C222" t="str">
            <v>SALES_GOV</v>
          </cell>
        </row>
        <row r="223">
          <cell r="B223" t="str">
            <v>Sales - % Industry Sub-Segment: Financial Services</v>
          </cell>
          <cell r="C223" t="str">
            <v>SALES_FINAN</v>
          </cell>
        </row>
        <row r="224">
          <cell r="B224" t="str">
            <v>Sales - % Industry Sub-Segment: Oil &amp; Gas</v>
          </cell>
          <cell r="C224" t="str">
            <v>SALES_OIL_GAS</v>
          </cell>
        </row>
        <row r="225">
          <cell r="B225" t="str">
            <v>Sales (%) SMB</v>
          </cell>
          <cell r="C225" t="str">
            <v>SALES_SMB</v>
          </cell>
        </row>
        <row r="226">
          <cell r="B226" t="str">
            <v>% of total cash balance held overseas (outside the US)</v>
          </cell>
          <cell r="C226" t="str">
            <v>CASH_PCT_OS_US</v>
          </cell>
        </row>
        <row r="227">
          <cell r="B227" t="str">
            <v>Sales - % from Captive Financing Business</v>
          </cell>
          <cell r="C227" t="str">
            <v>REV_FIN_SEGMENT</v>
          </cell>
        </row>
        <row r="228">
          <cell r="B228" t="str">
            <v>Operating Earnings - % from Captive Financing Business</v>
          </cell>
          <cell r="C228" t="str">
            <v>EBIT_FIN_SEGMENT</v>
          </cell>
        </row>
        <row r="229">
          <cell r="A229" t="str">
            <v>Commodities Exposure - Expense</v>
          </cell>
        </row>
        <row r="230">
          <cell r="B230" t="str">
            <v>Expense - % Oil/Petrol/Fuel</v>
          </cell>
          <cell r="C230" t="str">
            <v>EXP_OIL_PETRO_FUEL</v>
          </cell>
        </row>
        <row r="231">
          <cell r="B231" t="str">
            <v>Expense - % Oil derivatives/NGLs/plastics</v>
          </cell>
          <cell r="C231" t="str">
            <v>EXP_OIL_DERIV_NGLS_PLASTICS</v>
          </cell>
        </row>
        <row r="232">
          <cell r="A232" t="str">
            <v>FX Exposure - Sales</v>
          </cell>
        </row>
        <row r="233">
          <cell r="B233" t="str">
            <v>Sales - % FX: British Pounds/Pence</v>
          </cell>
          <cell r="C233" t="str">
            <v>SALES_FX_GPB</v>
          </cell>
        </row>
        <row r="234">
          <cell r="B234" t="str">
            <v>Sales - % FX: Euro</v>
          </cell>
          <cell r="C234" t="str">
            <v>SALES_FX_EUR</v>
          </cell>
        </row>
        <row r="235">
          <cell r="B235" t="str">
            <v>Sales - % FX: New Russian Ruble</v>
          </cell>
          <cell r="C235" t="str">
            <v>SALES_FX_RUB</v>
          </cell>
        </row>
        <row r="236">
          <cell r="B236" t="str">
            <v>Sales - % FX: U.S. Dollar</v>
          </cell>
          <cell r="C236" t="str">
            <v>SALES_FX_USD</v>
          </cell>
        </row>
        <row r="237">
          <cell r="B237" t="str">
            <v>Sales - % FX: Brazilian Real</v>
          </cell>
          <cell r="C237" t="str">
            <v>SALES_FX_BRL</v>
          </cell>
        </row>
        <row r="238">
          <cell r="B238" t="str">
            <v>Sales - % FX: Japanese Yen</v>
          </cell>
          <cell r="C238" t="str">
            <v>SALES_FX_YEN</v>
          </cell>
        </row>
        <row r="239">
          <cell r="B239" t="str">
            <v>Sales - % FX: Chinese Renminbi</v>
          </cell>
          <cell r="C239" t="str">
            <v>SALES_FX_CNY</v>
          </cell>
        </row>
        <row r="240">
          <cell r="B240" t="str">
            <v>Sales - % FX: Indian Rupee</v>
          </cell>
          <cell r="C240" t="str">
            <v>SALES_FX_INR</v>
          </cell>
        </row>
        <row r="241">
          <cell r="B241" t="str">
            <v>Sales - % FX: Canadian Dollar</v>
          </cell>
          <cell r="C241" t="str">
            <v>SALES_FX_CAD</v>
          </cell>
        </row>
        <row r="242">
          <cell r="B242" t="str">
            <v>Sales - % FX: Mexican Peso</v>
          </cell>
          <cell r="C242" t="str">
            <v>SALES_FX_MXN</v>
          </cell>
        </row>
        <row r="243">
          <cell r="B243" t="str">
            <v>Sales - % FX: Colombian Peso</v>
          </cell>
          <cell r="C243" t="str">
            <v>SALES_FX_COP</v>
          </cell>
        </row>
        <row r="244">
          <cell r="B244" t="str">
            <v>Sales - % FX: Argentine Peso</v>
          </cell>
          <cell r="C244" t="str">
            <v>SALES_FX_ARS</v>
          </cell>
        </row>
        <row r="245">
          <cell r="B245" t="str">
            <v>Sales - % FX: Chilean Peso</v>
          </cell>
          <cell r="C245" t="str">
            <v>SALES_FX_CLP</v>
          </cell>
        </row>
        <row r="246">
          <cell r="B246" t="str">
            <v>Sales - % FX: Venezuelan bolivar</v>
          </cell>
          <cell r="C246" t="str">
            <v>SALES_FX_VEF</v>
          </cell>
        </row>
        <row r="247">
          <cell r="B247" t="str">
            <v>Sales - % FX: Other Currency</v>
          </cell>
          <cell r="C247" t="str">
            <v>SALES_FX_OTH</v>
          </cell>
        </row>
        <row r="248">
          <cell r="A248" t="str">
            <v>Items to be removed</v>
          </cell>
        </row>
        <row r="249">
          <cell r="B249" t="str">
            <v>Sales - Total % Americas</v>
          </cell>
          <cell r="C249" t="str">
            <v>SALES_TOT_AM</v>
          </cell>
        </row>
        <row r="250">
          <cell r="B250" t="str">
            <v>Sales - % Other Americas</v>
          </cell>
          <cell r="C250" t="str">
            <v>SALES_OTH_AM</v>
          </cell>
        </row>
        <row r="251">
          <cell r="B251" t="str">
            <v>Sales - Total % EMEA</v>
          </cell>
          <cell r="C251" t="str">
            <v>SALES_TOT_EMEA</v>
          </cell>
        </row>
        <row r="252">
          <cell r="B252" t="str">
            <v>Sales - % Western Europe-Ex UK</v>
          </cell>
          <cell r="C252" t="str">
            <v>SALES_EU_EX_UK</v>
          </cell>
        </row>
        <row r="253">
          <cell r="B253" t="str">
            <v>Sales - % Central &amp; Eastern Europe</v>
          </cell>
          <cell r="C253" t="str">
            <v>SALES_CEE</v>
          </cell>
        </row>
        <row r="254">
          <cell r="B254" t="str">
            <v>Sales - % Middle East</v>
          </cell>
          <cell r="C254" t="str">
            <v>SALES_ME</v>
          </cell>
        </row>
        <row r="255">
          <cell r="B255" t="str">
            <v>Sales - % Total Africa</v>
          </cell>
          <cell r="C255" t="str">
            <v>SALES_TOT_AFRICA</v>
          </cell>
        </row>
        <row r="256">
          <cell r="B256" t="str">
            <v>Sales - % Other EMEA</v>
          </cell>
          <cell r="C256" t="str">
            <v>SALES_OTH_EMEA</v>
          </cell>
        </row>
        <row r="257">
          <cell r="B257" t="str">
            <v>Sales - Total % Asia (incl Australia &amp; New Zealand)</v>
          </cell>
          <cell r="C257" t="str">
            <v>SALES_TOT_ASIA</v>
          </cell>
        </row>
        <row r="258">
          <cell r="B258" t="str">
            <v>Sales - % Other Asia</v>
          </cell>
          <cell r="C258" t="str">
            <v>SALES_OTH_AEJ</v>
          </cell>
        </row>
        <row r="259">
          <cell r="A259" t="str">
            <v>Security: Nutanix Inc.</v>
          </cell>
          <cell r="B259" t="str">
            <v>1510E1C</v>
          </cell>
        </row>
        <row r="260">
          <cell r="A260" t="str">
            <v>Reference Data</v>
          </cell>
        </row>
        <row r="261">
          <cell r="B261" t="str">
            <v>Ticker</v>
          </cell>
          <cell r="C261" t="str">
            <v>Ticker</v>
          </cell>
          <cell r="E261" t="str">
            <v>NTNX</v>
          </cell>
        </row>
        <row r="262">
          <cell r="B262" t="str">
            <v>Security Name</v>
          </cell>
          <cell r="C262" t="str">
            <v>Security Name</v>
          </cell>
          <cell r="E262" t="str">
            <v>Nutanix Inc.</v>
          </cell>
        </row>
        <row r="263">
          <cell r="B263" t="str">
            <v>Interim Type</v>
          </cell>
          <cell r="C263" t="str">
            <v>Interim Type</v>
          </cell>
          <cell r="E263" t="str">
            <v>Q</v>
          </cell>
        </row>
        <row r="264">
          <cell r="B264" t="str">
            <v>Publishing Currency</v>
          </cell>
          <cell r="C264" t="str">
            <v>PUB_CURRENCY_ISO</v>
          </cell>
        </row>
        <row r="265">
          <cell r="B265" t="str">
            <v>Pricing Currency</v>
          </cell>
          <cell r="C265" t="str">
            <v>PRICE_CURRENCY_ISO</v>
          </cell>
        </row>
        <row r="266">
          <cell r="B266" t="str">
            <v>Reporting Currency</v>
          </cell>
          <cell r="C266" t="str">
            <v>CURRENCY_ISO</v>
          </cell>
        </row>
        <row r="267">
          <cell r="A267" t="str">
            <v>General Information</v>
          </cell>
        </row>
        <row r="268">
          <cell r="B268" t="str">
            <v>Americas Investment List</v>
          </cell>
          <cell r="C268" t="str">
            <v>AMER_LIST</v>
          </cell>
        </row>
        <row r="269">
          <cell r="B269" t="str">
            <v>Americas Conviction List</v>
          </cell>
          <cell r="C269" t="str">
            <v>NOT IN USE</v>
          </cell>
        </row>
        <row r="270">
          <cell r="B270" t="str">
            <v>Legal rating</v>
          </cell>
          <cell r="C270" t="str">
            <v>LEGAL_RATING</v>
          </cell>
        </row>
        <row r="271">
          <cell r="B271" t="str">
            <v>Target price</v>
          </cell>
          <cell r="C271" t="str">
            <v>TARGET_PRICE</v>
          </cell>
          <cell r="D271">
            <v>0</v>
          </cell>
        </row>
        <row r="272">
          <cell r="B272" t="str">
            <v>Target price period</v>
          </cell>
          <cell r="C272" t="str">
            <v>TP_PERIOD</v>
          </cell>
        </row>
        <row r="273">
          <cell r="B273" t="str">
            <v>Fundamental value</v>
          </cell>
          <cell r="C273" t="str">
            <v>TARGET_PRICE_FUNDAMENTAL</v>
          </cell>
          <cell r="D273">
            <v>0</v>
          </cell>
        </row>
        <row r="274">
          <cell r="B274" t="str">
            <v>M&amp;A value</v>
          </cell>
          <cell r="C274" t="str">
            <v>TARGET_PRICE_MA</v>
          </cell>
          <cell r="D274">
            <v>0</v>
          </cell>
        </row>
        <row r="275">
          <cell r="B275" t="str">
            <v>Current shares outstanding (mn)</v>
          </cell>
          <cell r="C275" t="str">
            <v>NUM_SH</v>
          </cell>
        </row>
        <row r="276">
          <cell r="B276" t="str">
            <v>Free float</v>
          </cell>
          <cell r="C276" t="str">
            <v>FREE_FLOAT</v>
          </cell>
        </row>
        <row r="277">
          <cell r="A277" t="str">
            <v>Publishing Items</v>
          </cell>
        </row>
        <row r="278">
          <cell r="B278" t="str">
            <v>Book value per share, BVPS (Pub)</v>
          </cell>
          <cell r="C278" t="str">
            <v>BVPS_PUB</v>
          </cell>
          <cell r="D278">
            <v>0</v>
          </cell>
        </row>
        <row r="279">
          <cell r="B279" t="str">
            <v>DPS, dividend per share (Pub)</v>
          </cell>
          <cell r="C279" t="str">
            <v>DPS_PUB</v>
          </cell>
          <cell r="D279">
            <v>0</v>
          </cell>
        </row>
        <row r="280">
          <cell r="B280" t="str">
            <v>Special dividend per share</v>
          </cell>
          <cell r="C280" t="str">
            <v>DPS_SPECIAL_PUB</v>
          </cell>
          <cell r="D280">
            <v>0</v>
          </cell>
        </row>
        <row r="281">
          <cell r="B281" t="str">
            <v>EBITDA (Pub)</v>
          </cell>
          <cell r="C281" t="str">
            <v>EBITDA_PUB</v>
          </cell>
          <cell r="D281">
            <v>0</v>
          </cell>
        </row>
        <row r="282">
          <cell r="B282" t="str">
            <v>EPS (Pub)</v>
          </cell>
          <cell r="C282" t="str">
            <v>EPS_PUB</v>
          </cell>
          <cell r="D282">
            <v>0</v>
          </cell>
        </row>
        <row r="283">
          <cell r="B283" t="str">
            <v>Consensus earnings equivalent estimate</v>
          </cell>
          <cell r="C283" t="str">
            <v>CEEE_EPS</v>
          </cell>
          <cell r="D283">
            <v>0</v>
          </cell>
        </row>
        <row r="284">
          <cell r="B284" t="str">
            <v>EPS (excl. ESO) (Pub)</v>
          </cell>
          <cell r="C284" t="str">
            <v>EPS_PUB_EX_ESO</v>
          </cell>
          <cell r="D284">
            <v>0</v>
          </cell>
        </row>
        <row r="285">
          <cell r="B285" t="str">
            <v>EV adjustment (Pub)</v>
          </cell>
          <cell r="C285" t="str">
            <v>EV_ADJ_PUB</v>
          </cell>
          <cell r="D285">
            <v>0</v>
          </cell>
        </row>
        <row r="286">
          <cell r="B286" t="str">
            <v>Net debt (Pub)</v>
          </cell>
          <cell r="C286" t="str">
            <v>NET_DEBT_PUB</v>
          </cell>
          <cell r="D286">
            <v>0</v>
          </cell>
        </row>
        <row r="287">
          <cell r="B287" t="str">
            <v>Net Debt (ex leases) (Pub)</v>
          </cell>
          <cell r="C287" t="str">
            <v>NET_DEBT_EX_LEASES_PUB</v>
          </cell>
          <cell r="D287">
            <v>0</v>
          </cell>
        </row>
        <row r="288">
          <cell r="B288" t="str">
            <v>Consensus equivalent net debt</v>
          </cell>
          <cell r="C288" t="str">
            <v>CEEE_NDEBT</v>
          </cell>
          <cell r="D288">
            <v>0</v>
          </cell>
        </row>
        <row r="289">
          <cell r="B289" t="str">
            <v>Net income (Pub)</v>
          </cell>
          <cell r="C289" t="str">
            <v>NI_PUB</v>
          </cell>
          <cell r="D289">
            <v>0</v>
          </cell>
        </row>
        <row r="290">
          <cell r="B290" t="str">
            <v>EBIT, operating profit (Pub)</v>
          </cell>
          <cell r="C290" t="str">
            <v>EBIT_PUB</v>
          </cell>
          <cell r="D290">
            <v>0</v>
          </cell>
        </row>
        <row r="291">
          <cell r="B291" t="str">
            <v>Pre-tax profit (Pub)</v>
          </cell>
          <cell r="C291" t="str">
            <v>PTP_PUB</v>
          </cell>
          <cell r="D291">
            <v>0</v>
          </cell>
        </row>
        <row r="292">
          <cell r="B292" t="str">
            <v>Sales, revenue (Pub)</v>
          </cell>
          <cell r="C292" t="str">
            <v>REVS_PUB</v>
          </cell>
          <cell r="D292">
            <v>0</v>
          </cell>
        </row>
        <row r="293">
          <cell r="B293" t="str">
            <v>Total shareholders' equity (Pub)</v>
          </cell>
          <cell r="C293" t="str">
            <v>EQ_PUB</v>
          </cell>
          <cell r="D293">
            <v>0</v>
          </cell>
        </row>
        <row r="294">
          <cell r="A294" t="str">
            <v>Income Statement</v>
          </cell>
        </row>
        <row r="295">
          <cell r="B295" t="str">
            <v>Provision for income tax</v>
          </cell>
          <cell r="C295" t="str">
            <v>PROV_INC_TAX</v>
          </cell>
          <cell r="D295">
            <v>0</v>
          </cell>
        </row>
        <row r="296">
          <cell r="B296" t="str">
            <v>Minority interest</v>
          </cell>
          <cell r="C296" t="str">
            <v>INC_MINORITY</v>
          </cell>
          <cell r="D296">
            <v>0</v>
          </cell>
        </row>
        <row r="297">
          <cell r="B297" t="str">
            <v>Net income (pre-preferred dividends)</v>
          </cell>
          <cell r="C297" t="str">
            <v>NI_PRE_PREF</v>
          </cell>
          <cell r="D297">
            <v>0</v>
          </cell>
        </row>
        <row r="298">
          <cell r="B298" t="str">
            <v>Preferred dividends</v>
          </cell>
          <cell r="C298" t="str">
            <v>PREF_DIV</v>
          </cell>
          <cell r="D298">
            <v>0</v>
          </cell>
        </row>
        <row r="299">
          <cell r="B299" t="str">
            <v>Net income (pre-exceptionals)</v>
          </cell>
          <cell r="C299" t="str">
            <v>NET_EARNING</v>
          </cell>
          <cell r="D299">
            <v>0</v>
          </cell>
        </row>
        <row r="300">
          <cell r="B300" t="str">
            <v>Post-tax exceptionals</v>
          </cell>
          <cell r="C300" t="str">
            <v>TAX_EXC</v>
          </cell>
          <cell r="D300">
            <v>0</v>
          </cell>
        </row>
        <row r="301">
          <cell r="B301" t="str">
            <v>Net income (post-exceptionals)</v>
          </cell>
          <cell r="C301" t="str">
            <v>NET_INC</v>
          </cell>
          <cell r="D301">
            <v>0</v>
          </cell>
        </row>
        <row r="302">
          <cell r="B302" t="str">
            <v>EPS (pre-exceptionals, basic)</v>
          </cell>
          <cell r="C302" t="str">
            <v>EPS</v>
          </cell>
          <cell r="D302">
            <v>0</v>
          </cell>
        </row>
        <row r="303">
          <cell r="B303" t="str">
            <v>EPS (pre-exceptionals, diluted)</v>
          </cell>
          <cell r="C303" t="str">
            <v>EPS_FUL_DIL</v>
          </cell>
          <cell r="D303">
            <v>0</v>
          </cell>
        </row>
        <row r="304">
          <cell r="B304" t="str">
            <v>EPS (post-exceptionals, basic)</v>
          </cell>
          <cell r="C304" t="str">
            <v>EPS_POST_BASIC</v>
          </cell>
          <cell r="D304">
            <v>0</v>
          </cell>
        </row>
        <row r="305">
          <cell r="B305" t="str">
            <v>EPS (post-exceptionals, diluted)</v>
          </cell>
          <cell r="C305" t="str">
            <v>FULLY_DIL_EPS</v>
          </cell>
          <cell r="D305">
            <v>0</v>
          </cell>
        </row>
        <row r="306">
          <cell r="B306" t="str">
            <v>Common dividends paid</v>
          </cell>
          <cell r="C306" t="str">
            <v>COMMON_DIV_PAID</v>
          </cell>
          <cell r="D306">
            <v>0</v>
          </cell>
        </row>
        <row r="307">
          <cell r="B307" t="str">
            <v>DPS, dividend per share</v>
          </cell>
          <cell r="C307" t="str">
            <v>DPS</v>
          </cell>
          <cell r="D307">
            <v>0</v>
          </cell>
        </row>
        <row r="308">
          <cell r="B308" t="str">
            <v>Weighted average shares outstanding, basic</v>
          </cell>
          <cell r="C308" t="str">
            <v>SH</v>
          </cell>
        </row>
        <row r="309">
          <cell r="B309" t="str">
            <v>Diluted average shares outstanding (mn)</v>
          </cell>
          <cell r="C309" t="str">
            <v>DILUTE_SHARES</v>
          </cell>
        </row>
        <row r="310">
          <cell r="B310" t="str">
            <v>Period-end shares outstanding</v>
          </cell>
          <cell r="C310" t="str">
            <v>NON_OP_ADD</v>
          </cell>
        </row>
        <row r="311">
          <cell r="A311" t="str">
            <v>Additional Income Statement Items</v>
          </cell>
        </row>
        <row r="312">
          <cell r="B312" t="str">
            <v>Marginal tax rate</v>
          </cell>
          <cell r="C312" t="str">
            <v>MARGIN_TAX_RATE</v>
          </cell>
        </row>
        <row r="313">
          <cell r="A313" t="str">
            <v>ESO</v>
          </cell>
        </row>
        <row r="314">
          <cell r="B314" t="str">
            <v>Fair value of grant</v>
          </cell>
          <cell r="C314" t="str">
            <v>FV_GRANT</v>
          </cell>
          <cell r="D314">
            <v>0</v>
          </cell>
        </row>
        <row r="315">
          <cell r="B315" t="str">
            <v>ESO expense (post-tax)</v>
          </cell>
          <cell r="C315" t="str">
            <v>ESO_POST_TAX</v>
          </cell>
          <cell r="D315">
            <v>0</v>
          </cell>
        </row>
        <row r="316">
          <cell r="B316" t="str">
            <v>EPS (excl. ESO expense, basic)</v>
          </cell>
          <cell r="C316" t="str">
            <v>EPS_EX_ESO_B</v>
          </cell>
          <cell r="D316">
            <v>0</v>
          </cell>
        </row>
        <row r="317">
          <cell r="B317" t="str">
            <v>EPS (excl. ESO expense, diluted)</v>
          </cell>
          <cell r="C317" t="str">
            <v>EPS_EX_ESO_D</v>
          </cell>
          <cell r="D317">
            <v>0</v>
          </cell>
        </row>
        <row r="318">
          <cell r="B318" t="str">
            <v>Year that ESO expense takes effect</v>
          </cell>
          <cell r="C318" t="str">
            <v>ESO_YEAR</v>
          </cell>
        </row>
        <row r="319">
          <cell r="A319" t="str">
            <v>Balance Sheet</v>
          </cell>
        </row>
        <row r="320">
          <cell r="B320" t="str">
            <v>BVPS, book value per share</v>
          </cell>
          <cell r="C320" t="str">
            <v>BVPS</v>
          </cell>
          <cell r="D320">
            <v>0</v>
          </cell>
        </row>
        <row r="321">
          <cell r="A321" t="str">
            <v>Additional Balance Sheet Items</v>
          </cell>
        </row>
        <row r="322">
          <cell r="B322" t="str">
            <v>Total repurchase authorization</v>
          </cell>
          <cell r="C322" t="str">
            <v>REPUR_TOT_AUTH</v>
          </cell>
          <cell r="D322">
            <v>0</v>
          </cell>
        </row>
        <row r="323">
          <cell r="B323" t="str">
            <v>Remaining repurchase authorization</v>
          </cell>
          <cell r="C323" t="str">
            <v>REPUR_REMAINING</v>
          </cell>
          <cell r="D323">
            <v>0</v>
          </cell>
        </row>
        <row r="324">
          <cell r="B324" t="str">
            <v>Suspended repurchase authorization</v>
          </cell>
          <cell r="C324" t="str">
            <v>REPUR_SUSPENDED</v>
          </cell>
          <cell r="D324">
            <v>0</v>
          </cell>
        </row>
        <row r="325">
          <cell r="B325" t="str">
            <v>Shares repurchased during period</v>
          </cell>
          <cell r="C325" t="str">
            <v>REPUR_ACTUAL</v>
          </cell>
          <cell r="D325">
            <v>0</v>
          </cell>
        </row>
        <row r="326">
          <cell r="A326" t="str">
            <v>Cash Flow Statement</v>
          </cell>
        </row>
        <row r="327">
          <cell r="B327" t="str">
            <v>Net income (pre-preferred dividends)</v>
          </cell>
          <cell r="C327" t="str">
            <v>CF_NI_PRE_PREF</v>
          </cell>
          <cell r="D327">
            <v>0</v>
          </cell>
        </row>
        <row r="328">
          <cell r="A328" t="str">
            <v>Other Items</v>
          </cell>
        </row>
        <row r="329">
          <cell r="B329" t="str">
            <v>Beta</v>
          </cell>
          <cell r="C329" t="str">
            <v>BETA_ANALYST</v>
          </cell>
        </row>
        <row r="330">
          <cell r="B330" t="str">
            <v>Market equity risk premium</v>
          </cell>
          <cell r="C330" t="str">
            <v>MKT_EQ_RISK_PREM</v>
          </cell>
        </row>
        <row r="331">
          <cell r="B331" t="str">
            <v>Risk-free rate</v>
          </cell>
          <cell r="C331" t="str">
            <v>RISK_FR_RATE</v>
          </cell>
        </row>
      </sheetData>
      <sheetData sheetId="10">
        <row r="1">
          <cell r="A1" t="str">
            <v>e969527d-d445-4979-87c1-bd2ff88ad834</v>
          </cell>
        </row>
        <row r="2">
          <cell r="A2" t="str">
            <v>\\firmwide.corp.gs.com\root\Projects\Research\ny\Software and Internet\Models - Current Coverage\NTNX\[NTNX Model - Live_Final.xlsx]NTNX_Validation_Sheet</v>
          </cell>
        </row>
        <row r="7">
          <cell r="A7" t="str">
            <v>Scalar|||208017108|||ISSR|||CURRENCY_ISO|||False|||</v>
          </cell>
          <cell r="C7" t="str">
            <v>V_KEYWORD_ISSR_208017108_CURRENCY_ISO</v>
          </cell>
        </row>
        <row r="9">
          <cell r="A9" t="str">
            <v>Scalar|||208017108|||ISSR|||MA_PROB|||False|||</v>
          </cell>
          <cell r="C9" t="str">
            <v>V_KEYWORD_ISSR_208017108_MA_PROB</v>
          </cell>
        </row>
        <row r="11">
          <cell r="A11" t="str">
            <v>Vector|||208017108|||ISSR|||SALES|||False|||</v>
          </cell>
          <cell r="C11" t="str">
            <v>V_KEYWORD_ISSR_208017108_SALES</v>
          </cell>
        </row>
        <row r="12">
          <cell r="A12" t="str">
            <v>Vector|||208017108|||ISSR|||COST_GD_SD|||False|||</v>
          </cell>
          <cell r="C12" t="str">
            <v>V_KEYWORD_ISSR_208017108_COST_GD_SD</v>
          </cell>
        </row>
        <row r="13">
          <cell r="A13" t="str">
            <v>Vector|||208017108|||ISSR|||SEL_GL_AD|||False|||</v>
          </cell>
          <cell r="C13" t="str">
            <v>V_KEYWORD_ISSR_208017108_SEL_GL_AD</v>
          </cell>
        </row>
        <row r="14">
          <cell r="A14" t="str">
            <v>Vector|||208017108|||ISSR|||OP_COST|||False|||</v>
          </cell>
          <cell r="C14" t="str">
            <v>V_KEYWORD_ISSR_208017108_OP_COST</v>
          </cell>
        </row>
        <row r="15">
          <cell r="A15" t="str">
            <v>Vector|||208017108|||ISSR|||RD_EXP|||False|||</v>
          </cell>
          <cell r="C15" t="str">
            <v>V_KEYWORD_ISSR_208017108_RD_EXP</v>
          </cell>
        </row>
        <row r="16">
          <cell r="A16" t="str">
            <v>Vector|||208017108|||ISSR|||ESO_PRE_TAX|||False|||</v>
          </cell>
          <cell r="C16" t="str">
            <v>V_KEYWORD_ISSR_208017108_ESO_PRE_TAX</v>
          </cell>
        </row>
        <row r="17">
          <cell r="A17" t="str">
            <v>Vector|||208017108|||ISSR|||OTH_OP_INC_EXP|||False|||</v>
          </cell>
          <cell r="C17" t="str">
            <v>V_KEYWORD_ISSR_208017108_OTH_OP_INC_EXP</v>
          </cell>
        </row>
        <row r="18">
          <cell r="A18" t="str">
            <v>Vector|||208017108|||ISSR|||TOT_OPS_EXP_DDA|||False|||</v>
          </cell>
          <cell r="C18" t="str">
            <v>V_KEYWORD_ISSR_208017108_TOT_OPS_EXP_DDA</v>
          </cell>
        </row>
        <row r="19">
          <cell r="A19" t="str">
            <v>Vector|||208017108|||ISSR|||TOT_OPS_EXP|||False|||</v>
          </cell>
          <cell r="C19" t="str">
            <v>V_KEYWORD_ISSR_208017108_TOT_OPS_EXP</v>
          </cell>
        </row>
        <row r="20">
          <cell r="A20" t="str">
            <v>Vector|||208017108|||ISSR|||EBITDA_CALC|||False|||</v>
          </cell>
          <cell r="C20" t="str">
            <v>V_KEYWORD_ISSR_208017108_EBITDA_CALC</v>
          </cell>
        </row>
        <row r="21">
          <cell r="A21" t="str">
            <v>Vector|||208017108|||ISSR|||DEPREC|||False|||</v>
          </cell>
          <cell r="C21" t="str">
            <v>V_KEYWORD_ISSR_208017108_DEPREC</v>
          </cell>
        </row>
        <row r="22">
          <cell r="A22" t="str">
            <v>Vector|||208017108|||ISSR|||GOODWILL_AMORT|||False|||</v>
          </cell>
          <cell r="C22" t="str">
            <v>V_KEYWORD_ISSR_208017108_GOODWILL_AMORT</v>
          </cell>
        </row>
        <row r="23">
          <cell r="A23" t="str">
            <v>Vector|||208017108|||ISSR|||EBIT|||False|||</v>
          </cell>
          <cell r="C23" t="str">
            <v>V_KEYWORD_ISSR_208017108_EBIT</v>
          </cell>
        </row>
        <row r="24">
          <cell r="A24" t="str">
            <v>Vector|||208017108|||ISSR|||INT_INC_IND|||False|||</v>
          </cell>
          <cell r="C24" t="str">
            <v>V_KEYWORD_ISSR_208017108_INT_INC_IND</v>
          </cell>
        </row>
        <row r="25">
          <cell r="A25" t="str">
            <v>Vector|||208017108|||ISSR|||INT_EXP_IND|||False|||</v>
          </cell>
          <cell r="C25" t="str">
            <v>V_KEYWORD_ISSR_208017108_INT_EXP_IND</v>
          </cell>
        </row>
        <row r="26">
          <cell r="A26" t="str">
            <v>Vector|||208017108|||ISSR|||NET_INT_EXP|||False|||</v>
          </cell>
          <cell r="C26" t="str">
            <v>V_KEYWORD_ISSR_208017108_NET_INT_EXP</v>
          </cell>
        </row>
        <row r="27">
          <cell r="A27" t="str">
            <v>Vector|||208017108|||ISSR|||ASSOCIATE|||False|||</v>
          </cell>
          <cell r="C27" t="str">
            <v>V_KEYWORD_ISSR_208017108_ASSOCIATE</v>
          </cell>
        </row>
        <row r="28">
          <cell r="A28" t="str">
            <v>Vector|||208017108|||ISSR|||PROFIT_ON_DISP|||False|||</v>
          </cell>
          <cell r="C28" t="str">
            <v>V_KEYWORD_ISSR_208017108_PROFIT_ON_DISP</v>
          </cell>
        </row>
        <row r="29">
          <cell r="A29" t="str">
            <v>Vector|||208017108|||ISSR|||OTH_COST_INC|||False|||</v>
          </cell>
          <cell r="C29" t="str">
            <v>V_KEYWORD_ISSR_208017108_OTH_COST_INC</v>
          </cell>
        </row>
        <row r="30">
          <cell r="A30" t="str">
            <v>Vector|||208017108|||ISSR|||PT_PROF|||False|||</v>
          </cell>
          <cell r="C30" t="str">
            <v>V_KEYWORD_ISSR_208017108_PT_PROF</v>
          </cell>
        </row>
        <row r="32">
          <cell r="A32" t="str">
            <v>Vector|||208017108|||ISSR|||LEASE_PAY|||False|||</v>
          </cell>
          <cell r="C32" t="str">
            <v>V_KEYWORD_ISSR_208017108_LEASE_PAY</v>
          </cell>
        </row>
        <row r="33">
          <cell r="A33" t="str">
            <v>Vector|||208017108|||ISSR|||LEASE_DEEM_INT|||False|||</v>
          </cell>
          <cell r="C33" t="str">
            <v>V_KEYWORD_ISSR_208017108_LEASE_DEEM_INT</v>
          </cell>
        </row>
        <row r="34">
          <cell r="A34" t="str">
            <v>Vector|||208017108|||ISSR|||LEASE_DEEM_DEPR|||False|||</v>
          </cell>
          <cell r="C34" t="str">
            <v>V_KEYWORD_ISSR_208017108_LEASE_DEEM_DEPR</v>
          </cell>
        </row>
        <row r="35">
          <cell r="A35" t="str">
            <v>Vector|||208017108|||ISSR|||NET_INT_CH|||False|||</v>
          </cell>
          <cell r="C35" t="str">
            <v>V_KEYWORD_ISSR_208017108_NET_INT_CH</v>
          </cell>
        </row>
        <row r="36">
          <cell r="A36" t="str">
            <v>Vector|||208017108|||ISSR|||ASSOCIATE_OP|||False|||</v>
          </cell>
          <cell r="C36" t="str">
            <v>V_KEYWORD_ISSR_208017108_ASSOCIATE_OP</v>
          </cell>
        </row>
        <row r="37">
          <cell r="A37" t="str">
            <v>Vector|||208017108|||ISSR|||DEPR_ROU_ASSETS|||False|||</v>
          </cell>
          <cell r="C37" t="str">
            <v>V_KEYWORD_ISSR_208017108_DEPR_ROU_ASSETS</v>
          </cell>
        </row>
        <row r="38">
          <cell r="A38" t="str">
            <v>Vector|||208017108|||ISSR|||LEASE_INT_CHG|||False|||</v>
          </cell>
          <cell r="C38" t="str">
            <v>V_KEYWORD_ISSR_208017108_LEASE_INT_CHG</v>
          </cell>
        </row>
        <row r="39">
          <cell r="A39" t="str">
            <v>Scalar|||208017108|||ISSR|||LEASE_ADOPT|||False|||</v>
          </cell>
          <cell r="C39" t="str">
            <v>V_KEYWORD_ISSR_208017108_LEASE_ADOPT</v>
          </cell>
        </row>
        <row r="40">
          <cell r="A40" t="str">
            <v>Vector|||208017108|||ISSR|||SBC_COST_OF_GOODS_SOLD|||False|||</v>
          </cell>
          <cell r="C40" t="str">
            <v>V_KEYWORD_ISSR_208017108_SBC_COST_OF_GOODS_SOLD</v>
          </cell>
        </row>
        <row r="41">
          <cell r="A41" t="str">
            <v>Vector|||208017108|||ISSR|||SBC_SALES_MARKETING|||False|||</v>
          </cell>
          <cell r="C41" t="str">
            <v>V_KEYWORD_ISSR_208017108_SBC_SALES_MARKETING</v>
          </cell>
        </row>
        <row r="42">
          <cell r="A42" t="str">
            <v>Vector|||208017108|||ISSR|||SBC_RESEARCH_DEVELOPMENT|||False|||</v>
          </cell>
          <cell r="C42" t="str">
            <v>V_KEYWORD_ISSR_208017108_SBC_RESEARCH_DEVELOPMENT</v>
          </cell>
        </row>
        <row r="43">
          <cell r="A43" t="str">
            <v>Vector|||208017108|||ISSR|||SBC_GEN_ADMINISTRATIVE|||False|||</v>
          </cell>
          <cell r="C43" t="str">
            <v>V_KEYWORD_ISSR_208017108_SBC_GEN_ADMINISTRATIVE</v>
          </cell>
        </row>
        <row r="44">
          <cell r="A44" t="str">
            <v>Vector|||208017108|||ISSR|||SBC_TOTAL|||False|||</v>
          </cell>
          <cell r="C44" t="str">
            <v>V_KEYWORD_ISSR_208017108_SBC_TOTAL</v>
          </cell>
        </row>
        <row r="45">
          <cell r="A45" t="str">
            <v>Vector|||208017108|||ISSR|||COGS_N_GAAP|||False|||</v>
          </cell>
          <cell r="C45" t="str">
            <v>V_KEYWORD_ISSR_208017108_COGS_N_GAAP</v>
          </cell>
        </row>
        <row r="46">
          <cell r="A46" t="str">
            <v>Vector|||208017108|||ISSR|||GROSS_PROFIT_N_GAAP|||False|||</v>
          </cell>
          <cell r="C46" t="str">
            <v>V_KEYWORD_ISSR_208017108_GROSS_PROFIT_N_GAAP</v>
          </cell>
        </row>
        <row r="47">
          <cell r="A47" t="str">
            <v>Vector|||208017108|||ISSR|||GEN_ADMIN_N_GAAP|||False|||</v>
          </cell>
          <cell r="C47" t="str">
            <v>V_KEYWORD_ISSR_208017108_GEN_ADMIN_N_GAAP</v>
          </cell>
        </row>
        <row r="48">
          <cell r="A48" t="str">
            <v>Vector|||208017108|||ISSR|||SALES_MARKETING_N_GAAP|||False|||</v>
          </cell>
          <cell r="C48" t="str">
            <v>V_KEYWORD_ISSR_208017108_SALES_MARKETING_N_GAAP</v>
          </cell>
        </row>
        <row r="49">
          <cell r="A49" t="str">
            <v>Vector|||208017108|||ISSR|||RD_N_GAAP|||False|||</v>
          </cell>
          <cell r="C49" t="str">
            <v>V_KEYWORD_ISSR_208017108_RD_N_GAAP</v>
          </cell>
        </row>
        <row r="50">
          <cell r="A50" t="str">
            <v>Vector|||208017108|||ISSR|||OPS_EXP_N_GAAP|||False|||</v>
          </cell>
          <cell r="C50" t="str">
            <v>V_KEYWORD_ISSR_208017108_OPS_EXP_N_GAAP</v>
          </cell>
        </row>
        <row r="51">
          <cell r="A51" t="str">
            <v>Vector|||208017108|||ISSR|||OP_INC_N_GAAP|||False|||</v>
          </cell>
          <cell r="C51" t="str">
            <v>V_KEYWORD_ISSR_208017108_OP_INC_N_GAAP</v>
          </cell>
        </row>
        <row r="52">
          <cell r="A52" t="str">
            <v>Vector|||208017108|||ISSR|||NET_INC_N_GAAP|||False|||</v>
          </cell>
          <cell r="C52" t="str">
            <v>V_KEYWORD_ISSR_208017108_NET_INC_N_GAAP</v>
          </cell>
        </row>
        <row r="54">
          <cell r="A54" t="str">
            <v>Vector|||208017108|||ISSR|||CASH_EQ|||False|||</v>
          </cell>
          <cell r="C54" t="str">
            <v>V_KEYWORD_ISSR_208017108_CASH_EQ</v>
          </cell>
        </row>
        <row r="55">
          <cell r="A55" t="str">
            <v>Vector|||208017108|||ISSR|||DEBTORS|||False|||</v>
          </cell>
          <cell r="C55" t="str">
            <v>V_KEYWORD_ISSR_208017108_DEBTORS</v>
          </cell>
        </row>
        <row r="56">
          <cell r="A56" t="str">
            <v>Vector|||208017108|||ISSR|||STOCKS|||False|||</v>
          </cell>
          <cell r="C56" t="str">
            <v>V_KEYWORD_ISSR_208017108_STOCKS</v>
          </cell>
        </row>
        <row r="57">
          <cell r="A57" t="str">
            <v>Vector|||208017108|||ISSR|||OTH_CUR_ASS|||False|||</v>
          </cell>
          <cell r="C57" t="str">
            <v>V_KEYWORD_ISSR_208017108_OTH_CUR_ASS</v>
          </cell>
        </row>
        <row r="58">
          <cell r="A58" t="str">
            <v>Vector|||208017108|||ISSR|||CUR_ASS|||False|||</v>
          </cell>
          <cell r="C58" t="str">
            <v>V_KEYWORD_ISSR_208017108_CUR_ASS</v>
          </cell>
        </row>
        <row r="59">
          <cell r="A59" t="str">
            <v>Vector|||208017108|||ISSR|||GR_FIX_ASS|||False|||</v>
          </cell>
          <cell r="C59" t="str">
            <v>V_KEYWORD_ISSR_208017108_GR_FIX_ASS</v>
          </cell>
        </row>
        <row r="60">
          <cell r="A60" t="str">
            <v>Vector|||208017108|||ISSR|||ACC_DDA|||False|||</v>
          </cell>
          <cell r="C60" t="str">
            <v>V_KEYWORD_ISSR_208017108_ACC_DDA</v>
          </cell>
        </row>
        <row r="61">
          <cell r="A61" t="str">
            <v>Vector|||208017108|||ISSR|||NET_FIX_ASS|||False|||</v>
          </cell>
          <cell r="C61" t="str">
            <v>V_KEYWORD_ISSR_208017108_NET_FIX_ASS</v>
          </cell>
        </row>
        <row r="62">
          <cell r="A62" t="str">
            <v>Vector|||208017108|||ISSR|||GR_INTANG|||False|||</v>
          </cell>
          <cell r="C62" t="str">
            <v>V_KEYWORD_ISSR_208017108_GR_INTANG</v>
          </cell>
        </row>
        <row r="63">
          <cell r="A63" t="str">
            <v>Vector|||208017108|||ISSR|||ACC_AMORT|||False|||</v>
          </cell>
          <cell r="C63" t="str">
            <v>V_KEYWORD_ISSR_208017108_ACC_AMORT</v>
          </cell>
        </row>
        <row r="64">
          <cell r="A64" t="str">
            <v>Vector|||208017108|||ISSR|||NET_INTANG|||False|||</v>
          </cell>
          <cell r="C64" t="str">
            <v>V_KEYWORD_ISSR_208017108_NET_INTANG</v>
          </cell>
        </row>
        <row r="65">
          <cell r="A65" t="str">
            <v>Vector|||208017108|||ISSR|||FIX_ASS_INV|||False|||</v>
          </cell>
          <cell r="C65" t="str">
            <v>V_KEYWORD_ISSR_208017108_FIX_ASS_INV</v>
          </cell>
        </row>
        <row r="66">
          <cell r="A66" t="str">
            <v>Vector|||208017108|||ISSR|||INV_SECUR|||False|||</v>
          </cell>
          <cell r="C66" t="str">
            <v>V_KEYWORD_ISSR_208017108_INV_SECUR</v>
          </cell>
        </row>
        <row r="67">
          <cell r="A67" t="str">
            <v>Vector|||208017108|||ISSR|||OTH_LT_ASS|||False|||</v>
          </cell>
          <cell r="C67" t="str">
            <v>V_KEYWORD_ISSR_208017108_OTH_LT_ASS</v>
          </cell>
        </row>
        <row r="68">
          <cell r="A68" t="str">
            <v>Vector|||208017108|||ISSR|||TOT_ASSET|||False|||</v>
          </cell>
          <cell r="C68" t="str">
            <v>V_KEYWORD_ISSR_208017108_TOT_ASSET</v>
          </cell>
        </row>
        <row r="69">
          <cell r="A69" t="str">
            <v>Vector|||208017108|||ISSR|||ACC_PAY_GQ|||False|||</v>
          </cell>
          <cell r="C69" t="str">
            <v>V_KEYWORD_ISSR_208017108_ACC_PAY_GQ</v>
          </cell>
        </row>
        <row r="70">
          <cell r="A70" t="str">
            <v>Vector|||208017108|||ISSR|||SHORT_T_DEBT|||False|||</v>
          </cell>
          <cell r="C70" t="str">
            <v>V_KEYWORD_ISSR_208017108_SHORT_T_DEBT</v>
          </cell>
        </row>
        <row r="71">
          <cell r="A71" t="str">
            <v>Vector|||208017108|||ISSR|||ST_LEASE_LIAB|||False|||</v>
          </cell>
          <cell r="C71" t="str">
            <v>V_KEYWORD_ISSR_208017108_ST_LEASE_LIAB</v>
          </cell>
        </row>
        <row r="72">
          <cell r="A72" t="str">
            <v>Vector|||208017108|||ISSR|||OTH_CUR_LIABS|||False|||</v>
          </cell>
          <cell r="C72" t="str">
            <v>V_KEYWORD_ISSR_208017108_OTH_CUR_LIABS</v>
          </cell>
        </row>
        <row r="73">
          <cell r="A73" t="str">
            <v>Vector|||208017108|||ISSR|||SHORT_TERM_LIABS|||False|||</v>
          </cell>
          <cell r="C73" t="str">
            <v>V_KEYWORD_ISSR_208017108_SHORT_TERM_LIABS</v>
          </cell>
        </row>
        <row r="74">
          <cell r="A74" t="str">
            <v>Vector|||208017108|||ISSR|||TOT_DEF_REV|||False|||</v>
          </cell>
          <cell r="C74" t="str">
            <v>V_KEYWORD_ISSR_208017108_TOT_DEF_REV</v>
          </cell>
        </row>
        <row r="75">
          <cell r="A75" t="str">
            <v>Vector|||208017108|||ISSR|||LT_DEBT|||False|||</v>
          </cell>
          <cell r="C75" t="str">
            <v>V_KEYWORD_ISSR_208017108_LT_DEBT</v>
          </cell>
        </row>
        <row r="76">
          <cell r="A76" t="str">
            <v>Vector|||208017108|||ISSR|||LT_LEASE_LIAB|||False|||</v>
          </cell>
          <cell r="C76" t="str">
            <v>V_KEYWORD_ISSR_208017108_LT_LEASE_LIAB</v>
          </cell>
        </row>
        <row r="77">
          <cell r="A77" t="str">
            <v>Vector|||208017108|||ISSR|||OTH_LT_CRED_GQ|||False|||</v>
          </cell>
          <cell r="C77" t="str">
            <v>V_KEYWORD_ISSR_208017108_OTH_LT_CRED_GQ</v>
          </cell>
        </row>
        <row r="78">
          <cell r="A78" t="str">
            <v>Vector|||208017108|||ISSR|||TOT_LT_LIAB|||False|||</v>
          </cell>
          <cell r="C78" t="str">
            <v>V_KEYWORD_ISSR_208017108_TOT_LT_LIAB</v>
          </cell>
        </row>
        <row r="79">
          <cell r="A79" t="str">
            <v>Vector|||208017108|||ISSR|||TOT_LIAB|||False|||</v>
          </cell>
          <cell r="C79" t="str">
            <v>V_KEYWORD_ISSR_208017108_TOT_LIAB</v>
          </cell>
        </row>
        <row r="80">
          <cell r="A80" t="str">
            <v>Vector|||208017108|||ISSR|||PREF_SH|||False|||</v>
          </cell>
          <cell r="C80" t="str">
            <v>V_KEYWORD_ISSR_208017108_PREF_SH</v>
          </cell>
        </row>
        <row r="81">
          <cell r="A81" t="str">
            <v>Vector|||208017108|||ISSR|||ORD_SH_FUND|||False|||</v>
          </cell>
          <cell r="C81" t="str">
            <v>V_KEYWORD_ISSR_208017108_ORD_SH_FUND</v>
          </cell>
        </row>
        <row r="82">
          <cell r="A82" t="str">
            <v>Vector|||208017108|||ISSR|||MINORITIES|||False|||</v>
          </cell>
          <cell r="C82" t="str">
            <v>V_KEYWORD_ISSR_208017108_MINORITIES</v>
          </cell>
        </row>
        <row r="83">
          <cell r="A83" t="str">
            <v>Vector|||208017108|||ISSR|||EQ|||False|||</v>
          </cell>
          <cell r="C83" t="str">
            <v>V_KEYWORD_ISSR_208017108_EQ</v>
          </cell>
        </row>
        <row r="84">
          <cell r="A84" t="str">
            <v>Vector|||208017108|||ISSR|||TOT_LIAB_EQ|||False|||</v>
          </cell>
          <cell r="C84" t="str">
            <v>V_KEYWORD_ISSR_208017108_TOT_LIAB_EQ</v>
          </cell>
        </row>
        <row r="86">
          <cell r="A86" t="str">
            <v>Vector|||208017108|||ISSR|||TOT_USD_DEBT|||False|||</v>
          </cell>
          <cell r="C86" t="str">
            <v>V_KEYWORD_ISSR_208017108_TOT_USD_DEBT</v>
          </cell>
        </row>
        <row r="87">
          <cell r="A87" t="str">
            <v>Vector|||208017108|||ISSR|||TOT_PCT_USD_DEBT_HEDGED|||False|||</v>
          </cell>
          <cell r="C87" t="str">
            <v>V_KEYWORD_ISSR_208017108_TOT_PCT_USD_DEBT_HEDGED</v>
          </cell>
        </row>
        <row r="88">
          <cell r="A88" t="str">
            <v>Vector|||208017108|||ISSR|||FLOATING_PCT_LOCAL_DEBT|||False|||</v>
          </cell>
          <cell r="C88" t="str">
            <v>V_KEYWORD_ISSR_208017108_FLOATING_PCT_LOCAL_DEBT</v>
          </cell>
        </row>
        <row r="89">
          <cell r="A89" t="str">
            <v>Vector|||208017108|||ISSR|||FLOATING_PCT_LOCAL_DEBT_HEDGED|||False|||</v>
          </cell>
          <cell r="C89" t="str">
            <v>V_KEYWORD_ISSR_208017108_FLOATING_PCT_LOCAL_DEBT_HEDGED</v>
          </cell>
        </row>
        <row r="90">
          <cell r="A90" t="str">
            <v>Vector|||208017108|||ISSR|||NET_DEBT|||False|||</v>
          </cell>
          <cell r="C90" t="str">
            <v>V_KEYWORD_ISSR_208017108_NET_DEBT</v>
          </cell>
        </row>
        <row r="91">
          <cell r="A91" t="str">
            <v>Vector|||208017108|||ISSR|||CAP_LEASES|||False|||</v>
          </cell>
          <cell r="C91" t="str">
            <v>V_KEYWORD_ISSR_208017108_CAP_LEASES</v>
          </cell>
        </row>
        <row r="92">
          <cell r="A92" t="str">
            <v>Vector|||208017108|||ISSR|||DEF_INC_TAX|||False|||</v>
          </cell>
          <cell r="C92" t="str">
            <v>V_KEYWORD_ISSR_208017108_DEF_INC_TAX</v>
          </cell>
        </row>
        <row r="93">
          <cell r="A93" t="str">
            <v>Vector|||208017108|||ISSR|||NET_OP_LOSS_CFWD|||False|||</v>
          </cell>
          <cell r="C93" t="str">
            <v>V_KEYWORD_ISSR_208017108_NET_OP_LOSS_CFWD</v>
          </cell>
        </row>
        <row r="94">
          <cell r="A94" t="str">
            <v>Vector|||208017108|||ISSR|||MV_ASSOCIATES|||False|||</v>
          </cell>
          <cell r="C94" t="str">
            <v>V_KEYWORD_ISSR_208017108_MV_ASSOCIATES</v>
          </cell>
        </row>
        <row r="95">
          <cell r="A95" t="str">
            <v>Vector|||208017108|||ISSR|||NET_DEBT_ADJ|||False|||</v>
          </cell>
          <cell r="C95" t="str">
            <v>V_KEYWORD_ISSR_208017108_NET_DEBT_ADJ</v>
          </cell>
        </row>
        <row r="96">
          <cell r="A96" t="str">
            <v>Vector|||208017108|||ISSR|||CO_BOR_MARGIN|||False|||</v>
          </cell>
          <cell r="C96" t="str">
            <v>V_KEYWORD_ISSR_208017108_CO_BOR_MARGIN</v>
          </cell>
        </row>
        <row r="97">
          <cell r="A97" t="str">
            <v>Vector|||208017108|||ISSR|||UNF_PENS|||False|||</v>
          </cell>
          <cell r="C97" t="str">
            <v>V_KEYWORD_ISSR_208017108_UNF_PENS</v>
          </cell>
        </row>
        <row r="98">
          <cell r="A98" t="str">
            <v>Vector|||208017108|||ISSR|||UNF_PENS_OFF|||False|||</v>
          </cell>
          <cell r="C98" t="str">
            <v>V_KEYWORD_ISSR_208017108_UNF_PENS_OFF</v>
          </cell>
        </row>
        <row r="99">
          <cell r="A99" t="str">
            <v>Vector|||208017108|||ISSR|||UNF_PENS_LIAB_OTH|||False|||</v>
          </cell>
          <cell r="C99" t="str">
            <v>V_KEYWORD_ISSR_208017108_UNF_PENS_LIAB_OTH</v>
          </cell>
        </row>
        <row r="100">
          <cell r="A100" t="str">
            <v>Vector|||208017108|||ISSR|||ADJ_UNF_PENS_GOOD|||False|||</v>
          </cell>
          <cell r="C100" t="str">
            <v>V_KEYWORD_ISSR_208017108_ADJ_UNF_PENS_GOOD</v>
          </cell>
        </row>
        <row r="101">
          <cell r="A101" t="str">
            <v>Vector|||208017108|||ISSR|||OTH_GCI_ADJ|||False|||</v>
          </cell>
          <cell r="C101" t="str">
            <v>V_KEYWORD_ISSR_208017108_OTH_GCI_ADJ</v>
          </cell>
        </row>
        <row r="102">
          <cell r="A102" t="str">
            <v>Vector|||208017108|||ISSR|||GCI_INFL|||False|||</v>
          </cell>
          <cell r="C102" t="str">
            <v>V_KEYWORD_ISSR_208017108_GCI_INFL</v>
          </cell>
        </row>
        <row r="103">
          <cell r="A103" t="str">
            <v>Vector|||208017108|||ISSR|||BAL_MINO_INT|||False|||</v>
          </cell>
          <cell r="C103" t="str">
            <v>V_KEYWORD_ISSR_208017108_BAL_MINO_INT</v>
          </cell>
        </row>
        <row r="104">
          <cell r="A104" t="str">
            <v>Vector|||208017108|||ISSR|||ROU_ASSET|||False|||</v>
          </cell>
          <cell r="C104" t="str">
            <v>V_KEYWORD_ISSR_208017108_ROU_ASSET</v>
          </cell>
        </row>
        <row r="106">
          <cell r="A106" t="str">
            <v>Vector|||208017108|||ISSR|||CF_INC_MINORITY|||False|||</v>
          </cell>
          <cell r="C106" t="str">
            <v>V_KEYWORD_ISSR_208017108_CF_INC_MINORITY</v>
          </cell>
        </row>
        <row r="107">
          <cell r="A107" t="str">
            <v>Vector|||208017108|||ISSR|||DEPR_AMORT|||False|||</v>
          </cell>
          <cell r="C107" t="str">
            <v>V_KEYWORD_ISSR_208017108_DEPR_AMORT</v>
          </cell>
        </row>
        <row r="108">
          <cell r="A108" t="str">
            <v>Vector|||208017108|||ISSR|||WORK_CAP|||False|||</v>
          </cell>
          <cell r="C108" t="str">
            <v>V_KEYWORD_ISSR_208017108_WORK_CAP</v>
          </cell>
        </row>
        <row r="109">
          <cell r="A109" t="str">
            <v>Vector|||208017108|||ISSR|||OTH_OP_CF|||False|||</v>
          </cell>
          <cell r="C109" t="str">
            <v>V_KEYWORD_ISSR_208017108_OTH_OP_CF</v>
          </cell>
        </row>
        <row r="110">
          <cell r="A110" t="str">
            <v>Vector|||208017108|||ISSR|||CF_OPS|||False|||</v>
          </cell>
          <cell r="C110" t="str">
            <v>V_KEYWORD_ISSR_208017108_CF_OPS</v>
          </cell>
        </row>
        <row r="111">
          <cell r="A111" t="str">
            <v>Vector|||208017108|||ISSR|||CAPEX|||False|||</v>
          </cell>
          <cell r="C111" t="str">
            <v>V_KEYWORD_ISSR_208017108_CAPEX</v>
          </cell>
        </row>
        <row r="112">
          <cell r="A112" t="str">
            <v>Vector|||208017108|||ISSR|||ACQ|||False|||</v>
          </cell>
          <cell r="C112" t="str">
            <v>V_KEYWORD_ISSR_208017108_ACQ</v>
          </cell>
        </row>
        <row r="113">
          <cell r="A113" t="str">
            <v>Vector|||208017108|||ISSR|||DIVEST|||False|||</v>
          </cell>
          <cell r="C113" t="str">
            <v>V_KEYWORD_ISSR_208017108_DIVEST</v>
          </cell>
        </row>
        <row r="114">
          <cell r="A114" t="str">
            <v>Vector|||208017108|||ISSR|||OTH_INV_CF|||False|||</v>
          </cell>
          <cell r="C114" t="str">
            <v>V_KEYWORD_ISSR_208017108_OTH_INV_CF</v>
          </cell>
        </row>
        <row r="115">
          <cell r="A115" t="str">
            <v>Vector|||208017108|||ISSR|||CF_INV|||False|||</v>
          </cell>
          <cell r="C115" t="str">
            <v>V_KEYWORD_ISSR_208017108_CF_INV</v>
          </cell>
        </row>
        <row r="116">
          <cell r="A116" t="str">
            <v>Vector|||208017108|||ISSR|||DIV_PAID|||False|||</v>
          </cell>
          <cell r="C116" t="str">
            <v>V_KEYWORD_ISSR_208017108_DIV_PAID</v>
          </cell>
        </row>
        <row r="117">
          <cell r="A117" t="str">
            <v>Vector|||208017108|||ISSR|||SH_REPUR|||False|||</v>
          </cell>
          <cell r="C117" t="str">
            <v>V_KEYWORD_ISSR_208017108_SH_REPUR</v>
          </cell>
        </row>
        <row r="118">
          <cell r="A118" t="str">
            <v>Vector|||208017108|||ISSR|||CHG_LT_DEBT|||False|||</v>
          </cell>
          <cell r="C118" t="str">
            <v>V_KEYWORD_ISSR_208017108_CHG_LT_DEBT</v>
          </cell>
        </row>
        <row r="119">
          <cell r="A119" t="str">
            <v>Vector|||208017108|||ISSR|||LEASE_PRINCIPAL_CASH|||False|||</v>
          </cell>
          <cell r="C119" t="str">
            <v>V_KEYWORD_ISSR_208017108_LEASE_PRINCIPAL_CASH</v>
          </cell>
        </row>
        <row r="120">
          <cell r="A120" t="str">
            <v>Vector|||208017108|||ISSR|||OTH_FIN_CF|||False|||</v>
          </cell>
          <cell r="C120" t="str">
            <v>V_KEYWORD_ISSR_208017108_OTH_FIN_CF</v>
          </cell>
        </row>
        <row r="121">
          <cell r="A121" t="str">
            <v>Vector|||208017108|||ISSR|||CF_FIN|||False|||</v>
          </cell>
          <cell r="C121" t="str">
            <v>V_KEYWORD_ISSR_208017108_CF_FIN</v>
          </cell>
        </row>
        <row r="122">
          <cell r="A122" t="str">
            <v>Vector|||208017108|||ISSR|||TOT_CF|||False|||</v>
          </cell>
          <cell r="C122" t="str">
            <v>V_KEYWORD_ISSR_208017108_TOT_CF</v>
          </cell>
        </row>
        <row r="124">
          <cell r="A124" t="str">
            <v>Vector|||208017108|||ISSR|||ASSOC_JV_ADDBK|||False|||</v>
          </cell>
          <cell r="C124" t="str">
            <v>V_KEYWORD_ISSR_208017108_ASSOC_JV_ADDBK</v>
          </cell>
        </row>
        <row r="125">
          <cell r="A125" t="str">
            <v>Vector|||208017108|||ISSR|||PL_SALE_ASSETS|||False|||</v>
          </cell>
          <cell r="C125" t="str">
            <v>V_KEYWORD_ISSR_208017108_PL_SALE_ASSETS</v>
          </cell>
        </row>
        <row r="126">
          <cell r="A126" t="str">
            <v>Vector|||208017108|||ISSR|||OTH_NONCASH_ADJ|||False|||</v>
          </cell>
          <cell r="C126" t="str">
            <v>V_KEYWORD_ISSR_208017108_OTH_NONCASH_ADJ</v>
          </cell>
        </row>
        <row r="127">
          <cell r="A127" t="str">
            <v>Vector|||208017108|||ISSR|||OTH_DACF_ADJ|||False|||</v>
          </cell>
          <cell r="C127" t="str">
            <v>V_KEYWORD_ISSR_208017108_OTH_DACF_ADJ</v>
          </cell>
        </row>
        <row r="128">
          <cell r="A128" t="str">
            <v>Vector|||208017108|||ISSR|||CHG_DEF_TAX_CF|||False|||</v>
          </cell>
          <cell r="C128" t="str">
            <v>V_KEYWORD_ISSR_208017108_CHG_DEF_TAX_CF</v>
          </cell>
        </row>
        <row r="129">
          <cell r="A129" t="str">
            <v>Vector|||208017108|||ISSR|||OTH_ADJ_CASH_TAX|||False|||</v>
          </cell>
          <cell r="C129" t="str">
            <v>V_KEYWORD_ISSR_208017108_OTH_ADJ_CASH_TAX</v>
          </cell>
        </row>
        <row r="130">
          <cell r="A130" t="str">
            <v>Vector|||208017108|||ISSR|||CASH_INT_EXP|||False|||</v>
          </cell>
          <cell r="C130" t="str">
            <v>V_KEYWORD_ISSR_208017108_CASH_INT_EXP</v>
          </cell>
        </row>
        <row r="131">
          <cell r="A131" t="str">
            <v>Vector|||208017108|||ISSR|||CASH_TAX_EXP|||False|||</v>
          </cell>
          <cell r="C131" t="str">
            <v>V_KEYWORD_ISSR_208017108_CASH_TAX_EXP</v>
          </cell>
        </row>
        <row r="132">
          <cell r="A132" t="str">
            <v>Vector|||208017108|||ISSR|||DIVDS_ASSOC_JV|||False|||</v>
          </cell>
          <cell r="C132" t="str">
            <v>V_KEYWORD_ISSR_208017108_DIVDS_ASSOC_JV</v>
          </cell>
        </row>
        <row r="133">
          <cell r="A133" t="str">
            <v>Vector|||208017108|||ISSR|||CAPEX_MAINTENANCE|||False|||</v>
          </cell>
          <cell r="C133" t="str">
            <v>V_KEYWORD_ISSR_208017108_CAPEX_MAINTENANCE</v>
          </cell>
        </row>
        <row r="134">
          <cell r="A134" t="str">
            <v>Vector|||208017108|||ISSR|||CAPEX_EXPANSION|||False|||</v>
          </cell>
          <cell r="C134" t="str">
            <v>V_KEYWORD_ISSR_208017108_CAPEX_EXPANSION</v>
          </cell>
        </row>
        <row r="135">
          <cell r="A135" t="str">
            <v>Vector|||208017108|||ISSR|||NONPPE_CAPEX|||False|||</v>
          </cell>
          <cell r="C135" t="str">
            <v>V_KEYWORD_ISSR_208017108_NONPPE_CAPEX</v>
          </cell>
        </row>
        <row r="136">
          <cell r="A136" t="str">
            <v>Vector|||208017108|||ISSR|||DIVDS_PD_MINORITIES|||False|||</v>
          </cell>
          <cell r="C136" t="str">
            <v>V_KEYWORD_ISSR_208017108_DIVDS_PD_MINORITIES</v>
          </cell>
        </row>
        <row r="137">
          <cell r="A137" t="str">
            <v>Vector|||208017108|||ISSR|||FCF_UNLEVERED|||False|||</v>
          </cell>
          <cell r="C137" t="str">
            <v>V_KEYWORD_ISSR_208017108_FCF_UNLEVERED</v>
          </cell>
        </row>
        <row r="139">
          <cell r="A139" t="str">
            <v>Vector|||208017108|||ISSR|||LICENSE_REV|||False|||</v>
          </cell>
          <cell r="C139" t="str">
            <v>V_KEYWORD_ISSR_208017108_LICENSE_REV</v>
          </cell>
        </row>
        <row r="140">
          <cell r="A140" t="str">
            <v>Vector|||208017108|||ISSR|||MAINTEN_REV|||False|||</v>
          </cell>
          <cell r="C140" t="str">
            <v>V_KEYWORD_ISSR_208017108_MAINTEN_REV</v>
          </cell>
        </row>
        <row r="141">
          <cell r="A141" t="str">
            <v>Vector|||208017108|||ISSR|||EMPLOYEES|||False|||</v>
          </cell>
          <cell r="C141" t="str">
            <v>V_KEYWORD_ISSR_208017108_EMPLOYEES</v>
          </cell>
        </row>
        <row r="142">
          <cell r="A142" t="str">
            <v>Vector|||208017108|||ISSR|||TOT_BILLINGS|||False|||</v>
          </cell>
          <cell r="C142" t="str">
            <v>V_KEYWORD_ISSR_208017108_TOT_BILLINGS</v>
          </cell>
        </row>
        <row r="143">
          <cell r="A143" t="str">
            <v>Vector|||208017108|||ISSR|||ST_BILLINGS|||False|||</v>
          </cell>
          <cell r="C143" t="str">
            <v>V_KEYWORD_ISSR_208017108_ST_BILLINGS</v>
          </cell>
        </row>
        <row r="144">
          <cell r="A144" t="str">
            <v>Vector|||208017108|||ISSR|||REM_PERF_OBLIG|||False|||</v>
          </cell>
          <cell r="C144" t="str">
            <v>V_KEYWORD_ISSR_208017108_REM_PERF_OBLIG</v>
          </cell>
        </row>
        <row r="145">
          <cell r="A145" t="str">
            <v>Vector|||208017108|||ISSR|||CUR_REM_PERF_OBLIG|||False|||</v>
          </cell>
          <cell r="C145" t="str">
            <v>V_KEYWORD_ISSR_208017108_CUR_REM_PERF_OBLIG</v>
          </cell>
        </row>
        <row r="146">
          <cell r="A146" t="str">
            <v>Scalar|||208017108|||ISSR|||SEGMENT1_REV_NAME|||False|||</v>
          </cell>
          <cell r="C146" t="str">
            <v>V_KEYWORD_ISSR_208017108_SEGMENT1_REV_NAME</v>
          </cell>
        </row>
        <row r="147">
          <cell r="A147" t="str">
            <v>Vector|||208017108|||ISSR|||SEGMENT1_REV_VALUE|||False|||</v>
          </cell>
          <cell r="C147" t="str">
            <v>V_KEYWORD_ISSR_208017108_SEGMENT1_REV_VALUE</v>
          </cell>
        </row>
        <row r="148">
          <cell r="A148" t="str">
            <v>Scalar|||208017108|||ISSR|||SEGMENT2_REV_NAME|||False|||</v>
          </cell>
          <cell r="C148" t="str">
            <v>V_KEYWORD_ISSR_208017108_SEGMENT2_REV_NAME</v>
          </cell>
        </row>
        <row r="149">
          <cell r="A149" t="str">
            <v>Vector|||208017108|||ISSR|||SEGMENT2_REV_VALUE|||False|||</v>
          </cell>
          <cell r="C149" t="str">
            <v>V_KEYWORD_ISSR_208017108_SEGMENT2_REV_VALUE</v>
          </cell>
        </row>
        <row r="150">
          <cell r="A150" t="str">
            <v>Scalar|||208017108|||ISSR|||SEGMENT3_REV_NAME|||False|||</v>
          </cell>
          <cell r="C150" t="str">
            <v>V_KEYWORD_ISSR_208017108_SEGMENT3_REV_NAME</v>
          </cell>
        </row>
        <row r="151">
          <cell r="A151" t="str">
            <v>Vector|||208017108|||ISSR|||SEGMENT3_REV_VALUE|||False|||</v>
          </cell>
          <cell r="C151" t="str">
            <v>V_KEYWORD_ISSR_208017108_SEGMENT3_REV_VALUE</v>
          </cell>
        </row>
        <row r="152">
          <cell r="A152" t="str">
            <v>Scalar|||208017108|||ISSR|||SEGMENT4_REV_NAME|||False|||</v>
          </cell>
          <cell r="C152" t="str">
            <v>V_KEYWORD_ISSR_208017108_SEGMENT4_REV_NAME</v>
          </cell>
        </row>
        <row r="153">
          <cell r="A153" t="str">
            <v>Vector|||208017108|||ISSR|||SEGMENT4_REV_VALUE|||False|||</v>
          </cell>
          <cell r="C153" t="str">
            <v>V_KEYWORD_ISSR_208017108_SEGMENT4_REV_VALUE</v>
          </cell>
        </row>
        <row r="154">
          <cell r="A154" t="str">
            <v>Scalar|||208017108|||ISSR|||SEGMENT5_REV_NAME|||False|||</v>
          </cell>
          <cell r="C154" t="str">
            <v>V_KEYWORD_ISSR_208017108_SEGMENT5_REV_NAME</v>
          </cell>
        </row>
        <row r="155">
          <cell r="A155" t="str">
            <v>Vector|||208017108|||ISSR|||SEGMENT5_REV_VALUE|||False|||</v>
          </cell>
          <cell r="C155" t="str">
            <v>V_KEYWORD_ISSR_208017108_SEGMENT5_REV_VALUE</v>
          </cell>
        </row>
        <row r="156">
          <cell r="A156" t="str">
            <v>Scalar|||208017108|||ISSR|||SEGMENT6_REV_NAME|||False|||</v>
          </cell>
          <cell r="C156" t="str">
            <v>V_KEYWORD_ISSR_208017108_SEGMENT6_REV_NAME</v>
          </cell>
        </row>
        <row r="157">
          <cell r="A157" t="str">
            <v>Vector|||208017108|||ISSR|||SEGMENT6_REV_VALUE|||False|||</v>
          </cell>
          <cell r="C157" t="str">
            <v>V_KEYWORD_ISSR_208017108_SEGMENT6_REV_VALUE</v>
          </cell>
        </row>
        <row r="158">
          <cell r="A158" t="str">
            <v>Scalar|||208017108|||ISSR|||SEGMENT7_REV_NAME|||False|||</v>
          </cell>
          <cell r="C158" t="str">
            <v>V_KEYWORD_ISSR_208017108_SEGMENT7_REV_NAME</v>
          </cell>
        </row>
        <row r="159">
          <cell r="A159" t="str">
            <v>Vector|||208017108|||ISSR|||SEGMENT7_REV_VALUE|||False|||</v>
          </cell>
          <cell r="C159" t="str">
            <v>V_KEYWORD_ISSR_208017108_SEGMENT7_REV_VALUE</v>
          </cell>
        </row>
        <row r="160">
          <cell r="A160" t="str">
            <v>Scalar|||208017108|||ISSR|||SEGMENT8_REV_NAME|||False|||</v>
          </cell>
          <cell r="C160" t="str">
            <v>V_KEYWORD_ISSR_208017108_SEGMENT8_REV_NAME</v>
          </cell>
        </row>
        <row r="161">
          <cell r="A161" t="str">
            <v>Vector|||208017108|||ISSR|||SEGMENT8_REV_VALUE|||False|||</v>
          </cell>
          <cell r="C161" t="str">
            <v>V_KEYWORD_ISSR_208017108_SEGMENT8_REV_VALUE</v>
          </cell>
        </row>
        <row r="162">
          <cell r="A162" t="str">
            <v>Scalar|||208017108|||ISSR|||SEGMENT9_REV_NAME|||False|||</v>
          </cell>
          <cell r="C162" t="str">
            <v>V_KEYWORD_ISSR_208017108_SEGMENT9_REV_NAME</v>
          </cell>
        </row>
        <row r="163">
          <cell r="A163" t="str">
            <v>Vector|||208017108|||ISSR|||SEGMENT9_REV_VALUE|||False|||</v>
          </cell>
          <cell r="C163" t="str">
            <v>V_KEYWORD_ISSR_208017108_SEGMENT9_REV_VALUE</v>
          </cell>
        </row>
        <row r="164">
          <cell r="A164" t="str">
            <v>Scalar|||208017108|||ISSR|||SEGMENT10_REV_NAME|||False|||</v>
          </cell>
          <cell r="C164" t="str">
            <v>V_KEYWORD_ISSR_208017108_SEGMENT10_REV_NAME</v>
          </cell>
        </row>
        <row r="165">
          <cell r="A165" t="str">
            <v>Vector|||208017108|||ISSR|||SEGMENT10_REV_VALUE|||False|||</v>
          </cell>
          <cell r="C165" t="str">
            <v>V_KEYWORD_ISSR_208017108_SEGMENT10_REV_VALUE</v>
          </cell>
        </row>
        <row r="167">
          <cell r="A167" t="str">
            <v>Vector|||208017108|||ISSR|||SALES_CANADA|||False|||</v>
          </cell>
          <cell r="C167" t="str">
            <v>V_KEYWORD_ISSR_208017108_SALES_CANADA</v>
          </cell>
        </row>
        <row r="168">
          <cell r="A168" t="str">
            <v>Vector|||208017108|||ISSR|||SALES_US|||False|||</v>
          </cell>
          <cell r="C168" t="str">
            <v>V_KEYWORD_ISSR_208017108_SALES_US</v>
          </cell>
        </row>
        <row r="169">
          <cell r="A169" t="str">
            <v>Vector|||208017108|||ISSR|||SALES_OTH_NO_AMER|||False|||</v>
          </cell>
          <cell r="C169" t="str">
            <v>V_KEYWORD_ISSR_208017108_SALES_OTH_NO_AMER</v>
          </cell>
        </row>
        <row r="170">
          <cell r="A170" t="str">
            <v>Vector|||208017108|||ISSR|||SALES_ARGENTINA|||False|||</v>
          </cell>
          <cell r="C170" t="str">
            <v>V_KEYWORD_ISSR_208017108_SALES_ARGENTINA</v>
          </cell>
        </row>
        <row r="171">
          <cell r="A171" t="str">
            <v>Vector|||208017108|||ISSR|||SALES_BRAZIL|||False|||</v>
          </cell>
          <cell r="C171" t="str">
            <v>V_KEYWORD_ISSR_208017108_SALES_BRAZIL</v>
          </cell>
        </row>
        <row r="172">
          <cell r="A172" t="str">
            <v>Vector|||208017108|||ISSR|||SALES_CHILE|||False|||</v>
          </cell>
          <cell r="C172" t="str">
            <v>V_KEYWORD_ISSR_208017108_SALES_CHILE</v>
          </cell>
        </row>
        <row r="173">
          <cell r="A173" t="str">
            <v>Vector|||208017108|||ISSR|||SALES_COLOMBIA|||False|||</v>
          </cell>
          <cell r="C173" t="str">
            <v>V_KEYWORD_ISSR_208017108_SALES_COLOMBIA</v>
          </cell>
        </row>
        <row r="174">
          <cell r="A174" t="str">
            <v>Vector|||208017108|||ISSR|||SALES_MEXICO|||False|||</v>
          </cell>
          <cell r="C174" t="str">
            <v>V_KEYWORD_ISSR_208017108_SALES_MEXICO</v>
          </cell>
        </row>
        <row r="175">
          <cell r="A175" t="str">
            <v>Vector|||208017108|||ISSR|||SALES_VENEZUELA|||False|||</v>
          </cell>
          <cell r="C175" t="str">
            <v>V_KEYWORD_ISSR_208017108_SALES_VENEZUELA</v>
          </cell>
        </row>
        <row r="176">
          <cell r="A176" t="str">
            <v>Vector|||208017108|||ISSR|||SALES_OTH_LATAM|||False|||</v>
          </cell>
          <cell r="C176" t="str">
            <v>V_KEYWORD_ISSR_208017108_SALES_OTH_LATAM</v>
          </cell>
        </row>
        <row r="177">
          <cell r="A177" t="str">
            <v>Vector|||208017108|||ISSR|||SALES_AUSTRIA|||False|||</v>
          </cell>
          <cell r="C177" t="str">
            <v>V_KEYWORD_ISSR_208017108_SALES_AUSTRIA</v>
          </cell>
        </row>
        <row r="178">
          <cell r="A178" t="str">
            <v>Vector|||208017108|||ISSR|||SALES_BEL|||False|||</v>
          </cell>
          <cell r="C178" t="str">
            <v>V_KEYWORD_ISSR_208017108_SALES_BEL</v>
          </cell>
        </row>
        <row r="179">
          <cell r="A179" t="str">
            <v>Vector|||208017108|||ISSR|||SALES_FRA|||False|||</v>
          </cell>
          <cell r="C179" t="str">
            <v>V_KEYWORD_ISSR_208017108_SALES_FRA</v>
          </cell>
        </row>
        <row r="180">
          <cell r="A180" t="str">
            <v>Vector|||208017108|||ISSR|||SALES_GER|||False|||</v>
          </cell>
          <cell r="C180" t="str">
            <v>V_KEYWORD_ISSR_208017108_SALES_GER</v>
          </cell>
        </row>
        <row r="181">
          <cell r="A181" t="str">
            <v>Vector|||208017108|||ISSR|||SALES_GRE|||False|||</v>
          </cell>
          <cell r="C181" t="str">
            <v>V_KEYWORD_ISSR_208017108_SALES_GRE</v>
          </cell>
        </row>
        <row r="182">
          <cell r="A182" t="str">
            <v>Vector|||208017108|||ISSR|||SALES_IRE|||False|||</v>
          </cell>
          <cell r="C182" t="str">
            <v>V_KEYWORD_ISSR_208017108_SALES_IRE</v>
          </cell>
        </row>
        <row r="183">
          <cell r="A183" t="str">
            <v>Vector|||208017108|||ISSR|||SALES_ITA|||False|||</v>
          </cell>
          <cell r="C183" t="str">
            <v>V_KEYWORD_ISSR_208017108_SALES_ITA</v>
          </cell>
        </row>
        <row r="184">
          <cell r="A184" t="str">
            <v>Vector|||208017108|||ISSR|||SALES_NETH|||False|||</v>
          </cell>
          <cell r="C184" t="str">
            <v>V_KEYWORD_ISSR_208017108_SALES_NETH</v>
          </cell>
        </row>
        <row r="185">
          <cell r="A185" t="str">
            <v>Vector|||208017108|||ISSR|||SALES_NOR|||False|||</v>
          </cell>
          <cell r="C185" t="str">
            <v>V_KEYWORD_ISSR_208017108_SALES_NOR</v>
          </cell>
        </row>
        <row r="186">
          <cell r="A186" t="str">
            <v>Vector|||208017108|||ISSR|||SALES_POR|||False|||</v>
          </cell>
          <cell r="C186" t="str">
            <v>V_KEYWORD_ISSR_208017108_SALES_POR</v>
          </cell>
        </row>
        <row r="187">
          <cell r="A187" t="str">
            <v>Vector|||208017108|||ISSR|||SALES_SPA|||False|||</v>
          </cell>
          <cell r="C187" t="str">
            <v>V_KEYWORD_ISSR_208017108_SALES_SPA</v>
          </cell>
        </row>
        <row r="188">
          <cell r="A188" t="str">
            <v>Vector|||208017108|||ISSR|||SALES_SWE|||False|||</v>
          </cell>
          <cell r="C188" t="str">
            <v>V_KEYWORD_ISSR_208017108_SALES_SWE</v>
          </cell>
        </row>
        <row r="189">
          <cell r="A189" t="str">
            <v>Vector|||208017108|||ISSR|||SALES_SWIT|||False|||</v>
          </cell>
          <cell r="C189" t="str">
            <v>V_KEYWORD_ISSR_208017108_SALES_SWIT</v>
          </cell>
        </row>
        <row r="190">
          <cell r="A190" t="str">
            <v>Vector|||208017108|||ISSR|||SALES_UK|||False|||</v>
          </cell>
          <cell r="C190" t="str">
            <v>V_KEYWORD_ISSR_208017108_SALES_UK</v>
          </cell>
        </row>
        <row r="191">
          <cell r="A191" t="str">
            <v>Vector|||208017108|||ISSR|||SALES_OTH_WEST_EURO|||False|||</v>
          </cell>
          <cell r="C191" t="str">
            <v>V_KEYWORD_ISSR_208017108_SALES_OTH_WEST_EURO</v>
          </cell>
        </row>
        <row r="192">
          <cell r="A192" t="str">
            <v>Vector|||208017108|||ISSR|||SALES_POLAND|||False|||</v>
          </cell>
          <cell r="C192" t="str">
            <v>V_KEYWORD_ISSR_208017108_SALES_POLAND</v>
          </cell>
        </row>
        <row r="193">
          <cell r="A193" t="str">
            <v>Vector|||208017108|||ISSR|||SALES_RUSSIA|||False|||</v>
          </cell>
          <cell r="C193" t="str">
            <v>V_KEYWORD_ISSR_208017108_SALES_RUSSIA</v>
          </cell>
        </row>
        <row r="194">
          <cell r="A194" t="str">
            <v>Vector|||208017108|||ISSR|||SALES_TURKEY|||False|||</v>
          </cell>
          <cell r="C194" t="str">
            <v>V_KEYWORD_ISSR_208017108_SALES_TURKEY</v>
          </cell>
        </row>
        <row r="195">
          <cell r="A195" t="str">
            <v>Vector|||208017108|||ISSR|||SALES_OTH_CEE|||False|||</v>
          </cell>
          <cell r="C195" t="str">
            <v>V_KEYWORD_ISSR_208017108_SALES_OTH_CEE</v>
          </cell>
        </row>
        <row r="196">
          <cell r="A196" t="str">
            <v>Vector|||208017108|||ISSR|||SALES_SAUDI_ARABIA|||False|||</v>
          </cell>
          <cell r="C196" t="str">
            <v>V_KEYWORD_ISSR_208017108_SALES_SAUDI_ARABIA</v>
          </cell>
        </row>
        <row r="197">
          <cell r="A197" t="str">
            <v>Vector|||208017108|||ISSR|||SALES_UAE|||False|||</v>
          </cell>
          <cell r="C197" t="str">
            <v>V_KEYWORD_ISSR_208017108_SALES_UAE</v>
          </cell>
        </row>
        <row r="198">
          <cell r="A198" t="str">
            <v>Vector|||208017108|||ISSR|||SALES_OTH_ME|||False|||</v>
          </cell>
          <cell r="C198" t="str">
            <v>V_KEYWORD_ISSR_208017108_SALES_OTH_ME</v>
          </cell>
        </row>
        <row r="199">
          <cell r="A199" t="str">
            <v>Vector|||208017108|||ISSR|||SALES_NIGERIA|||False|||</v>
          </cell>
          <cell r="C199" t="str">
            <v>V_KEYWORD_ISSR_208017108_SALES_NIGERIA</v>
          </cell>
        </row>
        <row r="200">
          <cell r="A200" t="str">
            <v>Vector|||208017108|||ISSR|||SALES_SO_AFRICA|||False|||</v>
          </cell>
          <cell r="C200" t="str">
            <v>V_KEYWORD_ISSR_208017108_SALES_SO_AFRICA</v>
          </cell>
        </row>
        <row r="201">
          <cell r="A201" t="str">
            <v>Vector|||208017108|||ISSR|||SALES_OTH_AFRICA|||False|||</v>
          </cell>
          <cell r="C201" t="str">
            <v>V_KEYWORD_ISSR_208017108_SALES_OTH_AFRICA</v>
          </cell>
        </row>
        <row r="202">
          <cell r="A202" t="str">
            <v>Vector|||208017108|||ISSR|||SALES_HONG_KONG|||False|||</v>
          </cell>
          <cell r="C202" t="str">
            <v>V_KEYWORD_ISSR_208017108_SALES_HONG_KONG</v>
          </cell>
        </row>
        <row r="203">
          <cell r="A203" t="str">
            <v>Vector|||208017108|||ISSR|||SALES_JAPAN|||False|||</v>
          </cell>
          <cell r="C203" t="str">
            <v>V_KEYWORD_ISSR_208017108_SALES_JAPAN</v>
          </cell>
        </row>
        <row r="204">
          <cell r="A204" t="str">
            <v>Vector|||208017108|||ISSR|||SALES_SINGAPORE|||False|||</v>
          </cell>
          <cell r="C204" t="str">
            <v>V_KEYWORD_ISSR_208017108_SALES_SINGAPORE</v>
          </cell>
        </row>
        <row r="205">
          <cell r="A205" t="str">
            <v>Vector|||208017108|||ISSR|||SALES_SK|||False|||</v>
          </cell>
          <cell r="C205" t="str">
            <v>V_KEYWORD_ISSR_208017108_SALES_SK</v>
          </cell>
        </row>
        <row r="206">
          <cell r="A206" t="str">
            <v>Vector|||208017108|||ISSR|||SALES_TAIWAN|||False|||</v>
          </cell>
          <cell r="C206" t="str">
            <v>V_KEYWORD_ISSR_208017108_SALES_TAIWAN</v>
          </cell>
        </row>
        <row r="207">
          <cell r="A207" t="str">
            <v>Vector|||208017108|||ISSR|||SALES_OTH_DEV_ASIA|||False|||</v>
          </cell>
          <cell r="C207" t="str">
            <v>V_KEYWORD_ISSR_208017108_SALES_OTH_DEV_ASIA</v>
          </cell>
        </row>
        <row r="208">
          <cell r="A208" t="str">
            <v>Vector|||208017108|||ISSR|||SALES_CHINA|||False|||</v>
          </cell>
          <cell r="C208" t="str">
            <v>V_KEYWORD_ISSR_208017108_SALES_CHINA</v>
          </cell>
        </row>
        <row r="209">
          <cell r="A209" t="str">
            <v>Vector|||208017108|||ISSR|||SALES_INDIA|||False|||</v>
          </cell>
          <cell r="C209" t="str">
            <v>V_KEYWORD_ISSR_208017108_SALES_INDIA</v>
          </cell>
        </row>
        <row r="210">
          <cell r="A210" t="str">
            <v>Vector|||208017108|||ISSR|||SALES_INDONESIA|||False|||</v>
          </cell>
          <cell r="C210" t="str">
            <v>V_KEYWORD_ISSR_208017108_SALES_INDONESIA</v>
          </cell>
        </row>
        <row r="211">
          <cell r="A211" t="str">
            <v>Vector|||208017108|||ISSR|||SALES_THAILAND|||False|||</v>
          </cell>
          <cell r="C211" t="str">
            <v>V_KEYWORD_ISSR_208017108_SALES_THAILAND</v>
          </cell>
        </row>
        <row r="212">
          <cell r="A212" t="str">
            <v>Vector|||208017108|||ISSR|||SALES_OTH_EMERG_ASIA|||False|||</v>
          </cell>
          <cell r="C212" t="str">
            <v>V_KEYWORD_ISSR_208017108_SALES_OTH_EMERG_ASIA</v>
          </cell>
        </row>
        <row r="213">
          <cell r="A213" t="str">
            <v>Vector|||208017108|||ISSR|||SALES_AUSTRA|||False|||</v>
          </cell>
          <cell r="C213" t="str">
            <v>V_KEYWORD_ISSR_208017108_SALES_AUSTRA</v>
          </cell>
        </row>
        <row r="214">
          <cell r="A214" t="str">
            <v>Vector|||208017108|||ISSR|||SALES_NZ|||False|||</v>
          </cell>
          <cell r="C214" t="str">
            <v>V_KEYWORD_ISSR_208017108_SALES_NZ</v>
          </cell>
        </row>
        <row r="215">
          <cell r="A215" t="str">
            <v>Vector|||208017108|||ISSR|||SALES_OTHER|||False|||</v>
          </cell>
          <cell r="C215" t="str">
            <v>V_KEYWORD_ISSR_208017108_SALES_OTHER</v>
          </cell>
        </row>
        <row r="216">
          <cell r="A216" t="str">
            <v>Vector|||208017108|||ISSR|||COGS_PCT_US|||False|||</v>
          </cell>
          <cell r="C216" t="str">
            <v>V_KEYWORD_ISSR_208017108_COGS_PCT_US</v>
          </cell>
        </row>
        <row r="217">
          <cell r="A217" t="str">
            <v>Vector|||208017108|||ISSR|||COGS_PCT_ROW|||False|||</v>
          </cell>
          <cell r="C217" t="str">
            <v>V_KEYWORD_ISSR_208017108_COGS_PCT_ROW</v>
          </cell>
        </row>
        <row r="218">
          <cell r="A218" t="str">
            <v>Vector|||208017108|||ISSR|||SGA_PCT_US|||False|||</v>
          </cell>
          <cell r="C218" t="str">
            <v>V_KEYWORD_ISSR_208017108_SGA_PCT_US</v>
          </cell>
        </row>
        <row r="219">
          <cell r="A219" t="str">
            <v>Vector|||208017108|||ISSR|||SGA_PCT_ROW|||False|||</v>
          </cell>
          <cell r="C219" t="str">
            <v>V_KEYWORD_ISSR_208017108_SGA_PCT_ROW</v>
          </cell>
        </row>
        <row r="220">
          <cell r="A220" t="str">
            <v>Vector|||208017108|||ISSR|||SALES_CONS|||False|||</v>
          </cell>
          <cell r="C220" t="str">
            <v>V_KEYWORD_ISSR_208017108_SALES_CONS</v>
          </cell>
        </row>
        <row r="221">
          <cell r="A221" t="str">
            <v>Vector|||208017108|||ISSR|||SALES_IND|||False|||</v>
          </cell>
          <cell r="C221" t="str">
            <v>V_KEYWORD_ISSR_208017108_SALES_IND</v>
          </cell>
        </row>
        <row r="222">
          <cell r="A222" t="str">
            <v>Vector|||208017108|||ISSR|||SALES_GOV|||False|||</v>
          </cell>
          <cell r="C222" t="str">
            <v>V_KEYWORD_ISSR_208017108_SALES_GOV</v>
          </cell>
        </row>
        <row r="223">
          <cell r="A223" t="str">
            <v>Vector|||208017108|||ISSR|||SALES_FINAN|||False|||</v>
          </cell>
          <cell r="C223" t="str">
            <v>V_KEYWORD_ISSR_208017108_SALES_FINAN</v>
          </cell>
        </row>
        <row r="224">
          <cell r="A224" t="str">
            <v>Vector|||208017108|||ISSR|||SALES_OIL_GAS|||False|||</v>
          </cell>
          <cell r="C224" t="str">
            <v>V_KEYWORD_ISSR_208017108_SALES_OIL_GAS</v>
          </cell>
        </row>
        <row r="225">
          <cell r="A225" t="str">
            <v>Vector|||208017108|||ISSR|||SALES_SMB|||False|||</v>
          </cell>
          <cell r="C225" t="str">
            <v>V_KEYWORD_ISSR_208017108_SALES_SMB</v>
          </cell>
        </row>
        <row r="226">
          <cell r="A226" t="str">
            <v>Vector|||208017108|||ISSR|||CASH_PCT_OS_US|||False|||</v>
          </cell>
          <cell r="C226" t="str">
            <v>V_KEYWORD_ISSR_208017108_CASH_PCT_OS_US</v>
          </cell>
        </row>
        <row r="227">
          <cell r="A227" t="str">
            <v>Vector|||208017108|||ISSR|||REV_FIN_SEGMENT|||False|||</v>
          </cell>
          <cell r="C227" t="str">
            <v>V_KEYWORD_ISSR_208017108_REV_FIN_SEGMENT</v>
          </cell>
        </row>
        <row r="228">
          <cell r="A228" t="str">
            <v>Vector|||208017108|||ISSR|||EBIT_FIN_SEGMENT|||False|||</v>
          </cell>
          <cell r="C228" t="str">
            <v>V_KEYWORD_ISSR_208017108_EBIT_FIN_SEGMENT</v>
          </cell>
        </row>
        <row r="230">
          <cell r="A230" t="str">
            <v>Vector|||208017108|||ISSR|||EXP_OIL_PETRO_FUEL|||False|||</v>
          </cell>
          <cell r="C230" t="str">
            <v>V_KEYWORD_ISSR_208017108_EXP_OIL_PETRO_FUEL</v>
          </cell>
        </row>
        <row r="231">
          <cell r="A231" t="str">
            <v>Vector|||208017108|||ISSR|||EXP_OIL_DERIV_NGLS_PLASTICS|||False|||</v>
          </cell>
          <cell r="C231" t="str">
            <v>V_KEYWORD_ISSR_208017108_EXP_OIL_DERIV_NGLS_PLASTICS</v>
          </cell>
        </row>
        <row r="233">
          <cell r="A233" t="str">
            <v>Vector|||208017108|||ISSR|||SALES_FX_GPB|||False|||</v>
          </cell>
          <cell r="C233" t="str">
            <v>V_KEYWORD_ISSR_208017108_SALES_FX_GPB</v>
          </cell>
        </row>
        <row r="234">
          <cell r="A234" t="str">
            <v>Vector|||208017108|||ISSR|||SALES_FX_EUR|||False|||</v>
          </cell>
          <cell r="C234" t="str">
            <v>V_KEYWORD_ISSR_208017108_SALES_FX_EUR</v>
          </cell>
        </row>
        <row r="235">
          <cell r="A235" t="str">
            <v>Vector|||208017108|||ISSR|||SALES_FX_RUB|||False|||</v>
          </cell>
          <cell r="C235" t="str">
            <v>V_KEYWORD_ISSR_208017108_SALES_FX_RUB</v>
          </cell>
        </row>
        <row r="236">
          <cell r="A236" t="str">
            <v>Vector|||208017108|||ISSR|||SALES_FX_USD|||False|||</v>
          </cell>
          <cell r="C236" t="str">
            <v>V_KEYWORD_ISSR_208017108_SALES_FX_USD</v>
          </cell>
        </row>
        <row r="237">
          <cell r="A237" t="str">
            <v>Vector|||208017108|||ISSR|||SALES_FX_BRL|||False|||</v>
          </cell>
          <cell r="C237" t="str">
            <v>V_KEYWORD_ISSR_208017108_SALES_FX_BRL</v>
          </cell>
        </row>
        <row r="238">
          <cell r="A238" t="str">
            <v>Vector|||208017108|||ISSR|||SALES_FX_YEN|||False|||</v>
          </cell>
          <cell r="C238" t="str">
            <v>V_KEYWORD_ISSR_208017108_SALES_FX_YEN</v>
          </cell>
        </row>
        <row r="239">
          <cell r="A239" t="str">
            <v>Vector|||208017108|||ISSR|||SALES_FX_CNY|||False|||</v>
          </cell>
          <cell r="C239" t="str">
            <v>V_KEYWORD_ISSR_208017108_SALES_FX_CNY</v>
          </cell>
        </row>
        <row r="240">
          <cell r="A240" t="str">
            <v>Vector|||208017108|||ISSR|||SALES_FX_INR|||False|||</v>
          </cell>
          <cell r="C240" t="str">
            <v>V_KEYWORD_ISSR_208017108_SALES_FX_INR</v>
          </cell>
        </row>
        <row r="241">
          <cell r="A241" t="str">
            <v>Vector|||208017108|||ISSR|||SALES_FX_CAD|||False|||</v>
          </cell>
          <cell r="C241" t="str">
            <v>V_KEYWORD_ISSR_208017108_SALES_FX_CAD</v>
          </cell>
        </row>
        <row r="242">
          <cell r="A242" t="str">
            <v>Vector|||208017108|||ISSR|||SALES_FX_MXN|||False|||</v>
          </cell>
          <cell r="C242" t="str">
            <v>V_KEYWORD_ISSR_208017108_SALES_FX_MXN</v>
          </cell>
        </row>
        <row r="243">
          <cell r="A243" t="str">
            <v>Vector|||208017108|||ISSR|||SALES_FX_COP|||False|||</v>
          </cell>
          <cell r="C243" t="str">
            <v>V_KEYWORD_ISSR_208017108_SALES_FX_COP</v>
          </cell>
        </row>
        <row r="244">
          <cell r="A244" t="str">
            <v>Vector|||208017108|||ISSR|||SALES_FX_ARS|||False|||</v>
          </cell>
          <cell r="C244" t="str">
            <v>V_KEYWORD_ISSR_208017108_SALES_FX_ARS</v>
          </cell>
        </row>
        <row r="245">
          <cell r="A245" t="str">
            <v>Vector|||208017108|||ISSR|||SALES_FX_CLP|||False|||</v>
          </cell>
          <cell r="C245" t="str">
            <v>V_KEYWORD_ISSR_208017108_SALES_FX_CLP</v>
          </cell>
        </row>
        <row r="246">
          <cell r="A246" t="str">
            <v>Vector|||208017108|||ISSR|||SALES_FX_VEF|||False|||</v>
          </cell>
          <cell r="C246" t="str">
            <v>V_KEYWORD_ISSR_208017108_SALES_FX_VEF</v>
          </cell>
        </row>
        <row r="247">
          <cell r="A247" t="str">
            <v>Vector|||208017108|||ISSR|||SALES_FX_OTH|||False|||</v>
          </cell>
          <cell r="C247" t="str">
            <v>V_KEYWORD_ISSR_208017108_SALES_FX_OTH</v>
          </cell>
        </row>
        <row r="249">
          <cell r="A249" t="str">
            <v>Vector|||208017108|||ISSR|||SALES_TOT_AM|||False|||</v>
          </cell>
          <cell r="C249" t="str">
            <v>V_KEYWORD_ISSR_208017108_SALES_TOT_AM</v>
          </cell>
        </row>
        <row r="250">
          <cell r="A250" t="str">
            <v>Vector|||208017108|||ISSR|||SALES_OTH_AM|||False|||</v>
          </cell>
          <cell r="C250" t="str">
            <v>V_KEYWORD_ISSR_208017108_SALES_OTH_AM</v>
          </cell>
        </row>
        <row r="251">
          <cell r="A251" t="str">
            <v>Vector|||208017108|||ISSR|||SALES_TOT_EMEA|||False|||</v>
          </cell>
          <cell r="C251" t="str">
            <v>V_KEYWORD_ISSR_208017108_SALES_TOT_EMEA</v>
          </cell>
        </row>
        <row r="252">
          <cell r="A252" t="str">
            <v>Vector|||208017108|||ISSR|||SALES_EU_EX_UK|||False|||</v>
          </cell>
          <cell r="C252" t="str">
            <v>V_KEYWORD_ISSR_208017108_SALES_EU_EX_UK</v>
          </cell>
        </row>
        <row r="253">
          <cell r="A253" t="str">
            <v>Vector|||208017108|||ISSR|||SALES_CEE|||False|||</v>
          </cell>
          <cell r="C253" t="str">
            <v>V_KEYWORD_ISSR_208017108_SALES_CEE</v>
          </cell>
        </row>
        <row r="254">
          <cell r="A254" t="str">
            <v>Vector|||208017108|||ISSR|||SALES_ME|||False|||</v>
          </cell>
          <cell r="C254" t="str">
            <v>V_KEYWORD_ISSR_208017108_SALES_ME</v>
          </cell>
        </row>
        <row r="255">
          <cell r="A255" t="str">
            <v>Vector|||208017108|||ISSR|||SALES_TOT_AFRICA|||False|||</v>
          </cell>
          <cell r="C255" t="str">
            <v>V_KEYWORD_ISSR_208017108_SALES_TOT_AFRICA</v>
          </cell>
        </row>
        <row r="256">
          <cell r="A256" t="str">
            <v>Vector|||208017108|||ISSR|||SALES_OTH_EMEA|||False|||</v>
          </cell>
          <cell r="C256" t="str">
            <v>V_KEYWORD_ISSR_208017108_SALES_OTH_EMEA</v>
          </cell>
        </row>
        <row r="257">
          <cell r="A257" t="str">
            <v>Vector|||208017108|||ISSR|||SALES_TOT_ASIA|||False|||</v>
          </cell>
          <cell r="C257" t="str">
            <v>V_KEYWORD_ISSR_208017108_SALES_TOT_ASIA</v>
          </cell>
        </row>
        <row r="258">
          <cell r="A258" t="str">
            <v>Vector|||208017108|||ISSR|||SALES_OTH_AEJ|||False|||</v>
          </cell>
          <cell r="C258" t="str">
            <v>V_KEYWORD_ISSR_208017108_SALES_OTH_AEJ</v>
          </cell>
        </row>
        <row r="264">
          <cell r="A264" t="str">
            <v>Scalar|||200019019|||EQTY|||PUB_CURRENCY_ISO|||False|||</v>
          </cell>
          <cell r="C264" t="str">
            <v>V_KEYWORD_EQTY_200019019_PUB_CURRENCY_ISO</v>
          </cell>
        </row>
        <row r="265">
          <cell r="A265" t="str">
            <v>Scalar|||200019019|||EQTY|||PRICE_CURRENCY_ISO|||False|||</v>
          </cell>
          <cell r="C265" t="str">
            <v>V_KEYWORD_EQTY_200019019_PRICE_CURRENCY_ISO</v>
          </cell>
        </row>
        <row r="266">
          <cell r="A266" t="str">
            <v>Scalar|||200019019|||EQTY|||CURRENCY_ISO|||False|||</v>
          </cell>
          <cell r="C266" t="str">
            <v>V_KEYWORD_EQTY_200019019_CURRENCY_ISO</v>
          </cell>
        </row>
        <row r="268">
          <cell r="A268" t="str">
            <v>Scalar|||200019019|||EQTY|||AMER_LIST|||False|||</v>
          </cell>
          <cell r="C268" t="str">
            <v>V_KEYWORD_EQTY_200019019_AMER_LIST</v>
          </cell>
        </row>
        <row r="269">
          <cell r="A269" t="str">
            <v>Scalar|||200019019|||EQTY|||NOT IN USE|||False|||</v>
          </cell>
          <cell r="C269" t="str">
            <v>V_KEYWORD_EQTY_200019019_NOT_IN_USE</v>
          </cell>
        </row>
        <row r="270">
          <cell r="A270" t="str">
            <v>Scalar|||200019019|||EQTY|||LEGAL_RATING|||False|||</v>
          </cell>
          <cell r="C270" t="str">
            <v>V_KEYWORD_EQTY_200019019_LEGAL_RATING</v>
          </cell>
        </row>
        <row r="271">
          <cell r="A271" t="str">
            <v>Scalar|||200019019|||EQTY|||TARGET_PRICE|||False|||</v>
          </cell>
          <cell r="C271" t="str">
            <v>V_KEYWORD_EQTY_200019019_TARGET_PRICE</v>
          </cell>
        </row>
        <row r="272">
          <cell r="A272" t="str">
            <v>Scalar|||200019019|||EQTY|||TP_PERIOD|||False|||</v>
          </cell>
          <cell r="C272" t="str">
            <v>V_KEYWORD_EQTY_200019019_TP_PERIOD</v>
          </cell>
        </row>
        <row r="273">
          <cell r="A273" t="str">
            <v>Scalar|||200019019|||EQTY|||TARGET_PRICE_FUNDAMENTAL|||False|||</v>
          </cell>
          <cell r="C273" t="str">
            <v>V_KEYWORD_EQTY_200019019_TARGET_PRICE_FUNDAMENTAL</v>
          </cell>
        </row>
        <row r="274">
          <cell r="A274" t="str">
            <v>Scalar|||200019019|||EQTY|||TARGET_PRICE_MA|||False|||</v>
          </cell>
          <cell r="C274" t="str">
            <v>V_KEYWORD_EQTY_200019019_TARGET_PRICE_MA</v>
          </cell>
        </row>
        <row r="275">
          <cell r="A275" t="str">
            <v>Scalar|||200019019|||EQTY|||NUM_SH|||False|||</v>
          </cell>
          <cell r="C275" t="str">
            <v>V_KEYWORD_EQTY_200019019_NUM_SH</v>
          </cell>
        </row>
        <row r="276">
          <cell r="A276" t="str">
            <v>Scalar|||200019019|||EQTY|||FREE_FLOAT|||False|||</v>
          </cell>
          <cell r="C276" t="str">
            <v>V_KEYWORD_EQTY_200019019_FREE_FLOAT</v>
          </cell>
        </row>
        <row r="278">
          <cell r="A278" t="str">
            <v>Vector|||200019019|||EQTY|||BVPS_PUB|||False|||</v>
          </cell>
          <cell r="C278" t="str">
            <v>V_KEYWORD_EQTY_200019019_BVPS_PUB</v>
          </cell>
        </row>
        <row r="279">
          <cell r="A279" t="str">
            <v>Vector|||200019019|||EQTY|||DPS_PUB|||False|||</v>
          </cell>
          <cell r="C279" t="str">
            <v>V_KEYWORD_EQTY_200019019_DPS_PUB</v>
          </cell>
        </row>
        <row r="280">
          <cell r="A280" t="str">
            <v>Vector|||200019019|||EQTY|||DPS_SPECIAL_PUB|||False|||</v>
          </cell>
          <cell r="C280" t="str">
            <v>V_KEYWORD_EQTY_200019019_DPS_SPECIAL_PUB</v>
          </cell>
        </row>
        <row r="281">
          <cell r="A281" t="str">
            <v>Vector|||200019019|||EQTY|||EBITDA_PUB|||False|||</v>
          </cell>
          <cell r="C281" t="str">
            <v>V_KEYWORD_EQTY_200019019_EBITDA_PUB</v>
          </cell>
        </row>
        <row r="282">
          <cell r="A282" t="str">
            <v>Vector|||200019019|||EQTY|||EPS_PUB|||False|||</v>
          </cell>
          <cell r="C282" t="str">
            <v>V_KEYWORD_EQTY_200019019_EPS_PUB</v>
          </cell>
        </row>
        <row r="283">
          <cell r="A283" t="str">
            <v>Vector|||200019019|||EQTY|||CEEE_EPS|||False|||</v>
          </cell>
          <cell r="C283" t="str">
            <v>V_KEYWORD_EQTY_200019019_CEEE_EPS</v>
          </cell>
        </row>
        <row r="284">
          <cell r="A284" t="str">
            <v>Vector|||200019019|||EQTY|||EPS_PUB_EX_ESO|||False|||</v>
          </cell>
          <cell r="C284" t="str">
            <v>V_KEYWORD_EQTY_200019019_EPS_PUB_EX_ESO</v>
          </cell>
        </row>
        <row r="285">
          <cell r="A285" t="str">
            <v>Vector|||200019019|||EQTY|||EV_ADJ_PUB|||False|||</v>
          </cell>
          <cell r="C285" t="str">
            <v>V_KEYWORD_EQTY_200019019_EV_ADJ_PUB</v>
          </cell>
        </row>
        <row r="286">
          <cell r="A286" t="str">
            <v>Vector|||200019019|||EQTY|||NET_DEBT_PUB|||False|||</v>
          </cell>
          <cell r="C286" t="str">
            <v>V_KEYWORD_EQTY_200019019_NET_DEBT_PUB</v>
          </cell>
        </row>
        <row r="287">
          <cell r="A287" t="str">
            <v>Vector|||200019019|||EQTY|||NET_DEBT_EX_LEASES_PUB|||False|||</v>
          </cell>
          <cell r="C287" t="str">
            <v>V_KEYWORD_EQTY_200019019_NET_DEBT_EX_LEASES_PUB</v>
          </cell>
        </row>
        <row r="288">
          <cell r="A288" t="str">
            <v>Vector|||200019019|||EQTY|||CEEE_NDEBT|||False|||</v>
          </cell>
          <cell r="C288" t="str">
            <v>V_KEYWORD_EQTY_200019019_CEEE_NDEBT</v>
          </cell>
        </row>
        <row r="289">
          <cell r="A289" t="str">
            <v>Vector|||200019019|||EQTY|||NI_PUB|||False|||</v>
          </cell>
          <cell r="C289" t="str">
            <v>V_KEYWORD_EQTY_200019019_NI_PUB</v>
          </cell>
        </row>
        <row r="290">
          <cell r="A290" t="str">
            <v>Vector|||200019019|||EQTY|||EBIT_PUB|||False|||</v>
          </cell>
          <cell r="C290" t="str">
            <v>V_KEYWORD_EQTY_200019019_EBIT_PUB</v>
          </cell>
        </row>
        <row r="291">
          <cell r="A291" t="str">
            <v>Vector|||200019019|||EQTY|||PTP_PUB|||False|||</v>
          </cell>
          <cell r="C291" t="str">
            <v>V_KEYWORD_EQTY_200019019_PTP_PUB</v>
          </cell>
        </row>
        <row r="292">
          <cell r="A292" t="str">
            <v>Vector|||200019019|||EQTY|||REVS_PUB|||False|||</v>
          </cell>
          <cell r="C292" t="str">
            <v>V_KEYWORD_EQTY_200019019_REVS_PUB</v>
          </cell>
        </row>
        <row r="293">
          <cell r="A293" t="str">
            <v>Vector|||200019019|||EQTY|||EQ_PUB|||False|||</v>
          </cell>
          <cell r="C293" t="str">
            <v>V_KEYWORD_EQTY_200019019_EQ_PUB</v>
          </cell>
        </row>
        <row r="295">
          <cell r="A295" t="str">
            <v>Vector|||200019019|||EQTY|||PROV_INC_TAX|||False|||</v>
          </cell>
          <cell r="C295" t="str">
            <v>V_KEYWORD_EQTY_200019019_PROV_INC_TAX</v>
          </cell>
        </row>
        <row r="296">
          <cell r="A296" t="str">
            <v>Vector|||200019019|||EQTY|||INC_MINORITY|||False|||</v>
          </cell>
          <cell r="C296" t="str">
            <v>V_KEYWORD_EQTY_200019019_INC_MINORITY</v>
          </cell>
        </row>
        <row r="297">
          <cell r="A297" t="str">
            <v>Vector|||200019019|||EQTY|||NI_PRE_PREF|||False|||</v>
          </cell>
          <cell r="C297" t="str">
            <v>V_KEYWORD_EQTY_200019019_NI_PRE_PREF</v>
          </cell>
        </row>
        <row r="298">
          <cell r="A298" t="str">
            <v>Vector|||200019019|||EQTY|||PREF_DIV|||False|||</v>
          </cell>
          <cell r="C298" t="str">
            <v>V_KEYWORD_EQTY_200019019_PREF_DIV</v>
          </cell>
        </row>
        <row r="299">
          <cell r="A299" t="str">
            <v>Vector|||200019019|||EQTY|||NET_EARNING|||False|||</v>
          </cell>
          <cell r="C299" t="str">
            <v>V_KEYWORD_EQTY_200019019_NET_EARNING</v>
          </cell>
        </row>
        <row r="300">
          <cell r="A300" t="str">
            <v>Vector|||200019019|||EQTY|||TAX_EXC|||False|||</v>
          </cell>
          <cell r="C300" t="str">
            <v>V_KEYWORD_EQTY_200019019_TAX_EXC</v>
          </cell>
        </row>
        <row r="301">
          <cell r="A301" t="str">
            <v>Vector|||200019019|||EQTY|||NET_INC|||False|||</v>
          </cell>
          <cell r="C301" t="str">
            <v>V_KEYWORD_EQTY_200019019_NET_INC</v>
          </cell>
        </row>
        <row r="302">
          <cell r="A302" t="str">
            <v>Vector|||200019019|||EQTY|||EPS|||False|||</v>
          </cell>
          <cell r="C302" t="str">
            <v>V_KEYWORD_EQTY_200019019_EPS</v>
          </cell>
        </row>
        <row r="303">
          <cell r="A303" t="str">
            <v>Vector|||200019019|||EQTY|||EPS_FUL_DIL|||False|||</v>
          </cell>
          <cell r="C303" t="str">
            <v>V_KEYWORD_EQTY_200019019_EPS_FUL_DIL</v>
          </cell>
        </row>
        <row r="304">
          <cell r="A304" t="str">
            <v>Vector|||200019019|||EQTY|||EPS_POST_BASIC|||False|||</v>
          </cell>
          <cell r="C304" t="str">
            <v>V_KEYWORD_EQTY_200019019_EPS_POST_BASIC</v>
          </cell>
        </row>
        <row r="305">
          <cell r="A305" t="str">
            <v>Vector|||200019019|||EQTY|||FULLY_DIL_EPS|||False|||</v>
          </cell>
          <cell r="C305" t="str">
            <v>V_KEYWORD_EQTY_200019019_FULLY_DIL_EPS</v>
          </cell>
        </row>
        <row r="306">
          <cell r="A306" t="str">
            <v>Vector|||200019019|||EQTY|||COMMON_DIV_PAID|||False|||</v>
          </cell>
          <cell r="C306" t="str">
            <v>V_KEYWORD_EQTY_200019019_COMMON_DIV_PAID</v>
          </cell>
        </row>
        <row r="307">
          <cell r="A307" t="str">
            <v>Vector|||200019019|||EQTY|||DPS|||False|||</v>
          </cell>
          <cell r="C307" t="str">
            <v>V_KEYWORD_EQTY_200019019_DPS</v>
          </cell>
        </row>
        <row r="308">
          <cell r="A308" t="str">
            <v>Vector|||200019019|||EQTY|||SH|||False|||</v>
          </cell>
          <cell r="C308" t="str">
            <v>V_KEYWORD_EQTY_200019019_SH</v>
          </cell>
        </row>
        <row r="309">
          <cell r="A309" t="str">
            <v>Vector|||200019019|||EQTY|||DILUTE_SHARES|||False|||</v>
          </cell>
          <cell r="C309" t="str">
            <v>V_KEYWORD_EQTY_200019019_DILUTE_SHARES</v>
          </cell>
        </row>
        <row r="310">
          <cell r="A310" t="str">
            <v>Vector|||200019019|||EQTY|||NON_OP_ADD|||False|||</v>
          </cell>
          <cell r="C310" t="str">
            <v>V_KEYWORD_EQTY_200019019_NON_OP_ADD</v>
          </cell>
        </row>
        <row r="312">
          <cell r="A312" t="str">
            <v>Vector|||200019019|||EQTY|||MARGIN_TAX_RATE|||False|||</v>
          </cell>
          <cell r="C312" t="str">
            <v>V_KEYWORD_EQTY_200019019_MARGIN_TAX_RATE</v>
          </cell>
        </row>
        <row r="314">
          <cell r="A314" t="str">
            <v>Vector|||200019019|||EQTY|||FV_GRANT|||False|||</v>
          </cell>
          <cell r="C314" t="str">
            <v>V_KEYWORD_EQTY_200019019_FV_GRANT</v>
          </cell>
        </row>
        <row r="315">
          <cell r="A315" t="str">
            <v>Vector|||200019019|||EQTY|||ESO_POST_TAX|||False|||</v>
          </cell>
          <cell r="C315" t="str">
            <v>V_KEYWORD_EQTY_200019019_ESO_POST_TAX</v>
          </cell>
        </row>
        <row r="316">
          <cell r="A316" t="str">
            <v>Vector|||200019019|||EQTY|||EPS_EX_ESO_B|||False|||</v>
          </cell>
          <cell r="C316" t="str">
            <v>V_KEYWORD_EQTY_200019019_EPS_EX_ESO_B</v>
          </cell>
        </row>
        <row r="317">
          <cell r="A317" t="str">
            <v>Vector|||200019019|||EQTY|||EPS_EX_ESO_D|||False|||</v>
          </cell>
          <cell r="C317" t="str">
            <v>V_KEYWORD_EQTY_200019019_EPS_EX_ESO_D</v>
          </cell>
        </row>
        <row r="318">
          <cell r="A318" t="str">
            <v>Scalar|||200019019|||EQTY|||ESO_YEAR|||False|||</v>
          </cell>
          <cell r="C318" t="str">
            <v>V_KEYWORD_EQTY_200019019_ESO_YEAR</v>
          </cell>
        </row>
        <row r="320">
          <cell r="A320" t="str">
            <v>Vector|||200019019|||EQTY|||BVPS|||False|||</v>
          </cell>
          <cell r="C320" t="str">
            <v>V_KEYWORD_EQTY_200019019_BVPS</v>
          </cell>
        </row>
        <row r="322">
          <cell r="A322" t="str">
            <v>Scalar|||200019019|||EQTY|||REPUR_TOT_AUTH|||False|||</v>
          </cell>
          <cell r="C322" t="str">
            <v>V_KEYWORD_EQTY_200019019_REPUR_TOT_AUTH</v>
          </cell>
        </row>
        <row r="323">
          <cell r="A323" t="str">
            <v>Scalar|||200019019|||EQTY|||REPUR_REMAINING|||False|||</v>
          </cell>
          <cell r="C323" t="str">
            <v>V_KEYWORD_EQTY_200019019_REPUR_REMAINING</v>
          </cell>
        </row>
        <row r="324">
          <cell r="A324" t="str">
            <v>Scalar|||200019019|||EQTY|||REPUR_SUSPENDED|||False|||</v>
          </cell>
          <cell r="C324" t="str">
            <v>V_KEYWORD_EQTY_200019019_REPUR_SUSPENDED</v>
          </cell>
        </row>
        <row r="325">
          <cell r="A325" t="str">
            <v>Vector|||200019019|||EQTY|||REPUR_ACTUAL|||False|||</v>
          </cell>
          <cell r="C325" t="str">
            <v>V_KEYWORD_EQTY_200019019_REPUR_ACTUAL</v>
          </cell>
        </row>
        <row r="327">
          <cell r="A327" t="str">
            <v>Vector|||200019019|||EQTY|||CF_NI_PRE_PREF|||False|||</v>
          </cell>
          <cell r="C327" t="str">
            <v>V_KEYWORD_EQTY_200019019_CF_NI_PRE_PREF</v>
          </cell>
        </row>
        <row r="329">
          <cell r="A329" t="str">
            <v>Scalar|||200019019|||EQTY|||BETA_ANALYST|||False|||</v>
          </cell>
          <cell r="C329" t="str">
            <v>V_KEYWORD_EQTY_200019019_BETA_ANALYST</v>
          </cell>
        </row>
        <row r="330">
          <cell r="A330" t="str">
            <v>Scalar|||200019019|||EQTY|||MKT_EQ_RISK_PREM|||False|||</v>
          </cell>
          <cell r="C330" t="str">
            <v>V_KEYWORD_EQTY_200019019_MKT_EQ_RISK_PREM</v>
          </cell>
        </row>
        <row r="331">
          <cell r="A331" t="str">
            <v>Scalar|||200019019|||EQTY|||RISK_FR_RATE|||False|||</v>
          </cell>
          <cell r="C331" t="str">
            <v>V_KEYWORD_EQTY_200019019_RISK_FR_RATE</v>
          </cell>
        </row>
      </sheetData>
      <sheetData sheetId="11">
        <row r="1">
          <cell r="A1" t="str">
            <v>Issuer: Nutanix Inc.</v>
          </cell>
          <cell r="F1">
            <v>2012</v>
          </cell>
          <cell r="G1">
            <v>2013</v>
          </cell>
          <cell r="H1">
            <v>2014</v>
          </cell>
          <cell r="I1">
            <v>2015</v>
          </cell>
          <cell r="J1">
            <v>2016</v>
          </cell>
          <cell r="K1" t="str">
            <v>2017 Q1</v>
          </cell>
          <cell r="L1" t="str">
            <v>2017 Q2</v>
          </cell>
          <cell r="M1" t="str">
            <v>2017 Q3</v>
          </cell>
          <cell r="N1" t="str">
            <v>2017 Q4</v>
          </cell>
          <cell r="O1">
            <v>2017</v>
          </cell>
          <cell r="P1" t="str">
            <v>2018 Q1</v>
          </cell>
          <cell r="Q1" t="str">
            <v>2018 Q2</v>
          </cell>
          <cell r="R1" t="str">
            <v>2018 Q3</v>
          </cell>
          <cell r="S1" t="str">
            <v>2018 Q4</v>
          </cell>
          <cell r="T1">
            <v>2018</v>
          </cell>
          <cell r="U1" t="str">
            <v>2019 Q1</v>
          </cell>
          <cell r="V1" t="str">
            <v>2019 Q2</v>
          </cell>
          <cell r="W1" t="str">
            <v>2019 Q3</v>
          </cell>
          <cell r="X1" t="str">
            <v>2019 Q4</v>
          </cell>
          <cell r="Y1">
            <v>2019</v>
          </cell>
          <cell r="Z1" t="str">
            <v>2020 Q1</v>
          </cell>
          <cell r="AA1" t="str">
            <v>2020 Q2</v>
          </cell>
          <cell r="AB1" t="str">
            <v>2020 Q3</v>
          </cell>
          <cell r="AC1" t="str">
            <v>2020 Q4</v>
          </cell>
          <cell r="AD1">
            <v>2020</v>
          </cell>
          <cell r="AE1" t="str">
            <v>2021 Q1</v>
          </cell>
          <cell r="AF1" t="str">
            <v>2021 Q2</v>
          </cell>
          <cell r="AG1" t="str">
            <v>2021 Q3</v>
          </cell>
          <cell r="AH1" t="str">
            <v>2021 Q4</v>
          </cell>
          <cell r="AI1">
            <v>2021</v>
          </cell>
          <cell r="AJ1" t="str">
            <v>2022 Q1</v>
          </cell>
          <cell r="AK1" t="str">
            <v>2022 Q2</v>
          </cell>
          <cell r="AL1" t="str">
            <v>2022 Q3</v>
          </cell>
          <cell r="AM1" t="str">
            <v>2022 Q4</v>
          </cell>
          <cell r="AN1">
            <v>2022</v>
          </cell>
          <cell r="AO1" t="str">
            <v>2023 Q1</v>
          </cell>
          <cell r="AP1" t="str">
            <v>2023 Q2</v>
          </cell>
          <cell r="AQ1" t="str">
            <v>2023 Q3</v>
          </cell>
          <cell r="AR1" t="str">
            <v>2023 Q4</v>
          </cell>
          <cell r="AS1">
            <v>2023</v>
          </cell>
          <cell r="AT1" t="str">
            <v>2024 Q1</v>
          </cell>
          <cell r="AU1" t="str">
            <v>2024 Q2</v>
          </cell>
          <cell r="AV1" t="str">
            <v>2024 Q3</v>
          </cell>
          <cell r="AW1" t="str">
            <v>2024 Q4</v>
          </cell>
          <cell r="AX1">
            <v>2024</v>
          </cell>
          <cell r="AY1" t="str">
            <v>2025 Q1</v>
          </cell>
          <cell r="AZ1" t="str">
            <v>2025 Q2</v>
          </cell>
          <cell r="BA1" t="str">
            <v>2025 Q3</v>
          </cell>
          <cell r="BB1" t="str">
            <v>2025 Q4</v>
          </cell>
          <cell r="BC1">
            <v>2025</v>
          </cell>
          <cell r="BD1" t="str">
            <v>2026 Q1</v>
          </cell>
          <cell r="BE1" t="str">
            <v>2026 Q2</v>
          </cell>
          <cell r="BF1" t="str">
            <v>2026 Q3</v>
          </cell>
          <cell r="BG1" t="str">
            <v>2026 Q4</v>
          </cell>
          <cell r="BH1">
            <v>2026</v>
          </cell>
          <cell r="BI1" t="str">
            <v>2027 Q1</v>
          </cell>
          <cell r="BJ1" t="str">
            <v>2027 Q2</v>
          </cell>
          <cell r="BK1" t="str">
            <v>2027 Q3</v>
          </cell>
          <cell r="BL1" t="str">
            <v>2027 Q4</v>
          </cell>
          <cell r="BM1">
            <v>2027</v>
          </cell>
          <cell r="BN1" t="str">
            <v>2028 Q1</v>
          </cell>
          <cell r="BO1" t="str">
            <v>2028 Q2</v>
          </cell>
          <cell r="BP1" t="str">
            <v>2028 Q3</v>
          </cell>
          <cell r="BQ1" t="str">
            <v>2028 Q4</v>
          </cell>
          <cell r="BR1">
            <v>2028</v>
          </cell>
          <cell r="BS1" t="str">
            <v>2029 Q1</v>
          </cell>
          <cell r="BT1" t="str">
            <v>2029 Q2</v>
          </cell>
          <cell r="BU1" t="str">
            <v>2029 Q3</v>
          </cell>
          <cell r="BV1" t="str">
            <v>2029 Q4</v>
          </cell>
          <cell r="BW1">
            <v>2029</v>
          </cell>
          <cell r="BX1" t="str">
            <v>2030 Q1</v>
          </cell>
          <cell r="BY1" t="str">
            <v>2030 Q2</v>
          </cell>
          <cell r="BZ1" t="str">
            <v>2030 Q3</v>
          </cell>
          <cell r="CA1" t="str">
            <v>2030 Q4</v>
          </cell>
          <cell r="CB1">
            <v>2030</v>
          </cell>
        </row>
        <row r="4">
          <cell r="A4" t="str">
            <v>Issuer: Nutanix Inc.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Nutanix Inc.</v>
          </cell>
        </row>
        <row r="7">
          <cell r="B7" t="str">
            <v>Reporting Currency</v>
          </cell>
          <cell r="C7" t="str">
            <v>CURRENCY_ISO</v>
          </cell>
          <cell r="E7" t="str">
            <v>USD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</row>
        <row r="10">
          <cell r="A10" t="str">
            <v>Income Statement</v>
          </cell>
        </row>
        <row r="11">
          <cell r="B11" t="str">
            <v>Sales, net revenue</v>
          </cell>
          <cell r="C11" t="str">
            <v>SALES</v>
          </cell>
          <cell r="D11" t="e">
            <v>#NAME?</v>
          </cell>
        </row>
        <row r="12">
          <cell r="B12" t="str">
            <v>Cost of goods sold, COGS</v>
          </cell>
          <cell r="C12" t="str">
            <v>COST_GD_SD</v>
          </cell>
          <cell r="D12" t="e">
            <v>#NAME?</v>
          </cell>
        </row>
        <row r="13">
          <cell r="B13" t="str">
            <v>SG&amp;A, selling, general and admin. expense</v>
          </cell>
          <cell r="C13" t="str">
            <v>SEL_GL_AD</v>
          </cell>
          <cell r="D13" t="e">
            <v>#NAME?</v>
          </cell>
        </row>
        <row r="14">
          <cell r="B14" t="str">
            <v>Total operating expense</v>
          </cell>
          <cell r="C14" t="str">
            <v>OP_COST</v>
          </cell>
          <cell r="D14" t="e">
            <v>#NAME?</v>
          </cell>
        </row>
        <row r="15">
          <cell r="B15" t="str">
            <v>R&amp;D expense</v>
          </cell>
          <cell r="C15" t="str">
            <v>RD_EXP</v>
          </cell>
          <cell r="D15" t="e">
            <v>#NAME?</v>
          </cell>
        </row>
        <row r="16">
          <cell r="B16" t="str">
            <v>ESO expense (pre-tax)</v>
          </cell>
          <cell r="C16" t="str">
            <v>ESO_PRE_TAX</v>
          </cell>
          <cell r="D16" t="e">
            <v>#NAME?</v>
          </cell>
        </row>
        <row r="17">
          <cell r="B17" t="str">
            <v>Other operating income/(expense) (incl. leases)</v>
          </cell>
          <cell r="C17" t="str">
            <v>OTH_OP_INC_EXP</v>
          </cell>
          <cell r="D17" t="e">
            <v>#NAME?</v>
          </cell>
        </row>
        <row r="18">
          <cell r="B18" t="str">
            <v>Total operating expense (incl. D&amp;A)</v>
          </cell>
          <cell r="C18" t="str">
            <v>TOT_OPS_EXP_DDA</v>
          </cell>
          <cell r="D18" t="e">
            <v>#NAME?</v>
          </cell>
        </row>
        <row r="19">
          <cell r="B19" t="str">
            <v>Total operating expense (excl. D&amp;A)</v>
          </cell>
          <cell r="C19" t="str">
            <v>TOT_OPS_EXP</v>
          </cell>
          <cell r="D19" t="e">
            <v>#NAME?</v>
          </cell>
        </row>
        <row r="20">
          <cell r="B20" t="str">
            <v>EBITDA</v>
          </cell>
          <cell r="C20" t="str">
            <v>EBITDA_CALC</v>
          </cell>
          <cell r="D20" t="e">
            <v>#NAME?</v>
          </cell>
        </row>
        <row r="21">
          <cell r="B21" t="str">
            <v>Depreciation</v>
          </cell>
          <cell r="C21" t="str">
            <v>DEPREC</v>
          </cell>
          <cell r="D21" t="e">
            <v>#NAME?</v>
          </cell>
        </row>
        <row r="22">
          <cell r="B22" t="str">
            <v>Amortization</v>
          </cell>
          <cell r="C22" t="str">
            <v>GOODWILL_AMORT</v>
          </cell>
          <cell r="D22" t="e">
            <v>#NAME?</v>
          </cell>
        </row>
        <row r="23">
          <cell r="B23" t="str">
            <v>EBIT, operating profit</v>
          </cell>
          <cell r="C23" t="str">
            <v>EBIT</v>
          </cell>
          <cell r="D23" t="e">
            <v>#NAME?</v>
          </cell>
        </row>
        <row r="24">
          <cell r="B24" t="str">
            <v>Interest income</v>
          </cell>
          <cell r="C24" t="str">
            <v>INT_INC_IND</v>
          </cell>
          <cell r="D24" t="e">
            <v>#NAME?</v>
          </cell>
        </row>
        <row r="25">
          <cell r="B25" t="str">
            <v>Interest expense</v>
          </cell>
          <cell r="C25" t="str">
            <v>INT_EXP_IND</v>
          </cell>
          <cell r="D25" t="e">
            <v>#NAME?</v>
          </cell>
        </row>
        <row r="26">
          <cell r="B26" t="str">
            <v>Net interest income/(expense)</v>
          </cell>
          <cell r="C26" t="str">
            <v>NET_INT_EXP</v>
          </cell>
          <cell r="D26" t="e">
            <v>#NAME?</v>
          </cell>
        </row>
        <row r="27">
          <cell r="B27" t="str">
            <v>Income/(loss) from unconsolidated subs &amp; associates</v>
          </cell>
          <cell r="C27" t="str">
            <v>ASSOCIATE</v>
          </cell>
          <cell r="D27" t="e">
            <v>#NAME?</v>
          </cell>
        </row>
        <row r="28">
          <cell r="B28" t="str">
            <v>Profit/(loss) on disposals of assets, pre-tax</v>
          </cell>
          <cell r="C28" t="str">
            <v>PROFIT_ON_DISP</v>
          </cell>
          <cell r="D28" t="e">
            <v>#NAME?</v>
          </cell>
        </row>
        <row r="29">
          <cell r="B29" t="str">
            <v>Other non-ops income/(expense)</v>
          </cell>
          <cell r="C29" t="str">
            <v>OTH_COST_INC</v>
          </cell>
          <cell r="D29" t="e">
            <v>#NAME?</v>
          </cell>
        </row>
        <row r="30">
          <cell r="B30" t="str">
            <v>Pre-tax profit</v>
          </cell>
          <cell r="C30" t="str">
            <v>PT_PROF</v>
          </cell>
          <cell r="D30" t="e">
            <v>#NAME?</v>
          </cell>
        </row>
        <row r="31">
          <cell r="A31" t="str">
            <v>Additional Income Statement Items</v>
          </cell>
        </row>
        <row r="32">
          <cell r="B32" t="str">
            <v>Operating lease cost</v>
          </cell>
          <cell r="C32" t="str">
            <v>LEASE_PAY</v>
          </cell>
          <cell r="D32" t="e">
            <v>#NAME?</v>
          </cell>
        </row>
        <row r="33">
          <cell r="B33" t="str">
            <v>Lease payments (deemed interest portion)</v>
          </cell>
          <cell r="C33" t="str">
            <v>LEASE_DEEM_INT</v>
          </cell>
          <cell r="D33" t="e">
            <v>#NAME?</v>
          </cell>
        </row>
        <row r="34">
          <cell r="B34" t="str">
            <v>Lease payments (deemed depreciation portion)</v>
          </cell>
          <cell r="C34" t="str">
            <v>LEASE_DEEM_DEPR</v>
          </cell>
          <cell r="D34" t="e">
            <v>#NAME?</v>
          </cell>
        </row>
        <row r="35">
          <cell r="B35" t="str">
            <v>Gross interest charge</v>
          </cell>
          <cell r="C35" t="str">
            <v>NET_INT_CH</v>
          </cell>
          <cell r="D35" t="e">
            <v>#NAME?</v>
          </cell>
        </row>
        <row r="36">
          <cell r="B36" t="str">
            <v>Income from associates (operating)</v>
          </cell>
          <cell r="C36" t="str">
            <v>ASSOCIATE_OP</v>
          </cell>
          <cell r="D36" t="e">
            <v>#NAME?</v>
          </cell>
        </row>
        <row r="37">
          <cell r="B37" t="str">
            <v>Depreciation ROU assets   (applicable to IFRS cos.)</v>
          </cell>
          <cell r="C37" t="str">
            <v>DEPR_ROU_ASSETS</v>
          </cell>
          <cell r="D37" t="e">
            <v>#NAME?</v>
          </cell>
        </row>
        <row r="38">
          <cell r="B38" t="str">
            <v>Lease interest charge  (applicable to IFRS cos.)</v>
          </cell>
          <cell r="C38" t="str">
            <v>LEASE_INT_CHG</v>
          </cell>
          <cell r="D38" t="e">
            <v>#NAME?</v>
          </cell>
        </row>
        <row r="39">
          <cell r="B39" t="str">
            <v>Lease standard adopted (US GAAP ASC 842/ IFRS 16)</v>
          </cell>
          <cell r="C39" t="str">
            <v>LEASE_ADOPT</v>
          </cell>
        </row>
        <row r="40">
          <cell r="B40" t="str">
            <v>Stock-based compensation related to cost of goods sold (Americas software)</v>
          </cell>
          <cell r="C40" t="str">
            <v>SBC_COST_OF_GOODS_SOLD</v>
          </cell>
          <cell r="D40" t="e">
            <v>#NAME?</v>
          </cell>
        </row>
        <row r="41">
          <cell r="B41" t="str">
            <v>Stock-based compensation related to sales &amp; marketing (Americas software)</v>
          </cell>
          <cell r="C41" t="str">
            <v>SBC_SALES_MARKETING</v>
          </cell>
          <cell r="D41" t="e">
            <v>#NAME?</v>
          </cell>
        </row>
        <row r="42">
          <cell r="B42" t="str">
            <v>Stock-based compensation related to research &amp; development (Americas software)</v>
          </cell>
          <cell r="C42" t="str">
            <v>SBC_RESEARCH_DEVELOPMENT</v>
          </cell>
          <cell r="D42" t="e">
            <v>#NAME?</v>
          </cell>
        </row>
        <row r="43">
          <cell r="B43" t="str">
            <v>Stock-based compensation related to general &amp; administrative (Americas software)</v>
          </cell>
          <cell r="C43" t="str">
            <v>SBC_GEN_ADMINISTRATIVE</v>
          </cell>
          <cell r="D43" t="e">
            <v>#NAME?</v>
          </cell>
        </row>
        <row r="44">
          <cell r="B44" t="str">
            <v>Total stock-based compensation (Americas software)</v>
          </cell>
          <cell r="C44" t="str">
            <v>SBC_TOTAL</v>
          </cell>
          <cell r="D44" t="e">
            <v>#NAME?</v>
          </cell>
        </row>
        <row r="45">
          <cell r="B45" t="str">
            <v>Non-GAAP cost of goods sold</v>
          </cell>
          <cell r="C45" t="str">
            <v>COGS_N_GAAP</v>
          </cell>
          <cell r="D45" t="e">
            <v>#NAME?</v>
          </cell>
        </row>
        <row r="46">
          <cell r="B46" t="str">
            <v>Non-GAAP gross profit</v>
          </cell>
          <cell r="C46" t="str">
            <v>GROSS_PROFIT_N_GAAP</v>
          </cell>
          <cell r="D46" t="e">
            <v>#NAME?</v>
          </cell>
        </row>
        <row r="47">
          <cell r="B47" t="str">
            <v>Non-GAAP general and administrative expenses</v>
          </cell>
          <cell r="C47" t="str">
            <v>GEN_ADMIN_N_GAAP</v>
          </cell>
          <cell r="D47" t="e">
            <v>#NAME?</v>
          </cell>
        </row>
        <row r="48">
          <cell r="B48" t="str">
            <v>Non-GAAP sales &amp; marketing</v>
          </cell>
          <cell r="C48" t="str">
            <v>SALES_MARKETING_N_GAAP</v>
          </cell>
          <cell r="D48" t="e">
            <v>#NAME?</v>
          </cell>
        </row>
        <row r="49">
          <cell r="B49" t="str">
            <v>Non-GAAP research &amp; development</v>
          </cell>
          <cell r="C49" t="str">
            <v>RD_N_GAAP</v>
          </cell>
          <cell r="D49" t="e">
            <v>#NAME?</v>
          </cell>
        </row>
        <row r="50">
          <cell r="B50" t="str">
            <v>Non-GAAP operating expenses</v>
          </cell>
          <cell r="C50" t="str">
            <v>OPS_EXP_N_GAAP</v>
          </cell>
          <cell r="D50" t="e">
            <v>#NAME?</v>
          </cell>
        </row>
        <row r="51">
          <cell r="B51" t="str">
            <v>Non-GAAP operating income</v>
          </cell>
          <cell r="C51" t="str">
            <v>OP_INC_N_GAAP</v>
          </cell>
          <cell r="D51" t="e">
            <v>#NAME?</v>
          </cell>
        </row>
        <row r="52">
          <cell r="B52" t="str">
            <v>Non-GAAP net income</v>
          </cell>
          <cell r="C52" t="str">
            <v>NET_INC_N_GAAP</v>
          </cell>
          <cell r="D52" t="e">
            <v>#NAME?</v>
          </cell>
        </row>
        <row r="53">
          <cell r="A53" t="str">
            <v>Balance Sheet</v>
          </cell>
        </row>
        <row r="54">
          <cell r="B54" t="str">
            <v>Cash &amp; cash equivalents</v>
          </cell>
          <cell r="C54" t="str">
            <v>CASH_EQ</v>
          </cell>
          <cell r="D54" t="e">
            <v>#NAME?</v>
          </cell>
        </row>
        <row r="55">
          <cell r="B55" t="str">
            <v>Accounts receivable</v>
          </cell>
          <cell r="C55" t="str">
            <v>DEBTORS</v>
          </cell>
          <cell r="D55" t="e">
            <v>#NAME?</v>
          </cell>
        </row>
        <row r="56">
          <cell r="B56" t="str">
            <v>Inventory</v>
          </cell>
          <cell r="C56" t="str">
            <v>STOCKS</v>
          </cell>
          <cell r="D56" t="e">
            <v>#NAME?</v>
          </cell>
        </row>
        <row r="57">
          <cell r="B57" t="str">
            <v>Other current assets</v>
          </cell>
          <cell r="C57" t="str">
            <v>OTH_CUR_ASS</v>
          </cell>
          <cell r="D57" t="e">
            <v>#NAME?</v>
          </cell>
        </row>
        <row r="58">
          <cell r="B58" t="str">
            <v>Total current assets</v>
          </cell>
          <cell r="C58" t="str">
            <v>CUR_ASS</v>
          </cell>
          <cell r="D58" t="e">
            <v>#NAME?</v>
          </cell>
        </row>
        <row r="59">
          <cell r="B59" t="str">
            <v>Gross fixed assets, PP&amp;E</v>
          </cell>
          <cell r="C59" t="str">
            <v>GR_FIX_ASS</v>
          </cell>
          <cell r="D59" t="e">
            <v>#NAME?</v>
          </cell>
        </row>
        <row r="60">
          <cell r="B60" t="str">
            <v>Accumulated depreciation</v>
          </cell>
          <cell r="C60" t="str">
            <v>ACC_DDA</v>
          </cell>
          <cell r="D60" t="e">
            <v>#NAME?</v>
          </cell>
        </row>
        <row r="61">
          <cell r="B61" t="str">
            <v>Net PP&amp;E</v>
          </cell>
          <cell r="C61" t="str">
            <v>NET_FIX_ASS</v>
          </cell>
          <cell r="D61" t="e">
            <v>#NAME?</v>
          </cell>
        </row>
        <row r="62">
          <cell r="B62" t="str">
            <v>Gross intangibles</v>
          </cell>
          <cell r="C62" t="str">
            <v>GR_INTANG</v>
          </cell>
          <cell r="D62" t="e">
            <v>#NAME?</v>
          </cell>
        </row>
        <row r="63">
          <cell r="B63" t="str">
            <v>Accumulated amortization</v>
          </cell>
          <cell r="C63" t="str">
            <v>ACC_AMORT</v>
          </cell>
          <cell r="D63" t="e">
            <v>#NAME?</v>
          </cell>
        </row>
        <row r="64">
          <cell r="B64" t="str">
            <v>Net intangible assets</v>
          </cell>
          <cell r="C64" t="str">
            <v>NET_INTANG</v>
          </cell>
          <cell r="D64" t="e">
            <v>#NAME?</v>
          </cell>
        </row>
        <row r="65">
          <cell r="B65" t="str">
            <v>Equity method investments</v>
          </cell>
          <cell r="C65" t="str">
            <v>FIX_ASS_INV</v>
          </cell>
          <cell r="D65" t="e">
            <v>#NAME?</v>
          </cell>
        </row>
        <row r="66">
          <cell r="B66" t="str">
            <v>Investments in securities</v>
          </cell>
          <cell r="C66" t="str">
            <v>INV_SECUR</v>
          </cell>
          <cell r="D66" t="e">
            <v>#NAME?</v>
          </cell>
        </row>
        <row r="67">
          <cell r="B67" t="str">
            <v>Other long-term assets</v>
          </cell>
          <cell r="C67" t="str">
            <v>OTH_LT_ASS</v>
          </cell>
          <cell r="D67" t="e">
            <v>#NAME?</v>
          </cell>
        </row>
        <row r="68">
          <cell r="B68" t="str">
            <v>Total assets</v>
          </cell>
          <cell r="C68" t="str">
            <v>TOT_ASSET</v>
          </cell>
          <cell r="D68" t="e">
            <v>#NAME?</v>
          </cell>
        </row>
        <row r="69">
          <cell r="B69" t="str">
            <v>Accounts payable</v>
          </cell>
          <cell r="C69" t="str">
            <v>ACC_PAY_GQ</v>
          </cell>
          <cell r="D69" t="e">
            <v>#NAME?</v>
          </cell>
        </row>
        <row r="70">
          <cell r="B70" t="str">
            <v>Short-term debt</v>
          </cell>
          <cell r="C70" t="str">
            <v>SHORT_T_DEBT</v>
          </cell>
          <cell r="D70" t="e">
            <v>#NAME?</v>
          </cell>
        </row>
        <row r="71">
          <cell r="B71" t="str">
            <v>Current lease liabilities (op lease: US GAAP)</v>
          </cell>
          <cell r="C71" t="str">
            <v>ST_LEASE_LIAB</v>
          </cell>
          <cell r="D71" t="e">
            <v>#NAME?</v>
          </cell>
        </row>
        <row r="72">
          <cell r="B72" t="str">
            <v>Other current liabilities</v>
          </cell>
          <cell r="C72" t="str">
            <v>OTH_CUR_LIABS</v>
          </cell>
          <cell r="D72" t="e">
            <v>#NAME?</v>
          </cell>
        </row>
        <row r="73">
          <cell r="B73" t="str">
            <v>Total current liabilities</v>
          </cell>
          <cell r="C73" t="str">
            <v>SHORT_TERM_LIABS</v>
          </cell>
          <cell r="D73" t="e">
            <v>#NAME?</v>
          </cell>
        </row>
        <row r="74">
          <cell r="B74" t="str">
            <v>Deferred revenue</v>
          </cell>
          <cell r="C74" t="str">
            <v>TOT_DEF_REV</v>
          </cell>
          <cell r="D74" t="e">
            <v>#NAME?</v>
          </cell>
        </row>
        <row r="75">
          <cell r="B75" t="str">
            <v>Long-term  debt</v>
          </cell>
          <cell r="C75" t="str">
            <v>LT_DEBT</v>
          </cell>
          <cell r="D75" t="e">
            <v>#NAME?</v>
          </cell>
        </row>
        <row r="76">
          <cell r="B76" t="str">
            <v>Non-current lease liabilities (op lease: US GAAP)</v>
          </cell>
          <cell r="C76" t="str">
            <v>LT_LEASE_LIAB</v>
          </cell>
          <cell r="D76" t="e">
            <v>#NAME?</v>
          </cell>
        </row>
        <row r="77">
          <cell r="B77" t="str">
            <v>Other long-term liabilities</v>
          </cell>
          <cell r="C77" t="str">
            <v>OTH_LT_CRED_GQ</v>
          </cell>
          <cell r="D77" t="e">
            <v>#NAME?</v>
          </cell>
        </row>
        <row r="78">
          <cell r="B78" t="str">
            <v>Total long-term liabilities</v>
          </cell>
          <cell r="C78" t="str">
            <v>TOT_LT_LIAB</v>
          </cell>
          <cell r="D78" t="e">
            <v>#NAME?</v>
          </cell>
        </row>
        <row r="79">
          <cell r="B79" t="str">
            <v>Total liabilities</v>
          </cell>
          <cell r="C79" t="str">
            <v>TOT_LIAB</v>
          </cell>
          <cell r="D79" t="e">
            <v>#NAME?</v>
          </cell>
        </row>
        <row r="80">
          <cell r="B80" t="str">
            <v>Preferred shares</v>
          </cell>
          <cell r="C80" t="str">
            <v>PREF_SH</v>
          </cell>
          <cell r="D80" t="e">
            <v>#NAME?</v>
          </cell>
        </row>
        <row r="81">
          <cell r="B81" t="str">
            <v>Total common equity</v>
          </cell>
          <cell r="C81" t="str">
            <v>ORD_SH_FUND</v>
          </cell>
          <cell r="D81" t="e">
            <v>#NAME?</v>
          </cell>
        </row>
        <row r="82">
          <cell r="B82" t="str">
            <v>Minority interest</v>
          </cell>
          <cell r="C82" t="str">
            <v>MINORITIES</v>
          </cell>
          <cell r="D82" t="e">
            <v>#NAME?</v>
          </cell>
        </row>
        <row r="83">
          <cell r="B83" t="str">
            <v>Total shareholders' equity</v>
          </cell>
          <cell r="C83" t="str">
            <v>EQ</v>
          </cell>
          <cell r="D83" t="e">
            <v>#NAME?</v>
          </cell>
        </row>
        <row r="84">
          <cell r="B84" t="str">
            <v>Total liabilities and equity</v>
          </cell>
          <cell r="C84" t="str">
            <v>TOT_LIAB_EQ</v>
          </cell>
          <cell r="D84" t="e">
            <v>#NAME?</v>
          </cell>
        </row>
        <row r="85">
          <cell r="A85" t="str">
            <v>Additional Balance Sheet Items</v>
          </cell>
        </row>
        <row r="86">
          <cell r="B86" t="str">
            <v>Total US$ debt (in US$)</v>
          </cell>
          <cell r="C86" t="str">
            <v>TOT_USD_DEBT</v>
          </cell>
        </row>
        <row r="87">
          <cell r="B87" t="str">
            <v>% US$ debt hedged (principal)</v>
          </cell>
          <cell r="C87" t="str">
            <v>TOT_PCT_USD_DEBT_HEDGED</v>
          </cell>
        </row>
        <row r="88">
          <cell r="B88" t="str">
            <v>% Floating debt (local currency debt)</v>
          </cell>
          <cell r="C88" t="str">
            <v>FLOATING_PCT_LOCAL_DEBT</v>
          </cell>
        </row>
        <row r="89">
          <cell r="B89" t="str">
            <v>% floating debt hedged (rates)</v>
          </cell>
          <cell r="C89" t="str">
            <v>FLOATING_PCT_LOCAL_DEBT_HEDGED</v>
          </cell>
        </row>
        <row r="90">
          <cell r="B90" t="str">
            <v>Net debt</v>
          </cell>
          <cell r="C90" t="str">
            <v>NET_DEBT</v>
          </cell>
          <cell r="D90" t="e">
            <v>#NAME?</v>
          </cell>
        </row>
        <row r="91">
          <cell r="B91" t="str">
            <v>Capitalized operating leases (off-balance sheet)</v>
          </cell>
          <cell r="C91" t="str">
            <v>CAP_LEASES</v>
          </cell>
          <cell r="D91" t="e">
            <v>#NAME?</v>
          </cell>
        </row>
        <row r="92">
          <cell r="B92" t="str">
            <v>Deferred income taxes</v>
          </cell>
          <cell r="C92" t="str">
            <v>DEF_INC_TAX</v>
          </cell>
          <cell r="D92" t="e">
            <v>#NAME?</v>
          </cell>
        </row>
        <row r="93">
          <cell r="B93" t="str">
            <v>Net operating loss carryforwards (NOLs)</v>
          </cell>
          <cell r="C93" t="str">
            <v>NET_OP_LOSS_CFWD</v>
          </cell>
          <cell r="D93" t="e">
            <v>#NAME?</v>
          </cell>
        </row>
        <row r="94">
          <cell r="B94" t="str">
            <v>Associates (mkt value) used in EV calculation</v>
          </cell>
          <cell r="C94" t="str">
            <v>MV_ASSOCIATES</v>
          </cell>
          <cell r="D94" t="e">
            <v>#NAME?</v>
          </cell>
        </row>
        <row r="95">
          <cell r="B95" t="str">
            <v>Net debt adjustment</v>
          </cell>
          <cell r="C95" t="str">
            <v>NET_DEBT_ADJ</v>
          </cell>
          <cell r="D95" t="e">
            <v>#NAME?</v>
          </cell>
        </row>
        <row r="96">
          <cell r="B96" t="str">
            <v>Company borrowing margin</v>
          </cell>
          <cell r="C96" t="str">
            <v>CO_BOR_MARGIN</v>
          </cell>
        </row>
        <row r="97">
          <cell r="B97" t="str">
            <v>Unfunded pensions &amp; other provisions</v>
          </cell>
          <cell r="C97" t="str">
            <v>UNF_PENS</v>
          </cell>
          <cell r="D97" t="e">
            <v>#NAME?</v>
          </cell>
        </row>
        <row r="98">
          <cell r="B98" t="str">
            <v>Unfunded pension liabilities (off balance sheet)</v>
          </cell>
          <cell r="C98" t="str">
            <v>UNF_PENS_OFF</v>
          </cell>
          <cell r="D98" t="e">
            <v>#NAME?</v>
          </cell>
        </row>
        <row r="99">
          <cell r="B99" t="str">
            <v>Unfunded pension liabilities &amp; other, used in EV</v>
          </cell>
          <cell r="C99" t="str">
            <v>UNF_PENS_LIAB_OTH</v>
          </cell>
          <cell r="D99" t="e">
            <v>#NAME?</v>
          </cell>
        </row>
        <row r="100">
          <cell r="B100" t="str">
            <v>Adjustment for unfunded pensions &amp; goodwill</v>
          </cell>
          <cell r="C100" t="str">
            <v>ADJ_UNF_PENS_GOOD</v>
          </cell>
          <cell r="D100" t="e">
            <v>#NAME?</v>
          </cell>
        </row>
        <row r="101">
          <cell r="B101" t="str">
            <v>Other GCI adjustments</v>
          </cell>
          <cell r="C101" t="str">
            <v>OTH_GCI_ADJ</v>
          </cell>
          <cell r="D101" t="e">
            <v>#NAME?</v>
          </cell>
        </row>
        <row r="102">
          <cell r="B102" t="str">
            <v>GCI inflator</v>
          </cell>
          <cell r="C102" t="str">
            <v>GCI_INFL</v>
          </cell>
        </row>
        <row r="103">
          <cell r="B103" t="str">
            <v>Minority interest</v>
          </cell>
          <cell r="C103" t="str">
            <v>BAL_MINO_INT</v>
          </cell>
          <cell r="D103" t="e">
            <v>#NAME?</v>
          </cell>
        </row>
        <row r="104">
          <cell r="B104" t="str">
            <v>Right-of-use assets (op lease assets under US GAAP)</v>
          </cell>
          <cell r="C104" t="str">
            <v>ROU_ASSET</v>
          </cell>
          <cell r="D104" t="e">
            <v>#NAME?</v>
          </cell>
        </row>
        <row r="105">
          <cell r="A105" t="str">
            <v>Cash Flow Statement</v>
          </cell>
        </row>
        <row r="106">
          <cell r="B106" t="str">
            <v>Minority interest add-back</v>
          </cell>
          <cell r="C106" t="str">
            <v>CF_INC_MINORITY</v>
          </cell>
          <cell r="D106" t="e">
            <v>#NAME?</v>
          </cell>
        </row>
        <row r="107">
          <cell r="B107" t="str">
            <v>Depreciation &amp; amortization add-back</v>
          </cell>
          <cell r="C107" t="str">
            <v>DEPR_AMORT</v>
          </cell>
          <cell r="D107" t="e">
            <v>#NAME?</v>
          </cell>
        </row>
        <row r="108">
          <cell r="B108" t="str">
            <v>(Increase)/decrease in working capital</v>
          </cell>
          <cell r="C108" t="str">
            <v>WORK_CAP</v>
          </cell>
          <cell r="D108" t="e">
            <v>#NAME?</v>
          </cell>
        </row>
        <row r="109">
          <cell r="B109" t="str">
            <v>Other operating cash flow items</v>
          </cell>
          <cell r="C109" t="str">
            <v>OTH_OP_CF</v>
          </cell>
          <cell r="D109" t="e">
            <v>#NAME?</v>
          </cell>
        </row>
        <row r="110">
          <cell r="B110" t="str">
            <v>Cash flow from operating activities</v>
          </cell>
          <cell r="C110" t="str">
            <v>CF_OPS</v>
          </cell>
          <cell r="D110" t="e">
            <v>#NAME?</v>
          </cell>
        </row>
        <row r="111">
          <cell r="B111" t="str">
            <v>Capital expenditures, Capex</v>
          </cell>
          <cell r="C111" t="str">
            <v>CAPEX</v>
          </cell>
          <cell r="D111" t="e">
            <v>#NAME?</v>
          </cell>
        </row>
        <row r="112">
          <cell r="B112" t="str">
            <v>Acquisitions</v>
          </cell>
          <cell r="C112" t="str">
            <v>ACQ</v>
          </cell>
          <cell r="D112" t="e">
            <v>#NAME?</v>
          </cell>
        </row>
        <row r="113">
          <cell r="B113" t="str">
            <v>Divestitures</v>
          </cell>
          <cell r="C113" t="str">
            <v>DIVEST</v>
          </cell>
          <cell r="D113" t="e">
            <v>#NAME?</v>
          </cell>
        </row>
        <row r="114">
          <cell r="B114" t="str">
            <v>Other investing cash flow items</v>
          </cell>
          <cell r="C114" t="str">
            <v>OTH_INV_CF</v>
          </cell>
          <cell r="D114" t="e">
            <v>#NAME?</v>
          </cell>
        </row>
        <row r="115">
          <cell r="B115" t="str">
            <v>Cash flow from investing</v>
          </cell>
          <cell r="C115" t="str">
            <v>CF_INV</v>
          </cell>
          <cell r="D115" t="e">
            <v>#NAME?</v>
          </cell>
        </row>
        <row r="116">
          <cell r="B116" t="str">
            <v>Dividends paid</v>
          </cell>
          <cell r="C116" t="str">
            <v>DIV_PAID</v>
          </cell>
          <cell r="D116" t="e">
            <v>#NAME?</v>
          </cell>
        </row>
        <row r="117">
          <cell r="B117" t="str">
            <v>Common stock issuance/(repurchase)</v>
          </cell>
          <cell r="C117" t="str">
            <v>SH_REPUR</v>
          </cell>
          <cell r="D117" t="e">
            <v>#NAME?</v>
          </cell>
        </row>
        <row r="118">
          <cell r="B118" t="str">
            <v>Increase/(decrease) in total debt</v>
          </cell>
          <cell r="C118" t="str">
            <v>CHG_LT_DEBT</v>
          </cell>
          <cell r="D118" t="e">
            <v>#NAME?</v>
          </cell>
        </row>
        <row r="119">
          <cell r="B119" t="str">
            <v>Lease principal payments  (applicable to IFRS cos.)</v>
          </cell>
          <cell r="C119" t="str">
            <v>LEASE_PRINCIPAL_CASH</v>
          </cell>
          <cell r="D119" t="e">
            <v>#NAME?</v>
          </cell>
        </row>
        <row r="120">
          <cell r="B120" t="str">
            <v>Other financing cash flow items</v>
          </cell>
          <cell r="C120" t="str">
            <v>OTH_FIN_CF</v>
          </cell>
          <cell r="D120" t="e">
            <v>#NAME?</v>
          </cell>
        </row>
        <row r="121">
          <cell r="B121" t="str">
            <v>Cash flow from financing</v>
          </cell>
          <cell r="C121" t="str">
            <v>CF_FIN</v>
          </cell>
          <cell r="D121" t="e">
            <v>#NAME?</v>
          </cell>
        </row>
        <row r="122">
          <cell r="B122" t="str">
            <v>Total cash flow</v>
          </cell>
          <cell r="C122" t="str">
            <v>TOT_CF</v>
          </cell>
          <cell r="D122" t="e">
            <v>#NAME?</v>
          </cell>
        </row>
        <row r="123">
          <cell r="A123" t="str">
            <v>Additional Cash Flow Items</v>
          </cell>
        </row>
        <row r="124">
          <cell r="B124" t="str">
            <v>Associate and JV add-back</v>
          </cell>
          <cell r="C124" t="str">
            <v>ASSOC_JV_ADDBK</v>
          </cell>
          <cell r="D124" t="e">
            <v>#NAME?</v>
          </cell>
        </row>
        <row r="125">
          <cell r="B125" t="str">
            <v>Profit/(loss) on sale of assets</v>
          </cell>
          <cell r="C125" t="str">
            <v>PL_SALE_ASSETS</v>
          </cell>
          <cell r="D125" t="e">
            <v>#NAME?</v>
          </cell>
        </row>
        <row r="126">
          <cell r="B126" t="str">
            <v>Other non-cash adjustments</v>
          </cell>
          <cell r="C126" t="str">
            <v>OTH_NONCASH_ADJ</v>
          </cell>
          <cell r="D126" t="e">
            <v>#NAME?</v>
          </cell>
        </row>
        <row r="127">
          <cell r="B127" t="str">
            <v>Other DACF adjustments</v>
          </cell>
          <cell r="C127" t="str">
            <v>OTH_DACF_ADJ</v>
          </cell>
          <cell r="D127" t="e">
            <v>#NAME?</v>
          </cell>
        </row>
        <row r="128">
          <cell r="B128" t="str">
            <v>Change in LT deferred income taxes (Cash flow)</v>
          </cell>
          <cell r="C128" t="str">
            <v>CHG_DEF_TAX_CF</v>
          </cell>
          <cell r="D128" t="e">
            <v>#NAME?</v>
          </cell>
        </row>
        <row r="129">
          <cell r="B129" t="str">
            <v>Other items/adjustments for computing cash tax rate (except def taxes)</v>
          </cell>
          <cell r="C129" t="str">
            <v>OTH_ADJ_CASH_TAX</v>
          </cell>
          <cell r="D129" t="e">
            <v>#NAME?</v>
          </cell>
        </row>
        <row r="130">
          <cell r="B130" t="str">
            <v>Cash interest expense</v>
          </cell>
          <cell r="C130" t="str">
            <v>CASH_INT_EXP</v>
          </cell>
          <cell r="D130" t="e">
            <v>#NAME?</v>
          </cell>
        </row>
        <row r="131">
          <cell r="B131" t="str">
            <v>Cash tax expense</v>
          </cell>
          <cell r="C131" t="str">
            <v>CASH_TAX_EXP</v>
          </cell>
          <cell r="D131" t="e">
            <v>#NAME?</v>
          </cell>
        </row>
        <row r="132">
          <cell r="B132" t="str">
            <v>Dividends received from associates/JVs</v>
          </cell>
          <cell r="C132" t="str">
            <v>DIVDS_ASSOC_JV</v>
          </cell>
          <cell r="D132" t="e">
            <v>#NAME?</v>
          </cell>
        </row>
        <row r="133">
          <cell r="B133" t="str">
            <v>Capex maintenance</v>
          </cell>
          <cell r="C133" t="str">
            <v>CAPEX_MAINTENANCE</v>
          </cell>
          <cell r="D133" t="e">
            <v>#NAME?</v>
          </cell>
        </row>
        <row r="134">
          <cell r="B134" t="str">
            <v>Capex expansion</v>
          </cell>
          <cell r="C134" t="str">
            <v>CAPEX_EXPANSION</v>
          </cell>
          <cell r="D134" t="e">
            <v>#NAME?</v>
          </cell>
        </row>
        <row r="135">
          <cell r="B135" t="str">
            <v>Non-PP&amp;E capex</v>
          </cell>
          <cell r="C135" t="str">
            <v>NONPPE_CAPEX</v>
          </cell>
          <cell r="D135" t="e">
            <v>#NAME?</v>
          </cell>
        </row>
        <row r="136">
          <cell r="B136" t="str">
            <v>Dividends paid to minorities</v>
          </cell>
          <cell r="C136" t="str">
            <v>DIVDS_PD_MINORITIES</v>
          </cell>
          <cell r="D136" t="e">
            <v>#NAME?</v>
          </cell>
        </row>
        <row r="137">
          <cell r="B137" t="str">
            <v>Free cash flow (unlevered)</v>
          </cell>
          <cell r="C137" t="str">
            <v>FCF_UNLEVERED</v>
          </cell>
          <cell r="D137" t="e">
            <v>#NAME?</v>
          </cell>
        </row>
        <row r="138">
          <cell r="A138" t="str">
            <v>Other Items</v>
          </cell>
        </row>
        <row r="139">
          <cell r="B139" t="str">
            <v>License revenue</v>
          </cell>
          <cell r="C139" t="str">
            <v>LICENSE_REV</v>
          </cell>
          <cell r="D139" t="e">
            <v>#NAME?</v>
          </cell>
        </row>
        <row r="140">
          <cell r="B140" t="str">
            <v>Maintenance revenue</v>
          </cell>
          <cell r="C140" t="str">
            <v>MAINTEN_REV</v>
          </cell>
          <cell r="D140" t="e">
            <v>#NAME?</v>
          </cell>
        </row>
        <row r="141">
          <cell r="B141" t="str">
            <v>Number of employees</v>
          </cell>
          <cell r="C141" t="str">
            <v>EMPLOYEES</v>
          </cell>
        </row>
        <row r="142">
          <cell r="B142" t="str">
            <v>Total billings (revenue plus change in deferred revenue)</v>
          </cell>
          <cell r="C142" t="str">
            <v>TOT_BILLINGS</v>
          </cell>
          <cell r="D142" t="e">
            <v>#NAME?</v>
          </cell>
        </row>
        <row r="143">
          <cell r="B143" t="str">
            <v>Short term billings (revenue plus change in short term deferred revenue)</v>
          </cell>
          <cell r="C143" t="str">
            <v>ST_BILLINGS</v>
          </cell>
          <cell r="D143" t="e">
            <v>#NAME?</v>
          </cell>
        </row>
        <row r="144">
          <cell r="B144" t="str">
            <v>Remaining performance obligations</v>
          </cell>
          <cell r="C144" t="str">
            <v>REM_PERF_OBLIG</v>
          </cell>
          <cell r="D144" t="e">
            <v>#NAME?</v>
          </cell>
        </row>
        <row r="145">
          <cell r="B145" t="str">
            <v>Current remaining performance obligations</v>
          </cell>
          <cell r="C145" t="str">
            <v>CUR_REM_PERF_OBLIG</v>
          </cell>
          <cell r="D145" t="e">
            <v>#NAME?</v>
          </cell>
        </row>
        <row r="146">
          <cell r="B146" t="str">
            <v>Segment revenue name 1</v>
          </cell>
          <cell r="C146" t="str">
            <v>SEGMENT1_REV_NAME</v>
          </cell>
        </row>
        <row r="147">
          <cell r="B147" t="str">
            <v>Segment revenue value 1</v>
          </cell>
          <cell r="C147" t="str">
            <v>SEGMENT1_REV_VALUE</v>
          </cell>
          <cell r="D147" t="e">
            <v>#NAME?</v>
          </cell>
        </row>
        <row r="148">
          <cell r="B148" t="str">
            <v>Segment revenue name 2</v>
          </cell>
          <cell r="C148" t="str">
            <v>SEGMENT2_REV_NAME</v>
          </cell>
        </row>
        <row r="149">
          <cell r="B149" t="str">
            <v>Segment revenue value 2</v>
          </cell>
          <cell r="C149" t="str">
            <v>SEGMENT2_REV_VALUE</v>
          </cell>
          <cell r="D149" t="e">
            <v>#NAME?</v>
          </cell>
        </row>
        <row r="150">
          <cell r="B150" t="str">
            <v>Segment revenue name 3</v>
          </cell>
          <cell r="C150" t="str">
            <v>SEGMENT3_REV_NAME</v>
          </cell>
        </row>
        <row r="151">
          <cell r="B151" t="str">
            <v>Segment revenue value 3</v>
          </cell>
          <cell r="C151" t="str">
            <v>SEGMENT3_REV_VALUE</v>
          </cell>
          <cell r="D151" t="e">
            <v>#NAME?</v>
          </cell>
        </row>
        <row r="152">
          <cell r="B152" t="str">
            <v>Segment revenue name 4</v>
          </cell>
          <cell r="C152" t="str">
            <v>SEGMENT4_REV_NAME</v>
          </cell>
        </row>
        <row r="153">
          <cell r="B153" t="str">
            <v>Segment revenue value 4</v>
          </cell>
          <cell r="C153" t="str">
            <v>SEGMENT4_REV_VALUE</v>
          </cell>
          <cell r="D153" t="e">
            <v>#NAME?</v>
          </cell>
        </row>
        <row r="154">
          <cell r="B154" t="str">
            <v>Segment revenue name 5</v>
          </cell>
          <cell r="C154" t="str">
            <v>SEGMENT5_REV_NAME</v>
          </cell>
        </row>
        <row r="155">
          <cell r="B155" t="str">
            <v>Segment revenue value 5</v>
          </cell>
          <cell r="C155" t="str">
            <v>SEGMENT5_REV_VALUE</v>
          </cell>
          <cell r="D155" t="e">
            <v>#NAME?</v>
          </cell>
        </row>
        <row r="156">
          <cell r="B156" t="str">
            <v>Segment revenue name 6</v>
          </cell>
          <cell r="C156" t="str">
            <v>SEGMENT6_REV_NAME</v>
          </cell>
        </row>
        <row r="157">
          <cell r="B157" t="str">
            <v>Segment revenue value 6</v>
          </cell>
          <cell r="C157" t="str">
            <v>SEGMENT6_REV_VALUE</v>
          </cell>
          <cell r="D157" t="e">
            <v>#NAME?</v>
          </cell>
        </row>
        <row r="158">
          <cell r="B158" t="str">
            <v>Segment revenue name 7</v>
          </cell>
          <cell r="C158" t="str">
            <v>SEGMENT7_REV_NAME</v>
          </cell>
        </row>
        <row r="159">
          <cell r="B159" t="str">
            <v>Segment revenue value 7</v>
          </cell>
          <cell r="C159" t="str">
            <v>SEGMENT7_REV_VALUE</v>
          </cell>
          <cell r="D159" t="e">
            <v>#NAME?</v>
          </cell>
        </row>
        <row r="160">
          <cell r="B160" t="str">
            <v>Segment revenue name 8</v>
          </cell>
          <cell r="C160" t="str">
            <v>SEGMENT8_REV_NAME</v>
          </cell>
        </row>
        <row r="161">
          <cell r="B161" t="str">
            <v>Segment revenue value 8</v>
          </cell>
          <cell r="C161" t="str">
            <v>SEGMENT8_REV_VALUE</v>
          </cell>
          <cell r="D161" t="e">
            <v>#NAME?</v>
          </cell>
        </row>
        <row r="162">
          <cell r="B162" t="str">
            <v>Segment revenue name 9</v>
          </cell>
          <cell r="C162" t="str">
            <v>SEGMENT9_REV_NAME</v>
          </cell>
        </row>
        <row r="163">
          <cell r="B163" t="str">
            <v>Segment revenue value 9</v>
          </cell>
          <cell r="C163" t="str">
            <v>SEGMENT9_REV_VALUE</v>
          </cell>
          <cell r="D163" t="e">
            <v>#NAME?</v>
          </cell>
        </row>
        <row r="164">
          <cell r="B164" t="str">
            <v>Segment revenue name 10</v>
          </cell>
          <cell r="C164" t="str">
            <v>SEGMENT10_REV_NAME</v>
          </cell>
        </row>
        <row r="165">
          <cell r="B165" t="str">
            <v>Segment revenue value 10</v>
          </cell>
          <cell r="C165" t="str">
            <v>SEGMENT10_REV_VALUE</v>
          </cell>
          <cell r="D165" t="e">
            <v>#NAME?</v>
          </cell>
        </row>
        <row r="166">
          <cell r="A166" t="str">
            <v>Geographical Breakdown</v>
          </cell>
        </row>
        <row r="167">
          <cell r="B167" t="str">
            <v>Sales - % Canada</v>
          </cell>
          <cell r="C167" t="str">
            <v>SALES_CANADA</v>
          </cell>
        </row>
        <row r="168">
          <cell r="B168" t="str">
            <v>Sales - % United States</v>
          </cell>
          <cell r="C168" t="str">
            <v>SALES_US</v>
          </cell>
        </row>
        <row r="169">
          <cell r="B169" t="str">
            <v>Sales - % Other North Americas</v>
          </cell>
          <cell r="C169" t="str">
            <v>SALES_OTH_NO_AMER</v>
          </cell>
        </row>
        <row r="170">
          <cell r="B170" t="str">
            <v>Sales - % Argentina</v>
          </cell>
          <cell r="C170" t="str">
            <v>SALES_ARGENTINA</v>
          </cell>
        </row>
        <row r="171">
          <cell r="B171" t="str">
            <v>Sales - % Brazil</v>
          </cell>
          <cell r="C171" t="str">
            <v>SALES_BRAZIL</v>
          </cell>
        </row>
        <row r="172">
          <cell r="B172" t="str">
            <v>Sales - % Chile</v>
          </cell>
          <cell r="C172" t="str">
            <v>SALES_CHILE</v>
          </cell>
        </row>
        <row r="173">
          <cell r="B173" t="str">
            <v>Sales - % Colombia</v>
          </cell>
          <cell r="C173" t="str">
            <v>SALES_COLOMBIA</v>
          </cell>
        </row>
        <row r="174">
          <cell r="B174" t="str">
            <v>Sales - % Mexico</v>
          </cell>
          <cell r="C174" t="str">
            <v>SALES_MEXICO</v>
          </cell>
        </row>
        <row r="175">
          <cell r="B175" t="str">
            <v>Sales - % Venezuela</v>
          </cell>
          <cell r="C175" t="str">
            <v>SALES_VENEZUELA</v>
          </cell>
        </row>
        <row r="176">
          <cell r="B176" t="str">
            <v>Sales - % Other Latin Americas</v>
          </cell>
          <cell r="C176" t="str">
            <v>SALES_OTH_LATAM</v>
          </cell>
        </row>
        <row r="177">
          <cell r="B177" t="str">
            <v>Sales - % Austria</v>
          </cell>
          <cell r="C177" t="str">
            <v>SALES_AUSTRIA</v>
          </cell>
        </row>
        <row r="178">
          <cell r="B178" t="str">
            <v>Sales - % Belgium</v>
          </cell>
          <cell r="C178" t="str">
            <v>SALES_BEL</v>
          </cell>
        </row>
        <row r="179">
          <cell r="B179" t="str">
            <v>Sales - % France</v>
          </cell>
          <cell r="C179" t="str">
            <v>SALES_FRA</v>
          </cell>
        </row>
        <row r="180">
          <cell r="B180" t="str">
            <v>Sales - % Germany</v>
          </cell>
          <cell r="C180" t="str">
            <v>SALES_GER</v>
          </cell>
        </row>
        <row r="181">
          <cell r="B181" t="str">
            <v>Sales - % Greece</v>
          </cell>
          <cell r="C181" t="str">
            <v>SALES_GRE</v>
          </cell>
        </row>
        <row r="182">
          <cell r="B182" t="str">
            <v>Sales - % Ireland</v>
          </cell>
          <cell r="C182" t="str">
            <v>SALES_IRE</v>
          </cell>
        </row>
        <row r="183">
          <cell r="B183" t="str">
            <v>Sales - % Italy</v>
          </cell>
          <cell r="C183" t="str">
            <v>SALES_ITA</v>
          </cell>
        </row>
        <row r="184">
          <cell r="B184" t="str">
            <v>Sales - % Netherlands</v>
          </cell>
          <cell r="C184" t="str">
            <v>SALES_NETH</v>
          </cell>
        </row>
        <row r="185">
          <cell r="B185" t="str">
            <v>Sales - % Norway</v>
          </cell>
          <cell r="C185" t="str">
            <v>SALES_NOR</v>
          </cell>
        </row>
        <row r="186">
          <cell r="B186" t="str">
            <v>Sales - % Portugal</v>
          </cell>
          <cell r="C186" t="str">
            <v>SALES_POR</v>
          </cell>
        </row>
        <row r="187">
          <cell r="B187" t="str">
            <v>Sales - % Spain</v>
          </cell>
          <cell r="C187" t="str">
            <v>SALES_SPA</v>
          </cell>
        </row>
        <row r="188">
          <cell r="B188" t="str">
            <v>Sales - % Sweden</v>
          </cell>
          <cell r="C188" t="str">
            <v>SALES_SWE</v>
          </cell>
        </row>
        <row r="189">
          <cell r="B189" t="str">
            <v>Sales - % Switzerland</v>
          </cell>
          <cell r="C189" t="str">
            <v>SALES_SWIT</v>
          </cell>
        </row>
        <row r="190">
          <cell r="B190" t="str">
            <v>Sales - % UK</v>
          </cell>
          <cell r="C190" t="str">
            <v>SALES_UK</v>
          </cell>
        </row>
        <row r="191">
          <cell r="B191" t="str">
            <v>Sales - % Other Western Europe</v>
          </cell>
          <cell r="C191" t="str">
            <v>SALES_OTH_WEST_EURO</v>
          </cell>
        </row>
        <row r="192">
          <cell r="B192" t="str">
            <v>Sales - % Poland</v>
          </cell>
          <cell r="C192" t="str">
            <v>SALES_POLAND</v>
          </cell>
        </row>
        <row r="193">
          <cell r="B193" t="str">
            <v>Sales - % Russia</v>
          </cell>
          <cell r="C193" t="str">
            <v>SALES_RUSSIA</v>
          </cell>
        </row>
        <row r="194">
          <cell r="B194" t="str">
            <v>Sales - % Turkey</v>
          </cell>
          <cell r="C194" t="str">
            <v>SALES_TURKEY</v>
          </cell>
        </row>
        <row r="195">
          <cell r="B195" t="str">
            <v>Sales - % Other CEE</v>
          </cell>
          <cell r="C195" t="str">
            <v>SALES_OTH_CEE</v>
          </cell>
        </row>
        <row r="196">
          <cell r="B196" t="str">
            <v>Sales - % Saudi Arabia</v>
          </cell>
          <cell r="C196" t="str">
            <v>SALES_SAUDI_ARABIA</v>
          </cell>
        </row>
        <row r="197">
          <cell r="B197" t="str">
            <v>Sales - % United Arab Emirates</v>
          </cell>
          <cell r="C197" t="str">
            <v>SALES_UAE</v>
          </cell>
        </row>
        <row r="198">
          <cell r="B198" t="str">
            <v>Sales - % Other Middle East</v>
          </cell>
          <cell r="C198" t="str">
            <v>SALES_OTH_ME</v>
          </cell>
        </row>
        <row r="199">
          <cell r="B199" t="str">
            <v>Sales - % Nigeria</v>
          </cell>
          <cell r="C199" t="str">
            <v>SALES_NIGERIA</v>
          </cell>
        </row>
        <row r="200">
          <cell r="B200" t="str">
            <v>Sales - % South Africa</v>
          </cell>
          <cell r="C200" t="str">
            <v>SALES_SO_AFRICA</v>
          </cell>
        </row>
        <row r="201">
          <cell r="B201" t="str">
            <v>Sales - % Other Africa</v>
          </cell>
          <cell r="C201" t="str">
            <v>SALES_OTH_AFRICA</v>
          </cell>
        </row>
        <row r="202">
          <cell r="B202" t="str">
            <v>Sales - % Hong Kong</v>
          </cell>
          <cell r="C202" t="str">
            <v>SALES_HONG_KONG</v>
          </cell>
        </row>
        <row r="203">
          <cell r="B203" t="str">
            <v>Sales - % Japan</v>
          </cell>
          <cell r="C203" t="str">
            <v>SALES_JAPAN</v>
          </cell>
        </row>
        <row r="204">
          <cell r="B204" t="str">
            <v>Sales - % Singapore</v>
          </cell>
          <cell r="C204" t="str">
            <v>SALES_SINGAPORE</v>
          </cell>
        </row>
        <row r="205">
          <cell r="B205" t="str">
            <v>Sales - % South Korea</v>
          </cell>
          <cell r="C205" t="str">
            <v>SALES_SK</v>
          </cell>
        </row>
        <row r="206">
          <cell r="B206" t="str">
            <v>Sales - % Taiwan</v>
          </cell>
          <cell r="C206" t="str">
            <v>SALES_TAIWAN</v>
          </cell>
        </row>
        <row r="207">
          <cell r="B207" t="str">
            <v>Sales - % Other Developed Asia</v>
          </cell>
          <cell r="C207" t="str">
            <v>SALES_OTH_DEV_ASIA</v>
          </cell>
        </row>
        <row r="208">
          <cell r="B208" t="str">
            <v>Sales - % China</v>
          </cell>
          <cell r="C208" t="str">
            <v>SALES_CHINA</v>
          </cell>
        </row>
        <row r="209">
          <cell r="B209" t="str">
            <v>Sales - % India</v>
          </cell>
          <cell r="C209" t="str">
            <v>SALES_INDIA</v>
          </cell>
        </row>
        <row r="210">
          <cell r="B210" t="str">
            <v>Sales - % Indonesia</v>
          </cell>
          <cell r="C210" t="str">
            <v>SALES_INDONESIA</v>
          </cell>
        </row>
        <row r="211">
          <cell r="B211" t="str">
            <v>Sales - % Thailand</v>
          </cell>
          <cell r="C211" t="str">
            <v>SALES_THAILAND</v>
          </cell>
        </row>
        <row r="212">
          <cell r="B212" t="str">
            <v>Sales - % Other Emerging Asia</v>
          </cell>
          <cell r="C212" t="str">
            <v>SALES_OTH_EMERG_ASIA</v>
          </cell>
        </row>
        <row r="213">
          <cell r="B213" t="str">
            <v>Sales - % Australia</v>
          </cell>
          <cell r="C213" t="str">
            <v>SALES_AUSTRA</v>
          </cell>
        </row>
        <row r="214">
          <cell r="B214" t="str">
            <v>Sales - % New Zealand</v>
          </cell>
          <cell r="C214" t="str">
            <v>SALES_NZ</v>
          </cell>
        </row>
        <row r="215">
          <cell r="B215" t="str">
            <v>Sales - % Others</v>
          </cell>
          <cell r="C215" t="str">
            <v>SALES_OTHER</v>
          </cell>
        </row>
        <row r="216">
          <cell r="B216" t="str">
            <v>% of CoGS from U.S. (GS estimate)</v>
          </cell>
          <cell r="C216" t="str">
            <v>COGS_PCT_US</v>
          </cell>
        </row>
        <row r="217">
          <cell r="B217" t="str">
            <v>% of CoGS from non-U.S. (GS estimate)</v>
          </cell>
          <cell r="C217" t="str">
            <v>COGS_PCT_ROW</v>
          </cell>
        </row>
        <row r="218">
          <cell r="B218" t="str">
            <v>% of SG&amp;A from U.S. (GS estimate)</v>
          </cell>
          <cell r="C218" t="str">
            <v>SGA_PCT_US</v>
          </cell>
        </row>
        <row r="219">
          <cell r="B219" t="str">
            <v>% of SG&amp;A from non-U.S. (GS estimate)</v>
          </cell>
          <cell r="C219" t="str">
            <v>SGA_PCT_ROW</v>
          </cell>
        </row>
        <row r="220">
          <cell r="B220" t="str">
            <v>Sales -% Consumer (C)</v>
          </cell>
          <cell r="C220" t="str">
            <v>SALES_CONS</v>
          </cell>
        </row>
        <row r="221">
          <cell r="B221" t="str">
            <v>Sales -% Industry (I)</v>
          </cell>
          <cell r="C221" t="str">
            <v>SALES_IND</v>
          </cell>
        </row>
        <row r="222">
          <cell r="B222" t="str">
            <v>Sales -% Government (G)</v>
          </cell>
          <cell r="C222" t="str">
            <v>SALES_GOV</v>
          </cell>
        </row>
        <row r="223">
          <cell r="B223" t="str">
            <v>Sales - % Industry Sub-Segment: Financial Services</v>
          </cell>
          <cell r="C223" t="str">
            <v>SALES_FINAN</v>
          </cell>
        </row>
        <row r="224">
          <cell r="B224" t="str">
            <v>Sales - % Industry Sub-Segment: Oil &amp; Gas</v>
          </cell>
          <cell r="C224" t="str">
            <v>SALES_OIL_GAS</v>
          </cell>
        </row>
        <row r="225">
          <cell r="B225" t="str">
            <v>Sales (%) SMB</v>
          </cell>
          <cell r="C225" t="str">
            <v>SALES_SMB</v>
          </cell>
        </row>
        <row r="226">
          <cell r="B226" t="str">
            <v>% of total cash balance held overseas (outside the US)</v>
          </cell>
          <cell r="C226" t="str">
            <v>CASH_PCT_OS_US</v>
          </cell>
        </row>
        <row r="227">
          <cell r="B227" t="str">
            <v>Sales - % from Captive Financing Business</v>
          </cell>
          <cell r="C227" t="str">
            <v>REV_FIN_SEGMENT</v>
          </cell>
        </row>
        <row r="228">
          <cell r="B228" t="str">
            <v>Operating Earnings - % from Captive Financing Business</v>
          </cell>
          <cell r="C228" t="str">
            <v>EBIT_FIN_SEGMENT</v>
          </cell>
        </row>
        <row r="229">
          <cell r="A229" t="str">
            <v>Commodities Exposure - Expense</v>
          </cell>
        </row>
        <row r="230">
          <cell r="B230" t="str">
            <v>Expense - % Oil/Petrol/Fuel</v>
          </cell>
          <cell r="C230" t="str">
            <v>EXP_OIL_PETRO_FUEL</v>
          </cell>
        </row>
        <row r="231">
          <cell r="B231" t="str">
            <v>Expense - % Oil derivatives/NGLs/plastics</v>
          </cell>
          <cell r="C231" t="str">
            <v>EXP_OIL_DERIV_NGLS_PLASTICS</v>
          </cell>
        </row>
        <row r="232">
          <cell r="A232" t="str">
            <v>FX Exposure - Sales</v>
          </cell>
        </row>
        <row r="233">
          <cell r="B233" t="str">
            <v>Sales - % FX: British Pounds/Pence</v>
          </cell>
          <cell r="C233" t="str">
            <v>SALES_FX_GPB</v>
          </cell>
        </row>
        <row r="234">
          <cell r="B234" t="str">
            <v>Sales - % FX: Euro</v>
          </cell>
          <cell r="C234" t="str">
            <v>SALES_FX_EUR</v>
          </cell>
        </row>
        <row r="235">
          <cell r="B235" t="str">
            <v>Sales - % FX: New Russian Ruble</v>
          </cell>
          <cell r="C235" t="str">
            <v>SALES_FX_RUB</v>
          </cell>
        </row>
        <row r="236">
          <cell r="B236" t="str">
            <v>Sales - % FX: U.S. Dollar</v>
          </cell>
          <cell r="C236" t="str">
            <v>SALES_FX_USD</v>
          </cell>
        </row>
        <row r="237">
          <cell r="B237" t="str">
            <v>Sales - % FX: Brazilian Real</v>
          </cell>
          <cell r="C237" t="str">
            <v>SALES_FX_BRL</v>
          </cell>
        </row>
        <row r="238">
          <cell r="B238" t="str">
            <v>Sales - % FX: Japanese Yen</v>
          </cell>
          <cell r="C238" t="str">
            <v>SALES_FX_YEN</v>
          </cell>
        </row>
        <row r="239">
          <cell r="B239" t="str">
            <v>Sales - % FX: Chinese Renminbi</v>
          </cell>
          <cell r="C239" t="str">
            <v>SALES_FX_CNY</v>
          </cell>
        </row>
        <row r="240">
          <cell r="B240" t="str">
            <v>Sales - % FX: Indian Rupee</v>
          </cell>
          <cell r="C240" t="str">
            <v>SALES_FX_INR</v>
          </cell>
        </row>
        <row r="241">
          <cell r="B241" t="str">
            <v>Sales - % FX: Canadian Dollar</v>
          </cell>
          <cell r="C241" t="str">
            <v>SALES_FX_CAD</v>
          </cell>
        </row>
        <row r="242">
          <cell r="B242" t="str">
            <v>Sales - % FX: Mexican Peso</v>
          </cell>
          <cell r="C242" t="str">
            <v>SALES_FX_MXN</v>
          </cell>
        </row>
        <row r="243">
          <cell r="B243" t="str">
            <v>Sales - % FX: Colombian Peso</v>
          </cell>
          <cell r="C243" t="str">
            <v>SALES_FX_COP</v>
          </cell>
        </row>
        <row r="244">
          <cell r="B244" t="str">
            <v>Sales - % FX: Argentine Peso</v>
          </cell>
          <cell r="C244" t="str">
            <v>SALES_FX_ARS</v>
          </cell>
        </row>
        <row r="245">
          <cell r="B245" t="str">
            <v>Sales - % FX: Chilean Peso</v>
          </cell>
          <cell r="C245" t="str">
            <v>SALES_FX_CLP</v>
          </cell>
        </row>
        <row r="246">
          <cell r="B246" t="str">
            <v>Sales - % FX: Venezuelan bolivar</v>
          </cell>
          <cell r="C246" t="str">
            <v>SALES_FX_VEF</v>
          </cell>
        </row>
        <row r="247">
          <cell r="B247" t="str">
            <v>Sales - % FX: Other Currency</v>
          </cell>
          <cell r="C247" t="str">
            <v>SALES_FX_OTH</v>
          </cell>
        </row>
        <row r="248">
          <cell r="A248" t="str">
            <v>Items to be removed</v>
          </cell>
        </row>
        <row r="249">
          <cell r="B249" t="str">
            <v>Sales - Total % Americas</v>
          </cell>
          <cell r="C249" t="str">
            <v>SALES_TOT_AM</v>
          </cell>
        </row>
        <row r="250">
          <cell r="B250" t="str">
            <v>Sales - % Other Americas</v>
          </cell>
          <cell r="C250" t="str">
            <v>SALES_OTH_AM</v>
          </cell>
        </row>
        <row r="251">
          <cell r="B251" t="str">
            <v>Sales - Total % EMEA</v>
          </cell>
          <cell r="C251" t="str">
            <v>SALES_TOT_EMEA</v>
          </cell>
        </row>
        <row r="252">
          <cell r="B252" t="str">
            <v>Sales - % Western Europe-Ex UK</v>
          </cell>
          <cell r="C252" t="str">
            <v>SALES_EU_EX_UK</v>
          </cell>
        </row>
        <row r="253">
          <cell r="B253" t="str">
            <v>Sales - % Central &amp; Eastern Europe</v>
          </cell>
          <cell r="C253" t="str">
            <v>SALES_CEE</v>
          </cell>
        </row>
        <row r="254">
          <cell r="B254" t="str">
            <v>Sales - % Middle East</v>
          </cell>
          <cell r="C254" t="str">
            <v>SALES_ME</v>
          </cell>
        </row>
        <row r="255">
          <cell r="B255" t="str">
            <v>Sales - % Total Africa</v>
          </cell>
          <cell r="C255" t="str">
            <v>SALES_TOT_AFRICA</v>
          </cell>
        </row>
        <row r="256">
          <cell r="B256" t="str">
            <v>Sales - % Other EMEA</v>
          </cell>
          <cell r="C256" t="str">
            <v>SALES_OTH_EMEA</v>
          </cell>
        </row>
        <row r="257">
          <cell r="B257" t="str">
            <v>Sales - Total % Asia (incl Australia &amp; New Zealand)</v>
          </cell>
          <cell r="C257" t="str">
            <v>SALES_TOT_ASIA</v>
          </cell>
        </row>
        <row r="258">
          <cell r="B258" t="str">
            <v>Sales - % Other Asia</v>
          </cell>
          <cell r="C258" t="str">
            <v>SALES_OTH_AEJ</v>
          </cell>
        </row>
        <row r="259">
          <cell r="A259" t="str">
            <v>Security: Nutanix Inc.</v>
          </cell>
        </row>
        <row r="260">
          <cell r="A260" t="str">
            <v>Reference Data</v>
          </cell>
        </row>
        <row r="261">
          <cell r="B261" t="str">
            <v>Ticker</v>
          </cell>
          <cell r="C261" t="str">
            <v>Ticker</v>
          </cell>
          <cell r="E261" t="str">
            <v>NTNX</v>
          </cell>
        </row>
        <row r="262">
          <cell r="B262" t="str">
            <v>Security Name</v>
          </cell>
          <cell r="C262" t="str">
            <v>Security Name</v>
          </cell>
          <cell r="E262" t="str">
            <v>Nutanix Inc.</v>
          </cell>
        </row>
        <row r="263">
          <cell r="B263" t="str">
            <v>Interim Type</v>
          </cell>
          <cell r="C263" t="str">
            <v>Interim Type</v>
          </cell>
          <cell r="E263" t="str">
            <v>Q</v>
          </cell>
        </row>
        <row r="264">
          <cell r="B264" t="str">
            <v>Publishing Currency</v>
          </cell>
          <cell r="C264" t="str">
            <v>PUB_CURRENCY_ISO</v>
          </cell>
          <cell r="E264" t="str">
            <v>USD</v>
          </cell>
        </row>
        <row r="265">
          <cell r="B265" t="str">
            <v>Pricing Currency</v>
          </cell>
          <cell r="C265" t="str">
            <v>PRICE_CURRENCY_ISO</v>
          </cell>
          <cell r="E265" t="str">
            <v>USD</v>
          </cell>
        </row>
        <row r="266">
          <cell r="B266" t="str">
            <v>Reporting Currency</v>
          </cell>
          <cell r="C266" t="str">
            <v>CURRENCY_ISO</v>
          </cell>
          <cell r="E266" t="str">
            <v>USD</v>
          </cell>
        </row>
        <row r="267">
          <cell r="A267" t="str">
            <v>General Information</v>
          </cell>
        </row>
        <row r="268">
          <cell r="B268" t="str">
            <v>Americas Investment List</v>
          </cell>
          <cell r="C268" t="str">
            <v>AMER_LIST</v>
          </cell>
        </row>
        <row r="269">
          <cell r="B269" t="str">
            <v>Americas Conviction List</v>
          </cell>
          <cell r="C269" t="str">
            <v>NOT IN USE</v>
          </cell>
        </row>
        <row r="270">
          <cell r="B270" t="str">
            <v>Legal rating</v>
          </cell>
          <cell r="C270" t="str">
            <v>LEGAL_RATING</v>
          </cell>
        </row>
        <row r="271">
          <cell r="B271" t="str">
            <v>Target price</v>
          </cell>
          <cell r="C271" t="str">
            <v>TARGET_PRICE</v>
          </cell>
          <cell r="D271" t="e">
            <v>#NAME?</v>
          </cell>
        </row>
        <row r="272">
          <cell r="B272" t="str">
            <v>Target price period</v>
          </cell>
          <cell r="C272" t="str">
            <v>TP_PERIOD</v>
          </cell>
        </row>
        <row r="273">
          <cell r="B273" t="str">
            <v>Fundamental value</v>
          </cell>
          <cell r="C273" t="str">
            <v>TARGET_PRICE_FUNDAMENTAL</v>
          </cell>
          <cell r="D273" t="e">
            <v>#NAME?</v>
          </cell>
        </row>
        <row r="274">
          <cell r="B274" t="str">
            <v>M&amp;A value</v>
          </cell>
          <cell r="C274" t="str">
            <v>TARGET_PRICE_MA</v>
          </cell>
          <cell r="D274" t="e">
            <v>#NAME?</v>
          </cell>
        </row>
        <row r="275">
          <cell r="B275" t="str">
            <v>Current shares outstanding (mn)</v>
          </cell>
          <cell r="C275" t="str">
            <v>NUM_SH</v>
          </cell>
        </row>
        <row r="276">
          <cell r="B276" t="str">
            <v>Free float</v>
          </cell>
          <cell r="C276" t="str">
            <v>FREE_FLOAT</v>
          </cell>
        </row>
        <row r="277">
          <cell r="A277" t="str">
            <v>Publishing Items</v>
          </cell>
        </row>
        <row r="278">
          <cell r="B278" t="str">
            <v>Book value per share, BVPS (Pub)</v>
          </cell>
          <cell r="C278" t="str">
            <v>BVPS_PUB</v>
          </cell>
          <cell r="D278" t="e">
            <v>#NAME?</v>
          </cell>
        </row>
        <row r="279">
          <cell r="B279" t="str">
            <v>DPS, dividend per share (Pub)</v>
          </cell>
          <cell r="C279" t="str">
            <v>DPS_PUB</v>
          </cell>
          <cell r="D279" t="e">
            <v>#NAME?</v>
          </cell>
        </row>
        <row r="280">
          <cell r="B280" t="str">
            <v>Special dividend per share</v>
          </cell>
          <cell r="C280" t="str">
            <v>DPS_SPECIAL_PUB</v>
          </cell>
          <cell r="D280" t="e">
            <v>#NAME?</v>
          </cell>
        </row>
        <row r="281">
          <cell r="B281" t="str">
            <v>EBITDA (Pub)</v>
          </cell>
          <cell r="C281" t="str">
            <v>EBITDA_PUB</v>
          </cell>
          <cell r="D281" t="e">
            <v>#NAME?</v>
          </cell>
        </row>
        <row r="282">
          <cell r="B282" t="str">
            <v>EPS (Pub)</v>
          </cell>
          <cell r="C282" t="str">
            <v>EPS_PUB</v>
          </cell>
          <cell r="D282" t="e">
            <v>#NAME?</v>
          </cell>
        </row>
        <row r="283">
          <cell r="B283" t="str">
            <v>Consensus earnings equivalent estimate</v>
          </cell>
          <cell r="C283" t="str">
            <v>CEEE_EPS</v>
          </cell>
          <cell r="D283" t="e">
            <v>#NAME?</v>
          </cell>
        </row>
        <row r="284">
          <cell r="B284" t="str">
            <v>EPS (excl. ESO) (Pub)</v>
          </cell>
          <cell r="C284" t="str">
            <v>EPS_PUB_EX_ESO</v>
          </cell>
          <cell r="D284" t="e">
            <v>#NAME?</v>
          </cell>
        </row>
        <row r="285">
          <cell r="B285" t="str">
            <v>EV adjustment (Pub)</v>
          </cell>
          <cell r="C285" t="str">
            <v>EV_ADJ_PUB</v>
          </cell>
          <cell r="D285" t="e">
            <v>#NAME?</v>
          </cell>
        </row>
        <row r="286">
          <cell r="B286" t="str">
            <v>Net debt (Pub)</v>
          </cell>
          <cell r="C286" t="str">
            <v>NET_DEBT_PUB</v>
          </cell>
          <cell r="D286" t="e">
            <v>#NAME?</v>
          </cell>
        </row>
        <row r="287">
          <cell r="B287" t="str">
            <v>Net Debt (ex leases) (Pub)</v>
          </cell>
          <cell r="C287" t="str">
            <v>NET_DEBT_EX_LEASES_PUB</v>
          </cell>
          <cell r="D287" t="e">
            <v>#NAME?</v>
          </cell>
        </row>
        <row r="288">
          <cell r="B288" t="str">
            <v>Consensus equivalent net debt</v>
          </cell>
          <cell r="C288" t="str">
            <v>CEEE_NDEBT</v>
          </cell>
          <cell r="D288" t="e">
            <v>#NAME?</v>
          </cell>
        </row>
        <row r="289">
          <cell r="B289" t="str">
            <v>Net income (Pub)</v>
          </cell>
          <cell r="C289" t="str">
            <v>NI_PUB</v>
          </cell>
          <cell r="D289" t="e">
            <v>#NAME?</v>
          </cell>
        </row>
        <row r="290">
          <cell r="B290" t="str">
            <v>EBIT, operating profit (Pub)</v>
          </cell>
          <cell r="C290" t="str">
            <v>EBIT_PUB</v>
          </cell>
          <cell r="D290" t="e">
            <v>#NAME?</v>
          </cell>
        </row>
        <row r="291">
          <cell r="B291" t="str">
            <v>Pre-tax profit (Pub)</v>
          </cell>
          <cell r="C291" t="str">
            <v>PTP_PUB</v>
          </cell>
          <cell r="D291" t="e">
            <v>#NAME?</v>
          </cell>
        </row>
        <row r="292">
          <cell r="B292" t="str">
            <v>Sales, revenue (Pub)</v>
          </cell>
          <cell r="C292" t="str">
            <v>REVS_PUB</v>
          </cell>
          <cell r="D292" t="e">
            <v>#NAME?</v>
          </cell>
        </row>
        <row r="293">
          <cell r="B293" t="str">
            <v>Total shareholders' equity (Pub)</v>
          </cell>
          <cell r="C293" t="str">
            <v>EQ_PUB</v>
          </cell>
          <cell r="D293" t="e">
            <v>#NAME?</v>
          </cell>
        </row>
        <row r="294">
          <cell r="A294" t="str">
            <v>Income Statement</v>
          </cell>
        </row>
        <row r="295">
          <cell r="B295" t="str">
            <v>Provision for income tax</v>
          </cell>
          <cell r="C295" t="str">
            <v>PROV_INC_TAX</v>
          </cell>
          <cell r="D295" t="e">
            <v>#NAME?</v>
          </cell>
        </row>
        <row r="296">
          <cell r="B296" t="str">
            <v>Minority interest</v>
          </cell>
          <cell r="C296" t="str">
            <v>INC_MINORITY</v>
          </cell>
          <cell r="D296" t="e">
            <v>#NAME?</v>
          </cell>
        </row>
        <row r="297">
          <cell r="B297" t="str">
            <v>Net income (pre-preferred dividends)</v>
          </cell>
          <cell r="C297" t="str">
            <v>NI_PRE_PREF</v>
          </cell>
          <cell r="D297" t="e">
            <v>#NAME?</v>
          </cell>
        </row>
        <row r="298">
          <cell r="B298" t="str">
            <v>Preferred dividends</v>
          </cell>
          <cell r="C298" t="str">
            <v>PREF_DIV</v>
          </cell>
          <cell r="D298" t="e">
            <v>#NAME?</v>
          </cell>
        </row>
        <row r="299">
          <cell r="B299" t="str">
            <v>Net income (pre-exceptionals)</v>
          </cell>
          <cell r="C299" t="str">
            <v>NET_EARNING</v>
          </cell>
          <cell r="D299" t="e">
            <v>#NAME?</v>
          </cell>
        </row>
        <row r="300">
          <cell r="B300" t="str">
            <v>Post-tax exceptionals</v>
          </cell>
          <cell r="C300" t="str">
            <v>TAX_EXC</v>
          </cell>
          <cell r="D300" t="e">
            <v>#NAME?</v>
          </cell>
        </row>
        <row r="301">
          <cell r="B301" t="str">
            <v>Net income (post-exceptionals)</v>
          </cell>
          <cell r="C301" t="str">
            <v>NET_INC</v>
          </cell>
          <cell r="D301" t="e">
            <v>#NAME?</v>
          </cell>
        </row>
        <row r="302">
          <cell r="B302" t="str">
            <v>EPS (pre-exceptionals, basic)</v>
          </cell>
          <cell r="C302" t="str">
            <v>EPS</v>
          </cell>
          <cell r="D302" t="e">
            <v>#NAME?</v>
          </cell>
        </row>
        <row r="303">
          <cell r="B303" t="str">
            <v>EPS (pre-exceptionals, diluted)</v>
          </cell>
          <cell r="C303" t="str">
            <v>EPS_FUL_DIL</v>
          </cell>
          <cell r="D303" t="e">
            <v>#NAME?</v>
          </cell>
        </row>
        <row r="304">
          <cell r="B304" t="str">
            <v>EPS (post-exceptionals, basic)</v>
          </cell>
          <cell r="C304" t="str">
            <v>EPS_POST_BASIC</v>
          </cell>
          <cell r="D304" t="e">
            <v>#NAME?</v>
          </cell>
        </row>
        <row r="305">
          <cell r="B305" t="str">
            <v>EPS (post-exceptionals, diluted)</v>
          </cell>
          <cell r="C305" t="str">
            <v>FULLY_DIL_EPS</v>
          </cell>
          <cell r="D305" t="e">
            <v>#NAME?</v>
          </cell>
        </row>
        <row r="306">
          <cell r="B306" t="str">
            <v>Common dividends paid</v>
          </cell>
          <cell r="C306" t="str">
            <v>COMMON_DIV_PAID</v>
          </cell>
          <cell r="D306" t="e">
            <v>#NAME?</v>
          </cell>
        </row>
        <row r="307">
          <cell r="B307" t="str">
            <v>DPS, dividend per share</v>
          </cell>
          <cell r="C307" t="str">
            <v>DPS</v>
          </cell>
          <cell r="D307" t="e">
            <v>#NAME?</v>
          </cell>
        </row>
        <row r="308">
          <cell r="B308" t="str">
            <v>Weighted average shares outstanding, basic</v>
          </cell>
          <cell r="C308" t="str">
            <v>SH</v>
          </cell>
        </row>
        <row r="309">
          <cell r="B309" t="str">
            <v>Diluted average shares outstanding (mn)</v>
          </cell>
          <cell r="C309" t="str">
            <v>DILUTE_SHARES</v>
          </cell>
        </row>
        <row r="310">
          <cell r="B310" t="str">
            <v>Period-end shares outstanding</v>
          </cell>
          <cell r="C310" t="str">
            <v>NON_OP_ADD</v>
          </cell>
        </row>
        <row r="311">
          <cell r="A311" t="str">
            <v>Additional Income Statement Items</v>
          </cell>
        </row>
        <row r="312">
          <cell r="B312" t="str">
            <v>Marginal tax rate</v>
          </cell>
          <cell r="C312" t="str">
            <v>MARGIN_TAX_RATE</v>
          </cell>
        </row>
        <row r="313">
          <cell r="A313" t="str">
            <v>ESO</v>
          </cell>
        </row>
        <row r="314">
          <cell r="B314" t="str">
            <v>Fair value of grant</v>
          </cell>
          <cell r="C314" t="str">
            <v>FV_GRANT</v>
          </cell>
          <cell r="D314" t="e">
            <v>#NAME?</v>
          </cell>
        </row>
        <row r="315">
          <cell r="B315" t="str">
            <v>ESO expense (post-tax)</v>
          </cell>
          <cell r="C315" t="str">
            <v>ESO_POST_TAX</v>
          </cell>
          <cell r="D315" t="e">
            <v>#NAME?</v>
          </cell>
        </row>
        <row r="316">
          <cell r="B316" t="str">
            <v>EPS (excl. ESO expense, basic)</v>
          </cell>
          <cell r="C316" t="str">
            <v>EPS_EX_ESO_B</v>
          </cell>
          <cell r="D316" t="e">
            <v>#NAME?</v>
          </cell>
        </row>
        <row r="317">
          <cell r="B317" t="str">
            <v>EPS (excl. ESO expense, diluted)</v>
          </cell>
          <cell r="C317" t="str">
            <v>EPS_EX_ESO_D</v>
          </cell>
          <cell r="D317" t="e">
            <v>#NAME?</v>
          </cell>
        </row>
        <row r="318">
          <cell r="B318" t="str">
            <v>Year that ESO expense takes effect</v>
          </cell>
          <cell r="C318" t="str">
            <v>ESO_YEAR</v>
          </cell>
        </row>
        <row r="319">
          <cell r="A319" t="str">
            <v>Balance Sheet</v>
          </cell>
        </row>
        <row r="320">
          <cell r="B320" t="str">
            <v>BVPS, book value per share</v>
          </cell>
          <cell r="C320" t="str">
            <v>BVPS</v>
          </cell>
          <cell r="D320" t="e">
            <v>#NAME?</v>
          </cell>
        </row>
        <row r="321">
          <cell r="A321" t="str">
            <v>Additional Balance Sheet Items</v>
          </cell>
        </row>
        <row r="322">
          <cell r="B322" t="str">
            <v>Total repurchase authorization</v>
          </cell>
          <cell r="C322" t="str">
            <v>REPUR_TOT_AUTH</v>
          </cell>
          <cell r="D322" t="e">
            <v>#NAME?</v>
          </cell>
        </row>
        <row r="323">
          <cell r="B323" t="str">
            <v>Remaining repurchase authorization</v>
          </cell>
          <cell r="C323" t="str">
            <v>REPUR_REMAINING</v>
          </cell>
          <cell r="D323" t="e">
            <v>#NAME?</v>
          </cell>
        </row>
        <row r="324">
          <cell r="B324" t="str">
            <v>Suspended repurchase authorization</v>
          </cell>
          <cell r="C324" t="str">
            <v>REPUR_SUSPENDED</v>
          </cell>
          <cell r="D324" t="e">
            <v>#NAME?</v>
          </cell>
        </row>
        <row r="325">
          <cell r="B325" t="str">
            <v>Shares repurchased during period</v>
          </cell>
          <cell r="C325" t="str">
            <v>REPUR_ACTUAL</v>
          </cell>
          <cell r="D325" t="e">
            <v>#NAME?</v>
          </cell>
        </row>
        <row r="326">
          <cell r="A326" t="str">
            <v>Cash Flow Statement</v>
          </cell>
        </row>
        <row r="327">
          <cell r="B327" t="str">
            <v>Net income (pre-preferred dividends)</v>
          </cell>
          <cell r="C327" t="str">
            <v>CF_NI_PRE_PREF</v>
          </cell>
          <cell r="D327" t="e">
            <v>#NAME?</v>
          </cell>
        </row>
        <row r="328">
          <cell r="A328" t="str">
            <v>Other Items</v>
          </cell>
        </row>
        <row r="329">
          <cell r="B329" t="str">
            <v>Beta</v>
          </cell>
          <cell r="C329" t="str">
            <v>BETA_ANALYST</v>
          </cell>
        </row>
        <row r="330">
          <cell r="B330" t="str">
            <v>Market equity risk premium</v>
          </cell>
          <cell r="C330" t="str">
            <v>MKT_EQ_RISK_PREM</v>
          </cell>
        </row>
        <row r="331">
          <cell r="B331" t="str">
            <v>Risk-free rate</v>
          </cell>
          <cell r="C331" t="str">
            <v>RISK_FR_RATE</v>
          </cell>
        </row>
      </sheetData>
      <sheetData sheetId="12">
        <row r="99">
          <cell r="BC99">
            <v>52.666000000000054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A1" t="str">
            <v>Issuer: Nutanix Inc.</v>
          </cell>
          <cell r="F1" t="str">
            <v>2012</v>
          </cell>
          <cell r="G1" t="str">
            <v>2013</v>
          </cell>
          <cell r="H1" t="str">
            <v>2014</v>
          </cell>
          <cell r="I1" t="str">
            <v>2015</v>
          </cell>
          <cell r="J1" t="str">
            <v>2016</v>
          </cell>
          <cell r="K1" t="str">
            <v>2017 Q1</v>
          </cell>
          <cell r="L1" t="str">
            <v>2017 Q2</v>
          </cell>
          <cell r="M1" t="str">
            <v>2017 Q3</v>
          </cell>
          <cell r="N1" t="str">
            <v>2017 Q4</v>
          </cell>
          <cell r="O1" t="str">
            <v>2017</v>
          </cell>
          <cell r="P1" t="str">
            <v>2018 Q1</v>
          </cell>
          <cell r="Q1" t="str">
            <v>2018 Q2</v>
          </cell>
          <cell r="R1" t="str">
            <v>2018 Q3</v>
          </cell>
          <cell r="S1" t="str">
            <v>2018 Q4</v>
          </cell>
          <cell r="T1" t="str">
            <v>2018</v>
          </cell>
          <cell r="U1" t="str">
            <v>2019 Q1</v>
          </cell>
          <cell r="V1" t="str">
            <v>2019 Q2</v>
          </cell>
          <cell r="W1" t="str">
            <v>2019 Q3</v>
          </cell>
          <cell r="X1" t="str">
            <v>2019 Q4</v>
          </cell>
          <cell r="Y1" t="str">
            <v>2019</v>
          </cell>
          <cell r="Z1" t="str">
            <v>2020 Q1</v>
          </cell>
          <cell r="AA1" t="str">
            <v>2020 Q2</v>
          </cell>
          <cell r="AB1" t="str">
            <v>2020 Q3</v>
          </cell>
          <cell r="AC1" t="str">
            <v>2020 Q4</v>
          </cell>
          <cell r="AD1" t="str">
            <v>2020</v>
          </cell>
          <cell r="AE1" t="str">
            <v>2021 Q1</v>
          </cell>
          <cell r="AF1" t="str">
            <v>2021 Q2</v>
          </cell>
          <cell r="AG1" t="str">
            <v>2021 Q3</v>
          </cell>
          <cell r="AH1" t="str">
            <v>2021 Q4</v>
          </cell>
          <cell r="AI1" t="str">
            <v>2021</v>
          </cell>
          <cell r="AJ1" t="str">
            <v>2022 Q1</v>
          </cell>
          <cell r="AK1" t="str">
            <v>2022 Q2</v>
          </cell>
          <cell r="AL1" t="str">
            <v>2022 Q3</v>
          </cell>
          <cell r="AM1" t="str">
            <v>2022 Q4</v>
          </cell>
          <cell r="AN1" t="str">
            <v>2022</v>
          </cell>
          <cell r="AO1" t="str">
            <v>2023 Q1</v>
          </cell>
          <cell r="AP1" t="str">
            <v>2023 Q2</v>
          </cell>
          <cell r="AQ1" t="str">
            <v>2023 Q3</v>
          </cell>
          <cell r="AR1" t="str">
            <v>2023 Q4</v>
          </cell>
          <cell r="AS1" t="str">
            <v>2023</v>
          </cell>
          <cell r="AT1" t="str">
            <v>2024 Q1</v>
          </cell>
          <cell r="AU1" t="str">
            <v>2024 Q2</v>
          </cell>
          <cell r="AV1" t="str">
            <v>2024 Q3</v>
          </cell>
          <cell r="AW1" t="str">
            <v>2024 Q4</v>
          </cell>
          <cell r="AX1" t="str">
            <v>2024</v>
          </cell>
          <cell r="AY1" t="str">
            <v>2025 Q1</v>
          </cell>
          <cell r="AZ1" t="str">
            <v>2025 Q2</v>
          </cell>
          <cell r="BA1" t="str">
            <v>2025 Q3</v>
          </cell>
          <cell r="BB1" t="str">
            <v>2025 Q4</v>
          </cell>
          <cell r="BC1">
            <v>2025</v>
          </cell>
          <cell r="BD1" t="str">
            <v>2026 Q1</v>
          </cell>
          <cell r="BE1" t="str">
            <v>2026 Q2</v>
          </cell>
          <cell r="BF1" t="str">
            <v>2026 Q3</v>
          </cell>
          <cell r="BG1" t="str">
            <v>2026 Q4</v>
          </cell>
          <cell r="BH1" t="str">
            <v>2026</v>
          </cell>
          <cell r="BI1" t="str">
            <v>2027 Q1</v>
          </cell>
          <cell r="BJ1" t="str">
            <v>2027 Q2</v>
          </cell>
          <cell r="BK1" t="str">
            <v>2027 Q3</v>
          </cell>
          <cell r="BL1" t="str">
            <v>2027 Q4</v>
          </cell>
          <cell r="BM1" t="str">
            <v>2027</v>
          </cell>
          <cell r="BN1" t="str">
            <v>2028 Q1</v>
          </cell>
          <cell r="BO1" t="str">
            <v>2028 Q2</v>
          </cell>
          <cell r="BP1" t="str">
            <v>2028 Q3</v>
          </cell>
          <cell r="BQ1" t="str">
            <v>2028 Q4</v>
          </cell>
          <cell r="BR1" t="str">
            <v>2028</v>
          </cell>
          <cell r="BS1" t="str">
            <v>2029 Q1</v>
          </cell>
          <cell r="BT1" t="str">
            <v>2029 Q2</v>
          </cell>
          <cell r="BU1" t="str">
            <v>2029 Q3</v>
          </cell>
          <cell r="BV1" t="str">
            <v>2029 Q4</v>
          </cell>
          <cell r="BW1" t="str">
            <v>2029</v>
          </cell>
          <cell r="BX1" t="str">
            <v>2030 Q1</v>
          </cell>
          <cell r="BY1" t="str">
            <v>2030 Q2</v>
          </cell>
          <cell r="BZ1" t="str">
            <v>2030 Q3</v>
          </cell>
          <cell r="CA1" t="str">
            <v>2030 Q4</v>
          </cell>
          <cell r="CB1" t="str">
            <v>2030</v>
          </cell>
        </row>
        <row r="2">
          <cell r="A2"/>
          <cell r="B2"/>
          <cell r="C2"/>
          <cell r="D2"/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Actual</v>
          </cell>
          <cell r="N2" t="str">
            <v>Actual</v>
          </cell>
          <cell r="O2" t="str">
            <v>Actual</v>
          </cell>
          <cell r="P2" t="str">
            <v>Actual</v>
          </cell>
          <cell r="Q2" t="str">
            <v>Actual</v>
          </cell>
          <cell r="R2" t="str">
            <v>Actual</v>
          </cell>
          <cell r="S2" t="str">
            <v>Actual</v>
          </cell>
          <cell r="T2" t="str">
            <v>Actual</v>
          </cell>
          <cell r="U2" t="str">
            <v>Actual</v>
          </cell>
          <cell r="V2" t="str">
            <v>Actual</v>
          </cell>
          <cell r="W2" t="str">
            <v>Actual</v>
          </cell>
          <cell r="X2" t="str">
            <v>Actual</v>
          </cell>
          <cell r="Y2" t="str">
            <v>Actual</v>
          </cell>
          <cell r="Z2" t="str">
            <v>Actual</v>
          </cell>
          <cell r="AA2" t="str">
            <v>Actual</v>
          </cell>
          <cell r="AB2" t="str">
            <v>Actual</v>
          </cell>
          <cell r="AC2" t="str">
            <v>Actual</v>
          </cell>
          <cell r="AD2" t="str">
            <v>Actual</v>
          </cell>
          <cell r="AE2" t="str">
            <v>Actual</v>
          </cell>
          <cell r="AF2" t="str">
            <v>Actual</v>
          </cell>
          <cell r="AG2" t="str">
            <v>Actual</v>
          </cell>
          <cell r="AH2" t="str">
            <v>Actual</v>
          </cell>
          <cell r="AI2" t="str">
            <v>Actual</v>
          </cell>
          <cell r="AJ2" t="str">
            <v>Actual</v>
          </cell>
          <cell r="AK2" t="str">
            <v>Actual</v>
          </cell>
          <cell r="AL2" t="str">
            <v>Actual</v>
          </cell>
          <cell r="AM2" t="str">
            <v>Actual</v>
          </cell>
          <cell r="AN2" t="str">
            <v>Actual</v>
          </cell>
          <cell r="AO2" t="str">
            <v>Actual</v>
          </cell>
          <cell r="AP2" t="str">
            <v>Actual</v>
          </cell>
          <cell r="AQ2" t="str">
            <v>Actual</v>
          </cell>
          <cell r="AR2" t="str">
            <v>Actual</v>
          </cell>
          <cell r="AS2" t="str">
            <v>Actual</v>
          </cell>
          <cell r="AT2" t="str">
            <v>Actual</v>
          </cell>
          <cell r="AU2" t="str">
            <v>Actual</v>
          </cell>
          <cell r="AV2" t="str">
            <v>Actual</v>
          </cell>
          <cell r="AW2" t="str">
            <v>Actual</v>
          </cell>
          <cell r="AX2" t="str">
            <v>Actual</v>
          </cell>
          <cell r="AY2" t="str">
            <v>Actual</v>
          </cell>
          <cell r="AZ2" t="str">
            <v>Actual</v>
          </cell>
          <cell r="BA2" t="str">
            <v>Estimate</v>
          </cell>
          <cell r="BB2" t="str">
            <v>Estimate</v>
          </cell>
          <cell r="BC2" t="str">
            <v>Estimate</v>
          </cell>
          <cell r="BD2" t="str">
            <v>Estimate</v>
          </cell>
          <cell r="BE2" t="str">
            <v>Estimate</v>
          </cell>
          <cell r="BF2" t="str">
            <v>Estimate</v>
          </cell>
          <cell r="BG2" t="str">
            <v>Estimate</v>
          </cell>
          <cell r="BH2" t="str">
            <v>Estimate</v>
          </cell>
          <cell r="BI2" t="str">
            <v>Estimate</v>
          </cell>
          <cell r="BJ2" t="str">
            <v>Estimate</v>
          </cell>
          <cell r="BK2" t="str">
            <v>Estimate</v>
          </cell>
          <cell r="BL2" t="str">
            <v>Estimate</v>
          </cell>
          <cell r="BM2" t="str">
            <v>Estimate</v>
          </cell>
          <cell r="BN2" t="str">
            <v>Estimate</v>
          </cell>
          <cell r="BO2" t="str">
            <v>Estimate</v>
          </cell>
          <cell r="BP2" t="str">
            <v>Estimate</v>
          </cell>
          <cell r="BQ2" t="str">
            <v>Estimate</v>
          </cell>
          <cell r="BR2" t="str">
            <v>Estimate</v>
          </cell>
          <cell r="BS2" t="str">
            <v>Estimate</v>
          </cell>
          <cell r="BT2" t="str">
            <v>Estimate</v>
          </cell>
          <cell r="BU2" t="str">
            <v>Estimate</v>
          </cell>
          <cell r="BV2" t="str">
            <v>Estimate</v>
          </cell>
          <cell r="BW2" t="str">
            <v>Estimate</v>
          </cell>
          <cell r="BX2" t="str">
            <v>Estimate</v>
          </cell>
          <cell r="BY2" t="str">
            <v>Estimate</v>
          </cell>
          <cell r="BZ2" t="str">
            <v>Estimate</v>
          </cell>
          <cell r="CA2" t="str">
            <v>Estimate</v>
          </cell>
          <cell r="CB2" t="str">
            <v>Estimate</v>
          </cell>
        </row>
        <row r="3">
          <cell r="A3"/>
          <cell r="B3"/>
          <cell r="C3"/>
          <cell r="D3"/>
          <cell r="F3">
            <v>41121</v>
          </cell>
          <cell r="G3">
            <v>41486</v>
          </cell>
          <cell r="H3">
            <v>41851</v>
          </cell>
          <cell r="I3">
            <v>42216</v>
          </cell>
          <cell r="J3">
            <v>42582</v>
          </cell>
          <cell r="K3">
            <v>42674</v>
          </cell>
          <cell r="L3">
            <v>42766</v>
          </cell>
          <cell r="M3">
            <v>42855</v>
          </cell>
          <cell r="N3">
            <v>42947</v>
          </cell>
          <cell r="O3">
            <v>42947</v>
          </cell>
          <cell r="P3">
            <v>43039</v>
          </cell>
          <cell r="Q3">
            <v>43131</v>
          </cell>
          <cell r="R3">
            <v>43220</v>
          </cell>
          <cell r="S3">
            <v>43312</v>
          </cell>
          <cell r="T3">
            <v>43312</v>
          </cell>
          <cell r="U3">
            <v>43404</v>
          </cell>
          <cell r="V3">
            <v>43496</v>
          </cell>
          <cell r="W3">
            <v>43585</v>
          </cell>
          <cell r="X3">
            <v>43677</v>
          </cell>
          <cell r="Y3">
            <v>43677</v>
          </cell>
          <cell r="Z3">
            <v>43769</v>
          </cell>
          <cell r="AA3">
            <v>43861</v>
          </cell>
          <cell r="AB3">
            <v>43951</v>
          </cell>
          <cell r="AC3">
            <v>44043</v>
          </cell>
          <cell r="AD3">
            <v>44043</v>
          </cell>
          <cell r="AE3">
            <v>44135</v>
          </cell>
          <cell r="AF3">
            <v>44227</v>
          </cell>
          <cell r="AG3">
            <v>44316</v>
          </cell>
          <cell r="AH3">
            <v>44408</v>
          </cell>
          <cell r="AI3">
            <v>44408</v>
          </cell>
          <cell r="AJ3">
            <v>44500</v>
          </cell>
          <cell r="AK3">
            <v>44592</v>
          </cell>
          <cell r="AL3">
            <v>44681</v>
          </cell>
          <cell r="AM3">
            <v>44773</v>
          </cell>
          <cell r="AN3">
            <v>44773</v>
          </cell>
          <cell r="AO3">
            <v>44865</v>
          </cell>
          <cell r="AP3">
            <v>44957</v>
          </cell>
          <cell r="AQ3">
            <v>45046</v>
          </cell>
          <cell r="AR3">
            <v>45138</v>
          </cell>
          <cell r="AS3">
            <v>45138</v>
          </cell>
          <cell r="AT3">
            <v>45230</v>
          </cell>
          <cell r="AU3">
            <v>45322</v>
          </cell>
          <cell r="AV3">
            <v>45412</v>
          </cell>
          <cell r="AW3">
            <v>45504</v>
          </cell>
          <cell r="AX3">
            <v>45504</v>
          </cell>
          <cell r="AY3">
            <v>45596</v>
          </cell>
          <cell r="AZ3">
            <v>45688</v>
          </cell>
          <cell r="BA3">
            <v>45777</v>
          </cell>
          <cell r="BB3">
            <v>45869</v>
          </cell>
          <cell r="BC3">
            <v>45869</v>
          </cell>
          <cell r="BD3">
            <v>45961</v>
          </cell>
          <cell r="BE3">
            <v>46053</v>
          </cell>
          <cell r="BF3">
            <v>46142</v>
          </cell>
          <cell r="BG3">
            <v>46234</v>
          </cell>
          <cell r="BH3">
            <v>46234</v>
          </cell>
          <cell r="BI3">
            <v>46326</v>
          </cell>
          <cell r="BJ3">
            <v>46418</v>
          </cell>
          <cell r="BK3">
            <v>46507</v>
          </cell>
          <cell r="BL3">
            <v>46599</v>
          </cell>
          <cell r="BM3">
            <v>46599</v>
          </cell>
          <cell r="BN3">
            <v>46691</v>
          </cell>
          <cell r="BO3">
            <v>46783</v>
          </cell>
          <cell r="BP3">
            <v>46873</v>
          </cell>
          <cell r="BQ3">
            <v>46965</v>
          </cell>
          <cell r="BR3">
            <v>46965</v>
          </cell>
          <cell r="BS3">
            <v>47057</v>
          </cell>
          <cell r="BT3">
            <v>47149</v>
          </cell>
          <cell r="BU3">
            <v>47238</v>
          </cell>
          <cell r="BV3">
            <v>47330</v>
          </cell>
          <cell r="BW3">
            <v>47330</v>
          </cell>
          <cell r="BX3">
            <v>47422</v>
          </cell>
          <cell r="BY3">
            <v>47514</v>
          </cell>
          <cell r="BZ3">
            <v>47603</v>
          </cell>
          <cell r="CA3">
            <v>47695</v>
          </cell>
          <cell r="CB3">
            <v>47695</v>
          </cell>
        </row>
        <row r="4">
          <cell r="A4" t="str">
            <v>Issuer: Nutanix Inc.</v>
          </cell>
          <cell r="B4"/>
          <cell r="C4"/>
          <cell r="D4"/>
        </row>
        <row r="5">
          <cell r="A5" t="str">
            <v>Reference Data</v>
          </cell>
          <cell r="B5"/>
          <cell r="C5"/>
          <cell r="D5"/>
        </row>
        <row r="6">
          <cell r="B6" t="str">
            <v>Issuer Name</v>
          </cell>
          <cell r="C6" t="str">
            <v>Issuer Name</v>
          </cell>
          <cell r="E6" t="str">
            <v>Nutanix Inc.</v>
          </cell>
        </row>
        <row r="7">
          <cell r="B7" t="str">
            <v>Reporting Currency</v>
          </cell>
          <cell r="C7" t="str">
            <v>CURRENCY_ISO</v>
          </cell>
          <cell r="E7" t="str">
            <v>USD</v>
          </cell>
        </row>
        <row r="8">
          <cell r="A8" t="str">
            <v>General Information</v>
          </cell>
          <cell r="B8"/>
          <cell r="C8"/>
          <cell r="D8"/>
        </row>
        <row r="9">
          <cell r="B9" t="str">
            <v>M&amp;A probability (1 = high, 3 = low)</v>
          </cell>
          <cell r="C9" t="str">
            <v>MA_PROB</v>
          </cell>
          <cell r="E9">
            <v>3</v>
          </cell>
        </row>
        <row r="10">
          <cell r="A10" t="str">
            <v>Income Statement</v>
          </cell>
          <cell r="B10"/>
          <cell r="C10"/>
          <cell r="D10"/>
          <cell r="F10" t="str">
            <v>FY12 (A)</v>
          </cell>
          <cell r="G10" t="str">
            <v>FY13 (A)</v>
          </cell>
          <cell r="H10" t="str">
            <v>FY14 (A)</v>
          </cell>
          <cell r="I10" t="str">
            <v>FY15 (A)</v>
          </cell>
          <cell r="J10" t="str">
            <v>FY16 (A)</v>
          </cell>
          <cell r="K10" t="str">
            <v>1Q17 (A)</v>
          </cell>
          <cell r="L10" t="str">
            <v>2Q17 (A)</v>
          </cell>
          <cell r="M10" t="str">
            <v>3Q17 (A)</v>
          </cell>
          <cell r="N10" t="str">
            <v>4Q17 (A)</v>
          </cell>
          <cell r="O10" t="str">
            <v>FY17 (A)</v>
          </cell>
          <cell r="P10" t="str">
            <v>1Q18 (A)</v>
          </cell>
          <cell r="Q10" t="str">
            <v>2Q18 (A)</v>
          </cell>
          <cell r="R10" t="str">
            <v>3Q18 (A)</v>
          </cell>
          <cell r="S10" t="str">
            <v>4Q18 (A)</v>
          </cell>
          <cell r="T10" t="str">
            <v>FY18 (A)</v>
          </cell>
          <cell r="U10" t="str">
            <v>1Q19 (A)</v>
          </cell>
          <cell r="V10" t="str">
            <v>2Q19 (A)</v>
          </cell>
          <cell r="W10" t="str">
            <v>3Q19 (A)</v>
          </cell>
          <cell r="X10" t="str">
            <v>4Q19 (A)</v>
          </cell>
          <cell r="Y10" t="str">
            <v>FY19 (A)</v>
          </cell>
          <cell r="Z10" t="str">
            <v>1Q20 (A)</v>
          </cell>
          <cell r="AA10" t="str">
            <v>2Q20 (A)</v>
          </cell>
          <cell r="AB10" t="str">
            <v>3Q20 (A)</v>
          </cell>
          <cell r="AC10" t="str">
            <v>4Q20 (A)</v>
          </cell>
          <cell r="AD10" t="str">
            <v>FY20 (A)</v>
          </cell>
          <cell r="AE10" t="str">
            <v>1Q21 (A)</v>
          </cell>
          <cell r="AF10" t="str">
            <v>2Q21 (A)</v>
          </cell>
          <cell r="AG10" t="str">
            <v>3Q21 (A)</v>
          </cell>
          <cell r="AH10" t="str">
            <v>4Q21 (A)</v>
          </cell>
          <cell r="AI10" t="str">
            <v>FY21 (A)</v>
          </cell>
          <cell r="AJ10" t="str">
            <v>1Q22 (A)</v>
          </cell>
          <cell r="AK10" t="str">
            <v>2Q22 (A)</v>
          </cell>
          <cell r="AL10" t="str">
            <v>3Q22 (A)</v>
          </cell>
          <cell r="AM10" t="str">
            <v>4Q22 (A)</v>
          </cell>
          <cell r="AN10" t="str">
            <v>FY22 (A)</v>
          </cell>
          <cell r="AO10" t="str">
            <v>1Q23 (A)</v>
          </cell>
          <cell r="AP10" t="str">
            <v>2Q23 (A)</v>
          </cell>
          <cell r="AQ10" t="str">
            <v>3Q23 (A)</v>
          </cell>
          <cell r="AR10" t="str">
            <v>4Q23 (A)</v>
          </cell>
          <cell r="AS10" t="str">
            <v>FY23 (A)</v>
          </cell>
          <cell r="AT10" t="str">
            <v>1Q24 (A)</v>
          </cell>
          <cell r="AU10" t="str">
            <v>2Q24 (A)</v>
          </cell>
          <cell r="AV10" t="str">
            <v>3Q24 (A)</v>
          </cell>
          <cell r="AW10" t="str">
            <v>4Q24 (A)</v>
          </cell>
          <cell r="AX10" t="str">
            <v>FY24 (A)</v>
          </cell>
          <cell r="AY10" t="str">
            <v>1Q25 (A)</v>
          </cell>
          <cell r="AZ10" t="str">
            <v>2Q25 (A)</v>
          </cell>
          <cell r="BA10" t="str">
            <v>3Q25 (E)</v>
          </cell>
          <cell r="BB10" t="str">
            <v>4Q25 (E)</v>
          </cell>
          <cell r="BC10" t="str">
            <v>FY25 (E)</v>
          </cell>
          <cell r="BD10" t="str">
            <v>1Q26 (E)</v>
          </cell>
          <cell r="BE10" t="str">
            <v>2Q26 (E)</v>
          </cell>
          <cell r="BF10" t="str">
            <v>3Q26 (E)</v>
          </cell>
          <cell r="BG10" t="str">
            <v>4Q26 (E)</v>
          </cell>
          <cell r="BH10" t="str">
            <v>FY26 (E)</v>
          </cell>
          <cell r="BI10" t="str">
            <v>1Q27 (E)</v>
          </cell>
          <cell r="BJ10" t="str">
            <v>2Q27 (E)</v>
          </cell>
          <cell r="BK10" t="str">
            <v>3Q27 (E)</v>
          </cell>
          <cell r="BL10" t="str">
            <v>4Q27 (E)</v>
          </cell>
          <cell r="BM10" t="str">
            <v>FY27 (E)</v>
          </cell>
          <cell r="BN10" t="str">
            <v>1Q28 (E)</v>
          </cell>
          <cell r="BO10" t="str">
            <v>2Q28 (E)</v>
          </cell>
          <cell r="BP10" t="str">
            <v>3Q28 (E)</v>
          </cell>
          <cell r="BQ10" t="str">
            <v>4Q28 (E)</v>
          </cell>
          <cell r="BR10" t="str">
            <v>FY28 (E)</v>
          </cell>
          <cell r="BS10" t="str">
            <v>1Q29 (E)</v>
          </cell>
          <cell r="BT10" t="str">
            <v>2Q29 (E)</v>
          </cell>
          <cell r="BU10" t="str">
            <v>3Q29 (E)</v>
          </cell>
          <cell r="BV10" t="str">
            <v>4Q29 (E)</v>
          </cell>
          <cell r="BW10" t="str">
            <v>FY29 (E)</v>
          </cell>
          <cell r="BX10" t="str">
            <v>1Q30 (E)</v>
          </cell>
          <cell r="BY10" t="str">
            <v>2Q30 (E)</v>
          </cell>
          <cell r="BZ10" t="str">
            <v>3Q30 (E)</v>
          </cell>
          <cell r="CA10" t="str">
            <v>4Q30 (E)</v>
          </cell>
          <cell r="CB10" t="str">
            <v>FY30 (E)</v>
          </cell>
        </row>
        <row r="11">
          <cell r="B11" t="str">
            <v>Sales, net revenue</v>
          </cell>
          <cell r="C11" t="str">
            <v>SALES</v>
          </cell>
          <cell r="D11" t="str">
            <v>USD</v>
          </cell>
          <cell r="F11">
            <v>6.5860000000000003</v>
          </cell>
          <cell r="G11">
            <v>30.533000000000001</v>
          </cell>
          <cell r="H11">
            <v>127.127</v>
          </cell>
          <cell r="I11">
            <v>241.43199999999999</v>
          </cell>
          <cell r="J11">
            <v>503.41</v>
          </cell>
          <cell r="K11">
            <v>188.56100000000001</v>
          </cell>
          <cell r="L11">
            <v>199.214</v>
          </cell>
          <cell r="M11">
            <v>205.67</v>
          </cell>
          <cell r="N11">
            <v>252.458</v>
          </cell>
          <cell r="O11">
            <v>845.90300000000002</v>
          </cell>
          <cell r="P11">
            <v>275.55200000000002</v>
          </cell>
          <cell r="Q11">
            <v>286.74399999999997</v>
          </cell>
          <cell r="R11">
            <v>289.41300000000001</v>
          </cell>
          <cell r="S11">
            <v>303.74799999999999</v>
          </cell>
          <cell r="T11">
            <v>1155.4569999999999</v>
          </cell>
          <cell r="U11">
            <v>313.28300000000002</v>
          </cell>
          <cell r="V11">
            <v>335.36</v>
          </cell>
          <cell r="W11">
            <v>287.62400000000002</v>
          </cell>
          <cell r="X11">
            <v>299.87599999999998</v>
          </cell>
          <cell r="Y11">
            <v>1236.143</v>
          </cell>
          <cell r="Z11">
            <v>314.76799999999997</v>
          </cell>
          <cell r="AA11">
            <v>346.767</v>
          </cell>
          <cell r="AB11">
            <v>318.27300000000002</v>
          </cell>
          <cell r="AC11">
            <v>327.87400000000002</v>
          </cell>
          <cell r="AD11">
            <v>1307.6819999999998</v>
          </cell>
          <cell r="AE11">
            <v>312.75400000000002</v>
          </cell>
          <cell r="AF11">
            <v>346.38200000000001</v>
          </cell>
          <cell r="AG11">
            <v>344.50799999999998</v>
          </cell>
          <cell r="AH11">
            <v>390.72</v>
          </cell>
          <cell r="AI11">
            <v>1394.364</v>
          </cell>
          <cell r="AJ11">
            <v>378.517</v>
          </cell>
          <cell r="AK11">
            <v>413.08100000000002</v>
          </cell>
          <cell r="AL11">
            <v>403.65800000000002</v>
          </cell>
          <cell r="AM11">
            <v>385.53999999999996</v>
          </cell>
          <cell r="AN11">
            <v>1580.7959999999998</v>
          </cell>
          <cell r="AO11">
            <v>433.60900000000004</v>
          </cell>
          <cell r="AP11">
            <v>486.495</v>
          </cell>
          <cell r="AQ11">
            <v>448.58100000000002</v>
          </cell>
          <cell r="AR11">
            <v>494.21000000000004</v>
          </cell>
          <cell r="AS11">
            <v>1862.895</v>
          </cell>
          <cell r="AT11">
            <v>511.05399999999997</v>
          </cell>
          <cell r="AU11">
            <v>565.23299999999995</v>
          </cell>
          <cell r="AV11">
            <v>524.577</v>
          </cell>
          <cell r="AW11">
            <v>547.952</v>
          </cell>
          <cell r="AX11">
            <v>2148.8159999999998</v>
          </cell>
          <cell r="AY11">
            <v>590.9559999999999</v>
          </cell>
          <cell r="AZ11">
            <v>654.721</v>
          </cell>
          <cell r="BA11">
            <v>625.05342387470989</v>
          </cell>
          <cell r="BB11">
            <v>634.31378036939304</v>
          </cell>
          <cell r="BC11">
            <v>2505.0442042441027</v>
          </cell>
          <cell r="BD11">
            <v>689.44532772038724</v>
          </cell>
          <cell r="BE11">
            <v>755.78863548831373</v>
          </cell>
          <cell r="BF11">
            <v>710.32947702807428</v>
          </cell>
          <cell r="BG11">
            <v>722.11529395258208</v>
          </cell>
          <cell r="BH11">
            <v>2877.6787341893569</v>
          </cell>
          <cell r="BI11">
            <v>795.31008219311707</v>
          </cell>
          <cell r="BJ11">
            <v>868.8123797485523</v>
          </cell>
          <cell r="BK11">
            <v>806.10213766249888</v>
          </cell>
          <cell r="BL11">
            <v>819.55046470760738</v>
          </cell>
          <cell r="BM11">
            <v>3289.7750643117756</v>
          </cell>
          <cell r="BN11">
            <v>914.68492742977799</v>
          </cell>
          <cell r="BO11">
            <v>995.54070764522817</v>
          </cell>
          <cell r="BP11">
            <v>912.43915902530557</v>
          </cell>
          <cell r="BQ11">
            <v>927.26990030480863</v>
          </cell>
          <cell r="BR11">
            <v>3749.9346944051204</v>
          </cell>
          <cell r="BS11">
            <v>1048.7723778894785</v>
          </cell>
          <cell r="BT11">
            <v>1137.1557155352955</v>
          </cell>
          <cell r="BU11">
            <v>1029.9131825874588</v>
          </cell>
          <cell r="BV11">
            <v>1046.1289270840809</v>
          </cell>
          <cell r="BW11">
            <v>4261.9702030963144</v>
          </cell>
          <cell r="BX11">
            <v>1199.1382665320657</v>
          </cell>
          <cell r="BY11">
            <v>1295.1543341290935</v>
          </cell>
          <cell r="BZ11">
            <v>1159.4316462980196</v>
          </cell>
          <cell r="CA11">
            <v>1177.1165663234524</v>
          </cell>
          <cell r="CB11">
            <v>4830.8408132826316</v>
          </cell>
        </row>
        <row r="12">
          <cell r="B12" t="str">
            <v>Cost of goods sold, COGS</v>
          </cell>
          <cell r="C12" t="str">
            <v>COST_GD_SD</v>
          </cell>
          <cell r="D12" t="str">
            <v>USD</v>
          </cell>
          <cell r="F12">
            <v>-4.7530000000000001</v>
          </cell>
          <cell r="G12">
            <v>-26.503</v>
          </cell>
          <cell r="H12">
            <v>-60.593999999999994</v>
          </cell>
          <cell r="I12">
            <v>-99.878000000000014</v>
          </cell>
          <cell r="J12">
            <v>-169.428</v>
          </cell>
          <cell r="K12">
            <v>-65.207999999999998</v>
          </cell>
          <cell r="L12">
            <v>-73.248999999999995</v>
          </cell>
          <cell r="M12">
            <v>-79.76700000000001</v>
          </cell>
          <cell r="N12">
            <v>-94.316000000000003</v>
          </cell>
          <cell r="O12">
            <v>-312.53999999999996</v>
          </cell>
          <cell r="P12">
            <v>-105.08500000000002</v>
          </cell>
          <cell r="Q12">
            <v>-104.547</v>
          </cell>
          <cell r="R12">
            <v>-91.582999999999998</v>
          </cell>
          <cell r="S12">
            <v>-67.649000000000001</v>
          </cell>
          <cell r="T12">
            <v>-368.86400000000003</v>
          </cell>
          <cell r="U12">
            <v>-67.082999999999998</v>
          </cell>
          <cell r="V12">
            <v>-77.882000000000005</v>
          </cell>
          <cell r="W12">
            <v>-65.888000000000005</v>
          </cell>
          <cell r="X12">
            <v>-60.003</v>
          </cell>
          <cell r="Y12">
            <v>-270.85599999999999</v>
          </cell>
          <cell r="Z12">
            <v>-62.644000000000005</v>
          </cell>
          <cell r="AA12">
            <v>-64.393999999999991</v>
          </cell>
          <cell r="AB12">
            <v>-61.272999999999996</v>
          </cell>
          <cell r="AC12">
            <v>-55.714999999999996</v>
          </cell>
          <cell r="AD12">
            <v>-244.02600000000001</v>
          </cell>
          <cell r="AE12">
            <v>-56.713000000000001</v>
          </cell>
          <cell r="AF12">
            <v>-59.837000000000003</v>
          </cell>
          <cell r="AG12">
            <v>-63.152000000000001</v>
          </cell>
          <cell r="AH12">
            <v>-66.932000000000002</v>
          </cell>
          <cell r="AI12">
            <v>-246.63399999999999</v>
          </cell>
          <cell r="AJ12">
            <v>-67.768000000000001</v>
          </cell>
          <cell r="AK12">
            <v>-66.847000000000008</v>
          </cell>
          <cell r="AL12">
            <v>-67.343999999999994</v>
          </cell>
          <cell r="AM12">
            <v>-67.175000000000011</v>
          </cell>
          <cell r="AN12">
            <v>-269.13400000000001</v>
          </cell>
          <cell r="AO12">
            <v>-71.914999999999992</v>
          </cell>
          <cell r="AP12">
            <v>-74.024000000000015</v>
          </cell>
          <cell r="AQ12">
            <v>-71.594999999999999</v>
          </cell>
          <cell r="AR12">
            <v>-69.975999999999999</v>
          </cell>
          <cell r="AS12">
            <v>-287.51</v>
          </cell>
          <cell r="AT12">
            <v>-71.804000000000002</v>
          </cell>
          <cell r="AU12">
            <v>-71.927000000000007</v>
          </cell>
          <cell r="AV12">
            <v>-70.885999999999996</v>
          </cell>
          <cell r="AW12">
            <v>-71.995999999999995</v>
          </cell>
          <cell r="AX12">
            <v>-286.61299999999994</v>
          </cell>
          <cell r="AY12">
            <v>-73.870999999999995</v>
          </cell>
          <cell r="AZ12">
            <v>-76.384</v>
          </cell>
          <cell r="BA12">
            <v>-78.684994546930056</v>
          </cell>
          <cell r="BB12">
            <v>-81.410176724201861</v>
          </cell>
          <cell r="BC12">
            <v>-310.3501712711319</v>
          </cell>
          <cell r="BD12">
            <v>-84.781282820494454</v>
          </cell>
          <cell r="BE12">
            <v>-88.175206130763129</v>
          </cell>
          <cell r="BF12">
            <v>-89.419990182601026</v>
          </cell>
          <cell r="BG12">
            <v>-92.678947731032608</v>
          </cell>
          <cell r="BH12">
            <v>-355.05542686489122</v>
          </cell>
          <cell r="BI12">
            <v>-97.799500986322357</v>
          </cell>
          <cell r="BJ12">
            <v>-101.36128948775651</v>
          </cell>
          <cell r="BK12">
            <v>-101.47635367398033</v>
          </cell>
          <cell r="BL12">
            <v>-105.18413793153569</v>
          </cell>
          <cell r="BM12">
            <v>-405.82128207959488</v>
          </cell>
          <cell r="BN12">
            <v>-112.47905875361599</v>
          </cell>
          <cell r="BO12">
            <v>-116.1462384936074</v>
          </cell>
          <cell r="BP12">
            <v>-114.86261415424671</v>
          </cell>
          <cell r="BQ12">
            <v>-119.00924872054065</v>
          </cell>
          <cell r="BR12">
            <v>-462.49716012201077</v>
          </cell>
          <cell r="BS12">
            <v>-128.96782965832415</v>
          </cell>
          <cell r="BT12">
            <v>-132.66796417931917</v>
          </cell>
          <cell r="BU12">
            <v>-129.65085872715667</v>
          </cell>
          <cell r="BV12">
            <v>-134.26405584412572</v>
          </cell>
          <cell r="BW12">
            <v>-525.55070840892574</v>
          </cell>
          <cell r="BX12">
            <v>-147.45836461301508</v>
          </cell>
          <cell r="BY12">
            <v>-151.10110819435562</v>
          </cell>
          <cell r="BZ12">
            <v>-145.95532042839363</v>
          </cell>
          <cell r="CA12">
            <v>-151.07549395122979</v>
          </cell>
          <cell r="CB12">
            <v>-595.59028718699415</v>
          </cell>
        </row>
        <row r="13">
          <cell r="B13" t="str">
            <v>SG&amp;A, selling, general and admin. expense</v>
          </cell>
          <cell r="C13" t="str">
            <v>SEL_GL_AD</v>
          </cell>
          <cell r="D13" t="str">
            <v>USD</v>
          </cell>
          <cell r="F13">
            <v>-8.2199999999999989</v>
          </cell>
          <cell r="G13">
            <v>-30.978999999999999</v>
          </cell>
          <cell r="H13">
            <v>-103.19800000000001</v>
          </cell>
          <cell r="I13">
            <v>-175.08</v>
          </cell>
          <cell r="J13">
            <v>-308.41099999999994</v>
          </cell>
          <cell r="K13">
            <v>-104.58600000000001</v>
          </cell>
          <cell r="L13">
            <v>-105.70999999999998</v>
          </cell>
          <cell r="M13">
            <v>-122.173</v>
          </cell>
          <cell r="N13">
            <v>-133.41200000000001</v>
          </cell>
          <cell r="O13">
            <v>-465.88100000000003</v>
          </cell>
          <cell r="P13">
            <v>-143.63300000000001</v>
          </cell>
          <cell r="Q13">
            <v>-148.49499999999998</v>
          </cell>
          <cell r="R13">
            <v>-167.58100000000002</v>
          </cell>
          <cell r="S13">
            <v>-184.14700000000002</v>
          </cell>
          <cell r="T13">
            <v>-643.85599999999999</v>
          </cell>
          <cell r="U13">
            <v>-192.54300000000001</v>
          </cell>
          <cell r="V13">
            <v>-208.14400000000001</v>
          </cell>
          <cell r="W13">
            <v>-230.79900000000001</v>
          </cell>
          <cell r="X13">
            <v>-247.881</v>
          </cell>
          <cell r="Y13">
            <v>-879.36699999999996</v>
          </cell>
          <cell r="Z13">
            <v>-285.69400000000002</v>
          </cell>
          <cell r="AA13">
            <v>-296.15199999999999</v>
          </cell>
          <cell r="AB13">
            <v>-288.37599999999998</v>
          </cell>
          <cell r="AC13">
            <v>-250.21499999999997</v>
          </cell>
          <cell r="AD13">
            <v>-1120.4369999999999</v>
          </cell>
          <cell r="AE13">
            <v>-245.86099999999999</v>
          </cell>
          <cell r="AF13">
            <v>-254.01400000000001</v>
          </cell>
          <cell r="AG13">
            <v>-257.37099999999998</v>
          </cell>
          <cell r="AH13">
            <v>-266.827</v>
          </cell>
          <cell r="AI13">
            <v>-1024.0730000000001</v>
          </cell>
          <cell r="AJ13">
            <v>-246.93199999999999</v>
          </cell>
          <cell r="AK13">
            <v>-241.53299999999999</v>
          </cell>
          <cell r="AL13">
            <v>-235.2</v>
          </cell>
          <cell r="AM13">
            <v>-246.60899999999998</v>
          </cell>
          <cell r="AN13">
            <v>-970.27399999999989</v>
          </cell>
          <cell r="AO13">
            <v>-242.29300000000001</v>
          </cell>
          <cell r="AP13">
            <v>-236.71799999999999</v>
          </cell>
          <cell r="AQ13">
            <v>-248.78399999999999</v>
          </cell>
          <cell r="AR13">
            <v>-246.36700000000002</v>
          </cell>
          <cell r="AS13">
            <v>-974.16200000000003</v>
          </cell>
          <cell r="AT13">
            <v>-246.19299999999998</v>
          </cell>
          <cell r="AU13">
            <v>-249.56799999999998</v>
          </cell>
          <cell r="AV13">
            <v>-259.91399999999999</v>
          </cell>
          <cell r="AW13">
            <v>-277.21300000000002</v>
          </cell>
          <cell r="AX13">
            <v>-1032.8879999999999</v>
          </cell>
          <cell r="AY13">
            <v>-268.46700000000004</v>
          </cell>
          <cell r="AZ13">
            <v>-281.02800000000002</v>
          </cell>
          <cell r="BA13">
            <v>-300.32160362336225</v>
          </cell>
          <cell r="BB13">
            <v>-331.05308872097572</v>
          </cell>
          <cell r="BC13">
            <v>-1180.8696923443379</v>
          </cell>
          <cell r="BD13">
            <v>-306.31552986385776</v>
          </cell>
          <cell r="BE13">
            <v>-316.85169979556849</v>
          </cell>
          <cell r="BF13">
            <v>-334.19119221868471</v>
          </cell>
          <cell r="BG13">
            <v>-369.65619999523426</v>
          </cell>
          <cell r="BH13">
            <v>-1327.0146218733453</v>
          </cell>
          <cell r="BI13">
            <v>-345.39736721090787</v>
          </cell>
          <cell r="BJ13">
            <v>-355.54688371741418</v>
          </cell>
          <cell r="BK13">
            <v>-371.18866929165858</v>
          </cell>
          <cell r="BL13">
            <v>-411.33848531995528</v>
          </cell>
          <cell r="BM13">
            <v>-1483.4714055399359</v>
          </cell>
          <cell r="BN13">
            <v>-388.09414242864864</v>
          </cell>
          <cell r="BO13">
            <v>-397.45291774453159</v>
          </cell>
          <cell r="BP13">
            <v>-411.0296576600241</v>
          </cell>
          <cell r="BQ13">
            <v>-456.13097374118803</v>
          </cell>
          <cell r="BR13">
            <v>-1652.7076915743924</v>
          </cell>
          <cell r="BS13">
            <v>-434.49874576268365</v>
          </cell>
          <cell r="BT13">
            <v>-442.61877553372148</v>
          </cell>
          <cell r="BU13">
            <v>-453.6494598924786</v>
          </cell>
          <cell r="BV13">
            <v>-504.13732545053858</v>
          </cell>
          <cell r="BW13">
            <v>-1834.9043066394224</v>
          </cell>
          <cell r="BX13">
            <v>-484.80285389983004</v>
          </cell>
          <cell r="BY13">
            <v>-491.16554253164963</v>
          </cell>
          <cell r="BZ13">
            <v>-499.10459390918481</v>
          </cell>
          <cell r="CA13">
            <v>-555.49007922358328</v>
          </cell>
          <cell r="CB13">
            <v>-2030.5630695642476</v>
          </cell>
        </row>
        <row r="14">
          <cell r="B14" t="str">
            <v>Total operating expense</v>
          </cell>
          <cell r="C14" t="str">
            <v>OP_COST</v>
          </cell>
          <cell r="D14" t="str">
            <v>USD</v>
          </cell>
          <cell r="F14">
            <v>-12.972999999999999</v>
          </cell>
          <cell r="G14">
            <v>-57.481999999999999</v>
          </cell>
          <cell r="H14">
            <v>-163.792</v>
          </cell>
          <cell r="I14">
            <v>-274.95800000000003</v>
          </cell>
          <cell r="J14">
            <v>-477.83899999999994</v>
          </cell>
          <cell r="K14">
            <v>-169.79400000000001</v>
          </cell>
          <cell r="L14">
            <v>-178.95899999999997</v>
          </cell>
          <cell r="M14">
            <v>-201.94</v>
          </cell>
          <cell r="N14">
            <v>-227.72800000000001</v>
          </cell>
          <cell r="O14">
            <v>-778.42100000000005</v>
          </cell>
          <cell r="P14">
            <v>-248.71800000000002</v>
          </cell>
          <cell r="Q14">
            <v>-253.04199999999997</v>
          </cell>
          <cell r="R14">
            <v>-259.16399999999999</v>
          </cell>
          <cell r="S14">
            <v>-251.79600000000002</v>
          </cell>
          <cell r="T14">
            <v>-1012.72</v>
          </cell>
          <cell r="U14">
            <v>-259.62599999999998</v>
          </cell>
          <cell r="V14">
            <v>-286.02600000000001</v>
          </cell>
          <cell r="W14">
            <v>-296.68700000000001</v>
          </cell>
          <cell r="X14">
            <v>-307.88400000000001</v>
          </cell>
          <cell r="Y14">
            <v>-1150.223</v>
          </cell>
          <cell r="Z14">
            <v>-348.33800000000002</v>
          </cell>
          <cell r="AA14">
            <v>-360.54599999999999</v>
          </cell>
          <cell r="AB14">
            <v>-349.649</v>
          </cell>
          <cell r="AC14">
            <v>-305.92999999999995</v>
          </cell>
          <cell r="AD14">
            <v>-1364.463</v>
          </cell>
          <cell r="AE14">
            <v>-302.57400000000001</v>
          </cell>
          <cell r="AF14">
            <v>-313.851</v>
          </cell>
          <cell r="AG14">
            <v>-320.52299999999997</v>
          </cell>
          <cell r="AH14">
            <v>-333.75900000000001</v>
          </cell>
          <cell r="AI14">
            <v>-1270.7070000000001</v>
          </cell>
          <cell r="AJ14">
            <v>-314.7</v>
          </cell>
          <cell r="AK14">
            <v>-308.38</v>
          </cell>
          <cell r="AL14">
            <v>-302.54399999999998</v>
          </cell>
          <cell r="AM14">
            <v>-313.78399999999999</v>
          </cell>
          <cell r="AN14">
            <v>-1239.4079999999999</v>
          </cell>
          <cell r="AO14">
            <v>-314.20799999999997</v>
          </cell>
          <cell r="AP14">
            <v>-310.74200000000002</v>
          </cell>
          <cell r="AQ14">
            <v>-320.37900000000002</v>
          </cell>
          <cell r="AR14">
            <v>-316.34300000000002</v>
          </cell>
          <cell r="AS14">
            <v>-1261.672</v>
          </cell>
          <cell r="AT14">
            <v>-317.99699999999996</v>
          </cell>
          <cell r="AU14">
            <v>-321.495</v>
          </cell>
          <cell r="AV14">
            <v>-330.79999999999995</v>
          </cell>
          <cell r="AW14">
            <v>-349.209</v>
          </cell>
          <cell r="AX14">
            <v>-1319.5009999999997</v>
          </cell>
          <cell r="AY14">
            <v>-342.33800000000002</v>
          </cell>
          <cell r="AZ14">
            <v>-357.41200000000003</v>
          </cell>
          <cell r="BA14">
            <v>-379.00659817029231</v>
          </cell>
          <cell r="BB14">
            <v>-412.46326544517757</v>
          </cell>
          <cell r="BC14">
            <v>-1491.2198636154699</v>
          </cell>
          <cell r="BD14">
            <v>-391.09681268435224</v>
          </cell>
          <cell r="BE14">
            <v>-405.02690592633161</v>
          </cell>
          <cell r="BF14">
            <v>-423.61118240128576</v>
          </cell>
          <cell r="BG14">
            <v>-462.33514772626688</v>
          </cell>
          <cell r="BH14">
            <v>-1682.0700487382364</v>
          </cell>
          <cell r="BI14">
            <v>-443.19686819723023</v>
          </cell>
          <cell r="BJ14">
            <v>-456.90817320517067</v>
          </cell>
          <cell r="BK14">
            <v>-472.66502296563891</v>
          </cell>
          <cell r="BL14">
            <v>-516.52262325149093</v>
          </cell>
          <cell r="BM14">
            <v>-1889.2926876195306</v>
          </cell>
          <cell r="BN14">
            <v>-500.5732011822646</v>
          </cell>
          <cell r="BO14">
            <v>-513.59915623813902</v>
          </cell>
          <cell r="BP14">
            <v>-525.89227181427077</v>
          </cell>
          <cell r="BQ14">
            <v>-575.14022246172863</v>
          </cell>
          <cell r="BR14">
            <v>-2115.2048516964032</v>
          </cell>
          <cell r="BS14">
            <v>-563.46657542100775</v>
          </cell>
          <cell r="BT14">
            <v>-575.28673971304067</v>
          </cell>
          <cell r="BU14">
            <v>-583.30031861963528</v>
          </cell>
          <cell r="BV14">
            <v>-638.40138129466436</v>
          </cell>
          <cell r="BW14">
            <v>-2360.4550150483483</v>
          </cell>
          <cell r="BX14">
            <v>-632.26121851284506</v>
          </cell>
          <cell r="BY14">
            <v>-642.26665072600531</v>
          </cell>
          <cell r="BZ14">
            <v>-645.05991433757845</v>
          </cell>
          <cell r="CA14">
            <v>-706.56557317481304</v>
          </cell>
          <cell r="CB14">
            <v>-2626.1533567512415</v>
          </cell>
        </row>
        <row r="15">
          <cell r="B15" t="str">
            <v>R&amp;D expense</v>
          </cell>
          <cell r="C15" t="str">
            <v>RD_EXP</v>
          </cell>
          <cell r="D15" t="str">
            <v>USD</v>
          </cell>
          <cell r="F15">
            <v>-6.1419999999999995</v>
          </cell>
          <cell r="G15">
            <v>-12.660999999999998</v>
          </cell>
          <cell r="H15">
            <v>-35.793999999999997</v>
          </cell>
          <cell r="I15">
            <v>-68.099000000000004</v>
          </cell>
          <cell r="J15">
            <v>-110.14100000000001</v>
          </cell>
          <cell r="K15">
            <v>-41.255000000000003</v>
          </cell>
          <cell r="L15">
            <v>-42.155000000000001</v>
          </cell>
          <cell r="M15">
            <v>-47.566000000000003</v>
          </cell>
          <cell r="N15">
            <v>-48.59899999999999</v>
          </cell>
          <cell r="O15">
            <v>-179.57499999999999</v>
          </cell>
          <cell r="P15">
            <v>-48.97</v>
          </cell>
          <cell r="Q15">
            <v>-53.90100000000001</v>
          </cell>
          <cell r="R15">
            <v>-64.816999999999993</v>
          </cell>
          <cell r="S15">
            <v>-71.699999999999989</v>
          </cell>
          <cell r="T15">
            <v>-239.38799999999998</v>
          </cell>
          <cell r="U15">
            <v>-79.522000000000006</v>
          </cell>
          <cell r="V15">
            <v>-88.358000000000004</v>
          </cell>
          <cell r="W15">
            <v>-95.716999999999999</v>
          </cell>
          <cell r="X15">
            <v>-96.603000000000009</v>
          </cell>
          <cell r="Y15">
            <v>-360.2</v>
          </cell>
          <cell r="Z15">
            <v>-100.64299999999999</v>
          </cell>
          <cell r="AA15">
            <v>-100.16399999999999</v>
          </cell>
          <cell r="AB15">
            <v>-101.884</v>
          </cell>
          <cell r="AC15">
            <v>-95.57</v>
          </cell>
          <cell r="AD15">
            <v>-398.26099999999997</v>
          </cell>
          <cell r="AE15">
            <v>-95.382000000000005</v>
          </cell>
          <cell r="AF15">
            <v>-99.513000000000005</v>
          </cell>
          <cell r="AG15">
            <v>-104.11500000000001</v>
          </cell>
          <cell r="AH15">
            <v>-105.67699999999998</v>
          </cell>
          <cell r="AI15">
            <v>-404.68699999999995</v>
          </cell>
          <cell r="AJ15">
            <v>-106.04799999999999</v>
          </cell>
          <cell r="AK15">
            <v>-106.107</v>
          </cell>
          <cell r="AL15">
            <v>-106.867</v>
          </cell>
          <cell r="AM15">
            <v>-109.58500000000001</v>
          </cell>
          <cell r="AN15">
            <v>-428.60699999999997</v>
          </cell>
          <cell r="AO15">
            <v>-109.20500000000001</v>
          </cell>
          <cell r="AP15">
            <v>-105.76499999999999</v>
          </cell>
          <cell r="AQ15">
            <v>-111.01299999999999</v>
          </cell>
          <cell r="AR15">
            <v>-114.244</v>
          </cell>
          <cell r="AS15">
            <v>-440.22699999999998</v>
          </cell>
          <cell r="AT15">
            <v>-113.571</v>
          </cell>
          <cell r="AU15">
            <v>-119.86000000000001</v>
          </cell>
          <cell r="AV15">
            <v>-120.501</v>
          </cell>
          <cell r="AW15">
            <v>-128.27599999999998</v>
          </cell>
          <cell r="AX15">
            <v>-482.20799999999997</v>
          </cell>
          <cell r="AY15">
            <v>-130.39699999999999</v>
          </cell>
          <cell r="AZ15">
            <v>-136.01999999999998</v>
          </cell>
          <cell r="BA15">
            <v>-136.70593160018694</v>
          </cell>
          <cell r="BB15">
            <v>-158.64238211368834</v>
          </cell>
          <cell r="BC15">
            <v>-561.76531371387523</v>
          </cell>
          <cell r="BD15">
            <v>-152.12909658038049</v>
          </cell>
          <cell r="BE15">
            <v>-157.01706558842685</v>
          </cell>
          <cell r="BF15">
            <v>-155.35672502717327</v>
          </cell>
          <cell r="BG15">
            <v>-180.60161065183061</v>
          </cell>
          <cell r="BH15">
            <v>-645.10449784781122</v>
          </cell>
          <cell r="BI15">
            <v>-175.48861300627439</v>
          </cell>
          <cell r="BJ15">
            <v>-180.49804404226848</v>
          </cell>
          <cell r="BK15">
            <v>-176.30323982697374</v>
          </cell>
          <cell r="BL15">
            <v>-204.97022452812004</v>
          </cell>
          <cell r="BM15">
            <v>-737.26012140363662</v>
          </cell>
          <cell r="BN15">
            <v>-201.82918945244785</v>
          </cell>
          <cell r="BO15">
            <v>-206.82618558730192</v>
          </cell>
          <cell r="BP15">
            <v>-199.56029436621156</v>
          </cell>
          <cell r="BQ15">
            <v>-231.91094123954056</v>
          </cell>
          <cell r="BR15">
            <v>-840.12661064550184</v>
          </cell>
          <cell r="BS15">
            <v>-231.41616594070345</v>
          </cell>
          <cell r="BT15">
            <v>-236.24707383314552</v>
          </cell>
          <cell r="BU15">
            <v>-225.25313151656931</v>
          </cell>
          <cell r="BV15">
            <v>-261.63767858552347</v>
          </cell>
          <cell r="BW15">
            <v>-954.5540498759417</v>
          </cell>
          <cell r="BX15">
            <v>-264.59505029305359</v>
          </cell>
          <cell r="BY15">
            <v>-269.07170004969942</v>
          </cell>
          <cell r="BZ15">
            <v>-253.58021775380323</v>
          </cell>
          <cell r="CA15">
            <v>-294.39779157610201</v>
          </cell>
          <cell r="CB15">
            <v>-1081.6447596726582</v>
          </cell>
        </row>
        <row r="16">
          <cell r="B16" t="str">
            <v>ESO expense (pre-tax)</v>
          </cell>
          <cell r="C16" t="str">
            <v>ESO_PRE_TAX</v>
          </cell>
          <cell r="D16" t="str">
            <v>USD</v>
          </cell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</row>
        <row r="17">
          <cell r="B17" t="str">
            <v>Other operating income/(expense) (incl. leases)</v>
          </cell>
          <cell r="C17" t="str">
            <v>OTH_OP_INC_EXP</v>
          </cell>
          <cell r="D17" t="str">
            <v>USD</v>
          </cell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</row>
        <row r="18">
          <cell r="B18" t="str">
            <v>Total operating expense (incl. D&amp;A)</v>
          </cell>
          <cell r="C18" t="str">
            <v>TOT_OPS_EXP_DDA</v>
          </cell>
          <cell r="D18" t="str">
            <v>USD</v>
          </cell>
          <cell r="F18">
            <v>-19.114999999999998</v>
          </cell>
          <cell r="G18">
            <v>-70.143000000000001</v>
          </cell>
          <cell r="H18">
            <v>-199.58600000000001</v>
          </cell>
          <cell r="I18">
            <v>-343.05700000000002</v>
          </cell>
          <cell r="J18">
            <v>-587.9799999999999</v>
          </cell>
          <cell r="K18">
            <v>-211.04900000000001</v>
          </cell>
          <cell r="L18">
            <v>-221.11399999999998</v>
          </cell>
          <cell r="M18">
            <v>-249.506</v>
          </cell>
          <cell r="N18">
            <v>-276.327</v>
          </cell>
          <cell r="O18">
            <v>-957.99600000000009</v>
          </cell>
          <cell r="P18">
            <v>-297.68799999999999</v>
          </cell>
          <cell r="Q18">
            <v>-306.94299999999998</v>
          </cell>
          <cell r="R18">
            <v>-323.98099999999999</v>
          </cell>
          <cell r="S18">
            <v>-323.49599999999998</v>
          </cell>
          <cell r="T18">
            <v>-1252.1079999999999</v>
          </cell>
          <cell r="U18">
            <v>-339.14799999999997</v>
          </cell>
          <cell r="V18">
            <v>-374.38400000000001</v>
          </cell>
          <cell r="W18">
            <v>-392.404</v>
          </cell>
          <cell r="X18">
            <v>-404.48700000000002</v>
          </cell>
          <cell r="Y18">
            <v>-1510.423</v>
          </cell>
          <cell r="Z18">
            <v>-448.98099999999999</v>
          </cell>
          <cell r="AA18">
            <v>-460.71</v>
          </cell>
          <cell r="AB18">
            <v>-451.53300000000002</v>
          </cell>
          <cell r="AC18">
            <v>-401.49999999999994</v>
          </cell>
          <cell r="AD18">
            <v>-1762.7239999999999</v>
          </cell>
          <cell r="AE18">
            <v>-397.95600000000002</v>
          </cell>
          <cell r="AF18">
            <v>-413.36400000000003</v>
          </cell>
          <cell r="AG18">
            <v>-424.63799999999998</v>
          </cell>
          <cell r="AH18">
            <v>-439.43599999999998</v>
          </cell>
          <cell r="AI18">
            <v>-1675.394</v>
          </cell>
          <cell r="AJ18">
            <v>-420.74799999999999</v>
          </cell>
          <cell r="AK18">
            <v>-414.48699999999997</v>
          </cell>
          <cell r="AL18">
            <v>-409.411</v>
          </cell>
          <cell r="AM18">
            <v>-423.36900000000003</v>
          </cell>
          <cell r="AN18">
            <v>-1668.0149999999999</v>
          </cell>
          <cell r="AO18">
            <v>-423.41300000000001</v>
          </cell>
          <cell r="AP18">
            <v>-416.50700000000001</v>
          </cell>
          <cell r="AQ18">
            <v>-431.392</v>
          </cell>
          <cell r="AR18">
            <v>-430.58699999999999</v>
          </cell>
          <cell r="AS18">
            <v>-1701.8989999999999</v>
          </cell>
          <cell r="AT18">
            <v>-431.56799999999998</v>
          </cell>
          <cell r="AU18">
            <v>-441.35500000000002</v>
          </cell>
          <cell r="AV18">
            <v>-451.30099999999993</v>
          </cell>
          <cell r="AW18">
            <v>-477.48500000000001</v>
          </cell>
          <cell r="AX18">
            <v>-1801.7089999999998</v>
          </cell>
          <cell r="AY18">
            <v>-472.73500000000001</v>
          </cell>
          <cell r="AZ18">
            <v>-493.43200000000002</v>
          </cell>
          <cell r="BA18">
            <v>-515.71252977047925</v>
          </cell>
          <cell r="BB18">
            <v>-571.10564755886594</v>
          </cell>
          <cell r="BC18">
            <v>-2052.9851773293449</v>
          </cell>
          <cell r="BD18">
            <v>-543.22590926473276</v>
          </cell>
          <cell r="BE18">
            <v>-562.04397151475848</v>
          </cell>
          <cell r="BF18">
            <v>-578.96790742845906</v>
          </cell>
          <cell r="BG18">
            <v>-642.93675837809747</v>
          </cell>
          <cell r="BH18">
            <v>-2327.1745465860477</v>
          </cell>
          <cell r="BI18">
            <v>-618.68548120350465</v>
          </cell>
          <cell r="BJ18">
            <v>-637.40621724743914</v>
          </cell>
          <cell r="BK18">
            <v>-648.96826279261268</v>
          </cell>
          <cell r="BL18">
            <v>-721.492847779611</v>
          </cell>
          <cell r="BM18">
            <v>-2626.5528090231674</v>
          </cell>
          <cell r="BN18">
            <v>-702.40239063471245</v>
          </cell>
          <cell r="BO18">
            <v>-720.42534182544091</v>
          </cell>
          <cell r="BP18">
            <v>-725.45256618048234</v>
          </cell>
          <cell r="BQ18">
            <v>-807.05116370126916</v>
          </cell>
          <cell r="BR18">
            <v>-2955.3314623419051</v>
          </cell>
          <cell r="BS18">
            <v>-794.88274136171117</v>
          </cell>
          <cell r="BT18">
            <v>-811.53381354618614</v>
          </cell>
          <cell r="BU18">
            <v>-808.55345013620456</v>
          </cell>
          <cell r="BV18">
            <v>-900.03905988018778</v>
          </cell>
          <cell r="BW18">
            <v>-3315.0090649242902</v>
          </cell>
          <cell r="BX18">
            <v>-896.85626880589871</v>
          </cell>
          <cell r="BY18">
            <v>-911.33835077570473</v>
          </cell>
          <cell r="BZ18">
            <v>-898.6401320913817</v>
          </cell>
          <cell r="CA18">
            <v>-1000.963364750915</v>
          </cell>
          <cell r="CB18">
            <v>-3707.7981164239</v>
          </cell>
        </row>
        <row r="19">
          <cell r="B19" t="str">
            <v>Total operating expense (excl. D&amp;A)</v>
          </cell>
          <cell r="C19" t="str">
            <v>TOT_OPS_EXP</v>
          </cell>
          <cell r="D19" t="str">
            <v>USD</v>
          </cell>
          <cell r="F19">
            <v>-19.114999999999998</v>
          </cell>
          <cell r="G19">
            <v>-70.143000000000001</v>
          </cell>
          <cell r="H19">
            <v>-199.58600000000001</v>
          </cell>
          <cell r="I19">
            <v>-343.05700000000002</v>
          </cell>
          <cell r="J19">
            <v>-561.57199999999989</v>
          </cell>
          <cell r="K19">
            <v>-202.477</v>
          </cell>
          <cell r="L19">
            <v>-211.51399999999998</v>
          </cell>
          <cell r="M19">
            <v>-239.744</v>
          </cell>
          <cell r="N19">
            <v>-265.86199999999997</v>
          </cell>
          <cell r="O19">
            <v>-919.59700000000009</v>
          </cell>
          <cell r="P19">
            <v>-286.35500000000002</v>
          </cell>
          <cell r="Q19">
            <v>-295.26099999999997</v>
          </cell>
          <cell r="R19">
            <v>-310.983</v>
          </cell>
          <cell r="S19">
            <v>-309.20699999999999</v>
          </cell>
          <cell r="T19">
            <v>-1201.8059999999998</v>
          </cell>
          <cell r="U19">
            <v>-322.96499999999997</v>
          </cell>
          <cell r="V19">
            <v>-355.56200000000001</v>
          </cell>
          <cell r="W19">
            <v>-371.66899999999998</v>
          </cell>
          <cell r="X19">
            <v>-382.61500000000001</v>
          </cell>
          <cell r="Y19">
            <v>-1432.8109999999999</v>
          </cell>
          <cell r="Z19">
            <v>-426.51899999999995</v>
          </cell>
          <cell r="AA19">
            <v>-437.63199999999995</v>
          </cell>
          <cell r="AB19">
            <v>-427.358</v>
          </cell>
          <cell r="AC19">
            <v>-377.44199999999989</v>
          </cell>
          <cell r="AD19">
            <v>-1668.9509999999998</v>
          </cell>
          <cell r="AE19">
            <v>-374.45699999999999</v>
          </cell>
          <cell r="AF19">
            <v>-389.77600000000001</v>
          </cell>
          <cell r="AG19">
            <v>-401.11599999999999</v>
          </cell>
          <cell r="AH19">
            <v>-415.67199999999991</v>
          </cell>
          <cell r="AI19">
            <v>-1581.021</v>
          </cell>
          <cell r="AJ19">
            <v>-397.45699999999999</v>
          </cell>
          <cell r="AK19">
            <v>-392.19599999999997</v>
          </cell>
          <cell r="AL19">
            <v>-387.87</v>
          </cell>
          <cell r="AM19">
            <v>-402.54000000000008</v>
          </cell>
          <cell r="AN19">
            <v>-1580.0629999999999</v>
          </cell>
          <cell r="AO19">
            <v>-403.57400000000001</v>
          </cell>
          <cell r="AP19">
            <v>-396.86700000000002</v>
          </cell>
          <cell r="AQ19">
            <v>-411.79299999999995</v>
          </cell>
          <cell r="AR19">
            <v>-413.27699999999999</v>
          </cell>
          <cell r="AS19">
            <v>-1625.511</v>
          </cell>
          <cell r="AT19">
            <v>-413.38099999999997</v>
          </cell>
          <cell r="AU19">
            <v>-423.15300000000002</v>
          </cell>
          <cell r="AV19">
            <v>-432.70399999999995</v>
          </cell>
          <cell r="AW19">
            <v>-459.27199999999999</v>
          </cell>
          <cell r="AX19">
            <v>-1728.5099999999998</v>
          </cell>
          <cell r="AY19">
            <v>-454.55500000000001</v>
          </cell>
          <cell r="AZ19">
            <v>-475.185</v>
          </cell>
          <cell r="BA19">
            <v>-497.90552977047929</v>
          </cell>
          <cell r="BB19">
            <v>-552.78595647148222</v>
          </cell>
          <cell r="BC19">
            <v>-1980.4314862419612</v>
          </cell>
          <cell r="BD19">
            <v>-524.33804512895563</v>
          </cell>
          <cell r="BE19">
            <v>-542.89741165733028</v>
          </cell>
          <cell r="BF19">
            <v>-558.46394754338189</v>
          </cell>
          <cell r="BG19">
            <v>-621.45758618805507</v>
          </cell>
          <cell r="BH19">
            <v>-2247.156990517723</v>
          </cell>
          <cell r="BI19">
            <v>-596.20795798277641</v>
          </cell>
          <cell r="BJ19">
            <v>-614.83564974777369</v>
          </cell>
          <cell r="BK19">
            <v>-624.97016461210637</v>
          </cell>
          <cell r="BL19">
            <v>-696.52121010751353</v>
          </cell>
          <cell r="BM19">
            <v>-2532.53498245017</v>
          </cell>
          <cell r="BN19">
            <v>-676.51227752288378</v>
          </cell>
          <cell r="BO19">
            <v>-694.56035790927774</v>
          </cell>
          <cell r="BP19">
            <v>-698.03779786501946</v>
          </cell>
          <cell r="BQ19">
            <v>-778.62441574452839</v>
          </cell>
          <cell r="BR19">
            <v>-2847.7348490417098</v>
          </cell>
          <cell r="BS19">
            <v>-765.36962519762028</v>
          </cell>
          <cell r="BT19">
            <v>-782.14958517606408</v>
          </cell>
          <cell r="BU19">
            <v>-777.46365924485349</v>
          </cell>
          <cell r="BV19">
            <v>-867.87527776207276</v>
          </cell>
          <cell r="BW19">
            <v>-3192.8581473806112</v>
          </cell>
          <cell r="BX19">
            <v>-863.52060355177412</v>
          </cell>
          <cell r="BY19">
            <v>-878.23974899281211</v>
          </cell>
          <cell r="BZ19">
            <v>-863.65546288537951</v>
          </cell>
          <cell r="CA19">
            <v>-964.82664955672305</v>
          </cell>
          <cell r="CB19">
            <v>-3570.2424649866884</v>
          </cell>
        </row>
        <row r="20">
          <cell r="B20" t="str">
            <v>EBITDA</v>
          </cell>
          <cell r="C20" t="str">
            <v>EBITDA_CALC</v>
          </cell>
          <cell r="D20" t="str">
            <v>USD</v>
          </cell>
          <cell r="F20">
            <v>-12.528999999999998</v>
          </cell>
          <cell r="G20">
            <v>-39.61</v>
          </cell>
          <cell r="H20">
            <v>-72.459000000000017</v>
          </cell>
          <cell r="I20">
            <v>-101.62500000000003</v>
          </cell>
          <cell r="J20">
            <v>-58.161999999999864</v>
          </cell>
          <cell r="K20">
            <v>-13.915999999999997</v>
          </cell>
          <cell r="L20">
            <v>-12.299999999999983</v>
          </cell>
          <cell r="M20">
            <v>-34.074000000000012</v>
          </cell>
          <cell r="N20">
            <v>-13.403999999999968</v>
          </cell>
          <cell r="O20">
            <v>-73.694000000000074</v>
          </cell>
          <cell r="P20">
            <v>-10.802999999999997</v>
          </cell>
          <cell r="Q20">
            <v>-8.5169999999999959</v>
          </cell>
          <cell r="R20">
            <v>-21.569999999999993</v>
          </cell>
          <cell r="S20">
            <v>-5.4590000000000032</v>
          </cell>
          <cell r="T20">
            <v>-46.348999999999933</v>
          </cell>
          <cell r="U20">
            <v>-9.6819999999999595</v>
          </cell>
          <cell r="V20">
            <v>-20.201999999999998</v>
          </cell>
          <cell r="W20">
            <v>-84.044999999999959</v>
          </cell>
          <cell r="X20">
            <v>-82.739000000000033</v>
          </cell>
          <cell r="Y20">
            <v>-196.66799999999989</v>
          </cell>
          <cell r="Z20">
            <v>-111.75099999999998</v>
          </cell>
          <cell r="AA20">
            <v>-90.864999999999952</v>
          </cell>
          <cell r="AB20">
            <v>-109.08499999999998</v>
          </cell>
          <cell r="AC20">
            <v>-49.56799999999987</v>
          </cell>
          <cell r="AD20">
            <v>-361.26900000000001</v>
          </cell>
          <cell r="AE20">
            <v>-61.702999999999975</v>
          </cell>
          <cell r="AF20">
            <v>-43.394000000000005</v>
          </cell>
          <cell r="AG20">
            <v>-56.608000000000004</v>
          </cell>
          <cell r="AH20">
            <v>-24.951999999999884</v>
          </cell>
          <cell r="AI20">
            <v>-186.65699999999993</v>
          </cell>
          <cell r="AJ20">
            <v>-18.939999999999998</v>
          </cell>
          <cell r="AK20">
            <v>20.885000000000048</v>
          </cell>
          <cell r="AL20">
            <v>15.788000000000011</v>
          </cell>
          <cell r="AM20">
            <v>-17.000000000000114</v>
          </cell>
          <cell r="AN20">
            <v>0.73299999999994725</v>
          </cell>
          <cell r="AO20">
            <v>30.035000000000025</v>
          </cell>
          <cell r="AP20">
            <v>89.627999999999986</v>
          </cell>
          <cell r="AQ20">
            <v>36.788000000000068</v>
          </cell>
          <cell r="AR20">
            <v>80.93300000000005</v>
          </cell>
          <cell r="AS20">
            <v>237.38400000000001</v>
          </cell>
          <cell r="AT20">
            <v>97.673000000000002</v>
          </cell>
          <cell r="AU20">
            <v>142.07999999999993</v>
          </cell>
          <cell r="AV20">
            <v>91.873000000000047</v>
          </cell>
          <cell r="AW20">
            <v>88.68</v>
          </cell>
          <cell r="AX20">
            <v>420.30600000000004</v>
          </cell>
          <cell r="AY20">
            <v>136.4009999999999</v>
          </cell>
          <cell r="AZ20">
            <v>179.536</v>
          </cell>
          <cell r="BA20">
            <v>127.1478941042306</v>
          </cell>
          <cell r="BB20">
            <v>81.527823897910821</v>
          </cell>
          <cell r="BC20">
            <v>524.61271800214149</v>
          </cell>
          <cell r="BD20">
            <v>165.10728259143161</v>
          </cell>
          <cell r="BE20">
            <v>212.89122383098345</v>
          </cell>
          <cell r="BF20">
            <v>151.86552948469239</v>
          </cell>
          <cell r="BG20">
            <v>100.657707764527</v>
          </cell>
          <cell r="BH20">
            <v>630.52174367163389</v>
          </cell>
          <cell r="BI20">
            <v>199.10212421034066</v>
          </cell>
          <cell r="BJ20">
            <v>253.97673000077862</v>
          </cell>
          <cell r="BK20">
            <v>181.1319730503925</v>
          </cell>
          <cell r="BL20">
            <v>123.02925460009385</v>
          </cell>
          <cell r="BM20">
            <v>757.24008186160563</v>
          </cell>
          <cell r="BN20">
            <v>238.17264990689421</v>
          </cell>
          <cell r="BO20">
            <v>300.98034973595043</v>
          </cell>
          <cell r="BP20">
            <v>214.40136116028611</v>
          </cell>
          <cell r="BQ20">
            <v>148.64548456028024</v>
          </cell>
          <cell r="BR20">
            <v>902.19984536341053</v>
          </cell>
          <cell r="BS20">
            <v>283.40275269185827</v>
          </cell>
          <cell r="BT20">
            <v>355.00613035923141</v>
          </cell>
          <cell r="BU20">
            <v>252.44952334260529</v>
          </cell>
          <cell r="BV20">
            <v>178.25364932200819</v>
          </cell>
          <cell r="BW20">
            <v>1069.1120557157033</v>
          </cell>
          <cell r="BX20">
            <v>335.61766298029158</v>
          </cell>
          <cell r="BY20">
            <v>416.9145851362814</v>
          </cell>
          <cell r="BZ20">
            <v>295.77618341264008</v>
          </cell>
          <cell r="CA20">
            <v>212.28991676672933</v>
          </cell>
          <cell r="CB20">
            <v>1260.5983482959432</v>
          </cell>
        </row>
        <row r="21">
          <cell r="B21" t="str">
            <v>Depreciation</v>
          </cell>
          <cell r="C21" t="str">
            <v>DEPREC</v>
          </cell>
          <cell r="D21" t="str">
            <v>USD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-26.408000000000001</v>
          </cell>
          <cell r="K21">
            <v>-8.1669999999999998</v>
          </cell>
          <cell r="L21">
            <v>-8.9920000000000009</v>
          </cell>
          <cell r="M21">
            <v>-9.1539999999999999</v>
          </cell>
          <cell r="N21">
            <v>-9.8569999999999993</v>
          </cell>
          <cell r="O21">
            <v>-36.17</v>
          </cell>
          <cell r="P21">
            <v>-10.227</v>
          </cell>
          <cell r="Q21">
            <v>-10.326000000000001</v>
          </cell>
          <cell r="R21">
            <v>-11.328999999999997</v>
          </cell>
          <cell r="S21">
            <v>-11.865000000000002</v>
          </cell>
          <cell r="T21">
            <v>-43.747</v>
          </cell>
          <cell r="U21">
            <v>-12.465</v>
          </cell>
          <cell r="V21">
            <v>-14.464000000000002</v>
          </cell>
          <cell r="W21">
            <v>-16.38</v>
          </cell>
          <cell r="X21">
            <v>-17.526999999999994</v>
          </cell>
          <cell r="Y21">
            <v>-60.835999999999991</v>
          </cell>
          <cell r="Z21">
            <v>-18.117000000000001</v>
          </cell>
          <cell r="AA21">
            <v>-18.733000000000001</v>
          </cell>
          <cell r="AB21">
            <v>-19.830000000000005</v>
          </cell>
          <cell r="AC21">
            <v>-19.712999999999994</v>
          </cell>
          <cell r="AD21">
            <v>-76.393000000000001</v>
          </cell>
          <cell r="AE21">
            <v>-19.154</v>
          </cell>
          <cell r="AF21">
            <v>-19.243000000000006</v>
          </cell>
          <cell r="AG21">
            <v>-19.176999999999992</v>
          </cell>
          <cell r="AH21">
            <v>-19.419000000000011</v>
          </cell>
          <cell r="AI21">
            <v>-76.993000000000009</v>
          </cell>
          <cell r="AJ21">
            <v>-19.164000000000001</v>
          </cell>
          <cell r="AK21">
            <v>-18.271999999999998</v>
          </cell>
          <cell r="AL21">
            <v>-17.522000000000006</v>
          </cell>
          <cell r="AM21">
            <v>-16.810999999999993</v>
          </cell>
          <cell r="AN21">
            <v>-71.769000000000005</v>
          </cell>
          <cell r="AO21">
            <v>-16.68</v>
          </cell>
          <cell r="AP21">
            <v>-16.911000000000001</v>
          </cell>
          <cell r="AQ21">
            <v>-16.992000000000004</v>
          </cell>
          <cell r="AR21">
            <v>-15.108000000000002</v>
          </cell>
          <cell r="AS21">
            <v>-65.691000000000003</v>
          </cell>
          <cell r="AT21">
            <v>-17.039000000000001</v>
          </cell>
          <cell r="AU21">
            <v>-17.371000000000002</v>
          </cell>
          <cell r="AV21">
            <v>-17.731999999999996</v>
          </cell>
          <cell r="AW21">
            <v>-17.348000000000003</v>
          </cell>
          <cell r="AX21">
            <v>-69.489999999999995</v>
          </cell>
          <cell r="AY21">
            <v>-17.324999999999999</v>
          </cell>
          <cell r="AZ21">
            <v>-17.391999999999999</v>
          </cell>
          <cell r="BA21">
            <v>-17.391999999999999</v>
          </cell>
          <cell r="BB21">
            <v>-17.90469108738376</v>
          </cell>
          <cell r="BC21">
            <v>-70.013691087383762</v>
          </cell>
          <cell r="BD21">
            <v>-18.693614135777072</v>
          </cell>
          <cell r="BE21">
            <v>-18.952309857428208</v>
          </cell>
          <cell r="BF21">
            <v>-20.309709885077162</v>
          </cell>
          <cell r="BG21">
            <v>-21.284922190042344</v>
          </cell>
          <cell r="BH21">
            <v>-79.240556068324793</v>
          </cell>
          <cell r="BI21">
            <v>-22.28327322072829</v>
          </cell>
          <cell r="BJ21">
            <v>-22.376317499665472</v>
          </cell>
          <cell r="BK21">
            <v>-23.803848180506257</v>
          </cell>
          <cell r="BL21">
            <v>-24.777387672097404</v>
          </cell>
          <cell r="BM21">
            <v>-93.240826572997435</v>
          </cell>
          <cell r="BN21">
            <v>-25.801863111828681</v>
          </cell>
          <cell r="BO21">
            <v>-25.77673391616316</v>
          </cell>
          <cell r="BP21">
            <v>-27.326518315462813</v>
          </cell>
          <cell r="BQ21">
            <v>-28.338497956740721</v>
          </cell>
          <cell r="BR21">
            <v>-107.24361330019538</v>
          </cell>
          <cell r="BS21">
            <v>-29.424866164090894</v>
          </cell>
          <cell r="BT21">
            <v>-29.295978370122068</v>
          </cell>
          <cell r="BU21">
            <v>-31.001540891351063</v>
          </cell>
          <cell r="BV21">
            <v>-32.075532118114971</v>
          </cell>
          <cell r="BW21">
            <v>-121.79791754367901</v>
          </cell>
          <cell r="BX21">
            <v>-33.247415254124562</v>
          </cell>
          <cell r="BY21">
            <v>-33.010351782892542</v>
          </cell>
          <cell r="BZ21">
            <v>-34.896419206002228</v>
          </cell>
          <cell r="CA21">
            <v>-36.048465194191934</v>
          </cell>
          <cell r="CB21">
            <v>-137.20265143721127</v>
          </cell>
        </row>
        <row r="22">
          <cell r="B22" t="str">
            <v>Amortization</v>
          </cell>
          <cell r="C22" t="str">
            <v>GOODWILL_AMORT</v>
          </cell>
          <cell r="D22" t="str">
            <v>USD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-0.40500000000000003</v>
          </cell>
          <cell r="L22">
            <v>-0.60799999999999998</v>
          </cell>
          <cell r="M22">
            <v>-0.60799999999999998</v>
          </cell>
          <cell r="N22">
            <v>-0.60799999999999998</v>
          </cell>
          <cell r="O22">
            <v>-2.2290000000000001</v>
          </cell>
          <cell r="P22">
            <v>-1.1060000000000001</v>
          </cell>
          <cell r="Q22">
            <v>-1.3559999999999999</v>
          </cell>
          <cell r="R22">
            <v>-1.669</v>
          </cell>
          <cell r="S22">
            <v>-2.4239999999999999</v>
          </cell>
          <cell r="T22">
            <v>-6.5549999999999997</v>
          </cell>
          <cell r="U22">
            <v>-3.718</v>
          </cell>
          <cell r="V22">
            <v>-4.3580000000000005</v>
          </cell>
          <cell r="W22">
            <v>-4.3550000000000004</v>
          </cell>
          <cell r="X22">
            <v>-4.3449999999999998</v>
          </cell>
          <cell r="Y22">
            <v>-16.776000000000003</v>
          </cell>
          <cell r="Z22">
            <v>-4.3449999999999998</v>
          </cell>
          <cell r="AA22">
            <v>-4.3449999999999998</v>
          </cell>
          <cell r="AB22">
            <v>-4.3449999999999998</v>
          </cell>
          <cell r="AC22">
            <v>-4.3449999999999998</v>
          </cell>
          <cell r="AD22">
            <v>-17.38</v>
          </cell>
          <cell r="AE22">
            <v>-4.3449999999999998</v>
          </cell>
          <cell r="AF22">
            <v>-4.3449999999999998</v>
          </cell>
          <cell r="AG22">
            <v>-4.3449999999999998</v>
          </cell>
          <cell r="AH22">
            <v>-4.3449999999999998</v>
          </cell>
          <cell r="AI22">
            <v>-17.38</v>
          </cell>
          <cell r="AJ22">
            <v>-4.1269999999999998</v>
          </cell>
          <cell r="AK22">
            <v>-4.0190000000000001</v>
          </cell>
          <cell r="AL22">
            <v>-4.0190000000000001</v>
          </cell>
          <cell r="AM22">
            <v>-4.0179999999999998</v>
          </cell>
          <cell r="AN22">
            <v>-16.183</v>
          </cell>
          <cell r="AO22">
            <v>-3.1589999999999998</v>
          </cell>
          <cell r="AP22">
            <v>-2.7290000000000001</v>
          </cell>
          <cell r="AQ22">
            <v>-2.6070000000000002</v>
          </cell>
          <cell r="AR22">
            <v>-2.2020000000000004</v>
          </cell>
          <cell r="AS22">
            <v>-10.697000000000001</v>
          </cell>
          <cell r="AT22">
            <v>-1.1479999999999999</v>
          </cell>
          <cell r="AU22">
            <v>-0.83099999999999996</v>
          </cell>
          <cell r="AV22">
            <v>-0.86499999999999999</v>
          </cell>
          <cell r="AW22">
            <v>-0.86499999999999999</v>
          </cell>
          <cell r="AX22">
            <v>-3.7090000000000001</v>
          </cell>
          <cell r="AY22">
            <v>-0.85499999999999998</v>
          </cell>
          <cell r="AZ22">
            <v>-0.85499999999999998</v>
          </cell>
          <cell r="BA22">
            <v>-0.41500000000000004</v>
          </cell>
          <cell r="BB22">
            <v>-0.41500000000000004</v>
          </cell>
          <cell r="BC22">
            <v>-2.54</v>
          </cell>
          <cell r="BD22">
            <v>-0.19425000000000001</v>
          </cell>
          <cell r="BE22">
            <v>-0.19425000000000001</v>
          </cell>
          <cell r="BF22">
            <v>-0.19425000000000001</v>
          </cell>
          <cell r="BG22">
            <v>-0.19425000000000001</v>
          </cell>
          <cell r="BH22">
            <v>-0.77700000000000002</v>
          </cell>
          <cell r="BI22">
            <v>-0.19425000000000001</v>
          </cell>
          <cell r="BJ22">
            <v>-0.19425000000000001</v>
          </cell>
          <cell r="BK22">
            <v>-0.19425000000000001</v>
          </cell>
          <cell r="BL22">
            <v>-0.19425000000000001</v>
          </cell>
          <cell r="BM22">
            <v>-0.77700000000000002</v>
          </cell>
          <cell r="BN22">
            <v>-8.8249999999999995E-2</v>
          </cell>
          <cell r="BO22">
            <v>-8.8249999999999995E-2</v>
          </cell>
          <cell r="BP22">
            <v>-8.8249999999999995E-2</v>
          </cell>
          <cell r="BQ22">
            <v>-8.8249999999999995E-2</v>
          </cell>
          <cell r="BR22">
            <v>-0.35299999999999998</v>
          </cell>
          <cell r="BS22">
            <v>-8.8249999999999995E-2</v>
          </cell>
          <cell r="BT22">
            <v>-8.8249999999999995E-2</v>
          </cell>
          <cell r="BU22">
            <v>-8.8249999999999995E-2</v>
          </cell>
          <cell r="BV22">
            <v>-8.8249999999999995E-2</v>
          </cell>
          <cell r="BW22">
            <v>-0.35299999999999998</v>
          </cell>
          <cell r="BX22">
            <v>-8.8249999999999995E-2</v>
          </cell>
          <cell r="BY22">
            <v>-8.8249999999999995E-2</v>
          </cell>
          <cell r="BZ22">
            <v>-8.8249999999999995E-2</v>
          </cell>
          <cell r="CA22">
            <v>-8.8249999999999995E-2</v>
          </cell>
          <cell r="CB22">
            <v>-0.35299999999999998</v>
          </cell>
        </row>
        <row r="23">
          <cell r="B23" t="str">
            <v>EBIT, operating profit</v>
          </cell>
          <cell r="C23" t="str">
            <v>EBIT</v>
          </cell>
          <cell r="D23" t="str">
            <v>USD</v>
          </cell>
          <cell r="F23">
            <v>-12.528999999999998</v>
          </cell>
          <cell r="G23">
            <v>-39.61</v>
          </cell>
          <cell r="H23">
            <v>-72.458999999999989</v>
          </cell>
          <cell r="I23">
            <v>-101.62500000000003</v>
          </cell>
          <cell r="J23">
            <v>-84.57</v>
          </cell>
          <cell r="K23">
            <v>-22.488</v>
          </cell>
          <cell r="L23">
            <v>-21.899999999999977</v>
          </cell>
          <cell r="M23">
            <v>-43.836000000000027</v>
          </cell>
          <cell r="N23">
            <v>-23.869000000000028</v>
          </cell>
          <cell r="O23">
            <v>-112.09300000000007</v>
          </cell>
          <cell r="P23">
            <v>-22.136000000000024</v>
          </cell>
          <cell r="Q23">
            <v>-20.199000000000012</v>
          </cell>
          <cell r="R23">
            <v>-34.567999999999984</v>
          </cell>
          <cell r="S23">
            <v>-19.748000000000019</v>
          </cell>
          <cell r="T23">
            <v>-96.651000000000067</v>
          </cell>
          <cell r="U23">
            <v>-25.864999999999981</v>
          </cell>
          <cell r="V23">
            <v>-39.024000000000001</v>
          </cell>
          <cell r="W23">
            <v>-104.78</v>
          </cell>
          <cell r="X23">
            <v>-104.61100000000005</v>
          </cell>
          <cell r="Y23">
            <v>-274.27999999999997</v>
          </cell>
          <cell r="Z23">
            <v>-134.21300000000002</v>
          </cell>
          <cell r="AA23">
            <v>-113.94299999999998</v>
          </cell>
          <cell r="AB23">
            <v>-133.26</v>
          </cell>
          <cell r="AC23">
            <v>-73.625999999999976</v>
          </cell>
          <cell r="AD23">
            <v>-455.04200000000014</v>
          </cell>
          <cell r="AE23">
            <v>-85.201999999999998</v>
          </cell>
          <cell r="AF23">
            <v>-66.982000000000028</v>
          </cell>
          <cell r="AG23">
            <v>-80.13</v>
          </cell>
          <cell r="AH23">
            <v>-48.715999999999951</v>
          </cell>
          <cell r="AI23">
            <v>-281.02999999999997</v>
          </cell>
          <cell r="AJ23">
            <v>-42.230999999999938</v>
          </cell>
          <cell r="AK23">
            <v>-1.4060000000000059</v>
          </cell>
          <cell r="AL23">
            <v>-5.7529999999999291</v>
          </cell>
          <cell r="AM23">
            <v>-37.829000000000008</v>
          </cell>
          <cell r="AN23">
            <v>-87.219000000000051</v>
          </cell>
          <cell r="AO23">
            <v>10.196000000000026</v>
          </cell>
          <cell r="AP23">
            <v>69.988000000000056</v>
          </cell>
          <cell r="AQ23">
            <v>17.189000000000021</v>
          </cell>
          <cell r="AR23">
            <v>63.623000000000047</v>
          </cell>
          <cell r="AS23">
            <v>160.99600000000009</v>
          </cell>
          <cell r="AT23">
            <v>79.486000000000047</v>
          </cell>
          <cell r="AU23">
            <v>123.87799999999987</v>
          </cell>
          <cell r="AV23">
            <v>73.27600000000001</v>
          </cell>
          <cell r="AW23">
            <v>70.467000000000041</v>
          </cell>
          <cell r="AX23">
            <v>347.10699999999997</v>
          </cell>
          <cell r="AY23">
            <v>118.22099999999989</v>
          </cell>
          <cell r="AZ23">
            <v>161.28899999999999</v>
          </cell>
          <cell r="BA23">
            <v>109.34089410423064</v>
          </cell>
          <cell r="BB23">
            <v>63.208132810527104</v>
          </cell>
          <cell r="BC23">
            <v>452.05902691475785</v>
          </cell>
          <cell r="BD23">
            <v>146.21941845565453</v>
          </cell>
          <cell r="BE23">
            <v>193.74466397355525</v>
          </cell>
          <cell r="BF23">
            <v>131.36156959961522</v>
          </cell>
          <cell r="BG23">
            <v>79.178535574484613</v>
          </cell>
          <cell r="BH23">
            <v>550.50418760330922</v>
          </cell>
          <cell r="BI23">
            <v>176.62460098961242</v>
          </cell>
          <cell r="BJ23">
            <v>231.40616250111316</v>
          </cell>
          <cell r="BK23">
            <v>157.1338748698862</v>
          </cell>
          <cell r="BL23">
            <v>98.057616927996378</v>
          </cell>
          <cell r="BM23">
            <v>663.22225528860827</v>
          </cell>
          <cell r="BN23">
            <v>212.28253679506554</v>
          </cell>
          <cell r="BO23">
            <v>275.11536581978726</v>
          </cell>
          <cell r="BP23">
            <v>186.98659284482324</v>
          </cell>
          <cell r="BQ23">
            <v>120.21873660353947</v>
          </cell>
          <cell r="BR23">
            <v>794.60323206321527</v>
          </cell>
          <cell r="BS23">
            <v>253.88963652776727</v>
          </cell>
          <cell r="BT23">
            <v>325.62190198910935</v>
          </cell>
          <cell r="BU23">
            <v>221.35973245125422</v>
          </cell>
          <cell r="BV23">
            <v>146.08986720389316</v>
          </cell>
          <cell r="BW23">
            <v>946.96113817202468</v>
          </cell>
          <cell r="BX23">
            <v>302.28199772616722</v>
          </cell>
          <cell r="BY23">
            <v>383.81598335338879</v>
          </cell>
          <cell r="BZ23">
            <v>260.79151420663788</v>
          </cell>
          <cell r="CA23">
            <v>176.15320157253723</v>
          </cell>
          <cell r="CB23">
            <v>1123.0426968587317</v>
          </cell>
        </row>
        <row r="24">
          <cell r="B24" t="str">
            <v>Interest income</v>
          </cell>
          <cell r="C24" t="str">
            <v>INT_INC_IND</v>
          </cell>
          <cell r="D24" t="str">
            <v>USD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4.8659999999999997</v>
          </cell>
          <cell r="AA24">
            <v>3.8119999999999998</v>
          </cell>
          <cell r="AB24">
            <v>2.95</v>
          </cell>
          <cell r="AC24">
            <v>1.8249999999999993</v>
          </cell>
          <cell r="AD24">
            <v>13.452999999999999</v>
          </cell>
          <cell r="AE24">
            <v>1.3</v>
          </cell>
          <cell r="AF24">
            <v>1.1779999999999999</v>
          </cell>
          <cell r="AG24">
            <v>0.94</v>
          </cell>
          <cell r="AH24">
            <v>0.64900000000000047</v>
          </cell>
          <cell r="AI24">
            <v>4.0670000000000002</v>
          </cell>
          <cell r="AJ24">
            <v>0.55400000000000005</v>
          </cell>
          <cell r="AK24">
            <v>0.52200000000000002</v>
          </cell>
          <cell r="AL24">
            <v>1.123</v>
          </cell>
          <cell r="AM24">
            <v>2.5659999999999998</v>
          </cell>
          <cell r="AN24">
            <v>4.7649999999999997</v>
          </cell>
          <cell r="AO24">
            <v>5.5119999999999996</v>
          </cell>
          <cell r="AP24">
            <v>8.9459999999999997</v>
          </cell>
          <cell r="AQ24">
            <v>11.179</v>
          </cell>
          <cell r="AR24">
            <v>12.79</v>
          </cell>
          <cell r="AS24">
            <v>38.427</v>
          </cell>
          <cell r="AT24">
            <v>15.385999999999999</v>
          </cell>
          <cell r="AU24">
            <v>17.649000000000001</v>
          </cell>
          <cell r="AV24">
            <v>18.795999999999999</v>
          </cell>
          <cell r="AW24">
            <v>16.655000000000008</v>
          </cell>
          <cell r="AX24">
            <v>68.486000000000004</v>
          </cell>
          <cell r="AY24">
            <v>11.093999999999999</v>
          </cell>
          <cell r="AZ24">
            <v>13.94</v>
          </cell>
          <cell r="BA24">
            <v>13.94</v>
          </cell>
          <cell r="BB24">
            <v>14.482309165297218</v>
          </cell>
          <cell r="BC24">
            <v>53.456309165297213</v>
          </cell>
          <cell r="BD24">
            <v>16.33503180284335</v>
          </cell>
          <cell r="BE24">
            <v>17.787490613100427</v>
          </cell>
          <cell r="BF24">
            <v>19.371747429807318</v>
          </cell>
          <cell r="BG24">
            <v>20.142466551698956</v>
          </cell>
          <cell r="BH24">
            <v>73.636736397450051</v>
          </cell>
          <cell r="BI24">
            <v>22.31330244449487</v>
          </cell>
          <cell r="BJ24">
            <v>24.125679599986562</v>
          </cell>
          <cell r="BK24">
            <v>26.080070772961154</v>
          </cell>
          <cell r="BL24">
            <v>27.165033764674597</v>
          </cell>
          <cell r="BM24">
            <v>99.684086582117175</v>
          </cell>
          <cell r="BN24">
            <v>30.021583675762411</v>
          </cell>
          <cell r="BO24">
            <v>32.45705954886013</v>
          </cell>
          <cell r="BP24">
            <v>35.032273692754508</v>
          </cell>
          <cell r="BQ24">
            <v>36.53328811713277</v>
          </cell>
          <cell r="BR24">
            <v>134.04420503450982</v>
          </cell>
          <cell r="BS24">
            <v>40.037895699579515</v>
          </cell>
          <cell r="BT24">
            <v>43.003964396493842</v>
          </cell>
          <cell r="BU24">
            <v>46.138966515911683</v>
          </cell>
          <cell r="BV24">
            <v>47.943340166600542</v>
          </cell>
          <cell r="BW24">
            <v>177.12416677858556</v>
          </cell>
          <cell r="BX24">
            <v>52.212766093444849</v>
          </cell>
          <cell r="BY24">
            <v>55.802083706250961</v>
          </cell>
          <cell r="BZ24">
            <v>59.610337462507132</v>
          </cell>
          <cell r="CA24">
            <v>61.807583560636822</v>
          </cell>
          <cell r="CB24">
            <v>229.43277082283976</v>
          </cell>
        </row>
        <row r="25">
          <cell r="B25" t="str">
            <v>Interest expense</v>
          </cell>
          <cell r="C25" t="str">
            <v>INT_EXP_IND</v>
          </cell>
          <cell r="D25" t="str">
            <v>USD</v>
          </cell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</row>
        <row r="26">
          <cell r="B26" t="str">
            <v>Net interest income/(expense)</v>
          </cell>
          <cell r="C26" t="str">
            <v>NET_INT_EXP</v>
          </cell>
          <cell r="D26" t="str">
            <v>USD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4.8659999999999997</v>
          </cell>
          <cell r="AA26">
            <v>3.8119999999999998</v>
          </cell>
          <cell r="AB26">
            <v>2.95</v>
          </cell>
          <cell r="AC26">
            <v>1.8249999999999993</v>
          </cell>
          <cell r="AD26">
            <v>13.452999999999999</v>
          </cell>
          <cell r="AE26">
            <v>1.3</v>
          </cell>
          <cell r="AF26">
            <v>1.1779999999999999</v>
          </cell>
          <cell r="AG26">
            <v>0.94</v>
          </cell>
          <cell r="AH26">
            <v>0.64900000000000047</v>
          </cell>
          <cell r="AI26">
            <v>4.0670000000000002</v>
          </cell>
          <cell r="AJ26">
            <v>0.55400000000000005</v>
          </cell>
          <cell r="AK26">
            <v>0.52200000000000002</v>
          </cell>
          <cell r="AL26">
            <v>1.123</v>
          </cell>
          <cell r="AM26">
            <v>2.5659999999999998</v>
          </cell>
          <cell r="AN26">
            <v>4.7649999999999997</v>
          </cell>
          <cell r="AO26">
            <v>5.5119999999999996</v>
          </cell>
          <cell r="AP26">
            <v>8.9459999999999997</v>
          </cell>
          <cell r="AQ26">
            <v>11.179</v>
          </cell>
          <cell r="AR26">
            <v>12.79</v>
          </cell>
          <cell r="AS26">
            <v>38.427</v>
          </cell>
          <cell r="AT26">
            <v>15.385999999999999</v>
          </cell>
          <cell r="AU26">
            <v>17.649000000000001</v>
          </cell>
          <cell r="AV26">
            <v>18.795999999999999</v>
          </cell>
          <cell r="AW26">
            <v>16.655000000000008</v>
          </cell>
          <cell r="AX26">
            <v>68.486000000000004</v>
          </cell>
          <cell r="AY26">
            <v>11.093999999999999</v>
          </cell>
          <cell r="AZ26">
            <v>13.94</v>
          </cell>
          <cell r="BA26">
            <v>13.94</v>
          </cell>
          <cell r="BB26">
            <v>14.482309165297218</v>
          </cell>
          <cell r="BC26">
            <v>53.456309165297213</v>
          </cell>
          <cell r="BD26">
            <v>16.33503180284335</v>
          </cell>
          <cell r="BE26">
            <v>17.787490613100427</v>
          </cell>
          <cell r="BF26">
            <v>19.371747429807318</v>
          </cell>
          <cell r="BG26">
            <v>20.142466551698956</v>
          </cell>
          <cell r="BH26">
            <v>73.636736397450051</v>
          </cell>
          <cell r="BI26">
            <v>22.31330244449487</v>
          </cell>
          <cell r="BJ26">
            <v>24.125679599986562</v>
          </cell>
          <cell r="BK26">
            <v>26.080070772961154</v>
          </cell>
          <cell r="BL26">
            <v>27.165033764674597</v>
          </cell>
          <cell r="BM26">
            <v>99.684086582117175</v>
          </cell>
          <cell r="BN26">
            <v>30.021583675762411</v>
          </cell>
          <cell r="BO26">
            <v>32.45705954886013</v>
          </cell>
          <cell r="BP26">
            <v>35.032273692754508</v>
          </cell>
          <cell r="BQ26">
            <v>36.53328811713277</v>
          </cell>
          <cell r="BR26">
            <v>134.04420503450982</v>
          </cell>
          <cell r="BS26">
            <v>40.037895699579515</v>
          </cell>
          <cell r="BT26">
            <v>43.003964396493842</v>
          </cell>
          <cell r="BU26">
            <v>46.138966515911683</v>
          </cell>
          <cell r="BV26">
            <v>47.943340166600542</v>
          </cell>
          <cell r="BW26">
            <v>177.12416677858556</v>
          </cell>
          <cell r="BX26">
            <v>52.212766093444849</v>
          </cell>
          <cell r="BY26">
            <v>55.802083706250961</v>
          </cell>
          <cell r="BZ26">
            <v>59.610337462507132</v>
          </cell>
          <cell r="CA26">
            <v>61.807583560636822</v>
          </cell>
          <cell r="CB26">
            <v>229.43277082283976</v>
          </cell>
        </row>
        <row r="27">
          <cell r="B27" t="str">
            <v>Income/(loss) from unconsolidated subs &amp; associates</v>
          </cell>
          <cell r="C27" t="str">
            <v>ASSOCIATE</v>
          </cell>
          <cell r="D27" t="str">
            <v>USD</v>
          </cell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</row>
        <row r="28">
          <cell r="B28" t="str">
            <v>Profit/(loss) on disposals of assets, pre-tax</v>
          </cell>
          <cell r="C28" t="str">
            <v>PROFIT_ON_DISP</v>
          </cell>
          <cell r="D28" t="str">
            <v>USD</v>
          </cell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</row>
        <row r="29">
          <cell r="B29" t="str">
            <v>Other non-ops income/(expense)</v>
          </cell>
          <cell r="C29" t="str">
            <v>OTH_COST_INC</v>
          </cell>
          <cell r="D29" t="str">
            <v>USD</v>
          </cell>
          <cell r="F29">
            <v>-0.58599999999999997</v>
          </cell>
          <cell r="G29">
            <v>-5.3999999999999999E-2</v>
          </cell>
          <cell r="H29">
            <v>-5.0759999999999996</v>
          </cell>
          <cell r="I29">
            <v>-5.8179999999999996</v>
          </cell>
          <cell r="J29">
            <v>-1.29</v>
          </cell>
          <cell r="K29">
            <v>-3.3680000000000021</v>
          </cell>
          <cell r="L29">
            <v>-0.59300000000000019</v>
          </cell>
          <cell r="M29">
            <v>0.30299999999999999</v>
          </cell>
          <cell r="N29">
            <v>-0.54700000000000004</v>
          </cell>
          <cell r="O29">
            <v>-4.2050000000000018</v>
          </cell>
          <cell r="P29">
            <v>-0.189</v>
          </cell>
          <cell r="Q29">
            <v>-0.123</v>
          </cell>
          <cell r="R29">
            <v>2.681</v>
          </cell>
          <cell r="S29">
            <v>3.01</v>
          </cell>
          <cell r="T29">
            <v>5.3789999999999996</v>
          </cell>
          <cell r="U29">
            <v>4.4450000000000003</v>
          </cell>
          <cell r="V29">
            <v>2.8680000000000003</v>
          </cell>
          <cell r="W29">
            <v>4.1749999999999989</v>
          </cell>
          <cell r="X29">
            <v>2.806</v>
          </cell>
          <cell r="Y29">
            <v>14.294</v>
          </cell>
          <cell r="Z29">
            <v>-2.2709999999999999</v>
          </cell>
          <cell r="AA29">
            <v>-1.9120000000000004</v>
          </cell>
          <cell r="AB29">
            <v>-0.69799999999999951</v>
          </cell>
          <cell r="AC29">
            <v>-3.5589999999999993</v>
          </cell>
          <cell r="AD29">
            <v>-8.44</v>
          </cell>
          <cell r="AE29">
            <v>-1.6320000000000079</v>
          </cell>
          <cell r="AF29">
            <v>-3.7879999999999994</v>
          </cell>
          <cell r="AG29">
            <v>-2.5170000000000052</v>
          </cell>
          <cell r="AH29">
            <v>-1.9230000000000014</v>
          </cell>
          <cell r="AI29">
            <v>-9.8600000000000136</v>
          </cell>
          <cell r="AJ29">
            <v>-1.3979999999999373</v>
          </cell>
          <cell r="AK29">
            <v>-0.72800000000000131</v>
          </cell>
          <cell r="AL29">
            <v>-1.4740000000000009</v>
          </cell>
          <cell r="AM29">
            <v>1.6849999999999996</v>
          </cell>
          <cell r="AN29">
            <v>-1.9149999999999396</v>
          </cell>
          <cell r="AO29">
            <v>-3.1970000000000001</v>
          </cell>
          <cell r="AP29">
            <v>-3.1709999999999994</v>
          </cell>
          <cell r="AQ29">
            <v>-2.1590000000000007</v>
          </cell>
          <cell r="AR29">
            <v>-3.179000000000002</v>
          </cell>
          <cell r="AS29">
            <v>-11.706000000000003</v>
          </cell>
          <cell r="AT29">
            <v>-5.2339999999999982</v>
          </cell>
          <cell r="AU29">
            <v>0.98799999999999955</v>
          </cell>
          <cell r="AV29">
            <v>-1.3709999999999987</v>
          </cell>
          <cell r="AW29">
            <v>-3.6310000000000215</v>
          </cell>
          <cell r="AX29">
            <v>-9.2480000000000189</v>
          </cell>
          <cell r="AY29">
            <v>-0.88599999999999923</v>
          </cell>
          <cell r="AZ29">
            <v>-1.2940000000000005</v>
          </cell>
          <cell r="BA29">
            <v>-2</v>
          </cell>
          <cell r="BB29">
            <v>-2</v>
          </cell>
          <cell r="BC29">
            <v>-6.18</v>
          </cell>
          <cell r="BD29">
            <v>-2</v>
          </cell>
          <cell r="BE29">
            <v>-2</v>
          </cell>
          <cell r="BF29">
            <v>-2</v>
          </cell>
          <cell r="BG29">
            <v>-2</v>
          </cell>
          <cell r="BH29">
            <v>-8</v>
          </cell>
          <cell r="BI29">
            <v>-2</v>
          </cell>
          <cell r="BJ29">
            <v>-2</v>
          </cell>
          <cell r="BK29">
            <v>-2</v>
          </cell>
          <cell r="BL29">
            <v>-2</v>
          </cell>
          <cell r="BM29">
            <v>-8</v>
          </cell>
          <cell r="BN29">
            <v>-2</v>
          </cell>
          <cell r="BO29">
            <v>-2</v>
          </cell>
          <cell r="BP29">
            <v>-2</v>
          </cell>
          <cell r="BQ29">
            <v>-2</v>
          </cell>
          <cell r="BR29">
            <v>-8</v>
          </cell>
          <cell r="BS29">
            <v>-2</v>
          </cell>
          <cell r="BT29">
            <v>-2</v>
          </cell>
          <cell r="BU29">
            <v>-2</v>
          </cell>
          <cell r="BV29">
            <v>-2</v>
          </cell>
          <cell r="BW29">
            <v>-8</v>
          </cell>
          <cell r="BX29">
            <v>-2</v>
          </cell>
          <cell r="BY29">
            <v>-2</v>
          </cell>
          <cell r="BZ29">
            <v>-2</v>
          </cell>
          <cell r="CA29">
            <v>-2</v>
          </cell>
          <cell r="CB29">
            <v>-8</v>
          </cell>
        </row>
        <row r="30">
          <cell r="B30" t="str">
            <v>Pre-tax profit</v>
          </cell>
          <cell r="C30" t="str">
            <v>PT_PROF</v>
          </cell>
          <cell r="D30" t="str">
            <v>USD</v>
          </cell>
          <cell r="F30">
            <v>-13.114999999999998</v>
          </cell>
          <cell r="G30">
            <v>-39.664000000000001</v>
          </cell>
          <cell r="H30">
            <v>-77.534999999999982</v>
          </cell>
          <cell r="I30">
            <v>-107.44300000000003</v>
          </cell>
          <cell r="J30">
            <v>-85.86</v>
          </cell>
          <cell r="K30">
            <v>-25.856000000000002</v>
          </cell>
          <cell r="L30">
            <v>-22.492999999999977</v>
          </cell>
          <cell r="M30">
            <v>-43.53300000000003</v>
          </cell>
          <cell r="N30">
            <v>-24.416000000000029</v>
          </cell>
          <cell r="O30">
            <v>-116.29800000000007</v>
          </cell>
          <cell r="P30">
            <v>-22.325000000000024</v>
          </cell>
          <cell r="Q30">
            <v>-20.322000000000013</v>
          </cell>
          <cell r="R30">
            <v>-31.886999999999983</v>
          </cell>
          <cell r="S30">
            <v>-16.738000000000021</v>
          </cell>
          <cell r="T30">
            <v>-91.272000000000062</v>
          </cell>
          <cell r="U30">
            <v>-21.41999999999998</v>
          </cell>
          <cell r="V30">
            <v>-36.155999999999999</v>
          </cell>
          <cell r="W30">
            <v>-100.605</v>
          </cell>
          <cell r="X30">
            <v>-101.80500000000005</v>
          </cell>
          <cell r="Y30">
            <v>-259.98599999999999</v>
          </cell>
          <cell r="Z30">
            <v>-131.61800000000002</v>
          </cell>
          <cell r="AA30">
            <v>-112.04299999999998</v>
          </cell>
          <cell r="AB30">
            <v>-131.00799999999998</v>
          </cell>
          <cell r="AC30">
            <v>-75.359999999999971</v>
          </cell>
          <cell r="AD30">
            <v>-450.02900000000017</v>
          </cell>
          <cell r="AE30">
            <v>-85.534000000000006</v>
          </cell>
          <cell r="AF30">
            <v>-69.592000000000027</v>
          </cell>
          <cell r="AG30">
            <v>-81.706999999999994</v>
          </cell>
          <cell r="AH30">
            <v>-49.989999999999952</v>
          </cell>
          <cell r="AI30">
            <v>-286.82299999999998</v>
          </cell>
          <cell r="AJ30">
            <v>-43.074999999999875</v>
          </cell>
          <cell r="AK30">
            <v>-1.6120000000000072</v>
          </cell>
          <cell r="AL30">
            <v>-6.1039999999999299</v>
          </cell>
          <cell r="AM30">
            <v>-33.57800000000001</v>
          </cell>
          <cell r="AN30">
            <v>-84.368999999999986</v>
          </cell>
          <cell r="AO30">
            <v>12.511000000000026</v>
          </cell>
          <cell r="AP30">
            <v>75.763000000000062</v>
          </cell>
          <cell r="AQ30">
            <v>26.209000000000021</v>
          </cell>
          <cell r="AR30">
            <v>73.234000000000037</v>
          </cell>
          <cell r="AS30">
            <v>187.7170000000001</v>
          </cell>
          <cell r="AT30">
            <v>89.638000000000048</v>
          </cell>
          <cell r="AU30">
            <v>142.51499999999987</v>
          </cell>
          <cell r="AV30">
            <v>90.701000000000008</v>
          </cell>
          <cell r="AW30">
            <v>83.491000000000028</v>
          </cell>
          <cell r="AX30">
            <v>406.34499999999997</v>
          </cell>
          <cell r="AY30">
            <v>128.42899999999989</v>
          </cell>
          <cell r="AZ30">
            <v>173.93499999999997</v>
          </cell>
          <cell r="BA30">
            <v>121.28089410423064</v>
          </cell>
          <cell r="BB30">
            <v>75.690441975824328</v>
          </cell>
          <cell r="BC30">
            <v>499.33533608005507</v>
          </cell>
          <cell r="BD30">
            <v>160.55445025849789</v>
          </cell>
          <cell r="BE30">
            <v>209.53215458665568</v>
          </cell>
          <cell r="BF30">
            <v>148.73331702942255</v>
          </cell>
          <cell r="BG30">
            <v>97.321002126183572</v>
          </cell>
          <cell r="BH30">
            <v>616.14092400075924</v>
          </cell>
          <cell r="BI30">
            <v>196.93790343410728</v>
          </cell>
          <cell r="BJ30">
            <v>253.53184210109973</v>
          </cell>
          <cell r="BK30">
            <v>181.21394564284736</v>
          </cell>
          <cell r="BL30">
            <v>123.22265069267098</v>
          </cell>
          <cell r="BM30">
            <v>754.90634187072544</v>
          </cell>
          <cell r="BN30">
            <v>240.30412047082794</v>
          </cell>
          <cell r="BO30">
            <v>305.57242536864737</v>
          </cell>
          <cell r="BP30">
            <v>220.01886653757774</v>
          </cell>
          <cell r="BQ30">
            <v>154.75202472067224</v>
          </cell>
          <cell r="BR30">
            <v>920.64743709772506</v>
          </cell>
          <cell r="BS30">
            <v>291.92753222734677</v>
          </cell>
          <cell r="BT30">
            <v>366.62586638560322</v>
          </cell>
          <cell r="BU30">
            <v>265.49869896716592</v>
          </cell>
          <cell r="BV30">
            <v>192.0332073704937</v>
          </cell>
          <cell r="BW30">
            <v>1116.0853049506102</v>
          </cell>
          <cell r="BX30">
            <v>352.49476381961205</v>
          </cell>
          <cell r="BY30">
            <v>437.61806705963977</v>
          </cell>
          <cell r="BZ30">
            <v>318.401851669145</v>
          </cell>
          <cell r="CA30">
            <v>235.96078513317406</v>
          </cell>
          <cell r="CB30">
            <v>1344.4754676815714</v>
          </cell>
        </row>
        <row r="31">
          <cell r="A31" t="str">
            <v>Additional Income Statement Items</v>
          </cell>
          <cell r="B31"/>
          <cell r="C31"/>
          <cell r="D31"/>
        </row>
        <row r="32">
          <cell r="B32" t="str">
            <v>Operating lease cost</v>
          </cell>
          <cell r="C32" t="str">
            <v>LEASE_PAY</v>
          </cell>
          <cell r="D32" t="str">
            <v>USD</v>
          </cell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</row>
        <row r="33">
          <cell r="B33" t="str">
            <v>Lease payments (deemed interest portion)</v>
          </cell>
          <cell r="C33" t="str">
            <v>LEASE_DEEM_INT</v>
          </cell>
          <cell r="D33" t="str">
            <v>USD</v>
          </cell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</row>
        <row r="34">
          <cell r="B34" t="str">
            <v>Lease payments (deemed depreciation portion)</v>
          </cell>
          <cell r="C34" t="str">
            <v>LEASE_DEEM_DEPR</v>
          </cell>
          <cell r="D34" t="str">
            <v>USD</v>
          </cell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</row>
        <row r="35">
          <cell r="B35" t="str">
            <v>Gross interest charge</v>
          </cell>
          <cell r="C35" t="str">
            <v>NET_INT_CH</v>
          </cell>
          <cell r="D35" t="str">
            <v>USD</v>
          </cell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</row>
        <row r="36">
          <cell r="B36" t="str">
            <v>Income from associates (operating)</v>
          </cell>
          <cell r="C36" t="str">
            <v>ASSOCIATE_OP</v>
          </cell>
          <cell r="D36" t="str">
            <v>USD</v>
          </cell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</row>
        <row r="37">
          <cell r="B37" t="str">
            <v>Depreciation ROU assets   (applicable to IFRS cos.)</v>
          </cell>
          <cell r="C37" t="str">
            <v>DEPR_ROU_ASSETS</v>
          </cell>
          <cell r="D37" t="str">
            <v>USD</v>
          </cell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</row>
        <row r="38">
          <cell r="B38" t="str">
            <v>Lease interest charge  (applicable to IFRS cos.)</v>
          </cell>
          <cell r="C38" t="str">
            <v>LEASE_INT_CHG</v>
          </cell>
          <cell r="D38" t="str">
            <v>USD</v>
          </cell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</row>
        <row r="39">
          <cell r="B39" t="str">
            <v>Lease standard adopted (US GAAP ASC 842/ IFRS 16)</v>
          </cell>
          <cell r="C39" t="str">
            <v>LEASE_ADOPT</v>
          </cell>
          <cell r="E39" t="str">
            <v>Y</v>
          </cell>
        </row>
        <row r="40">
          <cell r="B40" t="str">
            <v>Stock-based compensation related to cost of goods sold (Americas software)</v>
          </cell>
          <cell r="C40" t="str">
            <v>SBC_COST_OF_GOODS_SOLD</v>
          </cell>
          <cell r="D40" t="str">
            <v>USD</v>
          </cell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</row>
        <row r="41">
          <cell r="B41" t="str">
            <v>Stock-based compensation related to sales &amp; marketing (Americas software)</v>
          </cell>
          <cell r="C41" t="str">
            <v>SBC_SALES_MARKETING</v>
          </cell>
          <cell r="D41" t="str">
            <v>USD</v>
          </cell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/>
          <cell r="AS41"/>
          <cell r="AT41"/>
          <cell r="AU41"/>
          <cell r="AV41"/>
          <cell r="AW41"/>
          <cell r="AX41"/>
          <cell r="AY41"/>
          <cell r="AZ41"/>
          <cell r="BA41"/>
          <cell r="BB41"/>
          <cell r="BC41"/>
          <cell r="BD41"/>
          <cell r="BE41"/>
          <cell r="BF41"/>
          <cell r="BG41"/>
          <cell r="BH41"/>
          <cell r="BI41"/>
          <cell r="BJ41"/>
          <cell r="BK41"/>
          <cell r="BL41"/>
          <cell r="BM41"/>
          <cell r="BN41"/>
          <cell r="BO41"/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</row>
        <row r="42">
          <cell r="B42" t="str">
            <v>Stock-based compensation related to research &amp; development (Americas software)</v>
          </cell>
          <cell r="C42" t="str">
            <v>SBC_RESEARCH_DEVELOPMENT</v>
          </cell>
          <cell r="D42" t="str">
            <v>USD</v>
          </cell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  <cell r="BJ42"/>
          <cell r="BK42"/>
          <cell r="BL42"/>
          <cell r="BM42"/>
          <cell r="BN42"/>
          <cell r="BO42"/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</row>
        <row r="43">
          <cell r="B43" t="str">
            <v>Stock-based compensation related to general &amp; administrative (Americas software)</v>
          </cell>
          <cell r="C43" t="str">
            <v>SBC_GEN_ADMINISTRATIVE</v>
          </cell>
          <cell r="D43" t="str">
            <v>USD</v>
          </cell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</row>
        <row r="44">
          <cell r="B44" t="str">
            <v>Total stock-based compensation (Americas software)</v>
          </cell>
          <cell r="C44" t="str">
            <v>SBC_TOTAL</v>
          </cell>
          <cell r="D44" t="str">
            <v>USD</v>
          </cell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</row>
        <row r="45">
          <cell r="B45" t="str">
            <v>Non-GAAP cost of goods sold</v>
          </cell>
          <cell r="C45" t="str">
            <v>COGS_N_GAAP</v>
          </cell>
          <cell r="D45" t="str">
            <v>USD</v>
          </cell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</row>
        <row r="46">
          <cell r="B46" t="str">
            <v>Non-GAAP gross profit</v>
          </cell>
          <cell r="C46" t="str">
            <v>GROSS_PROFIT_N_GAAP</v>
          </cell>
          <cell r="D46" t="str">
            <v>USD</v>
          </cell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</row>
        <row r="47">
          <cell r="B47" t="str">
            <v>Non-GAAP general and administrative expenses</v>
          </cell>
          <cell r="C47" t="str">
            <v>GEN_ADMIN_N_GAAP</v>
          </cell>
          <cell r="D47" t="str">
            <v>USD</v>
          </cell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</row>
        <row r="48">
          <cell r="B48" t="str">
            <v>Non-GAAP sales &amp; marketing</v>
          </cell>
          <cell r="C48" t="str">
            <v>SALES_MARKETING_N_GAAP</v>
          </cell>
          <cell r="D48" t="str">
            <v>USD</v>
          </cell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</row>
        <row r="49">
          <cell r="B49" t="str">
            <v>Non-GAAP research &amp; development</v>
          </cell>
          <cell r="C49" t="str">
            <v>RD_N_GAAP</v>
          </cell>
          <cell r="D49" t="str">
            <v>USD</v>
          </cell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</row>
        <row r="50">
          <cell r="B50" t="str">
            <v>Non-GAAP operating expenses</v>
          </cell>
          <cell r="C50" t="str">
            <v>OPS_EXP_N_GAAP</v>
          </cell>
          <cell r="D50" t="str">
            <v>USD</v>
          </cell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</row>
        <row r="51">
          <cell r="B51" t="str">
            <v>Non-GAAP operating income</v>
          </cell>
          <cell r="C51" t="str">
            <v>OP_INC_N_GAAP</v>
          </cell>
          <cell r="D51" t="str">
            <v>USD</v>
          </cell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</row>
        <row r="52">
          <cell r="B52" t="str">
            <v>Non-GAAP net income</v>
          </cell>
          <cell r="C52" t="str">
            <v>NET_INC_N_GAAP</v>
          </cell>
          <cell r="D52" t="str">
            <v>USD</v>
          </cell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</row>
        <row r="53">
          <cell r="A53" t="str">
            <v>Balance Sheet</v>
          </cell>
          <cell r="B53"/>
          <cell r="C53"/>
          <cell r="D53"/>
          <cell r="F53"/>
          <cell r="G53"/>
          <cell r="H53">
            <v>41851</v>
          </cell>
          <cell r="I53">
            <v>42216</v>
          </cell>
          <cell r="J53">
            <v>42582</v>
          </cell>
          <cell r="K53">
            <v>42674</v>
          </cell>
          <cell r="L53">
            <v>42766</v>
          </cell>
          <cell r="M53">
            <v>42855</v>
          </cell>
          <cell r="N53">
            <v>42947</v>
          </cell>
          <cell r="O53">
            <v>42947</v>
          </cell>
          <cell r="P53">
            <v>43039</v>
          </cell>
          <cell r="Q53">
            <v>43131</v>
          </cell>
          <cell r="R53">
            <v>43220</v>
          </cell>
          <cell r="S53">
            <v>43312</v>
          </cell>
          <cell r="T53">
            <v>43312</v>
          </cell>
          <cell r="U53">
            <v>43404</v>
          </cell>
          <cell r="V53">
            <v>43496</v>
          </cell>
          <cell r="W53">
            <v>43585</v>
          </cell>
          <cell r="X53">
            <v>43677</v>
          </cell>
          <cell r="Y53">
            <v>43677</v>
          </cell>
          <cell r="Z53">
            <v>43769</v>
          </cell>
          <cell r="AA53">
            <v>43861</v>
          </cell>
          <cell r="AB53">
            <v>43951</v>
          </cell>
          <cell r="AC53">
            <v>44043</v>
          </cell>
          <cell r="AD53">
            <v>44043</v>
          </cell>
          <cell r="AE53">
            <v>44135</v>
          </cell>
          <cell r="AF53">
            <v>44227</v>
          </cell>
          <cell r="AG53">
            <v>44316</v>
          </cell>
          <cell r="AH53">
            <v>44408</v>
          </cell>
          <cell r="AI53">
            <v>44408</v>
          </cell>
          <cell r="AJ53">
            <v>44500</v>
          </cell>
          <cell r="AK53">
            <v>44592</v>
          </cell>
          <cell r="AL53">
            <v>44681</v>
          </cell>
          <cell r="AM53">
            <v>44773</v>
          </cell>
          <cell r="AN53">
            <v>44773</v>
          </cell>
          <cell r="AO53">
            <v>44865</v>
          </cell>
          <cell r="AP53">
            <v>44957</v>
          </cell>
          <cell r="AQ53">
            <v>45046</v>
          </cell>
          <cell r="AR53">
            <v>45138</v>
          </cell>
          <cell r="AS53">
            <v>45138</v>
          </cell>
          <cell r="AT53">
            <v>45230</v>
          </cell>
          <cell r="AU53">
            <v>45322</v>
          </cell>
          <cell r="AV53">
            <v>45412</v>
          </cell>
          <cell r="AW53">
            <v>45504</v>
          </cell>
          <cell r="AX53">
            <v>45504</v>
          </cell>
          <cell r="AY53">
            <v>45596</v>
          </cell>
          <cell r="AZ53">
            <v>45688</v>
          </cell>
          <cell r="BA53">
            <v>45777</v>
          </cell>
          <cell r="BB53">
            <v>45869</v>
          </cell>
          <cell r="BC53">
            <v>45869</v>
          </cell>
          <cell r="BD53">
            <v>45961</v>
          </cell>
          <cell r="BE53">
            <v>46053</v>
          </cell>
          <cell r="BF53">
            <v>46142</v>
          </cell>
          <cell r="BG53">
            <v>46234</v>
          </cell>
          <cell r="BH53">
            <v>46234</v>
          </cell>
          <cell r="BI53">
            <v>46326</v>
          </cell>
          <cell r="BJ53">
            <v>46418</v>
          </cell>
          <cell r="BK53">
            <v>46507</v>
          </cell>
          <cell r="BL53">
            <v>46599</v>
          </cell>
          <cell r="BM53">
            <v>46599</v>
          </cell>
          <cell r="BN53">
            <v>46691</v>
          </cell>
          <cell r="BO53">
            <v>46783</v>
          </cell>
          <cell r="BP53">
            <v>46873</v>
          </cell>
          <cell r="BQ53">
            <v>46965</v>
          </cell>
          <cell r="BR53">
            <v>46965</v>
          </cell>
          <cell r="BS53">
            <v>47057</v>
          </cell>
          <cell r="BT53">
            <v>47149</v>
          </cell>
          <cell r="BU53">
            <v>47238</v>
          </cell>
          <cell r="BV53">
            <v>47330</v>
          </cell>
          <cell r="BW53">
            <v>47330</v>
          </cell>
          <cell r="BX53">
            <v>47422</v>
          </cell>
          <cell r="BY53">
            <v>47514</v>
          </cell>
          <cell r="BZ53">
            <v>47603</v>
          </cell>
          <cell r="CA53">
            <v>47695</v>
          </cell>
          <cell r="CB53">
            <v>47695</v>
          </cell>
        </row>
        <row r="54">
          <cell r="B54" t="str">
            <v>Cash &amp; cash equivalents</v>
          </cell>
          <cell r="C54" t="str">
            <v>CASH_EQ</v>
          </cell>
          <cell r="D54" t="str">
            <v>USD</v>
          </cell>
          <cell r="F54"/>
          <cell r="G54"/>
          <cell r="H54">
            <v>57.484999999999999</v>
          </cell>
          <cell r="I54">
            <v>67.879000000000005</v>
          </cell>
          <cell r="J54">
            <v>99.209000000000003</v>
          </cell>
          <cell r="K54">
            <v>225.46299999999999</v>
          </cell>
          <cell r="L54">
            <v>226.006</v>
          </cell>
          <cell r="M54">
            <v>200.774</v>
          </cell>
          <cell r="N54">
            <v>138.35900000000001</v>
          </cell>
          <cell r="O54">
            <v>138.35900000000001</v>
          </cell>
          <cell r="P54">
            <v>132.459</v>
          </cell>
          <cell r="Q54">
            <v>610.44600000000003</v>
          </cell>
          <cell r="R54">
            <v>376.78899999999999</v>
          </cell>
          <cell r="S54">
            <v>305.97500000000002</v>
          </cell>
          <cell r="T54">
            <v>305.97500000000002</v>
          </cell>
          <cell r="U54">
            <v>399.786</v>
          </cell>
          <cell r="V54">
            <v>466.01</v>
          </cell>
          <cell r="W54">
            <v>445.11900000000003</v>
          </cell>
          <cell r="X54">
            <v>396.678</v>
          </cell>
          <cell r="Y54">
            <v>396.678</v>
          </cell>
          <cell r="Z54">
            <v>233.82</v>
          </cell>
          <cell r="AA54">
            <v>211.69300000000001</v>
          </cell>
          <cell r="AB54">
            <v>262.33100000000002</v>
          </cell>
          <cell r="AC54">
            <v>318.73700000000002</v>
          </cell>
          <cell r="AD54">
            <v>318.73700000000002</v>
          </cell>
          <cell r="AE54">
            <v>504.48200000000003</v>
          </cell>
          <cell r="AF54">
            <v>298.70100000000002</v>
          </cell>
          <cell r="AG54">
            <v>274.67599999999999</v>
          </cell>
          <cell r="AH54">
            <v>285.72300000000001</v>
          </cell>
          <cell r="AI54">
            <v>285.72300000000001</v>
          </cell>
          <cell r="AJ54">
            <v>350.63100000000003</v>
          </cell>
          <cell r="AK54">
            <v>400.74900000000002</v>
          </cell>
          <cell r="AL54">
            <v>386.721</v>
          </cell>
          <cell r="AM54">
            <v>402.85</v>
          </cell>
          <cell r="AN54">
            <v>402.85</v>
          </cell>
          <cell r="AO54">
            <v>480.61700000000002</v>
          </cell>
          <cell r="AP54">
            <v>406.601</v>
          </cell>
          <cell r="AQ54">
            <v>439.91800000000001</v>
          </cell>
          <cell r="AR54">
            <v>512.92899999999997</v>
          </cell>
          <cell r="AS54">
            <v>512.92899999999997</v>
          </cell>
          <cell r="AT54">
            <v>612.46199999999999</v>
          </cell>
          <cell r="AU54">
            <v>679.24599999999998</v>
          </cell>
          <cell r="AV54">
            <v>598.02700000000004</v>
          </cell>
          <cell r="AW54">
            <v>655.27</v>
          </cell>
          <cell r="AX54">
            <v>655.27</v>
          </cell>
          <cell r="AY54">
            <v>716.60400000000004</v>
          </cell>
          <cell r="AZ54">
            <v>1072.1610000000001</v>
          </cell>
          <cell r="BA54">
            <v>1139.9631450366401</v>
          </cell>
          <cell r="BB54">
            <v>1371.5995934354464</v>
          </cell>
          <cell r="BC54">
            <v>1371.5995934354464</v>
          </cell>
          <cell r="BD54">
            <v>1553.1930998974351</v>
          </cell>
          <cell r="BE54">
            <v>1751.2646379338162</v>
          </cell>
          <cell r="BF54">
            <v>1847.6237132158446</v>
          </cell>
          <cell r="BG54">
            <v>2119.0322371219909</v>
          </cell>
          <cell r="BH54">
            <v>2119.0322371219909</v>
          </cell>
          <cell r="BI54">
            <v>2345.6244959682772</v>
          </cell>
          <cell r="BJ54">
            <v>2589.9720420690842</v>
          </cell>
          <cell r="BK54">
            <v>2725.6194233616807</v>
          </cell>
          <cell r="BL54">
            <v>3082.7592686191888</v>
          </cell>
          <cell r="BM54">
            <v>3082.7592686191888</v>
          </cell>
          <cell r="BN54">
            <v>3387.2543775862437</v>
          </cell>
          <cell r="BO54">
            <v>3709.220248823251</v>
          </cell>
          <cell r="BP54">
            <v>3896.8844157159619</v>
          </cell>
          <cell r="BQ54">
            <v>4335.0476016015118</v>
          </cell>
          <cell r="BR54">
            <v>4335.0476016015118</v>
          </cell>
          <cell r="BS54">
            <v>4705.8800212723181</v>
          </cell>
          <cell r="BT54">
            <v>5097.8333239137119</v>
          </cell>
          <cell r="BU54">
            <v>5323.424945433233</v>
          </cell>
          <cell r="BV54">
            <v>5857.2094625295613</v>
          </cell>
          <cell r="BW54">
            <v>5857.2094625295613</v>
          </cell>
          <cell r="BX54">
            <v>6305.9635108456514</v>
          </cell>
          <cell r="BY54">
            <v>6782.0900269381764</v>
          </cell>
          <cell r="BZ54">
            <v>7056.800483924334</v>
          </cell>
          <cell r="CA54">
            <v>7696.5419294706398</v>
          </cell>
          <cell r="CB54">
            <v>7696.5419294706398</v>
          </cell>
        </row>
        <row r="55">
          <cell r="B55" t="str">
            <v>Accounts receivable</v>
          </cell>
          <cell r="C55" t="str">
            <v>DEBTORS</v>
          </cell>
          <cell r="D55" t="str">
            <v>USD</v>
          </cell>
          <cell r="F55"/>
          <cell r="G55"/>
          <cell r="H55">
            <v>30.234999999999999</v>
          </cell>
          <cell r="I55">
            <v>39.253</v>
          </cell>
          <cell r="J55">
            <v>110.65900000000001</v>
          </cell>
          <cell r="K55">
            <v>147.70699999999999</v>
          </cell>
          <cell r="L55">
            <v>151.22399999999999</v>
          </cell>
          <cell r="M55">
            <v>170.33500000000001</v>
          </cell>
          <cell r="N55">
            <v>178.876</v>
          </cell>
          <cell r="O55">
            <v>178.876</v>
          </cell>
          <cell r="P55">
            <v>171.55</v>
          </cell>
          <cell r="Q55">
            <v>179.24100000000001</v>
          </cell>
          <cell r="R55">
            <v>194.32300000000001</v>
          </cell>
          <cell r="S55">
            <v>258.28899999999999</v>
          </cell>
          <cell r="T55">
            <v>258.28899999999999</v>
          </cell>
          <cell r="U55">
            <v>237.68199999999999</v>
          </cell>
          <cell r="V55">
            <v>247.6</v>
          </cell>
          <cell r="W55">
            <v>244.44499999999999</v>
          </cell>
          <cell r="X55">
            <v>245.47499999999999</v>
          </cell>
          <cell r="Y55">
            <v>245.47499999999999</v>
          </cell>
          <cell r="Z55">
            <v>214.88300000000001</v>
          </cell>
          <cell r="AA55">
            <v>247.32300000000001</v>
          </cell>
          <cell r="AB55">
            <v>236.69</v>
          </cell>
          <cell r="AC55">
            <v>242.51599999999999</v>
          </cell>
          <cell r="AD55">
            <v>242.51599999999999</v>
          </cell>
          <cell r="AE55">
            <v>183.27</v>
          </cell>
          <cell r="AF55">
            <v>164.86799999999999</v>
          </cell>
          <cell r="AG55">
            <v>143.11600000000001</v>
          </cell>
          <cell r="AH55">
            <v>180.78100000000001</v>
          </cell>
          <cell r="AI55">
            <v>180.78100000000001</v>
          </cell>
          <cell r="AJ55">
            <v>116.944</v>
          </cell>
          <cell r="AK55">
            <v>159.93799999999999</v>
          </cell>
          <cell r="AL55">
            <v>180.386</v>
          </cell>
          <cell r="AM55">
            <v>124.559</v>
          </cell>
          <cell r="AN55">
            <v>124.559</v>
          </cell>
          <cell r="AO55">
            <v>83.638000000000005</v>
          </cell>
          <cell r="AP55">
            <v>155.25800000000001</v>
          </cell>
          <cell r="AQ55">
            <v>135.07300000000001</v>
          </cell>
          <cell r="AR55">
            <v>157.251</v>
          </cell>
          <cell r="AS55">
            <v>157.251</v>
          </cell>
          <cell r="AT55">
            <v>133.71600000000001</v>
          </cell>
          <cell r="AU55">
            <v>189.04599999999999</v>
          </cell>
          <cell r="AV55">
            <v>225.30099999999999</v>
          </cell>
          <cell r="AW55">
            <v>229.79599999999999</v>
          </cell>
          <cell r="AX55">
            <v>229.79599999999999</v>
          </cell>
          <cell r="AY55">
            <v>198.58199999999999</v>
          </cell>
          <cell r="AZ55">
            <v>327.29399999999998</v>
          </cell>
          <cell r="BA55">
            <v>285.51718986054931</v>
          </cell>
          <cell r="BB55">
            <v>279.80318572708057</v>
          </cell>
          <cell r="BC55">
            <v>279.80318572708057</v>
          </cell>
          <cell r="BD55">
            <v>261.65376181054881</v>
          </cell>
          <cell r="BE55">
            <v>410.67792776228174</v>
          </cell>
          <cell r="BF55">
            <v>356.39522702811894</v>
          </cell>
          <cell r="BG55">
            <v>349.92977164754762</v>
          </cell>
          <cell r="BH55">
            <v>349.92977164754762</v>
          </cell>
          <cell r="BI55">
            <v>319.12020761543238</v>
          </cell>
          <cell r="BJ55">
            <v>490.97962155687225</v>
          </cell>
          <cell r="BK55">
            <v>422.56211704963272</v>
          </cell>
          <cell r="BL55">
            <v>414.96218488177328</v>
          </cell>
          <cell r="BM55">
            <v>414.96218488177328</v>
          </cell>
          <cell r="BN55">
            <v>386.90412498172952</v>
          </cell>
          <cell r="BO55">
            <v>584.23799395768117</v>
          </cell>
          <cell r="BP55">
            <v>493.26636115745765</v>
          </cell>
          <cell r="BQ55">
            <v>489.66170261737921</v>
          </cell>
          <cell r="BR55">
            <v>489.66170261737921</v>
          </cell>
          <cell r="BS55">
            <v>451.60179234201297</v>
          </cell>
          <cell r="BT55">
            <v>675.99773432977042</v>
          </cell>
          <cell r="BU55">
            <v>571.12936149200129</v>
          </cell>
          <cell r="BV55">
            <v>560.38704585098731</v>
          </cell>
          <cell r="BW55">
            <v>560.38704585098731</v>
          </cell>
          <cell r="BX55">
            <v>516.34940226166316</v>
          </cell>
          <cell r="BY55">
            <v>769.92216942471589</v>
          </cell>
          <cell r="BZ55">
            <v>642.95269449818511</v>
          </cell>
          <cell r="CA55">
            <v>630.55409151422862</v>
          </cell>
          <cell r="CB55">
            <v>630.55409151422862</v>
          </cell>
        </row>
        <row r="56">
          <cell r="B56" t="str">
            <v>Inventory</v>
          </cell>
          <cell r="C56" t="str">
            <v>STOCKS</v>
          </cell>
          <cell r="D56" t="str">
            <v>USD</v>
          </cell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</row>
        <row r="57">
          <cell r="B57" t="str">
            <v>Other current assets</v>
          </cell>
          <cell r="C57" t="str">
            <v>OTH_CUR_ASS</v>
          </cell>
          <cell r="D57" t="str">
            <v>USD</v>
          </cell>
          <cell r="F57"/>
          <cell r="G57"/>
          <cell r="H57">
            <v>9.9960000000000004</v>
          </cell>
          <cell r="I57">
            <v>102.151</v>
          </cell>
          <cell r="J57">
            <v>119.99300000000001</v>
          </cell>
          <cell r="K57">
            <v>157.351</v>
          </cell>
          <cell r="L57">
            <v>166.56899999999999</v>
          </cell>
          <cell r="M57">
            <v>216.14400000000001</v>
          </cell>
          <cell r="N57">
            <v>262.899</v>
          </cell>
          <cell r="O57">
            <v>262.899</v>
          </cell>
          <cell r="P57">
            <v>288.892</v>
          </cell>
          <cell r="Q57">
            <v>372.86400000000003</v>
          </cell>
          <cell r="R57">
            <v>613.56399999999996</v>
          </cell>
          <cell r="S57">
            <v>698.83699999999999</v>
          </cell>
          <cell r="T57">
            <v>698.83699999999999</v>
          </cell>
          <cell r="U57">
            <v>639.55199999999991</v>
          </cell>
          <cell r="V57">
            <v>586.30500000000006</v>
          </cell>
          <cell r="W57">
            <v>609.68600000000004</v>
          </cell>
          <cell r="X57">
            <v>633.05899999999997</v>
          </cell>
          <cell r="Y57">
            <v>633.05899999999997</v>
          </cell>
          <cell r="Z57">
            <v>769.20399999999995</v>
          </cell>
          <cell r="AA57">
            <v>732.61799999999994</v>
          </cell>
          <cell r="AB57">
            <v>596.17199999999991</v>
          </cell>
          <cell r="AC57">
            <v>532.76700000000005</v>
          </cell>
          <cell r="AD57">
            <v>532.76700000000005</v>
          </cell>
          <cell r="AE57">
            <v>946.36900000000003</v>
          </cell>
          <cell r="AF57">
            <v>1152.1569999999999</v>
          </cell>
          <cell r="AG57">
            <v>1148.7910000000002</v>
          </cell>
          <cell r="AH57">
            <v>1095.7570000000001</v>
          </cell>
          <cell r="AI57">
            <v>1095.7570000000001</v>
          </cell>
          <cell r="AJ57">
            <v>1084.4660000000001</v>
          </cell>
          <cell r="AK57">
            <v>1061.037</v>
          </cell>
          <cell r="AL57">
            <v>1109.2719999999999</v>
          </cell>
          <cell r="AM57">
            <v>1130.5719999999999</v>
          </cell>
          <cell r="AN57">
            <v>1130.5719999999999</v>
          </cell>
          <cell r="AO57">
            <v>1107.8399999999999</v>
          </cell>
          <cell r="AP57">
            <v>1129.8889999999999</v>
          </cell>
          <cell r="AQ57">
            <v>1153.9170000000001</v>
          </cell>
          <cell r="AR57">
            <v>1191.5540000000001</v>
          </cell>
          <cell r="AS57">
            <v>1191.5540000000001</v>
          </cell>
          <cell r="AT57">
            <v>1171.769</v>
          </cell>
          <cell r="AU57">
            <v>1212.1450000000002</v>
          </cell>
          <cell r="AV57">
            <v>1315.912</v>
          </cell>
          <cell r="AW57">
            <v>596.22799999999995</v>
          </cell>
          <cell r="AX57">
            <v>596.22799999999995</v>
          </cell>
          <cell r="AY57">
            <v>608.27300000000002</v>
          </cell>
          <cell r="AZ57">
            <v>935.93900000000008</v>
          </cell>
          <cell r="BA57">
            <v>991.38178696846558</v>
          </cell>
          <cell r="BB57">
            <v>969.37812482253776</v>
          </cell>
          <cell r="BC57">
            <v>969.37812482253776</v>
          </cell>
          <cell r="BD57">
            <v>956.23750708955902</v>
          </cell>
          <cell r="BE57">
            <v>968.00118067459675</v>
          </cell>
          <cell r="BF57">
            <v>1025.3919403184047</v>
          </cell>
          <cell r="BG57">
            <v>1004.4591266620906</v>
          </cell>
          <cell r="BH57">
            <v>1004.4591266620906</v>
          </cell>
          <cell r="BI57">
            <v>995.51728391951826</v>
          </cell>
          <cell r="BJ57">
            <v>1008.0614452801356</v>
          </cell>
          <cell r="BK57">
            <v>1068.0047466068502</v>
          </cell>
          <cell r="BL57">
            <v>1044.2597375869227</v>
          </cell>
          <cell r="BM57">
            <v>1044.2597375869227</v>
          </cell>
          <cell r="BN57">
            <v>1039.0216626985059</v>
          </cell>
          <cell r="BO57">
            <v>1052.2288429687526</v>
          </cell>
          <cell r="BP57">
            <v>1114.5179154793661</v>
          </cell>
          <cell r="BQ57">
            <v>1087.437627808072</v>
          </cell>
          <cell r="BR57">
            <v>1087.437627808072</v>
          </cell>
          <cell r="BS57">
            <v>1086.9952473559895</v>
          </cell>
          <cell r="BT57">
            <v>1100.7421403086259</v>
          </cell>
          <cell r="BU57">
            <v>1165.001386751479</v>
          </cell>
          <cell r="BV57">
            <v>1134.1746562450303</v>
          </cell>
          <cell r="BW57">
            <v>1134.1746562450303</v>
          </cell>
          <cell r="BX57">
            <v>1137.4294012812288</v>
          </cell>
          <cell r="BY57">
            <v>1151.3217784154313</v>
          </cell>
          <cell r="BZ57">
            <v>1217.3306748456914</v>
          </cell>
          <cell r="CA57">
            <v>1182.3154014475062</v>
          </cell>
          <cell r="CB57">
            <v>1182.3154014475062</v>
          </cell>
        </row>
        <row r="58">
          <cell r="B58" t="str">
            <v>Total current assets</v>
          </cell>
          <cell r="C58" t="str">
            <v>CUR_ASS</v>
          </cell>
          <cell r="D58" t="str">
            <v>USD</v>
          </cell>
          <cell r="F58"/>
          <cell r="G58"/>
          <cell r="H58">
            <v>97.715999999999994</v>
          </cell>
          <cell r="I58">
            <v>209.28299999999999</v>
          </cell>
          <cell r="J58">
            <v>329.86099999999993</v>
          </cell>
          <cell r="K58">
            <v>530.52099999999996</v>
          </cell>
          <cell r="L58">
            <v>543.79899999999998</v>
          </cell>
          <cell r="M58">
            <v>587.25300000000004</v>
          </cell>
          <cell r="N58">
            <v>580.1339999999999</v>
          </cell>
          <cell r="O58">
            <v>580.1339999999999</v>
          </cell>
          <cell r="P58">
            <v>592.90100000000007</v>
          </cell>
          <cell r="Q58">
            <v>1162.5510000000002</v>
          </cell>
          <cell r="R58">
            <v>1184.6760000000002</v>
          </cell>
          <cell r="S58">
            <v>1263.1010000000001</v>
          </cell>
          <cell r="T58">
            <v>1263.1010000000001</v>
          </cell>
          <cell r="U58">
            <v>1277.02</v>
          </cell>
          <cell r="V58">
            <v>1299.9149999999997</v>
          </cell>
          <cell r="W58">
            <v>1299.2499999999998</v>
          </cell>
          <cell r="X58">
            <v>1275.212</v>
          </cell>
          <cell r="Y58">
            <v>1275.212</v>
          </cell>
          <cell r="Z58">
            <v>1217.9069999999999</v>
          </cell>
          <cell r="AA58">
            <v>1191.6340000000002</v>
          </cell>
          <cell r="AB58">
            <v>1095.193</v>
          </cell>
          <cell r="AC58">
            <v>1094.02</v>
          </cell>
          <cell r="AD58">
            <v>1094.02</v>
          </cell>
          <cell r="AE58">
            <v>1634.1210000000001</v>
          </cell>
          <cell r="AF58">
            <v>1615.7259999999999</v>
          </cell>
          <cell r="AG58">
            <v>1566.5830000000001</v>
          </cell>
          <cell r="AH58">
            <v>1562.261</v>
          </cell>
          <cell r="AI58">
            <v>1562.261</v>
          </cell>
          <cell r="AJ58">
            <v>1552.0410000000002</v>
          </cell>
          <cell r="AK58">
            <v>1621.7240000000002</v>
          </cell>
          <cell r="AL58">
            <v>1676.3789999999999</v>
          </cell>
          <cell r="AM58">
            <v>1657.981</v>
          </cell>
          <cell r="AN58">
            <v>1657.981</v>
          </cell>
          <cell r="AO58">
            <v>1672.095</v>
          </cell>
          <cell r="AP58">
            <v>1691.748</v>
          </cell>
          <cell r="AQ58">
            <v>1728.9080000000004</v>
          </cell>
          <cell r="AR58">
            <v>1861.7339999999999</v>
          </cell>
          <cell r="AS58">
            <v>1861.7339999999999</v>
          </cell>
          <cell r="AT58">
            <v>1917.9469999999999</v>
          </cell>
          <cell r="AU58">
            <v>2080.4369999999999</v>
          </cell>
          <cell r="AV58">
            <v>2139.2399999999998</v>
          </cell>
          <cell r="AW58">
            <v>1481.2939999999999</v>
          </cell>
          <cell r="AX58">
            <v>1481.2939999999999</v>
          </cell>
          <cell r="AY58">
            <v>1523.4590000000001</v>
          </cell>
          <cell r="AZ58">
            <v>2335.3940000000002</v>
          </cell>
          <cell r="BA58">
            <v>2416.8621218656554</v>
          </cell>
          <cell r="BB58">
            <v>2620.7809039850649</v>
          </cell>
          <cell r="BC58">
            <v>2620.7809039850649</v>
          </cell>
          <cell r="BD58">
            <v>2771.0843687975434</v>
          </cell>
          <cell r="BE58">
            <v>3129.9437463706945</v>
          </cell>
          <cell r="BF58">
            <v>3229.4108805623678</v>
          </cell>
          <cell r="BG58">
            <v>3473.421135431629</v>
          </cell>
          <cell r="BH58">
            <v>3473.421135431629</v>
          </cell>
          <cell r="BI58">
            <v>3660.2619875032278</v>
          </cell>
          <cell r="BJ58">
            <v>4089.0131089060919</v>
          </cell>
          <cell r="BK58">
            <v>4216.186287018164</v>
          </cell>
          <cell r="BL58">
            <v>4541.9811910878843</v>
          </cell>
          <cell r="BM58">
            <v>4541.9811910878843</v>
          </cell>
          <cell r="BN58">
            <v>4813.180165266479</v>
          </cell>
          <cell r="BO58">
            <v>5345.6870857496851</v>
          </cell>
          <cell r="BP58">
            <v>5504.6686923527859</v>
          </cell>
          <cell r="BQ58">
            <v>5912.1469320269625</v>
          </cell>
          <cell r="BR58">
            <v>5912.1469320269625</v>
          </cell>
          <cell r="BS58">
            <v>6244.477060970321</v>
          </cell>
          <cell r="BT58">
            <v>6874.5731985521079</v>
          </cell>
          <cell r="BU58">
            <v>7059.5556936767125</v>
          </cell>
          <cell r="BV58">
            <v>7551.7711646255775</v>
          </cell>
          <cell r="BW58">
            <v>7551.7711646255775</v>
          </cell>
          <cell r="BX58">
            <v>7959.7423143885426</v>
          </cell>
          <cell r="BY58">
            <v>8703.333974778323</v>
          </cell>
          <cell r="BZ58">
            <v>8917.0838532682101</v>
          </cell>
          <cell r="CA58">
            <v>9509.4114224323748</v>
          </cell>
          <cell r="CB58">
            <v>9509.4114224323748</v>
          </cell>
        </row>
        <row r="59">
          <cell r="B59" t="str">
            <v>Gross fixed assets, PP&amp;E</v>
          </cell>
          <cell r="C59" t="str">
            <v>GR_FIX_ASS</v>
          </cell>
          <cell r="D59" t="str">
            <v>USD</v>
          </cell>
          <cell r="F59"/>
          <cell r="G59"/>
          <cell r="H59">
            <v>16.393999999999998</v>
          </cell>
          <cell r="I59">
            <v>26.634</v>
          </cell>
          <cell r="J59">
            <v>42.218000000000004</v>
          </cell>
          <cell r="K59">
            <v>46.328000000000003</v>
          </cell>
          <cell r="L59">
            <v>51.944000000000003</v>
          </cell>
          <cell r="M59">
            <v>53.545000000000002</v>
          </cell>
          <cell r="N59">
            <v>146.97300000000001</v>
          </cell>
          <cell r="O59">
            <v>146.97300000000001</v>
          </cell>
          <cell r="P59">
            <v>166.22399999999999</v>
          </cell>
          <cell r="Q59">
            <v>177.64600000000002</v>
          </cell>
          <cell r="R59">
            <v>193.995</v>
          </cell>
          <cell r="S59">
            <v>212.904</v>
          </cell>
          <cell r="T59">
            <v>212.904</v>
          </cell>
          <cell r="U59">
            <v>243.75200000000001</v>
          </cell>
          <cell r="V59">
            <v>278.54200000000003</v>
          </cell>
          <cell r="W59">
            <v>302.54700000000003</v>
          </cell>
          <cell r="X59">
            <v>320.13099999999997</v>
          </cell>
          <cell r="Y59">
            <v>320.13099999999997</v>
          </cell>
          <cell r="Z59">
            <v>462.47199999999998</v>
          </cell>
          <cell r="AA59">
            <v>495.48400000000004</v>
          </cell>
          <cell r="AB59">
            <v>515.53899999999999</v>
          </cell>
          <cell r="AC59">
            <v>521.72299999999996</v>
          </cell>
          <cell r="AD59">
            <v>521.72299999999996</v>
          </cell>
          <cell r="AE59">
            <v>524.87300000000005</v>
          </cell>
          <cell r="AF59">
            <v>536.37599999999998</v>
          </cell>
          <cell r="AG59">
            <v>546.86400000000003</v>
          </cell>
          <cell r="AH59">
            <v>554.67200000000003</v>
          </cell>
          <cell r="AI59">
            <v>554.67200000000003</v>
          </cell>
          <cell r="AJ59">
            <v>553.24400000000003</v>
          </cell>
          <cell r="AK59">
            <v>555.49800000000005</v>
          </cell>
          <cell r="AL59">
            <v>559.94399999999996</v>
          </cell>
          <cell r="AM59">
            <v>600.14100000000008</v>
          </cell>
          <cell r="AN59">
            <v>600.14100000000008</v>
          </cell>
          <cell r="AO59">
            <v>605.26900000000001</v>
          </cell>
          <cell r="AP59">
            <v>614.07600000000002</v>
          </cell>
          <cell r="AQ59">
            <v>667.35</v>
          </cell>
          <cell r="AR59">
            <v>625.71600000000001</v>
          </cell>
          <cell r="AS59">
            <v>625.71600000000001</v>
          </cell>
          <cell r="AT59">
            <v>633.86300000000006</v>
          </cell>
          <cell r="AU59">
            <v>651.18299999999999</v>
          </cell>
          <cell r="AV59">
            <v>665.76099999999997</v>
          </cell>
          <cell r="AW59">
            <v>700.05199999999991</v>
          </cell>
          <cell r="AX59">
            <v>700.05199999999991</v>
          </cell>
          <cell r="AY59">
            <v>714.221</v>
          </cell>
          <cell r="AZ59">
            <v>731.30199999999991</v>
          </cell>
          <cell r="BA59">
            <v>752.78423841120969</v>
          </cell>
          <cell r="BB59">
            <v>776.44459434926625</v>
          </cell>
          <cell r="BC59">
            <v>776.44459434926625</v>
          </cell>
          <cell r="BD59">
            <v>804.02240745808194</v>
          </cell>
          <cell r="BE59">
            <v>834.25395287761444</v>
          </cell>
          <cell r="BF59">
            <v>862.6671319587374</v>
          </cell>
          <cell r="BG59">
            <v>891.55174371684075</v>
          </cell>
          <cell r="BH59">
            <v>891.55174371684075</v>
          </cell>
          <cell r="BI59">
            <v>923.36414700456544</v>
          </cell>
          <cell r="BJ59">
            <v>958.11664219450745</v>
          </cell>
          <cell r="BK59">
            <v>990.36072770100748</v>
          </cell>
          <cell r="BL59">
            <v>1023.1427462893117</v>
          </cell>
          <cell r="BM59">
            <v>1023.1427462893117</v>
          </cell>
          <cell r="BN59">
            <v>1059.7301433865027</v>
          </cell>
          <cell r="BO59">
            <v>1099.5517716923118</v>
          </cell>
          <cell r="BP59">
            <v>1136.0493380533242</v>
          </cell>
          <cell r="BQ59">
            <v>1173.1401340655166</v>
          </cell>
          <cell r="BR59">
            <v>1173.1401340655166</v>
          </cell>
          <cell r="BS59">
            <v>1215.0910291810956</v>
          </cell>
          <cell r="BT59">
            <v>1260.5772578025076</v>
          </cell>
          <cell r="BU59">
            <v>1301.7737851060058</v>
          </cell>
          <cell r="BV59">
            <v>1343.6189421893691</v>
          </cell>
          <cell r="BW59">
            <v>1343.6189421893691</v>
          </cell>
          <cell r="BX59">
            <v>1391.5844728506518</v>
          </cell>
          <cell r="BY59">
            <v>1443.3906462158154</v>
          </cell>
          <cell r="BZ59">
            <v>1489.7679120677362</v>
          </cell>
          <cell r="CA59">
            <v>1536.8525747206743</v>
          </cell>
          <cell r="CB59">
            <v>1536.8525747206743</v>
          </cell>
        </row>
        <row r="60">
          <cell r="B60" t="str">
            <v>Accumulated depreciation</v>
          </cell>
          <cell r="C60" t="str">
            <v>ACC_DDA</v>
          </cell>
          <cell r="D60" t="str">
            <v>USD</v>
          </cell>
          <cell r="F60"/>
          <cell r="G60"/>
          <cell r="H60"/>
          <cell r="I60"/>
          <cell r="J60"/>
          <cell r="K60"/>
          <cell r="L60"/>
          <cell r="M60"/>
          <cell r="N60">
            <v>-88.900999999999996</v>
          </cell>
          <cell r="O60">
            <v>-88.900999999999996</v>
          </cell>
          <cell r="P60">
            <v>-98.649000000000001</v>
          </cell>
          <cell r="Q60">
            <v>-108.572</v>
          </cell>
          <cell r="R60">
            <v>-117.673</v>
          </cell>
          <cell r="S60">
            <v>-127.79300000000001</v>
          </cell>
          <cell r="T60">
            <v>-127.79300000000001</v>
          </cell>
          <cell r="U60">
            <v>-139.00200000000001</v>
          </cell>
          <cell r="V60">
            <v>-152.61799999999999</v>
          </cell>
          <cell r="W60">
            <v>-167.98500000000001</v>
          </cell>
          <cell r="X60">
            <v>-183.16900000000001</v>
          </cell>
          <cell r="Y60">
            <v>-183.16900000000001</v>
          </cell>
          <cell r="Z60">
            <v>-199</v>
          </cell>
          <cell r="AA60">
            <v>-216.374</v>
          </cell>
          <cell r="AB60">
            <v>-233.33199999999999</v>
          </cell>
          <cell r="AC60">
            <v>-251.22499999999999</v>
          </cell>
          <cell r="AD60">
            <v>-251.22499999999999</v>
          </cell>
          <cell r="AE60">
            <v>-265.17500000000001</v>
          </cell>
          <cell r="AF60">
            <v>-283.339</v>
          </cell>
          <cell r="AG60">
            <v>-301.26499999999999</v>
          </cell>
          <cell r="AH60">
            <v>-317.14800000000002</v>
          </cell>
          <cell r="AI60">
            <v>-317.14800000000002</v>
          </cell>
          <cell r="AJ60">
            <v>-331.983</v>
          </cell>
          <cell r="AK60">
            <v>-346.37</v>
          </cell>
          <cell r="AL60">
            <v>-359.02300000000002</v>
          </cell>
          <cell r="AM60">
            <v>-367.96100000000001</v>
          </cell>
          <cell r="AN60">
            <v>-367.96100000000001</v>
          </cell>
          <cell r="AO60">
            <v>-382.38600000000002</v>
          </cell>
          <cell r="AP60">
            <v>-394.78100000000001</v>
          </cell>
          <cell r="AQ60">
            <v>-454.08100000000002</v>
          </cell>
          <cell r="AR60">
            <v>-420.29700000000003</v>
          </cell>
          <cell r="AS60">
            <v>-420.29700000000003</v>
          </cell>
          <cell r="AT60">
            <v>-427.358</v>
          </cell>
          <cell r="AU60">
            <v>-438.65199999999999</v>
          </cell>
          <cell r="AV60">
            <v>-454.08100000000002</v>
          </cell>
          <cell r="AW60">
            <v>-454.73899999999998</v>
          </cell>
          <cell r="AX60">
            <v>-454.73899999999998</v>
          </cell>
          <cell r="AY60">
            <v>-463.173</v>
          </cell>
          <cell r="AZ60">
            <v>-480.49799999999999</v>
          </cell>
          <cell r="BA60">
            <v>-497.89</v>
          </cell>
          <cell r="BB60">
            <v>-515.79469108738374</v>
          </cell>
          <cell r="BC60">
            <v>-515.79469108738374</v>
          </cell>
          <cell r="BD60">
            <v>-534.48830522316086</v>
          </cell>
          <cell r="BE60">
            <v>-553.44061508058905</v>
          </cell>
          <cell r="BF60">
            <v>-573.75032496566621</v>
          </cell>
          <cell r="BG60">
            <v>-595.03524715570859</v>
          </cell>
          <cell r="BH60">
            <v>-595.03524715570859</v>
          </cell>
          <cell r="BI60">
            <v>-617.31852037643694</v>
          </cell>
          <cell r="BJ60">
            <v>-639.69483787610238</v>
          </cell>
          <cell r="BK60">
            <v>-663.49868605660868</v>
          </cell>
          <cell r="BL60">
            <v>-688.27607372870602</v>
          </cell>
          <cell r="BM60">
            <v>-688.27607372870602</v>
          </cell>
          <cell r="BN60">
            <v>-714.07793684053468</v>
          </cell>
          <cell r="BO60">
            <v>-739.85467075669783</v>
          </cell>
          <cell r="BP60">
            <v>-767.18118907216069</v>
          </cell>
          <cell r="BQ60">
            <v>-795.51968702890144</v>
          </cell>
          <cell r="BR60">
            <v>-795.51968702890144</v>
          </cell>
          <cell r="BS60">
            <v>-824.94455319299232</v>
          </cell>
          <cell r="BT60">
            <v>-854.24053156311436</v>
          </cell>
          <cell r="BU60">
            <v>-885.24207245446541</v>
          </cell>
          <cell r="BV60">
            <v>-917.31760457258042</v>
          </cell>
          <cell r="BW60">
            <v>-917.31760457258042</v>
          </cell>
          <cell r="BX60">
            <v>-950.565019826705</v>
          </cell>
          <cell r="BY60">
            <v>-983.5753716095976</v>
          </cell>
          <cell r="BZ60">
            <v>-1018.4717908155998</v>
          </cell>
          <cell r="CA60">
            <v>-1054.5202560097916</v>
          </cell>
          <cell r="CB60">
            <v>-1054.5202560097916</v>
          </cell>
        </row>
        <row r="61">
          <cell r="B61" t="str">
            <v>Net PP&amp;E</v>
          </cell>
          <cell r="C61" t="str">
            <v>NET_FIX_ASS</v>
          </cell>
          <cell r="D61" t="str">
            <v>USD</v>
          </cell>
          <cell r="F61"/>
          <cell r="G61"/>
          <cell r="H61">
            <v>16.393999999999998</v>
          </cell>
          <cell r="I61">
            <v>26.634</v>
          </cell>
          <cell r="J61">
            <v>42.218000000000004</v>
          </cell>
          <cell r="K61">
            <v>46.328000000000003</v>
          </cell>
          <cell r="L61">
            <v>51.944000000000003</v>
          </cell>
          <cell r="M61">
            <v>53.545000000000002</v>
          </cell>
          <cell r="N61">
            <v>58.072000000000003</v>
          </cell>
          <cell r="O61">
            <v>58.072000000000003</v>
          </cell>
          <cell r="P61">
            <v>67.575000000000003</v>
          </cell>
          <cell r="Q61">
            <v>69.073999999999998</v>
          </cell>
          <cell r="R61">
            <v>76.322000000000003</v>
          </cell>
          <cell r="S61">
            <v>85.111000000000004</v>
          </cell>
          <cell r="T61">
            <v>85.111000000000004</v>
          </cell>
          <cell r="U61">
            <v>104.75</v>
          </cell>
          <cell r="V61">
            <v>125.92400000000001</v>
          </cell>
          <cell r="W61">
            <v>134.56200000000001</v>
          </cell>
          <cell r="X61">
            <v>136.96199999999999</v>
          </cell>
          <cell r="Y61">
            <v>136.96199999999999</v>
          </cell>
          <cell r="Z61">
            <v>263.47199999999998</v>
          </cell>
          <cell r="AA61">
            <v>279.11</v>
          </cell>
          <cell r="AB61">
            <v>282.20699999999999</v>
          </cell>
          <cell r="AC61">
            <v>270.49799999999999</v>
          </cell>
          <cell r="AD61">
            <v>270.49799999999999</v>
          </cell>
          <cell r="AE61">
            <v>259.69799999999998</v>
          </cell>
          <cell r="AF61">
            <v>253.03700000000001</v>
          </cell>
          <cell r="AG61">
            <v>245.59899999999999</v>
          </cell>
          <cell r="AH61">
            <v>237.524</v>
          </cell>
          <cell r="AI61">
            <v>237.524</v>
          </cell>
          <cell r="AJ61">
            <v>221.26100000000002</v>
          </cell>
          <cell r="AK61">
            <v>209.12799999999999</v>
          </cell>
          <cell r="AL61">
            <v>200.92099999999999</v>
          </cell>
          <cell r="AM61">
            <v>232.18</v>
          </cell>
          <cell r="AN61">
            <v>232.18</v>
          </cell>
          <cell r="AO61">
            <v>222.88300000000001</v>
          </cell>
          <cell r="AP61">
            <v>219.29500000000002</v>
          </cell>
          <cell r="AQ61">
            <v>213.26900000000001</v>
          </cell>
          <cell r="AR61">
            <v>205.41899999999998</v>
          </cell>
          <cell r="AS61">
            <v>205.41899999999998</v>
          </cell>
          <cell r="AT61">
            <v>206.505</v>
          </cell>
          <cell r="AU61">
            <v>212.53100000000001</v>
          </cell>
          <cell r="AV61">
            <v>211.68</v>
          </cell>
          <cell r="AW61">
            <v>245.31299999999999</v>
          </cell>
          <cell r="AX61">
            <v>245.31299999999999</v>
          </cell>
          <cell r="AY61">
            <v>251.048</v>
          </cell>
          <cell r="AZ61">
            <v>250.80399999999997</v>
          </cell>
          <cell r="BA61">
            <v>254.8942384112097</v>
          </cell>
          <cell r="BB61">
            <v>260.64990326188257</v>
          </cell>
          <cell r="BC61">
            <v>260.64990326188257</v>
          </cell>
          <cell r="BD61">
            <v>269.53410223492102</v>
          </cell>
          <cell r="BE61">
            <v>280.81333779702533</v>
          </cell>
          <cell r="BF61">
            <v>288.91680699307113</v>
          </cell>
          <cell r="BG61">
            <v>296.5164965611321</v>
          </cell>
          <cell r="BH61">
            <v>296.5164965611321</v>
          </cell>
          <cell r="BI61">
            <v>306.0456266281285</v>
          </cell>
          <cell r="BJ61">
            <v>318.42180431840512</v>
          </cell>
          <cell r="BK61">
            <v>326.8620416443988</v>
          </cell>
          <cell r="BL61">
            <v>334.86667256060571</v>
          </cell>
          <cell r="BM61">
            <v>334.86667256060571</v>
          </cell>
          <cell r="BN61">
            <v>345.65220654596817</v>
          </cell>
          <cell r="BO61">
            <v>359.69710093561412</v>
          </cell>
          <cell r="BP61">
            <v>368.86814898116353</v>
          </cell>
          <cell r="BQ61">
            <v>377.62044703661513</v>
          </cell>
          <cell r="BR61">
            <v>377.62044703661513</v>
          </cell>
          <cell r="BS61">
            <v>390.14647598810336</v>
          </cell>
          <cell r="BT61">
            <v>406.3367262393931</v>
          </cell>
          <cell r="BU61">
            <v>416.53171265154037</v>
          </cell>
          <cell r="BV61">
            <v>426.30133761678866</v>
          </cell>
          <cell r="BW61">
            <v>426.30133761678866</v>
          </cell>
          <cell r="BX61">
            <v>441.01945302394671</v>
          </cell>
          <cell r="BY61">
            <v>459.81527460621788</v>
          </cell>
          <cell r="BZ61">
            <v>471.2961212521364</v>
          </cell>
          <cell r="CA61">
            <v>482.33231871088259</v>
          </cell>
          <cell r="CB61">
            <v>482.33231871088259</v>
          </cell>
        </row>
        <row r="62">
          <cell r="B62" t="str">
            <v>Gross intangibles</v>
          </cell>
          <cell r="C62" t="str">
            <v>GR_INTANG</v>
          </cell>
          <cell r="D62" t="str">
            <v>USD</v>
          </cell>
          <cell r="F62"/>
          <cell r="G62"/>
          <cell r="H62">
            <v>0</v>
          </cell>
          <cell r="I62">
            <v>0</v>
          </cell>
          <cell r="J62">
            <v>0</v>
          </cell>
          <cell r="K62">
            <v>44.608999999999995</v>
          </cell>
          <cell r="L62">
            <v>44.000999999999998</v>
          </cell>
          <cell r="M62">
            <v>43.245000000000005</v>
          </cell>
          <cell r="N62">
            <v>44.902000000000001</v>
          </cell>
          <cell r="O62">
            <v>44.902000000000001</v>
          </cell>
          <cell r="P62">
            <v>44.902000000000001</v>
          </cell>
          <cell r="Q62">
            <v>44.902000000000001</v>
          </cell>
          <cell r="R62">
            <v>142.47399999999999</v>
          </cell>
          <cell r="S62">
            <v>141.90899999999999</v>
          </cell>
          <cell r="T62">
            <v>141.90899999999999</v>
          </cell>
          <cell r="U62">
            <v>277.32600000000002</v>
          </cell>
          <cell r="V62">
            <v>277.15199999999999</v>
          </cell>
          <cell r="W62">
            <v>277.51299999999998</v>
          </cell>
          <cell r="X62">
            <v>277.51299999999998</v>
          </cell>
          <cell r="Y62">
            <v>277.51299999999998</v>
          </cell>
          <cell r="Z62">
            <v>277.59299999999996</v>
          </cell>
          <cell r="AA62">
            <v>277.59299999999996</v>
          </cell>
          <cell r="AB62">
            <v>277.59299999999996</v>
          </cell>
          <cell r="AC62">
            <v>277.59199999999998</v>
          </cell>
          <cell r="AD62">
            <v>277.59199999999998</v>
          </cell>
          <cell r="AE62">
            <v>277.59199999999998</v>
          </cell>
          <cell r="AF62">
            <v>277.59199999999998</v>
          </cell>
          <cell r="AG62">
            <v>277.59199999999998</v>
          </cell>
          <cell r="AH62">
            <v>277.59199999999998</v>
          </cell>
          <cell r="AI62">
            <v>277.59199999999998</v>
          </cell>
          <cell r="AJ62">
            <v>277.59199999999998</v>
          </cell>
          <cell r="AK62">
            <v>277.59199999999998</v>
          </cell>
          <cell r="AL62">
            <v>277.59300000000002</v>
          </cell>
          <cell r="AM62">
            <v>277.59199999999998</v>
          </cell>
          <cell r="AN62">
            <v>277.59199999999998</v>
          </cell>
          <cell r="AO62">
            <v>277.59199999999998</v>
          </cell>
          <cell r="AP62">
            <v>277.59199999999998</v>
          </cell>
          <cell r="AQ62">
            <v>277.59199999999998</v>
          </cell>
          <cell r="AR62">
            <v>276.23500000000001</v>
          </cell>
          <cell r="AS62">
            <v>276.23500000000001</v>
          </cell>
          <cell r="AT62">
            <v>276.23500000000001</v>
          </cell>
          <cell r="AU62">
            <v>280.50200000000001</v>
          </cell>
          <cell r="AV62">
            <v>280.50200000000001</v>
          </cell>
          <cell r="AW62">
            <v>280.50299999999999</v>
          </cell>
          <cell r="AX62">
            <v>280.50299999999999</v>
          </cell>
          <cell r="AY62">
            <v>280.50300000000004</v>
          </cell>
          <cell r="AZ62">
            <v>280.50300000000004</v>
          </cell>
          <cell r="BA62">
            <v>280.50300000000004</v>
          </cell>
          <cell r="BB62">
            <v>280.50300000000004</v>
          </cell>
          <cell r="BC62">
            <v>280.50300000000004</v>
          </cell>
          <cell r="BD62">
            <v>280.50300000000004</v>
          </cell>
          <cell r="BE62">
            <v>280.50300000000004</v>
          </cell>
          <cell r="BF62">
            <v>280.50300000000004</v>
          </cell>
          <cell r="BG62">
            <v>280.50300000000004</v>
          </cell>
          <cell r="BH62">
            <v>280.50300000000004</v>
          </cell>
          <cell r="BI62">
            <v>280.50300000000004</v>
          </cell>
          <cell r="BJ62">
            <v>280.50299999999999</v>
          </cell>
          <cell r="BK62">
            <v>280.50300000000004</v>
          </cell>
          <cell r="BL62">
            <v>280.50299999999999</v>
          </cell>
          <cell r="BM62">
            <v>280.50299999999999</v>
          </cell>
          <cell r="BN62">
            <v>280.50300000000004</v>
          </cell>
          <cell r="BO62">
            <v>280.50299999999999</v>
          </cell>
          <cell r="BP62">
            <v>280.50300000000004</v>
          </cell>
          <cell r="BQ62">
            <v>280.50299999999999</v>
          </cell>
          <cell r="BR62">
            <v>280.50299999999999</v>
          </cell>
          <cell r="BS62">
            <v>280.50300000000004</v>
          </cell>
          <cell r="BT62">
            <v>280.50300000000004</v>
          </cell>
          <cell r="BU62">
            <v>280.50300000000004</v>
          </cell>
          <cell r="BV62">
            <v>280.50300000000004</v>
          </cell>
          <cell r="BW62">
            <v>280.50300000000004</v>
          </cell>
          <cell r="BX62">
            <v>280.50300000000004</v>
          </cell>
          <cell r="BY62">
            <v>280.50300000000004</v>
          </cell>
          <cell r="BZ62">
            <v>280.50300000000004</v>
          </cell>
          <cell r="CA62">
            <v>280.50300000000004</v>
          </cell>
          <cell r="CB62">
            <v>280.50300000000004</v>
          </cell>
        </row>
        <row r="63">
          <cell r="B63" t="str">
            <v>Accumulated amortization</v>
          </cell>
          <cell r="C63" t="str">
            <v>ACC_AMORT</v>
          </cell>
          <cell r="D63" t="str">
            <v>USD</v>
          </cell>
          <cell r="F63"/>
          <cell r="G63"/>
          <cell r="H63"/>
          <cell r="I63"/>
          <cell r="J63"/>
          <cell r="K63"/>
          <cell r="L63"/>
          <cell r="M63"/>
          <cell r="N63">
            <v>-2.2290000000000001</v>
          </cell>
          <cell r="O63">
            <v>-2.2290000000000001</v>
          </cell>
          <cell r="P63">
            <v>-3.335</v>
          </cell>
          <cell r="Q63">
            <v>-4.6909999999999998</v>
          </cell>
          <cell r="R63">
            <v>-6.3599999999999994</v>
          </cell>
          <cell r="S63">
            <v>-8.7839999999999989</v>
          </cell>
          <cell r="T63">
            <v>-8.7839999999999989</v>
          </cell>
          <cell r="U63">
            <v>-12.501999999999999</v>
          </cell>
          <cell r="V63">
            <v>-16.86</v>
          </cell>
          <cell r="W63">
            <v>-21.215</v>
          </cell>
          <cell r="X63">
            <v>-25.56</v>
          </cell>
          <cell r="Y63">
            <v>-25.56</v>
          </cell>
          <cell r="Z63">
            <v>-29.904999999999998</v>
          </cell>
          <cell r="AA63">
            <v>-34.25</v>
          </cell>
          <cell r="AB63">
            <v>-38.594999999999999</v>
          </cell>
          <cell r="AC63">
            <v>-42.94</v>
          </cell>
          <cell r="AD63">
            <v>-42.94</v>
          </cell>
          <cell r="AE63">
            <v>-47.284999999999997</v>
          </cell>
          <cell r="AF63">
            <v>-51.629999999999995</v>
          </cell>
          <cell r="AG63">
            <v>-55.974999999999994</v>
          </cell>
          <cell r="AH63">
            <v>-60.319999999999993</v>
          </cell>
          <cell r="AI63">
            <v>-60.319999999999993</v>
          </cell>
          <cell r="AJ63">
            <v>-64.446999999999989</v>
          </cell>
          <cell r="AK63">
            <v>-68.465999999999994</v>
          </cell>
          <cell r="AL63">
            <v>-72.484999999999999</v>
          </cell>
          <cell r="AM63">
            <v>-76.503</v>
          </cell>
          <cell r="AN63">
            <v>-76.503</v>
          </cell>
          <cell r="AO63">
            <v>-79.662000000000006</v>
          </cell>
          <cell r="AP63">
            <v>-82.391000000000005</v>
          </cell>
          <cell r="AQ63">
            <v>-84.998000000000005</v>
          </cell>
          <cell r="AR63">
            <v>-86.403999999999996</v>
          </cell>
          <cell r="AS63">
            <v>-86.403999999999996</v>
          </cell>
          <cell r="AT63">
            <v>-87.551999999999992</v>
          </cell>
          <cell r="AU63">
            <v>-88.382999999999996</v>
          </cell>
          <cell r="AV63">
            <v>-89.24799999999999</v>
          </cell>
          <cell r="AW63">
            <v>-90.114999999999995</v>
          </cell>
          <cell r="AX63">
            <v>-90.114999999999995</v>
          </cell>
          <cell r="AY63">
            <v>-90.97</v>
          </cell>
          <cell r="AZ63">
            <v>-91.825000000000003</v>
          </cell>
          <cell r="BA63">
            <v>-92.240000000000009</v>
          </cell>
          <cell r="BB63">
            <v>-92.655000000000015</v>
          </cell>
          <cell r="BC63">
            <v>-92.655000000000015</v>
          </cell>
          <cell r="BD63">
            <v>-92.849250000000012</v>
          </cell>
          <cell r="BE63">
            <v>-93.043500000000009</v>
          </cell>
          <cell r="BF63">
            <v>-93.237750000000005</v>
          </cell>
          <cell r="BG63">
            <v>-93.432000000000002</v>
          </cell>
          <cell r="BH63">
            <v>-93.432000000000002</v>
          </cell>
          <cell r="BI63">
            <v>-93.626249999999999</v>
          </cell>
          <cell r="BJ63">
            <v>-93.820499999999996</v>
          </cell>
          <cell r="BK63">
            <v>-94.014749999999992</v>
          </cell>
          <cell r="BL63">
            <v>-94.208999999999989</v>
          </cell>
          <cell r="BM63">
            <v>-94.208999999999989</v>
          </cell>
          <cell r="BN63">
            <v>-94.297249999999991</v>
          </cell>
          <cell r="BO63">
            <v>-94.385499999999993</v>
          </cell>
          <cell r="BP63">
            <v>-94.473749999999995</v>
          </cell>
          <cell r="BQ63">
            <v>-94.561999999999998</v>
          </cell>
          <cell r="BR63">
            <v>-94.561999999999998</v>
          </cell>
          <cell r="BS63">
            <v>-94.65025</v>
          </cell>
          <cell r="BT63">
            <v>-94.738500000000002</v>
          </cell>
          <cell r="BU63">
            <v>-94.826750000000004</v>
          </cell>
          <cell r="BV63">
            <v>-94.915000000000006</v>
          </cell>
          <cell r="BW63">
            <v>-94.915000000000006</v>
          </cell>
          <cell r="BX63">
            <v>-95.003250000000008</v>
          </cell>
          <cell r="BY63">
            <v>-95.091500000000011</v>
          </cell>
          <cell r="BZ63">
            <v>-95.179750000000013</v>
          </cell>
          <cell r="CA63">
            <v>-95.268000000000015</v>
          </cell>
          <cell r="CB63">
            <v>-95.268000000000015</v>
          </cell>
        </row>
        <row r="64">
          <cell r="B64" t="str">
            <v>Net intangible assets</v>
          </cell>
          <cell r="C64" t="str">
            <v>NET_INTANG</v>
          </cell>
          <cell r="D64" t="str">
            <v>USD</v>
          </cell>
          <cell r="F64"/>
          <cell r="G64"/>
          <cell r="H64">
            <v>0</v>
          </cell>
          <cell r="I64">
            <v>0</v>
          </cell>
          <cell r="J64">
            <v>0</v>
          </cell>
          <cell r="K64">
            <v>44.608999999999995</v>
          </cell>
          <cell r="L64">
            <v>44.000999999999998</v>
          </cell>
          <cell r="M64">
            <v>43.245000000000005</v>
          </cell>
          <cell r="N64">
            <v>42.673000000000002</v>
          </cell>
          <cell r="O64">
            <v>42.673000000000002</v>
          </cell>
          <cell r="P64">
            <v>41.567</v>
          </cell>
          <cell r="Q64">
            <v>40.210999999999999</v>
          </cell>
          <cell r="R64">
            <v>136.114</v>
          </cell>
          <cell r="S64">
            <v>133.125</v>
          </cell>
          <cell r="T64">
            <v>133.125</v>
          </cell>
          <cell r="U64">
            <v>264.82400000000001</v>
          </cell>
          <cell r="V64">
            <v>260.29199999999997</v>
          </cell>
          <cell r="W64">
            <v>256.298</v>
          </cell>
          <cell r="X64">
            <v>251.953</v>
          </cell>
          <cell r="Y64">
            <v>251.953</v>
          </cell>
          <cell r="Z64">
            <v>247.68799999999999</v>
          </cell>
          <cell r="AA64">
            <v>243.34299999999999</v>
          </cell>
          <cell r="AB64">
            <v>238.99799999999999</v>
          </cell>
          <cell r="AC64">
            <v>234.65199999999999</v>
          </cell>
          <cell r="AD64">
            <v>234.65199999999999</v>
          </cell>
          <cell r="AE64">
            <v>230.30699999999999</v>
          </cell>
          <cell r="AF64">
            <v>225.96199999999999</v>
          </cell>
          <cell r="AG64">
            <v>221.61699999999999</v>
          </cell>
          <cell r="AH64">
            <v>217.27199999999999</v>
          </cell>
          <cell r="AI64">
            <v>217.27199999999999</v>
          </cell>
          <cell r="AJ64">
            <v>213.14499999999998</v>
          </cell>
          <cell r="AK64">
            <v>209.12599999999998</v>
          </cell>
          <cell r="AL64">
            <v>205.108</v>
          </cell>
          <cell r="AM64">
            <v>201.089</v>
          </cell>
          <cell r="AN64">
            <v>201.089</v>
          </cell>
          <cell r="AO64">
            <v>197.92999999999998</v>
          </cell>
          <cell r="AP64">
            <v>195.20099999999999</v>
          </cell>
          <cell r="AQ64">
            <v>192.59399999999999</v>
          </cell>
          <cell r="AR64">
            <v>189.83099999999999</v>
          </cell>
          <cell r="AS64">
            <v>189.83099999999999</v>
          </cell>
          <cell r="AT64">
            <v>188.68299999999999</v>
          </cell>
          <cell r="AU64">
            <v>192.11900000000003</v>
          </cell>
          <cell r="AV64">
            <v>191.25400000000002</v>
          </cell>
          <cell r="AW64">
            <v>190.38800000000001</v>
          </cell>
          <cell r="AX64">
            <v>190.38800000000001</v>
          </cell>
          <cell r="AY64">
            <v>189.53300000000002</v>
          </cell>
          <cell r="AZ64">
            <v>188.67800000000003</v>
          </cell>
          <cell r="BA64">
            <v>188.26300000000001</v>
          </cell>
          <cell r="BB64">
            <v>187.84800000000001</v>
          </cell>
          <cell r="BC64">
            <v>187.84800000000001</v>
          </cell>
          <cell r="BD64">
            <v>187.65375</v>
          </cell>
          <cell r="BE64">
            <v>187.45950000000002</v>
          </cell>
          <cell r="BF64">
            <v>187.26525000000001</v>
          </cell>
          <cell r="BG64">
            <v>187.07100000000003</v>
          </cell>
          <cell r="BH64">
            <v>187.07100000000003</v>
          </cell>
          <cell r="BI64">
            <v>186.87675000000002</v>
          </cell>
          <cell r="BJ64">
            <v>186.6825</v>
          </cell>
          <cell r="BK64">
            <v>186.48825000000002</v>
          </cell>
          <cell r="BL64">
            <v>186.29400000000001</v>
          </cell>
          <cell r="BM64">
            <v>186.29400000000001</v>
          </cell>
          <cell r="BN64">
            <v>186.20575000000002</v>
          </cell>
          <cell r="BO64">
            <v>186.11750000000001</v>
          </cell>
          <cell r="BP64">
            <v>186.02925000000002</v>
          </cell>
          <cell r="BQ64">
            <v>185.941</v>
          </cell>
          <cell r="BR64">
            <v>185.941</v>
          </cell>
          <cell r="BS64">
            <v>185.85275000000001</v>
          </cell>
          <cell r="BT64">
            <v>185.76450000000003</v>
          </cell>
          <cell r="BU64">
            <v>185.67625000000001</v>
          </cell>
          <cell r="BV64">
            <v>185.58800000000002</v>
          </cell>
          <cell r="BW64">
            <v>185.58800000000002</v>
          </cell>
          <cell r="BX64">
            <v>185.49975000000001</v>
          </cell>
          <cell r="BY64">
            <v>185.41150000000002</v>
          </cell>
          <cell r="BZ64">
            <v>185.32325</v>
          </cell>
          <cell r="CA64">
            <v>185.23500000000001</v>
          </cell>
          <cell r="CB64">
            <v>185.23500000000001</v>
          </cell>
        </row>
        <row r="65">
          <cell r="B65" t="str">
            <v>Equity method investments</v>
          </cell>
          <cell r="C65" t="str">
            <v>FIX_ASS_INV</v>
          </cell>
          <cell r="D65" t="str">
            <v>USD</v>
          </cell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</row>
        <row r="66">
          <cell r="B66" t="str">
            <v>Investments in securities</v>
          </cell>
          <cell r="C66" t="str">
            <v>INV_SECUR</v>
          </cell>
          <cell r="D66" t="str">
            <v>USD</v>
          </cell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</row>
        <row r="67">
          <cell r="B67" t="str">
            <v>Other long-term assets</v>
          </cell>
          <cell r="C67" t="str">
            <v>OTH_LT_ASS</v>
          </cell>
          <cell r="D67" t="str">
            <v>USD</v>
          </cell>
          <cell r="F67"/>
          <cell r="G67"/>
          <cell r="H67">
            <v>4.8540000000000001</v>
          </cell>
          <cell r="I67">
            <v>13.914</v>
          </cell>
          <cell r="J67">
            <v>27.006999999999998</v>
          </cell>
          <cell r="K67">
            <v>26.805</v>
          </cell>
          <cell r="L67">
            <v>30.972999999999999</v>
          </cell>
          <cell r="M67">
            <v>34.264000000000003</v>
          </cell>
          <cell r="N67">
            <v>57.332999999999998</v>
          </cell>
          <cell r="O67">
            <v>57.332999999999998</v>
          </cell>
          <cell r="P67">
            <v>62.867000000000004</v>
          </cell>
          <cell r="Q67">
            <v>73.36</v>
          </cell>
          <cell r="R67">
            <v>78.285999999999987</v>
          </cell>
          <cell r="S67">
            <v>118.54300000000001</v>
          </cell>
          <cell r="T67">
            <v>118.54300000000001</v>
          </cell>
          <cell r="U67">
            <v>126.49199999999999</v>
          </cell>
          <cell r="V67">
            <v>135.00700000000001</v>
          </cell>
          <cell r="W67">
            <v>111.709</v>
          </cell>
          <cell r="X67">
            <v>121.91500000000001</v>
          </cell>
          <cell r="Y67">
            <v>121.91500000000001</v>
          </cell>
          <cell r="Z67">
            <v>137.31899999999999</v>
          </cell>
          <cell r="AA67">
            <v>149.22900000000001</v>
          </cell>
          <cell r="AB67">
            <v>156.94300000000001</v>
          </cell>
          <cell r="AC67">
            <v>169.37700000000001</v>
          </cell>
          <cell r="AD67">
            <v>169.37700000000001</v>
          </cell>
          <cell r="AE67">
            <v>191.74600000000001</v>
          </cell>
          <cell r="AF67">
            <v>216.727</v>
          </cell>
          <cell r="AG67">
            <v>231.75200000000001</v>
          </cell>
          <cell r="AH67">
            <v>260.43900000000002</v>
          </cell>
          <cell r="AI67">
            <v>260.43900000000002</v>
          </cell>
          <cell r="AJ67">
            <v>267.76499999999999</v>
          </cell>
          <cell r="AK67">
            <v>275.61200000000002</v>
          </cell>
          <cell r="AL67">
            <v>273.48500000000001</v>
          </cell>
          <cell r="AM67">
            <v>274.49900000000002</v>
          </cell>
          <cell r="AN67">
            <v>274.49900000000002</v>
          </cell>
          <cell r="AO67">
            <v>264.51400000000001</v>
          </cell>
          <cell r="AP67">
            <v>265.25099999999998</v>
          </cell>
          <cell r="AQ67">
            <v>261.226</v>
          </cell>
          <cell r="AR67">
            <v>269.93099999999998</v>
          </cell>
          <cell r="AS67">
            <v>269.93099999999998</v>
          </cell>
          <cell r="AT67">
            <v>257.505</v>
          </cell>
          <cell r="AU67">
            <v>244.447</v>
          </cell>
          <cell r="AV67">
            <v>232.75</v>
          </cell>
          <cell r="AW67">
            <v>226.923</v>
          </cell>
          <cell r="AX67">
            <v>226.923</v>
          </cell>
          <cell r="AY67">
            <v>217.31100000000001</v>
          </cell>
          <cell r="AZ67">
            <v>214.114</v>
          </cell>
          <cell r="BA67">
            <v>259.48165671198581</v>
          </cell>
          <cell r="BB67">
            <v>251.5327204451863</v>
          </cell>
          <cell r="BC67">
            <v>251.5327204451863</v>
          </cell>
          <cell r="BD67">
            <v>258.97352247196187</v>
          </cell>
          <cell r="BE67">
            <v>248.49261213481537</v>
          </cell>
          <cell r="BF67">
            <v>297.52183072374294</v>
          </cell>
          <cell r="BG67">
            <v>292.6136682915577</v>
          </cell>
          <cell r="BH67">
            <v>292.6136682915577</v>
          </cell>
          <cell r="BI67">
            <v>303.30589912397591</v>
          </cell>
          <cell r="BJ67">
            <v>290.05469204875828</v>
          </cell>
          <cell r="BK67">
            <v>342.84791898000174</v>
          </cell>
          <cell r="BL67">
            <v>337.33156131771585</v>
          </cell>
          <cell r="BM67">
            <v>337.33156131771585</v>
          </cell>
          <cell r="BN67">
            <v>354.08396525809303</v>
          </cell>
          <cell r="BO67">
            <v>337.40667648345408</v>
          </cell>
          <cell r="BP67">
            <v>393.97388893768169</v>
          </cell>
          <cell r="BQ67">
            <v>387.59308801934037</v>
          </cell>
          <cell r="BR67">
            <v>387.59308801934037</v>
          </cell>
          <cell r="BS67">
            <v>412.01286480021093</v>
          </cell>
          <cell r="BT67">
            <v>391.16347326219011</v>
          </cell>
          <cell r="BU67">
            <v>451.35560279608484</v>
          </cell>
          <cell r="BV67">
            <v>443.95832795847218</v>
          </cell>
          <cell r="BW67">
            <v>443.95832795847218</v>
          </cell>
          <cell r="BX67">
            <v>474.34224042045395</v>
          </cell>
          <cell r="BY67">
            <v>448.20990787923665</v>
          </cell>
          <cell r="BZ67">
            <v>512.15360157179782</v>
          </cell>
          <cell r="CA67">
            <v>503.55502966605678</v>
          </cell>
          <cell r="CB67">
            <v>503.55502966605678</v>
          </cell>
        </row>
        <row r="68">
          <cell r="B68" t="str">
            <v>Total assets</v>
          </cell>
          <cell r="C68" t="str">
            <v>TOT_ASSET</v>
          </cell>
          <cell r="D68" t="str">
            <v>USD</v>
          </cell>
          <cell r="F68"/>
          <cell r="G68"/>
          <cell r="H68">
            <v>118.96399999999998</v>
          </cell>
          <cell r="I68">
            <v>249.83099999999999</v>
          </cell>
          <cell r="J68">
            <v>399.08599999999996</v>
          </cell>
          <cell r="K68">
            <v>648.26299999999992</v>
          </cell>
          <cell r="L68">
            <v>670.71699999999987</v>
          </cell>
          <cell r="M68">
            <v>718.30700000000002</v>
          </cell>
          <cell r="N68">
            <v>738.21199999999988</v>
          </cell>
          <cell r="O68">
            <v>738.21199999999988</v>
          </cell>
          <cell r="P68">
            <v>764.91000000000008</v>
          </cell>
          <cell r="Q68">
            <v>1345.1960000000004</v>
          </cell>
          <cell r="R68">
            <v>1475.3980000000001</v>
          </cell>
          <cell r="S68">
            <v>1599.8800000000003</v>
          </cell>
          <cell r="T68">
            <v>1599.8800000000003</v>
          </cell>
          <cell r="U68">
            <v>1773.0859999999998</v>
          </cell>
          <cell r="V68">
            <v>1821.1379999999995</v>
          </cell>
          <cell r="W68">
            <v>1801.8189999999997</v>
          </cell>
          <cell r="X68">
            <v>1786.0419999999999</v>
          </cell>
          <cell r="Y68">
            <v>1786.0419999999999</v>
          </cell>
          <cell r="Z68">
            <v>1866.386</v>
          </cell>
          <cell r="AA68">
            <v>1863.3160000000005</v>
          </cell>
          <cell r="AB68">
            <v>1773.3409999999999</v>
          </cell>
          <cell r="AC68">
            <v>1768.547</v>
          </cell>
          <cell r="AD68">
            <v>1768.547</v>
          </cell>
          <cell r="AE68">
            <v>2315.8719999999994</v>
          </cell>
          <cell r="AF68">
            <v>2311.4519999999998</v>
          </cell>
          <cell r="AG68">
            <v>2265.5510000000008</v>
          </cell>
          <cell r="AH68">
            <v>2277.4960000000005</v>
          </cell>
          <cell r="AI68">
            <v>2277.4960000000005</v>
          </cell>
          <cell r="AJ68">
            <v>2254.212</v>
          </cell>
          <cell r="AK68">
            <v>2315.59</v>
          </cell>
          <cell r="AL68">
            <v>2355.8929999999996</v>
          </cell>
          <cell r="AM68">
            <v>2365.7490000000003</v>
          </cell>
          <cell r="AN68">
            <v>2365.7490000000003</v>
          </cell>
          <cell r="AO68">
            <v>2357.4219999999996</v>
          </cell>
          <cell r="AP68">
            <v>2371.4949999999999</v>
          </cell>
          <cell r="AQ68">
            <v>2395.9970000000003</v>
          </cell>
          <cell r="AR68">
            <v>2526.915</v>
          </cell>
          <cell r="AS68">
            <v>2526.915</v>
          </cell>
          <cell r="AT68">
            <v>2570.6399999999994</v>
          </cell>
          <cell r="AU68">
            <v>2729.5339999999997</v>
          </cell>
          <cell r="AV68">
            <v>2774.9239999999995</v>
          </cell>
          <cell r="AW68">
            <v>2143.9179999999997</v>
          </cell>
          <cell r="AX68">
            <v>2143.9179999999997</v>
          </cell>
          <cell r="AY68">
            <v>2181.3510000000001</v>
          </cell>
          <cell r="AZ68">
            <v>2988.9900000000007</v>
          </cell>
          <cell r="BA68">
            <v>3119.5010169888506</v>
          </cell>
          <cell r="BB68">
            <v>3320.811527692134</v>
          </cell>
          <cell r="BC68">
            <v>3320.811527692134</v>
          </cell>
          <cell r="BD68">
            <v>3487.2457435044257</v>
          </cell>
          <cell r="BE68">
            <v>3846.709196302535</v>
          </cell>
          <cell r="BF68">
            <v>4003.114768279182</v>
          </cell>
          <cell r="BG68">
            <v>4249.622300284318</v>
          </cell>
          <cell r="BH68">
            <v>4249.622300284318</v>
          </cell>
          <cell r="BI68">
            <v>4456.4902632553321</v>
          </cell>
          <cell r="BJ68">
            <v>4884.1721052732555</v>
          </cell>
          <cell r="BK68">
            <v>5072.3844976425644</v>
          </cell>
          <cell r="BL68">
            <v>5400.4734249662069</v>
          </cell>
          <cell r="BM68">
            <v>5400.4734249662069</v>
          </cell>
          <cell r="BN68">
            <v>5699.1220870705401</v>
          </cell>
          <cell r="BO68">
            <v>6228.9083631687536</v>
          </cell>
          <cell r="BP68">
            <v>6453.5399802716311</v>
          </cell>
          <cell r="BQ68">
            <v>6863.301467082918</v>
          </cell>
          <cell r="BR68">
            <v>6863.301467082918</v>
          </cell>
          <cell r="BS68">
            <v>7232.4891517586357</v>
          </cell>
          <cell r="BT68">
            <v>7857.8378980536909</v>
          </cell>
          <cell r="BU68">
            <v>8113.119259124338</v>
          </cell>
          <cell r="BV68">
            <v>8607.6188302008377</v>
          </cell>
          <cell r="BW68">
            <v>8607.6188302008377</v>
          </cell>
          <cell r="BX68">
            <v>9060.6037578329433</v>
          </cell>
          <cell r="BY68">
            <v>9796.7706572637762</v>
          </cell>
          <cell r="BZ68">
            <v>10085.856826092147</v>
          </cell>
          <cell r="CA68">
            <v>10680.533770809314</v>
          </cell>
          <cell r="CB68">
            <v>10680.533770809314</v>
          </cell>
        </row>
        <row r="69">
          <cell r="B69" t="str">
            <v>Accounts payable</v>
          </cell>
          <cell r="C69" t="str">
            <v>ACC_PAY_GQ</v>
          </cell>
          <cell r="D69" t="str">
            <v>USD</v>
          </cell>
          <cell r="F69"/>
          <cell r="G69"/>
          <cell r="H69">
            <v>17.129000000000001</v>
          </cell>
          <cell r="I69">
            <v>32.222999999999999</v>
          </cell>
          <cell r="J69">
            <v>52.110999999999997</v>
          </cell>
          <cell r="K69">
            <v>57.308</v>
          </cell>
          <cell r="L69">
            <v>65.230999999999995</v>
          </cell>
          <cell r="M69">
            <v>83.869</v>
          </cell>
          <cell r="N69">
            <v>73.724999999999994</v>
          </cell>
          <cell r="O69">
            <v>73.724999999999994</v>
          </cell>
          <cell r="P69">
            <v>68.629000000000005</v>
          </cell>
          <cell r="Q69">
            <v>56.27</v>
          </cell>
          <cell r="R69">
            <v>71.405000000000001</v>
          </cell>
          <cell r="S69">
            <v>65.503</v>
          </cell>
          <cell r="T69">
            <v>65.503</v>
          </cell>
          <cell r="U69">
            <v>69.474000000000004</v>
          </cell>
          <cell r="V69">
            <v>69.045000000000002</v>
          </cell>
          <cell r="W69">
            <v>82.596999999999994</v>
          </cell>
          <cell r="X69">
            <v>74.046999999999997</v>
          </cell>
          <cell r="Y69">
            <v>74.046999999999997</v>
          </cell>
          <cell r="Z69">
            <v>83.381</v>
          </cell>
          <cell r="AA69">
            <v>76.542000000000002</v>
          </cell>
          <cell r="AB69">
            <v>68.231999999999999</v>
          </cell>
          <cell r="AC69">
            <v>54.029000000000003</v>
          </cell>
          <cell r="AD69">
            <v>54.029000000000003</v>
          </cell>
          <cell r="AE69">
            <v>48.271999999999998</v>
          </cell>
          <cell r="AF69">
            <v>52.459000000000003</v>
          </cell>
          <cell r="AG69">
            <v>56.637999999999998</v>
          </cell>
          <cell r="AH69">
            <v>47.055999999999997</v>
          </cell>
          <cell r="AI69">
            <v>47.055999999999997</v>
          </cell>
          <cell r="AJ69">
            <v>43.183999999999997</v>
          </cell>
          <cell r="AK69">
            <v>46.9</v>
          </cell>
          <cell r="AL69">
            <v>53.438000000000002</v>
          </cell>
          <cell r="AM69">
            <v>44.930999999999997</v>
          </cell>
          <cell r="AN69">
            <v>44.930999999999997</v>
          </cell>
          <cell r="AO69">
            <v>30.838000000000001</v>
          </cell>
          <cell r="AP69">
            <v>44.07</v>
          </cell>
          <cell r="AQ69">
            <v>34.234999999999999</v>
          </cell>
          <cell r="AR69">
            <v>29.928000000000001</v>
          </cell>
          <cell r="AS69">
            <v>29.928000000000001</v>
          </cell>
          <cell r="AT69">
            <v>35.795000000000002</v>
          </cell>
          <cell r="AU69">
            <v>39.543999999999997</v>
          </cell>
          <cell r="AV69">
            <v>40.286000000000001</v>
          </cell>
          <cell r="AW69">
            <v>45.066000000000003</v>
          </cell>
          <cell r="AX69">
            <v>45.066000000000003</v>
          </cell>
          <cell r="AY69">
            <v>44.698</v>
          </cell>
          <cell r="AZ69">
            <v>45.902999999999999</v>
          </cell>
          <cell r="BA69">
            <v>45.220785285027397</v>
          </cell>
          <cell r="BB69">
            <v>50.958817493372983</v>
          </cell>
          <cell r="BC69">
            <v>50.958817493372983</v>
          </cell>
          <cell r="BD69">
            <v>51.29961391493903</v>
          </cell>
          <cell r="BE69">
            <v>52.988930758017652</v>
          </cell>
          <cell r="BF69">
            <v>51.390258072966013</v>
          </cell>
          <cell r="BG69">
            <v>58.012520951812824</v>
          </cell>
          <cell r="BH69">
            <v>58.012520951812824</v>
          </cell>
          <cell r="BI69">
            <v>59.176701210036924</v>
          </cell>
          <cell r="BJ69">
            <v>60.913113627938927</v>
          </cell>
          <cell r="BK69">
            <v>58.319129681856239</v>
          </cell>
          <cell r="BL69">
            <v>65.840162787135228</v>
          </cell>
          <cell r="BM69">
            <v>65.840162787135228</v>
          </cell>
          <cell r="BN69">
            <v>68.059034914501339</v>
          </cell>
          <cell r="BO69">
            <v>69.798135546345577</v>
          </cell>
          <cell r="BP69">
            <v>65.278831840109234</v>
          </cell>
          <cell r="BQ69">
            <v>74.494010817821618</v>
          </cell>
          <cell r="BR69">
            <v>74.494010817821618</v>
          </cell>
          <cell r="BS69">
            <v>78.036090618345142</v>
          </cell>
          <cell r="BT69">
            <v>79.726874210872538</v>
          </cell>
          <cell r="BU69">
            <v>74.511203543686548</v>
          </cell>
          <cell r="BV69">
            <v>84.042779330398503</v>
          </cell>
          <cell r="BW69">
            <v>84.042779330398503</v>
          </cell>
          <cell r="BX69">
            <v>89.224377380467956</v>
          </cell>
          <cell r="BY69">
            <v>90.804280601245111</v>
          </cell>
          <cell r="BZ69">
            <v>83.881485209523632</v>
          </cell>
          <cell r="CA69">
            <v>94.565923251376773</v>
          </cell>
          <cell r="CB69">
            <v>94.565923251376773</v>
          </cell>
        </row>
        <row r="70">
          <cell r="B70" t="str">
            <v>Short-term debt</v>
          </cell>
          <cell r="C70" t="str">
            <v>SHORT_T_DEBT</v>
          </cell>
          <cell r="D70" t="str">
            <v>USD</v>
          </cell>
          <cell r="F70"/>
          <cell r="G70"/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145.16</v>
          </cell>
          <cell r="AL70">
            <v>145.30799999999999</v>
          </cell>
          <cell r="AM70">
            <v>145.45599999999999</v>
          </cell>
          <cell r="AN70">
            <v>145.45599999999999</v>
          </cell>
          <cell r="AO70">
            <v>145.60499999999999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</row>
        <row r="71">
          <cell r="B71" t="str">
            <v>Current lease liabilities (op lease: US GAAP)</v>
          </cell>
          <cell r="C71" t="str">
            <v>ST_LEASE_LIAB</v>
          </cell>
          <cell r="D71" t="str">
            <v>USD</v>
          </cell>
          <cell r="F71"/>
          <cell r="G71"/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29.968</v>
          </cell>
          <cell r="AA71">
            <v>31.667999999999999</v>
          </cell>
          <cell r="AB71">
            <v>34.371000000000002</v>
          </cell>
          <cell r="AC71">
            <v>36.569000000000003</v>
          </cell>
          <cell r="AD71">
            <v>36.569000000000003</v>
          </cell>
          <cell r="AE71">
            <v>41.08</v>
          </cell>
          <cell r="AF71">
            <v>41.308999999999997</v>
          </cell>
          <cell r="AG71">
            <v>42.411000000000001</v>
          </cell>
          <cell r="AH71">
            <v>42.67</v>
          </cell>
          <cell r="AI71">
            <v>42.67</v>
          </cell>
          <cell r="AJ71">
            <v>43.220999999999997</v>
          </cell>
          <cell r="AK71">
            <v>43.585000000000001</v>
          </cell>
          <cell r="AL71">
            <v>44.170999999999999</v>
          </cell>
          <cell r="AM71">
            <v>39.801000000000002</v>
          </cell>
          <cell r="AN71">
            <v>39.801000000000002</v>
          </cell>
          <cell r="AO71">
            <v>36.295999999999999</v>
          </cell>
          <cell r="AP71">
            <v>34.100999999999999</v>
          </cell>
          <cell r="AQ71">
            <v>31.481000000000002</v>
          </cell>
          <cell r="AR71">
            <v>29.567</v>
          </cell>
          <cell r="AS71">
            <v>29.567</v>
          </cell>
          <cell r="AT71">
            <v>28.917000000000002</v>
          </cell>
          <cell r="AU71">
            <v>29.151</v>
          </cell>
          <cell r="AV71">
            <v>23.884</v>
          </cell>
          <cell r="AW71">
            <v>24.163</v>
          </cell>
          <cell r="AX71">
            <v>24.163</v>
          </cell>
          <cell r="AY71">
            <v>23.620999999999999</v>
          </cell>
          <cell r="AZ71">
            <v>21.818999999999999</v>
          </cell>
          <cell r="BA71">
            <v>21.152523568927403</v>
          </cell>
          <cell r="BB71">
            <v>21.583811230978831</v>
          </cell>
          <cell r="BC71">
            <v>21.583811230978831</v>
          </cell>
          <cell r="BD71">
            <v>26.244679790160831</v>
          </cell>
          <cell r="BE71">
            <v>23.761205590388041</v>
          </cell>
          <cell r="BF71">
            <v>22.67394935784295</v>
          </cell>
          <cell r="BG71">
            <v>23.336690435554459</v>
          </cell>
          <cell r="BH71">
            <v>23.336690435554459</v>
          </cell>
          <cell r="BI71">
            <v>27.548223302919624</v>
          </cell>
          <cell r="BJ71">
            <v>24.364031291198863</v>
          </cell>
          <cell r="BK71">
            <v>22.63429337950695</v>
          </cell>
          <cell r="BL71">
            <v>23.963085831386426</v>
          </cell>
          <cell r="BM71">
            <v>23.963085831386426</v>
          </cell>
          <cell r="BN71">
            <v>31.683170120471061</v>
          </cell>
          <cell r="BO71">
            <v>27.91786295649986</v>
          </cell>
          <cell r="BP71">
            <v>22.114839084939881</v>
          </cell>
          <cell r="BQ71">
            <v>27.112727241015989</v>
          </cell>
          <cell r="BR71">
            <v>27.112727241015989</v>
          </cell>
          <cell r="BS71">
            <v>36.327737202026128</v>
          </cell>
          <cell r="BT71">
            <v>31.889160516204921</v>
          </cell>
          <cell r="BU71">
            <v>22.983788025062037</v>
          </cell>
          <cell r="BV71">
            <v>30.588082552495102</v>
          </cell>
          <cell r="BW71">
            <v>30.588082552495102</v>
          </cell>
          <cell r="BX71">
            <v>41.536162406501404</v>
          </cell>
          <cell r="BY71">
            <v>36.319902270252662</v>
          </cell>
          <cell r="BZ71">
            <v>23.647095999312366</v>
          </cell>
          <cell r="CA71">
            <v>34.418070060419467</v>
          </cell>
          <cell r="CB71">
            <v>34.418070060419467</v>
          </cell>
        </row>
        <row r="72">
          <cell r="B72" t="str">
            <v>Other current liabilities</v>
          </cell>
          <cell r="C72" t="str">
            <v>OTH_CUR_LIABS</v>
          </cell>
          <cell r="D72" t="str">
            <v>USD</v>
          </cell>
          <cell r="F72"/>
          <cell r="G72"/>
          <cell r="H72">
            <v>32.777999999999999</v>
          </cell>
          <cell r="I72">
            <v>73.092999999999989</v>
          </cell>
          <cell r="J72">
            <v>160.65299999999999</v>
          </cell>
          <cell r="K72">
            <v>200.77600000000001</v>
          </cell>
          <cell r="L72">
            <v>229.304</v>
          </cell>
          <cell r="M72">
            <v>272.87</v>
          </cell>
          <cell r="N72">
            <v>237.351</v>
          </cell>
          <cell r="O72">
            <v>237.351</v>
          </cell>
          <cell r="P72">
            <v>250.32400000000001</v>
          </cell>
          <cell r="Q72">
            <v>318.28199999999998</v>
          </cell>
          <cell r="R72">
            <v>316.63600000000002</v>
          </cell>
          <cell r="S72">
            <v>392.72800000000001</v>
          </cell>
          <cell r="T72">
            <v>392.72800000000001</v>
          </cell>
          <cell r="U72">
            <v>401.45600000000002</v>
          </cell>
          <cell r="V72">
            <v>440.30799999999999</v>
          </cell>
          <cell r="W72">
            <v>456.483</v>
          </cell>
          <cell r="X72">
            <v>525.26800000000003</v>
          </cell>
          <cell r="Y72">
            <v>525.26800000000003</v>
          </cell>
          <cell r="Z72">
            <v>541.88099999999997</v>
          </cell>
          <cell r="AA72">
            <v>616.44299999999998</v>
          </cell>
          <cell r="AB72">
            <v>610.78099999999995</v>
          </cell>
          <cell r="AC72">
            <v>669.60500000000002</v>
          </cell>
          <cell r="AD72">
            <v>669.60500000000002</v>
          </cell>
          <cell r="AE72">
            <v>690.226</v>
          </cell>
          <cell r="AF72">
            <v>755.80799999999999</v>
          </cell>
          <cell r="AG72">
            <v>762.04499999999996</v>
          </cell>
          <cell r="AH72">
            <v>838.16200000000003</v>
          </cell>
          <cell r="AI72">
            <v>838.16200000000003</v>
          </cell>
          <cell r="AJ72">
            <v>818.38199999999995</v>
          </cell>
          <cell r="AK72">
            <v>891.38099999999997</v>
          </cell>
          <cell r="AL72">
            <v>892.99799999999993</v>
          </cell>
          <cell r="AM72">
            <v>930.37200000000007</v>
          </cell>
          <cell r="AN72">
            <v>930.37200000000007</v>
          </cell>
          <cell r="AO72">
            <v>935.06</v>
          </cell>
          <cell r="AP72">
            <v>1034.096</v>
          </cell>
          <cell r="AQ72">
            <v>1067.134</v>
          </cell>
          <cell r="AR72">
            <v>1076.6130000000001</v>
          </cell>
          <cell r="AS72">
            <v>1076.6130000000001</v>
          </cell>
          <cell r="AT72">
            <v>1034.8589999999999</v>
          </cell>
          <cell r="AU72">
            <v>1094.127</v>
          </cell>
          <cell r="AV72">
            <v>1119.384</v>
          </cell>
          <cell r="AW72">
            <v>1175.1120000000001</v>
          </cell>
          <cell r="AX72">
            <v>1175.1120000000001</v>
          </cell>
          <cell r="AY72">
            <v>1152.28</v>
          </cell>
          <cell r="AZ72">
            <v>1249.8320000000001</v>
          </cell>
          <cell r="BA72">
            <v>1281.8410999643315</v>
          </cell>
          <cell r="BB72">
            <v>1350.3244011437382</v>
          </cell>
          <cell r="BC72">
            <v>1350.3244011437382</v>
          </cell>
          <cell r="BD72">
            <v>1320.449044680578</v>
          </cell>
          <cell r="BE72">
            <v>1453.3278637935596</v>
          </cell>
          <cell r="BF72">
            <v>1487.1504197351626</v>
          </cell>
          <cell r="BG72">
            <v>1567.0258947855955</v>
          </cell>
          <cell r="BH72">
            <v>1567.0258947855955</v>
          </cell>
          <cell r="BI72">
            <v>1541.5987977489008</v>
          </cell>
          <cell r="BJ72">
            <v>1694.9548258901975</v>
          </cell>
          <cell r="BK72">
            <v>1730.8468713175553</v>
          </cell>
          <cell r="BL72">
            <v>1826.3443242997914</v>
          </cell>
          <cell r="BM72">
            <v>1826.3443242997914</v>
          </cell>
          <cell r="BN72">
            <v>1801.6376659295856</v>
          </cell>
          <cell r="BO72">
            <v>1979.0458707373082</v>
          </cell>
          <cell r="BP72">
            <v>2017.2624140834066</v>
          </cell>
          <cell r="BQ72">
            <v>2127.790889890709</v>
          </cell>
          <cell r="BR72">
            <v>2127.790889890709</v>
          </cell>
          <cell r="BS72">
            <v>2104.6818035802371</v>
          </cell>
          <cell r="BT72">
            <v>2309.7254054450495</v>
          </cell>
          <cell r="BU72">
            <v>2350.4381031861799</v>
          </cell>
          <cell r="BV72">
            <v>2478.2628492087006</v>
          </cell>
          <cell r="BW72">
            <v>2478.2628492087006</v>
          </cell>
          <cell r="BX72">
            <v>2457.8428454121135</v>
          </cell>
          <cell r="BY72">
            <v>2694.6567388406975</v>
          </cell>
          <cell r="BZ72">
            <v>2738.0643095930623</v>
          </cell>
          <cell r="CA72">
            <v>2885.8390056944331</v>
          </cell>
          <cell r="CB72">
            <v>2885.8390056944331</v>
          </cell>
        </row>
        <row r="73">
          <cell r="B73" t="str">
            <v>Total current liabilities</v>
          </cell>
          <cell r="C73" t="str">
            <v>SHORT_TERM_LIABS</v>
          </cell>
          <cell r="D73" t="str">
            <v>USD</v>
          </cell>
          <cell r="F73"/>
          <cell r="G73"/>
          <cell r="H73">
            <v>49.906999999999996</v>
          </cell>
          <cell r="I73">
            <v>105.316</v>
          </cell>
          <cell r="J73">
            <v>212.76400000000001</v>
          </cell>
          <cell r="K73">
            <v>258.084</v>
          </cell>
          <cell r="L73">
            <v>294.53499999999997</v>
          </cell>
          <cell r="M73">
            <v>356.73900000000003</v>
          </cell>
          <cell r="N73">
            <v>311.07599999999996</v>
          </cell>
          <cell r="O73">
            <v>311.07599999999996</v>
          </cell>
          <cell r="P73">
            <v>318.95300000000003</v>
          </cell>
          <cell r="Q73">
            <v>374.55200000000002</v>
          </cell>
          <cell r="R73">
            <v>388.04100000000005</v>
          </cell>
          <cell r="S73">
            <v>458.23099999999999</v>
          </cell>
          <cell r="T73">
            <v>458.23099999999999</v>
          </cell>
          <cell r="U73">
            <v>470.92999999999995</v>
          </cell>
          <cell r="V73">
            <v>509.35299999999995</v>
          </cell>
          <cell r="W73">
            <v>539.08000000000004</v>
          </cell>
          <cell r="X73">
            <v>599.31499999999994</v>
          </cell>
          <cell r="Y73">
            <v>599.31499999999994</v>
          </cell>
          <cell r="Z73">
            <v>655.2299999999999</v>
          </cell>
          <cell r="AA73">
            <v>724.65300000000002</v>
          </cell>
          <cell r="AB73">
            <v>713.3839999999999</v>
          </cell>
          <cell r="AC73">
            <v>760.20299999999997</v>
          </cell>
          <cell r="AD73">
            <v>760.20299999999997</v>
          </cell>
          <cell r="AE73">
            <v>779.57799999999997</v>
          </cell>
          <cell r="AF73">
            <v>849.57600000000002</v>
          </cell>
          <cell r="AG73">
            <v>861.09400000000005</v>
          </cell>
          <cell r="AH73">
            <v>927.88800000000003</v>
          </cell>
          <cell r="AI73">
            <v>927.88800000000003</v>
          </cell>
          <cell r="AJ73">
            <v>904.78700000000003</v>
          </cell>
          <cell r="AK73">
            <v>1127.0260000000001</v>
          </cell>
          <cell r="AL73">
            <v>1135.915</v>
          </cell>
          <cell r="AM73">
            <v>1160.5600000000002</v>
          </cell>
          <cell r="AN73">
            <v>1160.5600000000002</v>
          </cell>
          <cell r="AO73">
            <v>1147.799</v>
          </cell>
          <cell r="AP73">
            <v>1112.2669999999998</v>
          </cell>
          <cell r="AQ73">
            <v>1132.8499999999999</v>
          </cell>
          <cell r="AR73">
            <v>1136.1079999999999</v>
          </cell>
          <cell r="AS73">
            <v>1136.1079999999999</v>
          </cell>
          <cell r="AT73">
            <v>1099.5709999999999</v>
          </cell>
          <cell r="AU73">
            <v>1162.8220000000001</v>
          </cell>
          <cell r="AV73">
            <v>1183.5540000000001</v>
          </cell>
          <cell r="AW73">
            <v>1244.3409999999999</v>
          </cell>
          <cell r="AX73">
            <v>1244.3409999999999</v>
          </cell>
          <cell r="AY73">
            <v>1220.5990000000002</v>
          </cell>
          <cell r="AZ73">
            <v>1317.5540000000001</v>
          </cell>
          <cell r="BA73">
            <v>1348.2144088182863</v>
          </cell>
          <cell r="BB73">
            <v>1422.86702986809</v>
          </cell>
          <cell r="BC73">
            <v>1422.86702986809</v>
          </cell>
          <cell r="BD73">
            <v>1397.9933383856778</v>
          </cell>
          <cell r="BE73">
            <v>1530.0780001419653</v>
          </cell>
          <cell r="BF73">
            <v>1561.2146271659715</v>
          </cell>
          <cell r="BG73">
            <v>1648.3751061729627</v>
          </cell>
          <cell r="BH73">
            <v>1648.3751061729627</v>
          </cell>
          <cell r="BI73">
            <v>1628.3237222618575</v>
          </cell>
          <cell r="BJ73">
            <v>1780.2319708093353</v>
          </cell>
          <cell r="BK73">
            <v>1811.8002943789184</v>
          </cell>
          <cell r="BL73">
            <v>1916.147572918313</v>
          </cell>
          <cell r="BM73">
            <v>1916.147572918313</v>
          </cell>
          <cell r="BN73">
            <v>1901.379870964558</v>
          </cell>
          <cell r="BO73">
            <v>2076.7618692401538</v>
          </cell>
          <cell r="BP73">
            <v>2104.6560850084556</v>
          </cell>
          <cell r="BQ73">
            <v>2229.3976279495464</v>
          </cell>
          <cell r="BR73">
            <v>2229.3976279495464</v>
          </cell>
          <cell r="BS73">
            <v>2219.0456314006087</v>
          </cell>
          <cell r="BT73">
            <v>2421.341440172127</v>
          </cell>
          <cell r="BU73">
            <v>2447.9330947549283</v>
          </cell>
          <cell r="BV73">
            <v>2592.8937110915945</v>
          </cell>
          <cell r="BW73">
            <v>2592.8937110915945</v>
          </cell>
          <cell r="BX73">
            <v>2588.6033851990828</v>
          </cell>
          <cell r="BY73">
            <v>2821.7809217121949</v>
          </cell>
          <cell r="BZ73">
            <v>2845.5928908018982</v>
          </cell>
          <cell r="CA73">
            <v>3014.8229990062291</v>
          </cell>
          <cell r="CB73">
            <v>3014.8229990062291</v>
          </cell>
        </row>
        <row r="74">
          <cell r="B74" t="str">
            <v>Deferred revenue</v>
          </cell>
          <cell r="C74" t="str">
            <v>TOT_DEF_REV</v>
          </cell>
          <cell r="D74" t="str">
            <v>USD</v>
          </cell>
          <cell r="F74"/>
          <cell r="G74"/>
          <cell r="H74">
            <v>36.477000000000004</v>
          </cell>
          <cell r="I74">
            <v>103.598</v>
          </cell>
          <cell r="J74">
            <v>296.46499999999997</v>
          </cell>
          <cell r="K74">
            <v>375.43100000000004</v>
          </cell>
          <cell r="L74">
            <v>420.61599999999999</v>
          </cell>
          <cell r="M74">
            <v>463</v>
          </cell>
          <cell r="N74">
            <v>369.05599999999998</v>
          </cell>
          <cell r="O74">
            <v>369.05599999999998</v>
          </cell>
          <cell r="P74">
            <v>408.84400000000005</v>
          </cell>
          <cell r="Q74">
            <v>478</v>
          </cell>
          <cell r="R74">
            <v>539.88900000000001</v>
          </cell>
          <cell r="S74">
            <v>631.20700000000011</v>
          </cell>
          <cell r="T74">
            <v>631.20700000000011</v>
          </cell>
          <cell r="U74">
            <v>701.8</v>
          </cell>
          <cell r="V74">
            <v>779.85899999999992</v>
          </cell>
          <cell r="W74">
            <v>838.26199999999994</v>
          </cell>
          <cell r="X74">
            <v>910.04399999999987</v>
          </cell>
          <cell r="Y74">
            <v>910.04399999999987</v>
          </cell>
          <cell r="Z74">
            <v>975.274</v>
          </cell>
          <cell r="AA74">
            <v>1056.5840000000001</v>
          </cell>
          <cell r="AB74">
            <v>1122.06</v>
          </cell>
          <cell r="AC74">
            <v>1183.441</v>
          </cell>
          <cell r="AD74">
            <v>1183.441</v>
          </cell>
          <cell r="AE74">
            <v>1206.4829999999999</v>
          </cell>
          <cell r="AF74">
            <v>1246.2909999999999</v>
          </cell>
          <cell r="AG74">
            <v>1274.0360000000001</v>
          </cell>
          <cell r="AH74">
            <v>1312.923</v>
          </cell>
          <cell r="AI74">
            <v>1312.923</v>
          </cell>
          <cell r="AJ74">
            <v>1333.3339999999998</v>
          </cell>
          <cell r="AK74">
            <v>1386.8710000000001</v>
          </cell>
          <cell r="AL74">
            <v>1431.98</v>
          </cell>
          <cell r="AM74">
            <v>1445.538</v>
          </cell>
          <cell r="AN74">
            <v>1445.538</v>
          </cell>
          <cell r="AO74">
            <v>1481.576</v>
          </cell>
          <cell r="AP74">
            <v>1526.3110000000001</v>
          </cell>
          <cell r="AQ74">
            <v>1543.34</v>
          </cell>
          <cell r="AR74">
            <v>1595.0319999999999</v>
          </cell>
          <cell r="AS74">
            <v>1595.0319999999999</v>
          </cell>
          <cell r="AT74">
            <v>1645.232</v>
          </cell>
          <cell r="AU74">
            <v>1708.4940000000001</v>
          </cell>
          <cell r="AV74">
            <v>1747.4499999999998</v>
          </cell>
          <cell r="AW74">
            <v>1872.7060000000001</v>
          </cell>
          <cell r="AX74">
            <v>1872.7060000000001</v>
          </cell>
          <cell r="AY74">
            <v>1894.3850000000002</v>
          </cell>
          <cell r="AZ74">
            <v>2019.537</v>
          </cell>
          <cell r="BA74">
            <v>2065.5852058303976</v>
          </cell>
          <cell r="BB74">
            <v>2157.4637360032166</v>
          </cell>
          <cell r="BC74">
            <v>2157.4637360032166</v>
          </cell>
          <cell r="BD74">
            <v>2220.3268759990378</v>
          </cell>
          <cell r="BE74">
            <v>2367.0121322616405</v>
          </cell>
          <cell r="BF74">
            <v>2420.9832463682069</v>
          </cell>
          <cell r="BG74">
            <v>2528.6701050954448</v>
          </cell>
          <cell r="BH74">
            <v>2528.6701050954448</v>
          </cell>
          <cell r="BI74">
            <v>2602.3492776197268</v>
          </cell>
          <cell r="BJ74">
            <v>2774.2727339354506</v>
          </cell>
          <cell r="BK74">
            <v>2837.5299467926156</v>
          </cell>
          <cell r="BL74">
            <v>2963.7450649570847</v>
          </cell>
          <cell r="BM74">
            <v>2963.7450649570847</v>
          </cell>
          <cell r="BN74">
            <v>3050.1012422690001</v>
          </cell>
          <cell r="BO74">
            <v>3251.6053033085714</v>
          </cell>
          <cell r="BP74">
            <v>3325.7463516211137</v>
          </cell>
          <cell r="BQ74">
            <v>3473.6776427884133</v>
          </cell>
          <cell r="BR74">
            <v>3473.6776427884133</v>
          </cell>
          <cell r="BS74">
            <v>3574.8919901328991</v>
          </cell>
          <cell r="BT74">
            <v>3811.0662009449097</v>
          </cell>
          <cell r="BU74">
            <v>3897.9637229286041</v>
          </cell>
          <cell r="BV74">
            <v>4071.3476029635467</v>
          </cell>
          <cell r="BW74">
            <v>4071.3476029635467</v>
          </cell>
          <cell r="BX74">
            <v>4189.9765699611016</v>
          </cell>
          <cell r="BY74">
            <v>4466.7861665762402</v>
          </cell>
          <cell r="BZ74">
            <v>4568.6350006401262</v>
          </cell>
          <cell r="CA74">
            <v>4771.8507612730364</v>
          </cell>
          <cell r="CB74">
            <v>4771.8507612730364</v>
          </cell>
        </row>
        <row r="75">
          <cell r="B75" t="str">
            <v>Long-term  debt</v>
          </cell>
          <cell r="C75" t="str">
            <v>LT_DEBT</v>
          </cell>
          <cell r="D75" t="str">
            <v>USD</v>
          </cell>
          <cell r="F75"/>
          <cell r="G75"/>
          <cell r="H75">
            <v>0</v>
          </cell>
          <cell r="I75">
            <v>0</v>
          </cell>
          <cell r="J75">
            <v>73.260000000000005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415.65100000000001</v>
          </cell>
          <cell r="R75">
            <v>422.56700000000001</v>
          </cell>
          <cell r="S75">
            <v>429.59800000000001</v>
          </cell>
          <cell r="T75">
            <v>429.59800000000001</v>
          </cell>
          <cell r="U75">
            <v>436.745</v>
          </cell>
          <cell r="V75">
            <v>444.012</v>
          </cell>
          <cell r="W75">
            <v>451.399</v>
          </cell>
          <cell r="X75">
            <v>458.91</v>
          </cell>
          <cell r="Y75">
            <v>458.91</v>
          </cell>
          <cell r="Z75">
            <v>466.54500000000002</v>
          </cell>
          <cell r="AA75">
            <v>474.30799999999999</v>
          </cell>
          <cell r="AB75">
            <v>482.19900000000001</v>
          </cell>
          <cell r="AC75">
            <v>490.22199999999998</v>
          </cell>
          <cell r="AD75">
            <v>490.22199999999998</v>
          </cell>
          <cell r="AE75">
            <v>994.63699999999994</v>
          </cell>
          <cell r="AF75">
            <v>1011.725</v>
          </cell>
          <cell r="AG75">
            <v>1038.0129999999999</v>
          </cell>
          <cell r="AH75">
            <v>1055.694</v>
          </cell>
          <cell r="AI75">
            <v>1055.694</v>
          </cell>
          <cell r="AJ75">
            <v>1261.6559999999999</v>
          </cell>
          <cell r="AK75">
            <v>1126.461</v>
          </cell>
          <cell r="AL75">
            <v>1146.05</v>
          </cell>
          <cell r="AM75">
            <v>1156.2049999999999</v>
          </cell>
          <cell r="AN75">
            <v>1156.2049999999999</v>
          </cell>
          <cell r="AO75">
            <v>1176.259</v>
          </cell>
          <cell r="AP75">
            <v>1186.7639999999999</v>
          </cell>
          <cell r="AQ75">
            <v>1207.296</v>
          </cell>
          <cell r="AR75">
            <v>1218.165</v>
          </cell>
          <cell r="AS75">
            <v>1218.165</v>
          </cell>
          <cell r="AT75">
            <v>1239.1890000000001</v>
          </cell>
          <cell r="AU75">
            <v>1250.434</v>
          </cell>
          <cell r="AV75">
            <v>1271.9659999999999</v>
          </cell>
          <cell r="AW75">
            <v>570.07299999999998</v>
          </cell>
          <cell r="AX75">
            <v>570.07299999999998</v>
          </cell>
          <cell r="AY75">
            <v>570.45799999999997</v>
          </cell>
          <cell r="AZ75">
            <v>1341.3879999999999</v>
          </cell>
          <cell r="BA75">
            <v>1341.3879999999999</v>
          </cell>
          <cell r="BB75">
            <v>1341.3879999999999</v>
          </cell>
          <cell r="BC75">
            <v>1341.3879999999999</v>
          </cell>
          <cell r="BD75">
            <v>1341.3879999999999</v>
          </cell>
          <cell r="BE75">
            <v>1341.3879999999999</v>
          </cell>
          <cell r="BF75">
            <v>1341.3879999999999</v>
          </cell>
          <cell r="BG75">
            <v>1341.3879999999999</v>
          </cell>
          <cell r="BH75">
            <v>1341.3879999999999</v>
          </cell>
          <cell r="BI75">
            <v>1341.3879999999999</v>
          </cell>
          <cell r="BJ75">
            <v>1341.3879999999999</v>
          </cell>
          <cell r="BK75">
            <v>1341.3879999999999</v>
          </cell>
          <cell r="BL75">
            <v>1341.3879999999999</v>
          </cell>
          <cell r="BM75">
            <v>1341.3879999999999</v>
          </cell>
          <cell r="BN75">
            <v>1341.3879999999999</v>
          </cell>
          <cell r="BO75">
            <v>1341.3879999999999</v>
          </cell>
          <cell r="BP75">
            <v>1341.3879999999999</v>
          </cell>
          <cell r="BQ75">
            <v>1341.3879999999999</v>
          </cell>
          <cell r="BR75">
            <v>1341.3879999999999</v>
          </cell>
          <cell r="BS75">
            <v>1341.3879999999999</v>
          </cell>
          <cell r="BT75">
            <v>1341.3879999999999</v>
          </cell>
          <cell r="BU75">
            <v>1341.3879999999999</v>
          </cell>
          <cell r="BV75">
            <v>1341.3879999999999</v>
          </cell>
          <cell r="BW75">
            <v>1341.3879999999999</v>
          </cell>
          <cell r="BX75">
            <v>1341.3879999999999</v>
          </cell>
          <cell r="BY75">
            <v>1341.3879999999999</v>
          </cell>
          <cell r="BZ75">
            <v>1341.3879999999999</v>
          </cell>
          <cell r="CA75">
            <v>1341.3879999999999</v>
          </cell>
          <cell r="CB75">
            <v>1341.3879999999999</v>
          </cell>
        </row>
        <row r="76">
          <cell r="B76" t="str">
            <v>Non-current lease liabilities (op lease: US GAAP)</v>
          </cell>
          <cell r="C76" t="str">
            <v>LT_LEASE_LIAB</v>
          </cell>
          <cell r="D76" t="str">
            <v>USD</v>
          </cell>
          <cell r="F76"/>
          <cell r="G76"/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118.41</v>
          </cell>
          <cell r="AA76">
            <v>129.41999999999999</v>
          </cell>
          <cell r="AB76">
            <v>123.47</v>
          </cell>
          <cell r="AC76">
            <v>116.794</v>
          </cell>
          <cell r="AD76">
            <v>116.794</v>
          </cell>
          <cell r="AE76">
            <v>113.491</v>
          </cell>
          <cell r="AF76">
            <v>107.78400000000001</v>
          </cell>
          <cell r="AG76">
            <v>96.341999999999999</v>
          </cell>
          <cell r="AH76">
            <v>86.599000000000004</v>
          </cell>
          <cell r="AI76">
            <v>86.599000000000004</v>
          </cell>
          <cell r="AJ76">
            <v>77.674999999999997</v>
          </cell>
          <cell r="AK76">
            <v>66.016000000000005</v>
          </cell>
          <cell r="AL76">
            <v>54.372999999999998</v>
          </cell>
          <cell r="AM76">
            <v>89.781999999999996</v>
          </cell>
          <cell r="AN76">
            <v>89.781999999999996</v>
          </cell>
          <cell r="AO76">
            <v>81.819999999999993</v>
          </cell>
          <cell r="AP76">
            <v>80.584999999999994</v>
          </cell>
          <cell r="AQ76">
            <v>73.036000000000001</v>
          </cell>
          <cell r="AR76">
            <v>68.94</v>
          </cell>
          <cell r="AS76">
            <v>68.94</v>
          </cell>
          <cell r="AT76">
            <v>72.418999999999997</v>
          </cell>
          <cell r="AU76">
            <v>73.72</v>
          </cell>
          <cell r="AV76">
            <v>79.028000000000006</v>
          </cell>
          <cell r="AW76">
            <v>90.358999999999995</v>
          </cell>
          <cell r="AX76">
            <v>90.358999999999995</v>
          </cell>
          <cell r="AY76">
            <v>100.40900000000001</v>
          </cell>
          <cell r="AZ76">
            <v>93.828000000000003</v>
          </cell>
          <cell r="BA76">
            <v>88.9699655205212</v>
          </cell>
          <cell r="BB76">
            <v>104.64466810599581</v>
          </cell>
          <cell r="BC76">
            <v>104.64466810599581</v>
          </cell>
          <cell r="BD76">
            <v>111.56183282038268</v>
          </cell>
          <cell r="BE76">
            <v>102.18004482950315</v>
          </cell>
          <cell r="BF76">
            <v>95.369258708436163</v>
          </cell>
          <cell r="BG76">
            <v>113.14314229249376</v>
          </cell>
          <cell r="BH76">
            <v>113.14314229249376</v>
          </cell>
          <cell r="BI76">
            <v>117.1029826689326</v>
          </cell>
          <cell r="BJ76">
            <v>104.77236940238356</v>
          </cell>
          <cell r="BK76">
            <v>95.202461067779268</v>
          </cell>
          <cell r="BL76">
            <v>116.18009149476805</v>
          </cell>
          <cell r="BM76">
            <v>116.18009149476805</v>
          </cell>
          <cell r="BN76">
            <v>134.67996395691881</v>
          </cell>
          <cell r="BO76">
            <v>120.05487169359132</v>
          </cell>
          <cell r="BP76">
            <v>93.017576104691045</v>
          </cell>
          <cell r="BQ76">
            <v>131.4504798629969</v>
          </cell>
          <cell r="BR76">
            <v>131.4504798629969</v>
          </cell>
          <cell r="BS76">
            <v>154.42325747082012</v>
          </cell>
          <cell r="BT76">
            <v>137.13259786949337</v>
          </cell>
          <cell r="BU76">
            <v>96.672476050309299</v>
          </cell>
          <cell r="BV76">
            <v>148.30002507205441</v>
          </cell>
          <cell r="BW76">
            <v>148.30002507205441</v>
          </cell>
          <cell r="BX76">
            <v>176.56341946041235</v>
          </cell>
          <cell r="BY76">
            <v>156.1860667406053</v>
          </cell>
          <cell r="BZ76">
            <v>99.462426261509137</v>
          </cell>
          <cell r="CA76">
            <v>166.8689315236459</v>
          </cell>
          <cell r="CB76">
            <v>166.8689315236459</v>
          </cell>
        </row>
        <row r="77">
          <cell r="B77" t="str">
            <v>Other long-term liabilities</v>
          </cell>
          <cell r="C77" t="str">
            <v>OTH_LT_CRED_GQ</v>
          </cell>
          <cell r="D77" t="str">
            <v>USD</v>
          </cell>
          <cell r="F77"/>
          <cell r="G77"/>
          <cell r="H77">
            <v>27.757000000000001</v>
          </cell>
          <cell r="I77">
            <v>68.87</v>
          </cell>
          <cell r="J77">
            <v>178.99799999999999</v>
          </cell>
          <cell r="K77">
            <v>218.51600000000002</v>
          </cell>
          <cell r="L77">
            <v>244.29899999999998</v>
          </cell>
          <cell r="M77">
            <v>266.33</v>
          </cell>
          <cell r="N77">
            <v>210.07299999999998</v>
          </cell>
          <cell r="O77">
            <v>210.07299999999998</v>
          </cell>
          <cell r="P77">
            <v>229.37700000000001</v>
          </cell>
          <cell r="Q77">
            <v>254.51400000000001</v>
          </cell>
          <cell r="R77">
            <v>310.209</v>
          </cell>
          <cell r="S77">
            <v>385.27200000000005</v>
          </cell>
          <cell r="T77">
            <v>385.27200000000005</v>
          </cell>
          <cell r="U77">
            <v>434.09200000000004</v>
          </cell>
          <cell r="V77">
            <v>482.24200000000002</v>
          </cell>
          <cell r="W77">
            <v>505.89400000000001</v>
          </cell>
          <cell r="X77">
            <v>540.92399999999998</v>
          </cell>
          <cell r="Y77">
            <v>540.92399999999998</v>
          </cell>
          <cell r="Z77">
            <v>562.67200000000003</v>
          </cell>
          <cell r="AA77">
            <v>601.03700000000003</v>
          </cell>
          <cell r="AB77">
            <v>638.327</v>
          </cell>
          <cell r="AC77">
            <v>676.30500000000006</v>
          </cell>
          <cell r="AD77">
            <v>676.30500000000006</v>
          </cell>
          <cell r="AE77">
            <v>985.52099999999996</v>
          </cell>
          <cell r="AF77">
            <v>1100.759</v>
          </cell>
          <cell r="AG77">
            <v>1016.876</v>
          </cell>
          <cell r="AH77">
            <v>1219.356</v>
          </cell>
          <cell r="AI77">
            <v>1219.356</v>
          </cell>
          <cell r="AJ77">
            <v>708.83299999999997</v>
          </cell>
          <cell r="AK77">
            <v>721.70399999999995</v>
          </cell>
          <cell r="AL77">
            <v>741.42099999999994</v>
          </cell>
          <cell r="AM77">
            <v>759.7059999999999</v>
          </cell>
          <cell r="AN77">
            <v>759.7059999999999</v>
          </cell>
          <cell r="AO77">
            <v>742.59299999999996</v>
          </cell>
          <cell r="AP77">
            <v>774.56100000000004</v>
          </cell>
          <cell r="AQ77">
            <v>771.88199999999995</v>
          </cell>
          <cell r="AR77">
            <v>811.12099999999998</v>
          </cell>
          <cell r="AS77">
            <v>811.12099999999998</v>
          </cell>
          <cell r="AT77">
            <v>801.67199999999991</v>
          </cell>
          <cell r="AU77">
            <v>854.24</v>
          </cell>
          <cell r="AV77">
            <v>859.83600000000001</v>
          </cell>
          <cell r="AW77">
            <v>967.29300000000001</v>
          </cell>
          <cell r="AX77">
            <v>967.29300000000001</v>
          </cell>
          <cell r="AY77">
            <v>975.18100000000004</v>
          </cell>
          <cell r="AZ77">
            <v>1043.894</v>
          </cell>
          <cell r="BA77">
            <v>1053.6563314346333</v>
          </cell>
          <cell r="BB77">
            <v>1113.0019965634876</v>
          </cell>
          <cell r="BC77">
            <v>1113.0019965634876</v>
          </cell>
          <cell r="BD77">
            <v>1164.9040611441553</v>
          </cell>
          <cell r="BE77">
            <v>1222.6412490197204</v>
          </cell>
          <cell r="BF77">
            <v>1233.4658886418204</v>
          </cell>
          <cell r="BG77">
            <v>1302.6231323188561</v>
          </cell>
          <cell r="BH77">
            <v>1302.6231323188561</v>
          </cell>
          <cell r="BI77">
            <v>1358.5185496062929</v>
          </cell>
          <cell r="BJ77">
            <v>1425.7894636991098</v>
          </cell>
          <cell r="BK77">
            <v>1438.6541935644543</v>
          </cell>
          <cell r="BL77">
            <v>1524.3880213979928</v>
          </cell>
          <cell r="BM77">
            <v>1524.3880213979928</v>
          </cell>
          <cell r="BN77">
            <v>1590.9261847673502</v>
          </cell>
          <cell r="BO77">
            <v>1669.5686669406107</v>
          </cell>
          <cell r="BP77">
            <v>1684.2470495032994</v>
          </cell>
          <cell r="BQ77">
            <v>1783.7385664033948</v>
          </cell>
          <cell r="BR77">
            <v>1783.7385664033948</v>
          </cell>
          <cell r="BS77">
            <v>1862.8758066022206</v>
          </cell>
          <cell r="BT77">
            <v>1954.8243311467804</v>
          </cell>
          <cell r="BU77">
            <v>1971.6671953372938</v>
          </cell>
          <cell r="BV77">
            <v>2087.0611545136312</v>
          </cell>
          <cell r="BW77">
            <v>2087.0611545136312</v>
          </cell>
          <cell r="BX77">
            <v>2181.0970848355296</v>
          </cell>
          <cell r="BY77">
            <v>2288.6208445445582</v>
          </cell>
          <cell r="BZ77">
            <v>2308.0509035247169</v>
          </cell>
          <cell r="CA77">
            <v>2441.8398085574545</v>
          </cell>
          <cell r="CB77">
            <v>2441.8398085574545</v>
          </cell>
        </row>
        <row r="78">
          <cell r="B78" t="str">
            <v>Total long-term liabilities</v>
          </cell>
          <cell r="C78" t="str">
            <v>TOT_LT_LIAB</v>
          </cell>
          <cell r="D78" t="str">
            <v>USD</v>
          </cell>
          <cell r="F78"/>
          <cell r="G78"/>
          <cell r="H78">
            <v>27.757000000000001</v>
          </cell>
          <cell r="I78">
            <v>68.87</v>
          </cell>
          <cell r="J78">
            <v>252.25799999999998</v>
          </cell>
          <cell r="K78">
            <v>218.51600000000002</v>
          </cell>
          <cell r="L78">
            <v>244.29899999999998</v>
          </cell>
          <cell r="M78">
            <v>266.33</v>
          </cell>
          <cell r="N78">
            <v>210.07299999999998</v>
          </cell>
          <cell r="O78">
            <v>210.07299999999998</v>
          </cell>
          <cell r="P78">
            <v>229.37700000000001</v>
          </cell>
          <cell r="Q78">
            <v>670.16499999999996</v>
          </cell>
          <cell r="R78">
            <v>732.77600000000007</v>
          </cell>
          <cell r="S78">
            <v>814.87000000000012</v>
          </cell>
          <cell r="T78">
            <v>814.87000000000012</v>
          </cell>
          <cell r="U78">
            <v>870.83699999999999</v>
          </cell>
          <cell r="V78">
            <v>926.25400000000002</v>
          </cell>
          <cell r="W78">
            <v>957.29300000000001</v>
          </cell>
          <cell r="X78">
            <v>999.83400000000006</v>
          </cell>
          <cell r="Y78">
            <v>999.83400000000006</v>
          </cell>
          <cell r="Z78">
            <v>1147.627</v>
          </cell>
          <cell r="AA78">
            <v>1204.7649999999999</v>
          </cell>
          <cell r="AB78">
            <v>1243.9960000000001</v>
          </cell>
          <cell r="AC78">
            <v>1283.3209999999999</v>
          </cell>
          <cell r="AD78">
            <v>1283.3209999999999</v>
          </cell>
          <cell r="AE78">
            <v>2093.6489999999999</v>
          </cell>
          <cell r="AF78">
            <v>2220.268</v>
          </cell>
          <cell r="AG78">
            <v>2151.2309999999998</v>
          </cell>
          <cell r="AH78">
            <v>2361.6489999999999</v>
          </cell>
          <cell r="AI78">
            <v>2361.6489999999999</v>
          </cell>
          <cell r="AJ78">
            <v>2048.1639999999998</v>
          </cell>
          <cell r="AK78">
            <v>1914.181</v>
          </cell>
          <cell r="AL78">
            <v>1941.8440000000001</v>
          </cell>
          <cell r="AM78">
            <v>2005.6929999999998</v>
          </cell>
          <cell r="AN78">
            <v>2005.6929999999998</v>
          </cell>
          <cell r="AO78">
            <v>2000.672</v>
          </cell>
          <cell r="AP78">
            <v>2041.9099999999999</v>
          </cell>
          <cell r="AQ78">
            <v>2052.2139999999999</v>
          </cell>
          <cell r="AR78">
            <v>2098.2260000000001</v>
          </cell>
          <cell r="AS78">
            <v>2098.2260000000001</v>
          </cell>
          <cell r="AT78">
            <v>2113.2800000000002</v>
          </cell>
          <cell r="AU78">
            <v>2178.3940000000002</v>
          </cell>
          <cell r="AV78">
            <v>2210.83</v>
          </cell>
          <cell r="AW78">
            <v>1627.7249999999999</v>
          </cell>
          <cell r="AX78">
            <v>1627.7249999999999</v>
          </cell>
          <cell r="AY78">
            <v>1646.048</v>
          </cell>
          <cell r="AZ78">
            <v>2479.1099999999997</v>
          </cell>
          <cell r="BA78">
            <v>2484.0142969551544</v>
          </cell>
          <cell r="BB78">
            <v>2559.0346646694834</v>
          </cell>
          <cell r="BC78">
            <v>2559.0346646694834</v>
          </cell>
          <cell r="BD78">
            <v>2617.8538939645377</v>
          </cell>
          <cell r="BE78">
            <v>2666.2092938492233</v>
          </cell>
          <cell r="BF78">
            <v>2670.2231473502561</v>
          </cell>
          <cell r="BG78">
            <v>2757.15427461135</v>
          </cell>
          <cell r="BH78">
            <v>2757.15427461135</v>
          </cell>
          <cell r="BI78">
            <v>2817.0095322752254</v>
          </cell>
          <cell r="BJ78">
            <v>2871.9498331014929</v>
          </cell>
          <cell r="BK78">
            <v>2875.2446546322335</v>
          </cell>
          <cell r="BL78">
            <v>2981.9561128927608</v>
          </cell>
          <cell r="BM78">
            <v>2981.9561128927608</v>
          </cell>
          <cell r="BN78">
            <v>3066.9941487242686</v>
          </cell>
          <cell r="BO78">
            <v>3131.0115386342022</v>
          </cell>
          <cell r="BP78">
            <v>3118.6526256079906</v>
          </cell>
          <cell r="BQ78">
            <v>3256.5770462663913</v>
          </cell>
          <cell r="BR78">
            <v>3256.5770462663913</v>
          </cell>
          <cell r="BS78">
            <v>3358.6870640730403</v>
          </cell>
          <cell r="BT78">
            <v>3433.3449290162735</v>
          </cell>
          <cell r="BU78">
            <v>3409.7276713876031</v>
          </cell>
          <cell r="BV78">
            <v>3576.7491795856859</v>
          </cell>
          <cell r="BW78">
            <v>3576.7491795856859</v>
          </cell>
          <cell r="BX78">
            <v>3699.0485042959417</v>
          </cell>
          <cell r="BY78">
            <v>3786.1949112851635</v>
          </cell>
          <cell r="BZ78">
            <v>3748.9013297862257</v>
          </cell>
          <cell r="CA78">
            <v>3950.0967400811005</v>
          </cell>
          <cell r="CB78">
            <v>3950.0967400811005</v>
          </cell>
        </row>
        <row r="79">
          <cell r="B79" t="str">
            <v>Total liabilities</v>
          </cell>
          <cell r="C79" t="str">
            <v>TOT_LIAB</v>
          </cell>
          <cell r="D79" t="str">
            <v>USD</v>
          </cell>
          <cell r="F79"/>
          <cell r="G79"/>
          <cell r="H79">
            <v>77.664000000000001</v>
          </cell>
          <cell r="I79">
            <v>174.18599999999998</v>
          </cell>
          <cell r="J79">
            <v>465.02199999999993</v>
          </cell>
          <cell r="K79">
            <v>476.6</v>
          </cell>
          <cell r="L79">
            <v>538.83399999999995</v>
          </cell>
          <cell r="M79">
            <v>623.06899999999996</v>
          </cell>
          <cell r="N79">
            <v>521.149</v>
          </cell>
          <cell r="O79">
            <v>521.149</v>
          </cell>
          <cell r="P79">
            <v>548.33000000000004</v>
          </cell>
          <cell r="Q79">
            <v>1044.7170000000001</v>
          </cell>
          <cell r="R79">
            <v>1120.817</v>
          </cell>
          <cell r="S79">
            <v>1273.1009999999999</v>
          </cell>
          <cell r="T79">
            <v>1273.1009999999999</v>
          </cell>
          <cell r="U79">
            <v>1341.7670000000001</v>
          </cell>
          <cell r="V79">
            <v>1435.607</v>
          </cell>
          <cell r="W79">
            <v>1496.3730000000003</v>
          </cell>
          <cell r="X79">
            <v>1599.1490000000001</v>
          </cell>
          <cell r="Y79">
            <v>1599.1490000000001</v>
          </cell>
          <cell r="Z79">
            <v>1802.857</v>
          </cell>
          <cell r="AA79">
            <v>1929.4180000000001</v>
          </cell>
          <cell r="AB79">
            <v>1957.3799999999999</v>
          </cell>
          <cell r="AC79">
            <v>2043.5240000000001</v>
          </cell>
          <cell r="AD79">
            <v>2043.5240000000001</v>
          </cell>
          <cell r="AE79">
            <v>2873.2270000000003</v>
          </cell>
          <cell r="AF79">
            <v>3069.8440000000001</v>
          </cell>
          <cell r="AG79">
            <v>3012.3250000000003</v>
          </cell>
          <cell r="AH79">
            <v>3289.5370000000003</v>
          </cell>
          <cell r="AI79">
            <v>3289.5370000000003</v>
          </cell>
          <cell r="AJ79">
            <v>2952.951</v>
          </cell>
          <cell r="AK79">
            <v>3041.2069999999999</v>
          </cell>
          <cell r="AL79">
            <v>3077.759</v>
          </cell>
          <cell r="AM79">
            <v>3166.2529999999997</v>
          </cell>
          <cell r="AN79">
            <v>3166.2529999999997</v>
          </cell>
          <cell r="AO79">
            <v>3148.471</v>
          </cell>
          <cell r="AP79">
            <v>3154.1769999999997</v>
          </cell>
          <cell r="AQ79">
            <v>3185.0639999999999</v>
          </cell>
          <cell r="AR79">
            <v>3234.3339999999998</v>
          </cell>
          <cell r="AS79">
            <v>3234.3339999999998</v>
          </cell>
          <cell r="AT79">
            <v>3212.8510000000001</v>
          </cell>
          <cell r="AU79">
            <v>3341.2160000000003</v>
          </cell>
          <cell r="AV79">
            <v>3394.384</v>
          </cell>
          <cell r="AW79">
            <v>2872.0659999999998</v>
          </cell>
          <cell r="AX79">
            <v>2872.0659999999998</v>
          </cell>
          <cell r="AY79">
            <v>2866.6470000000004</v>
          </cell>
          <cell r="AZ79">
            <v>3796.6639999999998</v>
          </cell>
          <cell r="BA79">
            <v>3832.2287057734407</v>
          </cell>
          <cell r="BB79">
            <v>3981.9016945375729</v>
          </cell>
          <cell r="BC79">
            <v>3981.9016945375729</v>
          </cell>
          <cell r="BD79">
            <v>4015.847232350216</v>
          </cell>
          <cell r="BE79">
            <v>4196.2872939911886</v>
          </cell>
          <cell r="BF79">
            <v>4231.4377745162274</v>
          </cell>
          <cell r="BG79">
            <v>4405.5293807843127</v>
          </cell>
          <cell r="BH79">
            <v>4405.5293807843127</v>
          </cell>
          <cell r="BI79">
            <v>4445.3332545370831</v>
          </cell>
          <cell r="BJ79">
            <v>4652.1818039108284</v>
          </cell>
          <cell r="BK79">
            <v>4687.0449490111514</v>
          </cell>
          <cell r="BL79">
            <v>4898.1036858110738</v>
          </cell>
          <cell r="BM79">
            <v>4898.1036858110738</v>
          </cell>
          <cell r="BN79">
            <v>4968.3740196888275</v>
          </cell>
          <cell r="BO79">
            <v>5207.7734078743551</v>
          </cell>
          <cell r="BP79">
            <v>5223.3087106164458</v>
          </cell>
          <cell r="BQ79">
            <v>5485.9746742159386</v>
          </cell>
          <cell r="BR79">
            <v>5485.9746742159386</v>
          </cell>
          <cell r="BS79">
            <v>5577.7326954736491</v>
          </cell>
          <cell r="BT79">
            <v>5854.6863691884009</v>
          </cell>
          <cell r="BU79">
            <v>5857.6607661425323</v>
          </cell>
          <cell r="BV79">
            <v>6169.6428906772799</v>
          </cell>
          <cell r="BW79">
            <v>6169.6428906772799</v>
          </cell>
          <cell r="BX79">
            <v>6287.651889495025</v>
          </cell>
          <cell r="BY79">
            <v>6607.9758329973583</v>
          </cell>
          <cell r="BZ79">
            <v>6594.4942205881243</v>
          </cell>
          <cell r="CA79">
            <v>6964.9197390873296</v>
          </cell>
          <cell r="CB79">
            <v>6964.9197390873296</v>
          </cell>
        </row>
        <row r="80">
          <cell r="B80" t="str">
            <v>Preferred shares</v>
          </cell>
          <cell r="C80" t="str">
            <v>PREF_SH</v>
          </cell>
          <cell r="D80" t="str">
            <v>USD</v>
          </cell>
          <cell r="F80"/>
          <cell r="G80"/>
          <cell r="H80">
            <v>172.07499999999999</v>
          </cell>
          <cell r="I80">
            <v>310.37900000000002</v>
          </cell>
          <cell r="J80">
            <v>310.37900000000002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</row>
        <row r="81">
          <cell r="B81" t="str">
            <v>Total common equity</v>
          </cell>
          <cell r="C81" t="str">
            <v>ORD_SH_FUND</v>
          </cell>
          <cell r="D81" t="str">
            <v>USD</v>
          </cell>
          <cell r="F81"/>
          <cell r="G81"/>
          <cell r="H81">
            <v>-234.73400000000004</v>
          </cell>
          <cell r="I81">
            <v>-234.73400000000004</v>
          </cell>
          <cell r="J81">
            <v>-376.315</v>
          </cell>
          <cell r="K81">
            <v>171.66300000000001</v>
          </cell>
          <cell r="L81">
            <v>131.88300000000004</v>
          </cell>
          <cell r="M81">
            <v>95.237999999999943</v>
          </cell>
          <cell r="N81">
            <v>217.06299999999999</v>
          </cell>
          <cell r="O81">
            <v>217.06299999999999</v>
          </cell>
          <cell r="P81">
            <v>216.58000000000004</v>
          </cell>
          <cell r="Q81">
            <v>300.47899999999981</v>
          </cell>
          <cell r="R81">
            <v>354.5809999999999</v>
          </cell>
          <cell r="S81">
            <v>326.77899999999977</v>
          </cell>
          <cell r="T81">
            <v>326.77899999999977</v>
          </cell>
          <cell r="U81">
            <v>431.31899999999996</v>
          </cell>
          <cell r="V81">
            <v>385.53100000000018</v>
          </cell>
          <cell r="W81">
            <v>305.44600000000014</v>
          </cell>
          <cell r="X81">
            <v>186.89300000000026</v>
          </cell>
          <cell r="Y81">
            <v>186.89300000000026</v>
          </cell>
          <cell r="Z81">
            <v>63.528999999999996</v>
          </cell>
          <cell r="AA81">
            <v>-66.101999999999634</v>
          </cell>
          <cell r="AB81">
            <v>-184.03899999999976</v>
          </cell>
          <cell r="AC81">
            <v>-274.97699999999986</v>
          </cell>
          <cell r="AD81">
            <v>-274.97699999999986</v>
          </cell>
          <cell r="AE81">
            <v>-557.35500000000002</v>
          </cell>
          <cell r="AF81">
            <v>-758.39199999999983</v>
          </cell>
          <cell r="AG81">
            <v>-746.77399999999943</v>
          </cell>
          <cell r="AH81">
            <v>-1012.0409999999997</v>
          </cell>
          <cell r="AI81">
            <v>-1012.0409999999997</v>
          </cell>
          <cell r="AJ81">
            <v>-698.73900000000003</v>
          </cell>
          <cell r="AK81">
            <v>-725.61699999999973</v>
          </cell>
          <cell r="AL81">
            <v>-721.86599999999999</v>
          </cell>
          <cell r="AM81">
            <v>-800.50400000000036</v>
          </cell>
          <cell r="AN81">
            <v>-800.50400000000036</v>
          </cell>
          <cell r="AO81">
            <v>-791.04899999999998</v>
          </cell>
          <cell r="AP81">
            <v>-782.68200000000024</v>
          </cell>
          <cell r="AQ81">
            <v>-789.06700000000046</v>
          </cell>
          <cell r="AR81">
            <v>-707.41899999999941</v>
          </cell>
          <cell r="AS81">
            <v>-707.41899999999941</v>
          </cell>
          <cell r="AT81">
            <v>-642.21100000000024</v>
          </cell>
          <cell r="AU81">
            <v>-611.68199999999979</v>
          </cell>
          <cell r="AV81">
            <v>-619.46000000000049</v>
          </cell>
          <cell r="AW81">
            <v>-728.14800000000014</v>
          </cell>
          <cell r="AX81">
            <v>-728.14800000000014</v>
          </cell>
          <cell r="AY81">
            <v>-685.29600000000028</v>
          </cell>
          <cell r="AZ81">
            <v>-807.67399999999907</v>
          </cell>
          <cell r="BA81">
            <v>-712.72768878458919</v>
          </cell>
          <cell r="BB81">
            <v>-661.09016684543894</v>
          </cell>
          <cell r="BC81">
            <v>-661.09016684543894</v>
          </cell>
          <cell r="BD81">
            <v>-528.60148884578848</v>
          </cell>
          <cell r="BE81">
            <v>-349.57809768865263</v>
          </cell>
          <cell r="BF81">
            <v>-228.32300623704486</v>
          </cell>
          <cell r="BG81">
            <v>-155.90708049999375</v>
          </cell>
          <cell r="BH81">
            <v>-155.90708049999375</v>
          </cell>
          <cell r="BI81">
            <v>11.157008718249017</v>
          </cell>
          <cell r="BJ81">
            <v>231.99030136242618</v>
          </cell>
          <cell r="BK81">
            <v>385.33954863141116</v>
          </cell>
          <cell r="BL81">
            <v>502.36973915513136</v>
          </cell>
          <cell r="BM81">
            <v>502.36973915513136</v>
          </cell>
          <cell r="BN81">
            <v>730.74806738171173</v>
          </cell>
          <cell r="BO81">
            <v>1021.1349552943957</v>
          </cell>
          <cell r="BP81">
            <v>1230.2312696551826</v>
          </cell>
          <cell r="BQ81">
            <v>1377.3267928669793</v>
          </cell>
          <cell r="BR81">
            <v>1377.3267928669793</v>
          </cell>
          <cell r="BS81">
            <v>1654.7564562849843</v>
          </cell>
          <cell r="BT81">
            <v>2003.1515288652895</v>
          </cell>
          <cell r="BU81">
            <v>2255.4584929818066</v>
          </cell>
          <cell r="BV81">
            <v>2437.9759395235592</v>
          </cell>
          <cell r="BW81">
            <v>2437.9759395235592</v>
          </cell>
          <cell r="BX81">
            <v>2772.9518683379183</v>
          </cell>
          <cell r="BY81">
            <v>3188.7948242664188</v>
          </cell>
          <cell r="BZ81">
            <v>3491.3626055040195</v>
          </cell>
          <cell r="CA81">
            <v>3715.6140317219838</v>
          </cell>
          <cell r="CB81">
            <v>3715.6140317219838</v>
          </cell>
        </row>
        <row r="82">
          <cell r="B82" t="str">
            <v>Minority interest</v>
          </cell>
          <cell r="C82" t="str">
            <v>MINORITIES</v>
          </cell>
          <cell r="D82" t="str">
            <v>USD</v>
          </cell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</row>
        <row r="83">
          <cell r="B83" t="str">
            <v>Total shareholders' equity</v>
          </cell>
          <cell r="C83" t="str">
            <v>EQ</v>
          </cell>
          <cell r="D83" t="str">
            <v>USD</v>
          </cell>
          <cell r="F83"/>
          <cell r="G83"/>
          <cell r="H83">
            <v>41.300000000000011</v>
          </cell>
          <cell r="I83">
            <v>75.644999999999982</v>
          </cell>
          <cell r="J83">
            <v>-65.935999999999979</v>
          </cell>
          <cell r="K83">
            <v>171.66300000000001</v>
          </cell>
          <cell r="L83">
            <v>131.88300000000004</v>
          </cell>
          <cell r="M83">
            <v>95.237999999999943</v>
          </cell>
          <cell r="N83">
            <v>217.06299999999999</v>
          </cell>
          <cell r="O83">
            <v>217.06299999999999</v>
          </cell>
          <cell r="P83">
            <v>216.58000000000004</v>
          </cell>
          <cell r="Q83">
            <v>300.47899999999981</v>
          </cell>
          <cell r="R83">
            <v>354.5809999999999</v>
          </cell>
          <cell r="S83">
            <v>326.77899999999977</v>
          </cell>
          <cell r="T83">
            <v>326.77899999999977</v>
          </cell>
          <cell r="U83">
            <v>431.31899999999996</v>
          </cell>
          <cell r="V83">
            <v>385.53100000000018</v>
          </cell>
          <cell r="W83">
            <v>305.44600000000014</v>
          </cell>
          <cell r="X83">
            <v>186.89300000000026</v>
          </cell>
          <cell r="Y83">
            <v>186.89300000000026</v>
          </cell>
          <cell r="Z83">
            <v>63.528999999999996</v>
          </cell>
          <cell r="AA83">
            <v>-66.101999999999634</v>
          </cell>
          <cell r="AB83">
            <v>-184.03899999999976</v>
          </cell>
          <cell r="AC83">
            <v>-274.97699999999986</v>
          </cell>
          <cell r="AD83">
            <v>-274.97699999999986</v>
          </cell>
          <cell r="AE83">
            <v>-557.35500000000002</v>
          </cell>
          <cell r="AF83">
            <v>-758.39199999999983</v>
          </cell>
          <cell r="AG83">
            <v>-746.77399999999943</v>
          </cell>
          <cell r="AH83">
            <v>-1012.0409999999997</v>
          </cell>
          <cell r="AI83">
            <v>-1012.0409999999997</v>
          </cell>
          <cell r="AJ83">
            <v>-698.73900000000003</v>
          </cell>
          <cell r="AK83">
            <v>-725.61699999999973</v>
          </cell>
          <cell r="AL83">
            <v>-721.86599999999999</v>
          </cell>
          <cell r="AM83">
            <v>-800.50400000000036</v>
          </cell>
          <cell r="AN83">
            <v>-800.50400000000036</v>
          </cell>
          <cell r="AO83">
            <v>-791.04899999999998</v>
          </cell>
          <cell r="AP83">
            <v>-782.68200000000024</v>
          </cell>
          <cell r="AQ83">
            <v>-789.06700000000046</v>
          </cell>
          <cell r="AR83">
            <v>-707.41899999999941</v>
          </cell>
          <cell r="AS83">
            <v>-707.41899999999941</v>
          </cell>
          <cell r="AT83">
            <v>-642.21100000000024</v>
          </cell>
          <cell r="AU83">
            <v>-611.68199999999979</v>
          </cell>
          <cell r="AV83">
            <v>-619.46000000000049</v>
          </cell>
          <cell r="AW83">
            <v>-728.14800000000014</v>
          </cell>
          <cell r="AX83">
            <v>-728.14800000000014</v>
          </cell>
          <cell r="AY83">
            <v>-685.29600000000028</v>
          </cell>
          <cell r="AZ83">
            <v>-807.67399999999907</v>
          </cell>
          <cell r="BA83">
            <v>-712.72768878458919</v>
          </cell>
          <cell r="BB83">
            <v>-661.09016684543894</v>
          </cell>
          <cell r="BC83">
            <v>-661.09016684543894</v>
          </cell>
          <cell r="BD83">
            <v>-528.60148884578848</v>
          </cell>
          <cell r="BE83">
            <v>-349.57809768865263</v>
          </cell>
          <cell r="BF83">
            <v>-228.32300623704486</v>
          </cell>
          <cell r="BG83">
            <v>-155.90708049999375</v>
          </cell>
          <cell r="BH83">
            <v>-155.90708049999375</v>
          </cell>
          <cell r="BI83">
            <v>11.157008718249017</v>
          </cell>
          <cell r="BJ83">
            <v>231.99030136242618</v>
          </cell>
          <cell r="BK83">
            <v>385.33954863141116</v>
          </cell>
          <cell r="BL83">
            <v>502.36973915513136</v>
          </cell>
          <cell r="BM83">
            <v>502.36973915513136</v>
          </cell>
          <cell r="BN83">
            <v>730.74806738171173</v>
          </cell>
          <cell r="BO83">
            <v>1021.1349552943957</v>
          </cell>
          <cell r="BP83">
            <v>1230.2312696551826</v>
          </cell>
          <cell r="BQ83">
            <v>1377.3267928669793</v>
          </cell>
          <cell r="BR83">
            <v>1377.3267928669793</v>
          </cell>
          <cell r="BS83">
            <v>1654.7564562849843</v>
          </cell>
          <cell r="BT83">
            <v>2003.1515288652895</v>
          </cell>
          <cell r="BU83">
            <v>2255.4584929818066</v>
          </cell>
          <cell r="BV83">
            <v>2437.9759395235592</v>
          </cell>
          <cell r="BW83">
            <v>2437.9759395235592</v>
          </cell>
          <cell r="BX83">
            <v>2772.9518683379183</v>
          </cell>
          <cell r="BY83">
            <v>3188.7948242664188</v>
          </cell>
          <cell r="BZ83">
            <v>3491.3626055040195</v>
          </cell>
          <cell r="CA83">
            <v>3715.6140317219838</v>
          </cell>
          <cell r="CB83">
            <v>3715.6140317219838</v>
          </cell>
        </row>
        <row r="84">
          <cell r="B84" t="str">
            <v>Total liabilities and equity</v>
          </cell>
          <cell r="C84" t="str">
            <v>TOT_LIAB_EQ</v>
          </cell>
          <cell r="D84" t="str">
            <v>USD</v>
          </cell>
          <cell r="F84"/>
          <cell r="G84"/>
          <cell r="H84">
            <v>118.96400000000001</v>
          </cell>
          <cell r="I84">
            <v>249.83099999999996</v>
          </cell>
          <cell r="J84">
            <v>399.08599999999996</v>
          </cell>
          <cell r="K84">
            <v>648.26300000000003</v>
          </cell>
          <cell r="L84">
            <v>670.71699999999998</v>
          </cell>
          <cell r="M84">
            <v>718.3069999999999</v>
          </cell>
          <cell r="N84">
            <v>738.21199999999999</v>
          </cell>
          <cell r="O84">
            <v>738.21199999999999</v>
          </cell>
          <cell r="P84">
            <v>764.91000000000008</v>
          </cell>
          <cell r="Q84">
            <v>1345.1959999999999</v>
          </cell>
          <cell r="R84">
            <v>1475.3979999999999</v>
          </cell>
          <cell r="S84">
            <v>1599.8799999999997</v>
          </cell>
          <cell r="T84">
            <v>1599.8799999999997</v>
          </cell>
          <cell r="U84">
            <v>1773.086</v>
          </cell>
          <cell r="V84">
            <v>1821.1380000000001</v>
          </cell>
          <cell r="W84">
            <v>1801.8190000000004</v>
          </cell>
          <cell r="X84">
            <v>1786.0420000000004</v>
          </cell>
          <cell r="Y84">
            <v>1786.0420000000004</v>
          </cell>
          <cell r="Z84">
            <v>1866.386</v>
          </cell>
          <cell r="AA84">
            <v>1863.3160000000005</v>
          </cell>
          <cell r="AB84">
            <v>1773.3410000000001</v>
          </cell>
          <cell r="AC84">
            <v>1768.5470000000003</v>
          </cell>
          <cell r="AD84">
            <v>1768.5470000000003</v>
          </cell>
          <cell r="AE84">
            <v>2315.8720000000003</v>
          </cell>
          <cell r="AF84">
            <v>2311.4520000000002</v>
          </cell>
          <cell r="AG84">
            <v>2265.5510000000008</v>
          </cell>
          <cell r="AH84">
            <v>2277.4960000000005</v>
          </cell>
          <cell r="AI84">
            <v>2277.4960000000005</v>
          </cell>
          <cell r="AJ84">
            <v>2254.212</v>
          </cell>
          <cell r="AK84">
            <v>2315.59</v>
          </cell>
          <cell r="AL84">
            <v>2355.893</v>
          </cell>
          <cell r="AM84">
            <v>2365.7489999999993</v>
          </cell>
          <cell r="AN84">
            <v>2365.7489999999993</v>
          </cell>
          <cell r="AO84">
            <v>2357.422</v>
          </cell>
          <cell r="AP84">
            <v>2371.4949999999994</v>
          </cell>
          <cell r="AQ84">
            <v>2395.9969999999994</v>
          </cell>
          <cell r="AR84">
            <v>2526.9150000000004</v>
          </cell>
          <cell r="AS84">
            <v>2526.9150000000004</v>
          </cell>
          <cell r="AT84">
            <v>2570.64</v>
          </cell>
          <cell r="AU84">
            <v>2729.5340000000006</v>
          </cell>
          <cell r="AV84">
            <v>2774.9239999999995</v>
          </cell>
          <cell r="AW84">
            <v>2143.9179999999997</v>
          </cell>
          <cell r="AX84">
            <v>2143.9179999999997</v>
          </cell>
          <cell r="AY84">
            <v>2181.3510000000001</v>
          </cell>
          <cell r="AZ84">
            <v>2988.9900000000007</v>
          </cell>
          <cell r="BA84">
            <v>3119.5010169888515</v>
          </cell>
          <cell r="BB84">
            <v>3320.811527692134</v>
          </cell>
          <cell r="BC84">
            <v>3320.811527692134</v>
          </cell>
          <cell r="BD84">
            <v>3487.2457435044275</v>
          </cell>
          <cell r="BE84">
            <v>3846.7091963025359</v>
          </cell>
          <cell r="BF84">
            <v>4003.1147682791825</v>
          </cell>
          <cell r="BG84">
            <v>4249.622300284319</v>
          </cell>
          <cell r="BH84">
            <v>4249.622300284319</v>
          </cell>
          <cell r="BI84">
            <v>4456.4902632553321</v>
          </cell>
          <cell r="BJ84">
            <v>4884.1721052732546</v>
          </cell>
          <cell r="BK84">
            <v>5072.3844976425626</v>
          </cell>
          <cell r="BL84">
            <v>5400.4734249662051</v>
          </cell>
          <cell r="BM84">
            <v>5400.4734249662051</v>
          </cell>
          <cell r="BN84">
            <v>5699.1220870705392</v>
          </cell>
          <cell r="BO84">
            <v>6228.9083631687508</v>
          </cell>
          <cell r="BP84">
            <v>6453.5399802716283</v>
          </cell>
          <cell r="BQ84">
            <v>6863.301467082918</v>
          </cell>
          <cell r="BR84">
            <v>6863.301467082918</v>
          </cell>
          <cell r="BS84">
            <v>7232.4891517586329</v>
          </cell>
          <cell r="BT84">
            <v>7857.8378980536909</v>
          </cell>
          <cell r="BU84">
            <v>8113.1192591243389</v>
          </cell>
          <cell r="BV84">
            <v>8607.6188302008395</v>
          </cell>
          <cell r="BW84">
            <v>8607.6188302008395</v>
          </cell>
          <cell r="BX84">
            <v>9060.6037578329433</v>
          </cell>
          <cell r="BY84">
            <v>9796.7706572637762</v>
          </cell>
          <cell r="BZ84">
            <v>10085.856826092144</v>
          </cell>
          <cell r="CA84">
            <v>10680.533770809314</v>
          </cell>
          <cell r="CB84">
            <v>10680.533770809314</v>
          </cell>
        </row>
        <row r="85">
          <cell r="A85" t="str">
            <v>Additional Balance Sheet Items</v>
          </cell>
          <cell r="B85"/>
          <cell r="C85"/>
          <cell r="D85"/>
        </row>
        <row r="86">
          <cell r="B86" t="str">
            <v>Total US$ debt (in US$)</v>
          </cell>
          <cell r="C86" t="str">
            <v>TOT_USD_DEBT</v>
          </cell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</row>
        <row r="87">
          <cell r="B87" t="str">
            <v>% US$ debt hedged (principal)</v>
          </cell>
          <cell r="C87" t="str">
            <v>TOT_PCT_USD_DEBT_HEDGED</v>
          </cell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</row>
        <row r="88">
          <cell r="B88" t="str">
            <v>% Floating debt (local currency debt)</v>
          </cell>
          <cell r="C88" t="str">
            <v>FLOATING_PCT_LOCAL_DEBT</v>
          </cell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</row>
        <row r="89">
          <cell r="B89" t="str">
            <v>% floating debt hedged (rates)</v>
          </cell>
          <cell r="C89" t="str">
            <v>FLOATING_PCT_LOCAL_DEBT_HEDGED</v>
          </cell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</row>
        <row r="90">
          <cell r="B90" t="str">
            <v>Net debt</v>
          </cell>
          <cell r="C90" t="str">
            <v>NET_DEBT</v>
          </cell>
          <cell r="D90" t="str">
            <v>USD</v>
          </cell>
          <cell r="F90"/>
          <cell r="G90"/>
          <cell r="H90">
            <v>-57.484999999999999</v>
          </cell>
          <cell r="I90">
            <v>-67.879000000000005</v>
          </cell>
          <cell r="J90">
            <v>-111.94</v>
          </cell>
          <cell r="K90">
            <v>-347.11199999999997</v>
          </cell>
          <cell r="L90">
            <v>-355.15300000000002</v>
          </cell>
          <cell r="M90">
            <v>-350.34500000000003</v>
          </cell>
          <cell r="N90">
            <v>-349.053</v>
          </cell>
          <cell r="O90">
            <v>-349.053</v>
          </cell>
          <cell r="P90">
            <v>-365.94499999999999</v>
          </cell>
          <cell r="Q90">
            <v>-502.60400000000004</v>
          </cell>
          <cell r="R90">
            <v>-500.89699999999993</v>
          </cell>
          <cell r="S90">
            <v>-504.70499999999998</v>
          </cell>
          <cell r="T90">
            <v>-504.70499999999998</v>
          </cell>
          <cell r="U90">
            <v>-528.23</v>
          </cell>
          <cell r="V90">
            <v>-521.91300000000001</v>
          </cell>
          <cell r="W90">
            <v>-489.35300000000001</v>
          </cell>
          <cell r="X90">
            <v>-449.92399999999992</v>
          </cell>
          <cell r="Y90">
            <v>-449.92399999999992</v>
          </cell>
          <cell r="Z90">
            <v>-274.48099999999994</v>
          </cell>
          <cell r="AA90">
            <v>-183.60400000000007</v>
          </cell>
          <cell r="AB90">
            <v>-92.096999999999923</v>
          </cell>
          <cell r="AC90">
            <v>-76.193000000000097</v>
          </cell>
          <cell r="AD90">
            <v>-76.193000000000097</v>
          </cell>
          <cell r="AE90">
            <v>-168.87700000000012</v>
          </cell>
          <cell r="AF90">
            <v>-128.02099999999984</v>
          </cell>
          <cell r="AG90">
            <v>-78.054999999999893</v>
          </cell>
          <cell r="AH90">
            <v>-28.76600000000002</v>
          </cell>
          <cell r="AI90">
            <v>-28.76600000000002</v>
          </cell>
          <cell r="AJ90">
            <v>106.80499999999989</v>
          </cell>
          <cell r="AK90">
            <v>89.44700000000023</v>
          </cell>
          <cell r="AL90">
            <v>89.280000000000086</v>
          </cell>
          <cell r="AM90">
            <v>106.96499999999992</v>
          </cell>
          <cell r="AN90">
            <v>106.96499999999992</v>
          </cell>
          <cell r="AO90">
            <v>51.921999999999969</v>
          </cell>
          <cell r="AP90">
            <v>-9.9140000000002146</v>
          </cell>
          <cell r="AQ90">
            <v>-46.674999999999955</v>
          </cell>
          <cell r="AR90">
            <v>-120.72299999999996</v>
          </cell>
          <cell r="AS90">
            <v>-120.72299999999996</v>
          </cell>
          <cell r="AT90">
            <v>-230.59099999999989</v>
          </cell>
          <cell r="AU90">
            <v>-290.65499999999997</v>
          </cell>
          <cell r="AV90">
            <v>-276.50300000000016</v>
          </cell>
          <cell r="AW90">
            <v>-309.74699999999996</v>
          </cell>
          <cell r="AX90">
            <v>-309.74699999999996</v>
          </cell>
          <cell r="AY90">
            <v>-380.9620000000001</v>
          </cell>
          <cell r="AZ90">
            <v>-285.81200000000024</v>
          </cell>
          <cell r="BA90">
            <v>-359.13865594719175</v>
          </cell>
          <cell r="BB90">
            <v>-574.66911409847182</v>
          </cell>
          <cell r="BC90">
            <v>-574.66911409847182</v>
          </cell>
          <cell r="BD90">
            <v>-744.68458728689177</v>
          </cell>
          <cell r="BE90">
            <v>-954.62138751392501</v>
          </cell>
          <cell r="BF90">
            <v>-1058.8785051495656</v>
          </cell>
          <cell r="BG90">
            <v>-1311.8504043939429</v>
          </cell>
          <cell r="BH90">
            <v>-1311.8504043939429</v>
          </cell>
          <cell r="BI90">
            <v>-1530.2712899964249</v>
          </cell>
          <cell r="BJ90">
            <v>-1790.1336413755021</v>
          </cell>
          <cell r="BK90">
            <v>-1937.0806689143947</v>
          </cell>
          <cell r="BL90">
            <v>-2271.9140912930343</v>
          </cell>
          <cell r="BM90">
            <v>-2271.9140912930343</v>
          </cell>
          <cell r="BN90">
            <v>-2550.1892435088539</v>
          </cell>
          <cell r="BO90">
            <v>-2890.54551417316</v>
          </cell>
          <cell r="BP90">
            <v>-3111.0500005263311</v>
          </cell>
          <cell r="BQ90">
            <v>-3505.7823944974989</v>
          </cell>
          <cell r="BR90">
            <v>-3505.7823944974989</v>
          </cell>
          <cell r="BS90">
            <v>-3844.4270265994719</v>
          </cell>
          <cell r="BT90">
            <v>-4258.1095655280142</v>
          </cell>
          <cell r="BU90">
            <v>-4533.0666813578619</v>
          </cell>
          <cell r="BV90">
            <v>-5007.6193549050122</v>
          </cell>
          <cell r="BW90">
            <v>-5007.6193549050122</v>
          </cell>
          <cell r="BX90">
            <v>-5417.1619289787377</v>
          </cell>
          <cell r="BY90">
            <v>-5918.8820579273188</v>
          </cell>
          <cell r="BZ90">
            <v>-6262.9889616635128</v>
          </cell>
          <cell r="CA90">
            <v>-6824.5529278865743</v>
          </cell>
          <cell r="CB90">
            <v>-6824.5529278865743</v>
          </cell>
        </row>
        <row r="91">
          <cell r="B91" t="str">
            <v>Capitalized operating leases (off-balance sheet)</v>
          </cell>
          <cell r="C91" t="str">
            <v>CAP_LEASES</v>
          </cell>
          <cell r="D91" t="str">
            <v>USD</v>
          </cell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</row>
        <row r="92">
          <cell r="B92" t="str">
            <v>Deferred income taxes</v>
          </cell>
          <cell r="C92" t="str">
            <v>DEF_INC_TAX</v>
          </cell>
          <cell r="D92" t="str">
            <v>USD</v>
          </cell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</row>
        <row r="93">
          <cell r="B93" t="str">
            <v>Net operating loss carryforwards (NOLs)</v>
          </cell>
          <cell r="C93" t="str">
            <v>NET_OP_LOSS_CFWD</v>
          </cell>
          <cell r="D93" t="str">
            <v>USD</v>
          </cell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</row>
        <row r="94">
          <cell r="B94" t="str">
            <v>Associates (mkt value) used in EV calculation</v>
          </cell>
          <cell r="C94" t="str">
            <v>MV_ASSOCIATES</v>
          </cell>
          <cell r="D94" t="str">
            <v>USD</v>
          </cell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</row>
        <row r="95">
          <cell r="B95" t="str">
            <v>Net debt adjustment</v>
          </cell>
          <cell r="C95" t="str">
            <v>NET_DEBT_ADJ</v>
          </cell>
          <cell r="D95" t="str">
            <v>USD</v>
          </cell>
          <cell r="F95"/>
          <cell r="G95"/>
          <cell r="H95"/>
          <cell r="I95"/>
          <cell r="J95">
            <v>-85.991</v>
          </cell>
          <cell r="K95">
            <v>-121.649</v>
          </cell>
          <cell r="L95">
            <v>-129.14699999999999</v>
          </cell>
          <cell r="M95">
            <v>-149.571</v>
          </cell>
          <cell r="N95">
            <v>-210.69399999999999</v>
          </cell>
          <cell r="O95">
            <v>-210.69399999999999</v>
          </cell>
          <cell r="P95">
            <v>-233.48599999999999</v>
          </cell>
          <cell r="Q95">
            <v>-307.80900000000003</v>
          </cell>
          <cell r="R95">
            <v>-546.67499999999995</v>
          </cell>
          <cell r="S95">
            <v>-628.32799999999997</v>
          </cell>
          <cell r="T95">
            <v>-628.32799999999997</v>
          </cell>
          <cell r="U95">
            <v>-565.18899999999996</v>
          </cell>
          <cell r="V95">
            <v>-499.91500000000002</v>
          </cell>
          <cell r="W95">
            <v>-495.63299999999998</v>
          </cell>
          <cell r="X95">
            <v>-512.15599999999995</v>
          </cell>
          <cell r="Y95">
            <v>-512.15599999999995</v>
          </cell>
          <cell r="Z95">
            <v>-655.58399999999995</v>
          </cell>
          <cell r="AA95">
            <v>-607.30700000000002</v>
          </cell>
          <cell r="AB95">
            <v>-469.80599999999998</v>
          </cell>
          <cell r="AC95">
            <v>-401.041</v>
          </cell>
          <cell r="AD95">
            <v>-401.041</v>
          </cell>
          <cell r="AE95">
            <v>-813.60299999999995</v>
          </cell>
          <cell r="AF95">
            <v>-990.13800000000003</v>
          </cell>
          <cell r="AG95">
            <v>-980.14499999999998</v>
          </cell>
          <cell r="AH95">
            <v>-928.00599999999997</v>
          </cell>
          <cell r="AI95">
            <v>-928.00599999999997</v>
          </cell>
          <cell r="AJ95">
            <v>-925.11599999999999</v>
          </cell>
          <cell r="AK95">
            <v>-891.02599999999995</v>
          </cell>
          <cell r="AL95">
            <v>-913.90099999999995</v>
          </cell>
          <cell r="AM95">
            <v>-921.42899999999997</v>
          </cell>
          <cell r="AN95">
            <v>-921.42899999999997</v>
          </cell>
          <cell r="AO95">
            <v>-907.44100000000003</v>
          </cell>
          <cell r="AP95">
            <v>-904.76300000000003</v>
          </cell>
          <cell r="AQ95">
            <v>-918.57</v>
          </cell>
          <cell r="AR95">
            <v>-924.46600000000001</v>
          </cell>
          <cell r="AS95">
            <v>-924.46600000000001</v>
          </cell>
          <cell r="AT95">
            <v>-958.654</v>
          </cell>
          <cell r="AU95">
            <v>-964.71400000000006</v>
          </cell>
          <cell r="AV95">
            <v>-1053.354</v>
          </cell>
          <cell r="AW95">
            <v>-339.072</v>
          </cell>
          <cell r="AX95">
            <v>-339.072</v>
          </cell>
          <cell r="AY95">
            <v>-358.846</v>
          </cell>
          <cell r="AZ95">
            <v>-670.68600000000004</v>
          </cell>
          <cell r="BA95">
            <v>-670.68600000000004</v>
          </cell>
          <cell r="BB95">
            <v>-670.68600000000004</v>
          </cell>
          <cell r="BC95">
            <v>-670.68600000000004</v>
          </cell>
          <cell r="BD95">
            <v>-670.68600000000004</v>
          </cell>
          <cell r="BE95">
            <v>-670.68600000000004</v>
          </cell>
          <cell r="BF95">
            <v>-670.68600000000004</v>
          </cell>
          <cell r="BG95">
            <v>-670.68600000000004</v>
          </cell>
          <cell r="BH95">
            <v>-670.68600000000004</v>
          </cell>
          <cell r="BI95">
            <v>-670.68600000000004</v>
          </cell>
          <cell r="BJ95">
            <v>-670.68600000000004</v>
          </cell>
          <cell r="BK95">
            <v>-670.68600000000004</v>
          </cell>
          <cell r="BL95">
            <v>-670.68600000000004</v>
          </cell>
          <cell r="BM95">
            <v>-670.68600000000004</v>
          </cell>
          <cell r="BN95">
            <v>-670.68600000000004</v>
          </cell>
          <cell r="BO95">
            <v>-670.68600000000004</v>
          </cell>
          <cell r="BP95">
            <v>-670.68600000000004</v>
          </cell>
          <cell r="BQ95">
            <v>-670.68600000000004</v>
          </cell>
          <cell r="BR95">
            <v>-670.68600000000004</v>
          </cell>
          <cell r="BS95">
            <v>-670.68600000000004</v>
          </cell>
          <cell r="BT95">
            <v>-670.68600000000004</v>
          </cell>
          <cell r="BU95">
            <v>-670.68600000000004</v>
          </cell>
          <cell r="BV95">
            <v>-670.68600000000004</v>
          </cell>
          <cell r="BW95">
            <v>-670.68600000000004</v>
          </cell>
          <cell r="BX95">
            <v>-670.68600000000004</v>
          </cell>
          <cell r="BY95">
            <v>-670.68600000000004</v>
          </cell>
          <cell r="BZ95">
            <v>-670.68600000000004</v>
          </cell>
          <cell r="CA95">
            <v>-670.68600000000004</v>
          </cell>
          <cell r="CB95">
            <v>-670.68600000000004</v>
          </cell>
        </row>
        <row r="96">
          <cell r="B96" t="str">
            <v>Company borrowing margin</v>
          </cell>
          <cell r="C96" t="str">
            <v>CO_BOR_MARGIN</v>
          </cell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</row>
        <row r="97">
          <cell r="B97" t="str">
            <v>Unfunded pensions &amp; other provisions</v>
          </cell>
          <cell r="C97" t="str">
            <v>UNF_PENS</v>
          </cell>
          <cell r="D97" t="str">
            <v>USD</v>
          </cell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</row>
        <row r="98">
          <cell r="B98" t="str">
            <v>Unfunded pension liabilities (off balance sheet)</v>
          </cell>
          <cell r="C98" t="str">
            <v>UNF_PENS_OFF</v>
          </cell>
          <cell r="D98" t="str">
            <v>USD</v>
          </cell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</row>
        <row r="99">
          <cell r="B99" t="str">
            <v>Unfunded pension liabilities &amp; other, used in EV</v>
          </cell>
          <cell r="C99" t="str">
            <v>UNF_PENS_LIAB_OTH</v>
          </cell>
          <cell r="D99" t="str">
            <v>USD</v>
          </cell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</row>
        <row r="100">
          <cell r="B100" t="str">
            <v>Adjustment for unfunded pensions &amp; goodwill</v>
          </cell>
          <cell r="C100" t="str">
            <v>ADJ_UNF_PENS_GOOD</v>
          </cell>
          <cell r="D100" t="str">
            <v>USD</v>
          </cell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</row>
        <row r="101">
          <cell r="B101" t="str">
            <v>Other GCI adjustments</v>
          </cell>
          <cell r="C101" t="str">
            <v>OTH_GCI_ADJ</v>
          </cell>
          <cell r="D101" t="str">
            <v>USD</v>
          </cell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</row>
        <row r="102">
          <cell r="B102" t="str">
            <v>GCI inflator</v>
          </cell>
          <cell r="C102" t="str">
            <v>GCI_INFL</v>
          </cell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</row>
        <row r="103">
          <cell r="B103" t="str">
            <v>Minority interest</v>
          </cell>
          <cell r="C103" t="str">
            <v>BAL_MINO_INT</v>
          </cell>
          <cell r="D103" t="str">
            <v>USD</v>
          </cell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</row>
        <row r="104">
          <cell r="B104" t="str">
            <v>Right-of-use assets (op lease assets under US GAAP)</v>
          </cell>
          <cell r="C104" t="str">
            <v>ROU_ASSET</v>
          </cell>
          <cell r="D104" t="str">
            <v>USD</v>
          </cell>
          <cell r="F104"/>
          <cell r="G104"/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123.002</v>
          </cell>
          <cell r="AA104">
            <v>135.68</v>
          </cell>
          <cell r="AB104">
            <v>132.51900000000001</v>
          </cell>
          <cell r="AC104">
            <v>127.32599999999999</v>
          </cell>
          <cell r="AD104">
            <v>127.32599999999999</v>
          </cell>
          <cell r="AE104">
            <v>126.542</v>
          </cell>
          <cell r="AF104">
            <v>121.066</v>
          </cell>
          <cell r="AG104">
            <v>112.20699999999999</v>
          </cell>
          <cell r="AH104">
            <v>105.90300000000001</v>
          </cell>
          <cell r="AI104">
            <v>105.90300000000001</v>
          </cell>
          <cell r="AJ104">
            <v>100.66500000000001</v>
          </cell>
          <cell r="AK104">
            <v>91.519000000000005</v>
          </cell>
          <cell r="AL104">
            <v>83.427000000000007</v>
          </cell>
          <cell r="AM104">
            <v>118.74</v>
          </cell>
          <cell r="AN104">
            <v>118.74</v>
          </cell>
          <cell r="AO104">
            <v>111.52200000000001</v>
          </cell>
          <cell r="AP104">
            <v>106.711</v>
          </cell>
          <cell r="AQ104">
            <v>97.804000000000002</v>
          </cell>
          <cell r="AR104">
            <v>93.554000000000002</v>
          </cell>
          <cell r="AS104">
            <v>93.554000000000002</v>
          </cell>
          <cell r="AT104">
            <v>96.301000000000002</v>
          </cell>
          <cell r="AU104">
            <v>97.307000000000002</v>
          </cell>
          <cell r="AV104">
            <v>96.894999999999996</v>
          </cell>
          <cell r="AW104">
            <v>109.133</v>
          </cell>
          <cell r="AX104">
            <v>109.133</v>
          </cell>
          <cell r="AY104">
            <v>118.593</v>
          </cell>
          <cell r="AZ104">
            <v>112.051</v>
          </cell>
          <cell r="BA104">
            <v>112.051</v>
          </cell>
          <cell r="BB104">
            <v>112.051</v>
          </cell>
          <cell r="BC104">
            <v>112.051</v>
          </cell>
          <cell r="BD104">
            <v>112.051</v>
          </cell>
          <cell r="BE104">
            <v>112.051</v>
          </cell>
          <cell r="BF104">
            <v>112.051</v>
          </cell>
          <cell r="BG104">
            <v>112.051</v>
          </cell>
          <cell r="BH104">
            <v>112.051</v>
          </cell>
          <cell r="BI104">
            <v>112.051</v>
          </cell>
          <cell r="BJ104">
            <v>112.051</v>
          </cell>
          <cell r="BK104">
            <v>112.051</v>
          </cell>
          <cell r="BL104">
            <v>112.051</v>
          </cell>
          <cell r="BM104">
            <v>112.051</v>
          </cell>
          <cell r="BN104">
            <v>112.051</v>
          </cell>
          <cell r="BO104">
            <v>112.051</v>
          </cell>
          <cell r="BP104">
            <v>112.051</v>
          </cell>
          <cell r="BQ104">
            <v>112.051</v>
          </cell>
          <cell r="BR104">
            <v>112.051</v>
          </cell>
          <cell r="BS104">
            <v>112.051</v>
          </cell>
          <cell r="BT104">
            <v>112.051</v>
          </cell>
          <cell r="BU104">
            <v>112.051</v>
          </cell>
          <cell r="BV104">
            <v>112.051</v>
          </cell>
          <cell r="BW104">
            <v>112.051</v>
          </cell>
          <cell r="BX104">
            <v>112.051</v>
          </cell>
          <cell r="BY104">
            <v>112.051</v>
          </cell>
          <cell r="BZ104">
            <v>112.051</v>
          </cell>
          <cell r="CA104">
            <v>112.051</v>
          </cell>
          <cell r="CB104">
            <v>112.051</v>
          </cell>
        </row>
        <row r="105">
          <cell r="A105" t="str">
            <v>Cash Flow Statement</v>
          </cell>
          <cell r="B105"/>
          <cell r="C105"/>
          <cell r="D105"/>
          <cell r="CB105"/>
        </row>
        <row r="106">
          <cell r="B106" t="str">
            <v>Minority interest add-back</v>
          </cell>
          <cell r="C106" t="str">
            <v>CF_INC_MINORITY</v>
          </cell>
          <cell r="D106" t="str">
            <v>USD</v>
          </cell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</row>
        <row r="107">
          <cell r="B107" t="str">
            <v>Depreciation &amp; amortization add-back</v>
          </cell>
          <cell r="C107" t="str">
            <v>DEPR_AMORT</v>
          </cell>
          <cell r="D107" t="str">
            <v>USD</v>
          </cell>
          <cell r="F107"/>
          <cell r="G107"/>
          <cell r="H107">
            <v>11.582000000000001</v>
          </cell>
          <cell r="I107">
            <v>16.567</v>
          </cell>
          <cell r="J107">
            <v>26.408000000000001</v>
          </cell>
          <cell r="K107">
            <v>8.5719999999999992</v>
          </cell>
          <cell r="L107">
            <v>9.6000000000000014</v>
          </cell>
          <cell r="M107">
            <v>9.7620000000000005</v>
          </cell>
          <cell r="N107">
            <v>10.465</v>
          </cell>
          <cell r="O107">
            <v>38.399000000000001</v>
          </cell>
          <cell r="P107">
            <v>11.333</v>
          </cell>
          <cell r="Q107">
            <v>11.682</v>
          </cell>
          <cell r="R107">
            <v>12.997999999999998</v>
          </cell>
          <cell r="S107">
            <v>14.289000000000001</v>
          </cell>
          <cell r="T107">
            <v>50.302</v>
          </cell>
          <cell r="U107">
            <v>16.183</v>
          </cell>
          <cell r="V107">
            <v>18.822000000000003</v>
          </cell>
          <cell r="W107">
            <v>20.734999999999999</v>
          </cell>
          <cell r="X107">
            <v>21.871999999999993</v>
          </cell>
          <cell r="Y107">
            <v>77.611999999999995</v>
          </cell>
          <cell r="Z107">
            <v>22.462</v>
          </cell>
          <cell r="AA107">
            <v>23.077999999999999</v>
          </cell>
          <cell r="AB107">
            <v>24.175000000000004</v>
          </cell>
          <cell r="AC107">
            <v>24.057999999999993</v>
          </cell>
          <cell r="AD107">
            <v>93.772999999999996</v>
          </cell>
          <cell r="AE107">
            <v>23.498999999999999</v>
          </cell>
          <cell r="AF107">
            <v>23.588000000000005</v>
          </cell>
          <cell r="AG107">
            <v>23.521999999999991</v>
          </cell>
          <cell r="AH107">
            <v>23.76400000000001</v>
          </cell>
          <cell r="AI107">
            <v>94.373000000000005</v>
          </cell>
          <cell r="AJ107">
            <v>23.291</v>
          </cell>
          <cell r="AK107">
            <v>22.291</v>
          </cell>
          <cell r="AL107">
            <v>21.541000000000004</v>
          </cell>
          <cell r="AM107">
            <v>20.828999999999994</v>
          </cell>
          <cell r="AN107">
            <v>87.951999999999998</v>
          </cell>
          <cell r="AO107">
            <v>19.838999999999999</v>
          </cell>
          <cell r="AP107">
            <v>19.64</v>
          </cell>
          <cell r="AQ107">
            <v>19.599000000000004</v>
          </cell>
          <cell r="AR107">
            <v>17.310000000000002</v>
          </cell>
          <cell r="AS107">
            <v>76.388000000000005</v>
          </cell>
          <cell r="AT107">
            <v>18.187000000000001</v>
          </cell>
          <cell r="AU107">
            <v>18.202000000000002</v>
          </cell>
          <cell r="AV107">
            <v>18.596999999999994</v>
          </cell>
          <cell r="AW107">
            <v>18.213000000000001</v>
          </cell>
          <cell r="AX107">
            <v>73.198999999999998</v>
          </cell>
          <cell r="AY107">
            <v>18.18</v>
          </cell>
          <cell r="AZ107">
            <v>18.247</v>
          </cell>
          <cell r="BA107">
            <v>17.806999999999999</v>
          </cell>
          <cell r="BB107">
            <v>18.31969108738376</v>
          </cell>
          <cell r="BC107">
            <v>72.553691087383754</v>
          </cell>
          <cell r="BD107">
            <v>18.887864135777072</v>
          </cell>
          <cell r="BE107">
            <v>19.146559857428208</v>
          </cell>
          <cell r="BF107">
            <v>20.503959885077162</v>
          </cell>
          <cell r="BG107">
            <v>21.479172190042345</v>
          </cell>
          <cell r="BH107">
            <v>80.017556068324794</v>
          </cell>
          <cell r="BI107">
            <v>22.47752322072829</v>
          </cell>
          <cell r="BJ107">
            <v>22.570567499665472</v>
          </cell>
          <cell r="BK107">
            <v>23.998098180506258</v>
          </cell>
          <cell r="BL107">
            <v>24.971637672097405</v>
          </cell>
          <cell r="BM107">
            <v>94.017826572997421</v>
          </cell>
          <cell r="BN107">
            <v>25.890113111828679</v>
          </cell>
          <cell r="BO107">
            <v>25.864983916163158</v>
          </cell>
          <cell r="BP107">
            <v>27.414768315462812</v>
          </cell>
          <cell r="BQ107">
            <v>28.426747956740719</v>
          </cell>
          <cell r="BR107">
            <v>107.59661330019537</v>
          </cell>
          <cell r="BS107">
            <v>29.513116164090892</v>
          </cell>
          <cell r="BT107">
            <v>29.384228370122067</v>
          </cell>
          <cell r="BU107">
            <v>31.089790891351061</v>
          </cell>
          <cell r="BV107">
            <v>32.163782118114973</v>
          </cell>
          <cell r="BW107">
            <v>122.15091754367899</v>
          </cell>
          <cell r="BX107">
            <v>33.335665254124564</v>
          </cell>
          <cell r="BY107">
            <v>33.098601782892544</v>
          </cell>
          <cell r="BZ107">
            <v>34.984669206002231</v>
          </cell>
          <cell r="CA107">
            <v>36.136715194191936</v>
          </cell>
          <cell r="CB107">
            <v>137.55565143721128</v>
          </cell>
        </row>
        <row r="108">
          <cell r="B108" t="str">
            <v>(Increase)/decrease in working capital</v>
          </cell>
          <cell r="C108" t="str">
            <v>WORK_CAP</v>
          </cell>
          <cell r="D108" t="str">
            <v>USD</v>
          </cell>
          <cell r="F108"/>
          <cell r="G108"/>
          <cell r="H108">
            <v>16.149999999999999</v>
          </cell>
          <cell r="I108">
            <v>60.066999999999993</v>
          </cell>
          <cell r="J108">
            <v>67.279999999999987</v>
          </cell>
          <cell r="K108">
            <v>20.340000000000003</v>
          </cell>
          <cell r="L108">
            <v>33.353999999999999</v>
          </cell>
          <cell r="M108">
            <v>20.865000000000009</v>
          </cell>
          <cell r="N108">
            <v>21.869999999999983</v>
          </cell>
          <cell r="O108">
            <v>96.428999999999988</v>
          </cell>
          <cell r="P108">
            <v>24.323999999999998</v>
          </cell>
          <cell r="Q108">
            <v>58.841000000000008</v>
          </cell>
          <cell r="R108">
            <v>33.84899999999999</v>
          </cell>
          <cell r="S108">
            <v>33.217000000000006</v>
          </cell>
          <cell r="T108">
            <v>150.23099999999999</v>
          </cell>
          <cell r="U108">
            <v>56.390999999999998</v>
          </cell>
          <cell r="V108">
            <v>62.957000000000001</v>
          </cell>
          <cell r="W108">
            <v>51.122000000000021</v>
          </cell>
          <cell r="X108">
            <v>82.84099999999998</v>
          </cell>
          <cell r="Y108">
            <v>253.31100000000001</v>
          </cell>
          <cell r="Z108">
            <v>84.84</v>
          </cell>
          <cell r="AA108">
            <v>38.086000000000006</v>
          </cell>
          <cell r="AB108">
            <v>23.643000000000001</v>
          </cell>
          <cell r="AC108">
            <v>55.645000000000032</v>
          </cell>
          <cell r="AD108">
            <v>202.21400000000003</v>
          </cell>
          <cell r="AE108">
            <v>57.037999999999997</v>
          </cell>
          <cell r="AF108">
            <v>29.134</v>
          </cell>
          <cell r="AG108">
            <v>0.65199999999998681</v>
          </cell>
          <cell r="AH108">
            <v>2.9530000000000101</v>
          </cell>
          <cell r="AI108">
            <v>89.776999999999987</v>
          </cell>
          <cell r="AJ108">
            <v>23.139999999999983</v>
          </cell>
          <cell r="AK108">
            <v>5.2030000000000243</v>
          </cell>
          <cell r="AL108">
            <v>-23.378000000000014</v>
          </cell>
          <cell r="AM108">
            <v>61.091000000000001</v>
          </cell>
          <cell r="AN108">
            <v>66.055999999999997</v>
          </cell>
          <cell r="AO108">
            <v>41.22</v>
          </cell>
          <cell r="AP108">
            <v>17.436000000000014</v>
          </cell>
          <cell r="AQ108">
            <v>32.259999999999991</v>
          </cell>
          <cell r="AR108">
            <v>-26.450999999999979</v>
          </cell>
          <cell r="AS108">
            <v>64.465000000000032</v>
          </cell>
          <cell r="AT108">
            <v>39.240999999999985</v>
          </cell>
          <cell r="AU108">
            <v>29.791</v>
          </cell>
          <cell r="AV108">
            <v>-8.1419999999999888</v>
          </cell>
          <cell r="AW108">
            <v>143.60699999999997</v>
          </cell>
          <cell r="AX108">
            <v>204.49699999999999</v>
          </cell>
          <cell r="AY108">
            <v>18.408000000000026</v>
          </cell>
          <cell r="AZ108">
            <v>35.691999999999993</v>
          </cell>
          <cell r="BA108">
            <v>-23.468927767559762</v>
          </cell>
          <cell r="BB108">
            <v>185.33959131032856</v>
          </cell>
          <cell r="BC108">
            <v>215.97066354276882</v>
          </cell>
          <cell r="BD108">
            <v>57.79477743537732</v>
          </cell>
          <cell r="BE108">
            <v>30.133132441348707</v>
          </cell>
          <cell r="BF108">
            <v>-16.986796973533316</v>
          </cell>
          <cell r="BG108">
            <v>206.39803773715522</v>
          </cell>
          <cell r="BH108">
            <v>277.33915064034795</v>
          </cell>
          <cell r="BI108">
            <v>68.863049695039706</v>
          </cell>
          <cell r="BJ108">
            <v>35.696181146905985</v>
          </cell>
          <cell r="BK108">
            <v>-9.4558786503951495</v>
          </cell>
          <cell r="BL108">
            <v>247.9200356499947</v>
          </cell>
          <cell r="BM108">
            <v>343.02338784154529</v>
          </cell>
          <cell r="BN108">
            <v>86.814064725836602</v>
          </cell>
          <cell r="BO108">
            <v>45.535627713969149</v>
          </cell>
          <cell r="BP108">
            <v>-12.349349422526942</v>
          </cell>
          <cell r="BQ108">
            <v>299.73171072920587</v>
          </cell>
          <cell r="BR108">
            <v>419.73205374648467</v>
          </cell>
          <cell r="BS108">
            <v>105.84053520428925</v>
          </cell>
          <cell r="BT108">
            <v>59.660230312378587</v>
          </cell>
          <cell r="BU108">
            <v>-16.608606184848227</v>
          </cell>
          <cell r="BV108">
            <v>360.94844551982408</v>
          </cell>
          <cell r="BW108">
            <v>509.84060485164366</v>
          </cell>
          <cell r="BX108">
            <v>128.40798490888824</v>
          </cell>
          <cell r="BY108">
            <v>78.991131746296247</v>
          </cell>
          <cell r="BZ108">
            <v>-16.464727605524942</v>
          </cell>
          <cell r="CA108">
            <v>426.43796678708787</v>
          </cell>
          <cell r="CB108">
            <v>617.37235583674737</v>
          </cell>
        </row>
        <row r="109">
          <cell r="B109" t="str">
            <v>Other operating cash flow items</v>
          </cell>
          <cell r="C109" t="str">
            <v>OTH_OP_CF</v>
          </cell>
          <cell r="D109" t="str">
            <v>USD</v>
          </cell>
          <cell r="F109"/>
          <cell r="G109"/>
          <cell r="H109">
            <v>10.564</v>
          </cell>
          <cell r="I109">
            <v>23.798999999999999</v>
          </cell>
          <cell r="J109">
            <v>18.181000000000001</v>
          </cell>
          <cell r="K109">
            <v>115.55</v>
          </cell>
          <cell r="L109">
            <v>53.167000000000016</v>
          </cell>
          <cell r="M109">
            <v>50.198999999999998</v>
          </cell>
          <cell r="N109">
            <v>39.716000000000001</v>
          </cell>
          <cell r="O109">
            <v>258.63200000000001</v>
          </cell>
          <cell r="P109">
            <v>35.927999999999997</v>
          </cell>
          <cell r="Q109">
            <v>38.521999999999991</v>
          </cell>
          <cell r="R109">
            <v>52.119</v>
          </cell>
          <cell r="S109">
            <v>62.598999999999997</v>
          </cell>
          <cell r="T109">
            <v>189.16800000000001</v>
          </cell>
          <cell r="U109">
            <v>71.514999999999986</v>
          </cell>
          <cell r="V109">
            <v>79.474000000000018</v>
          </cell>
          <cell r="W109">
            <v>101.46599999999999</v>
          </cell>
          <cell r="X109">
            <v>79.96899999999998</v>
          </cell>
          <cell r="Y109">
            <v>332.42399999999998</v>
          </cell>
          <cell r="Z109">
            <v>95.835000000000008</v>
          </cell>
          <cell r="AA109">
            <v>103.90899999999999</v>
          </cell>
          <cell r="AB109">
            <v>107.992</v>
          </cell>
          <cell r="AC109">
            <v>109.27499999999998</v>
          </cell>
          <cell r="AD109">
            <v>417.01100000000002</v>
          </cell>
          <cell r="AE109">
            <v>180.43799999999999</v>
          </cell>
          <cell r="AF109">
            <v>219.11099999999999</v>
          </cell>
          <cell r="AG109">
            <v>43.916000000000011</v>
          </cell>
          <cell r="AH109">
            <v>306.83500000000004</v>
          </cell>
          <cell r="AI109">
            <v>750.3</v>
          </cell>
          <cell r="AJ109">
            <v>380.36</v>
          </cell>
          <cell r="AK109">
            <v>114.04300000000001</v>
          </cell>
          <cell r="AL109">
            <v>110.657</v>
          </cell>
          <cell r="AM109">
            <v>107.42099999999996</v>
          </cell>
          <cell r="AN109">
            <v>712.48099999999988</v>
          </cell>
          <cell r="AO109">
            <v>103.968</v>
          </cell>
          <cell r="AP109">
            <v>107.79800000000002</v>
          </cell>
          <cell r="AQ109">
            <v>93.606999999999985</v>
          </cell>
          <cell r="AR109">
            <v>80.737000000000023</v>
          </cell>
          <cell r="AS109">
            <v>386.11000000000007</v>
          </cell>
          <cell r="AT109">
            <v>103.898</v>
          </cell>
          <cell r="AU109">
            <v>105.62</v>
          </cell>
          <cell r="AV109">
            <v>101.514</v>
          </cell>
          <cell r="AW109">
            <v>208.97800000000004</v>
          </cell>
          <cell r="AX109">
            <v>520.01</v>
          </cell>
          <cell r="AY109">
            <v>95.236999999999995</v>
          </cell>
          <cell r="AZ109">
            <v>111.304</v>
          </cell>
          <cell r="BA109">
            <v>89.382639614083502</v>
          </cell>
          <cell r="BB109">
            <v>90.706870592823179</v>
          </cell>
          <cell r="BC109">
            <v>386.63051020690665</v>
          </cell>
          <cell r="BD109">
            <v>96.645545284206179</v>
          </cell>
          <cell r="BE109">
            <v>100.29235922514587</v>
          </cell>
          <cell r="BF109">
            <v>94.473820444733846</v>
          </cell>
          <cell r="BG109">
            <v>96.041334095693387</v>
          </cell>
          <cell r="BH109">
            <v>387.45305904977931</v>
          </cell>
          <cell r="BI109">
            <v>103.53242743267963</v>
          </cell>
          <cell r="BJ109">
            <v>106.60236774675123</v>
          </cell>
          <cell r="BK109">
            <v>99.150562932487333</v>
          </cell>
          <cell r="BL109">
            <v>100.80470715903567</v>
          </cell>
          <cell r="BM109">
            <v>410.09006527095386</v>
          </cell>
          <cell r="BN109">
            <v>109.9256395488659</v>
          </cell>
          <cell r="BO109">
            <v>112.196393585012</v>
          </cell>
          <cell r="BP109">
            <v>103.10562496985951</v>
          </cell>
          <cell r="BQ109">
            <v>104.78149873444335</v>
          </cell>
          <cell r="BR109">
            <v>430.00915683818073</v>
          </cell>
          <cell r="BS109">
            <v>115.55237038187468</v>
          </cell>
          <cell r="BT109">
            <v>116.78469928685996</v>
          </cell>
          <cell r="BU109">
            <v>106.08105780650823</v>
          </cell>
          <cell r="BV109">
            <v>107.75127948966032</v>
          </cell>
          <cell r="BW109">
            <v>446.16940696490315</v>
          </cell>
          <cell r="BX109">
            <v>120.1281048751821</v>
          </cell>
          <cell r="BY109">
            <v>120.05944835929542</v>
          </cell>
          <cell r="BZ109">
            <v>107.82714310571579</v>
          </cell>
          <cell r="CA109">
            <v>109.47184066808106</v>
          </cell>
          <cell r="CB109">
            <v>457.48653700827435</v>
          </cell>
        </row>
        <row r="110">
          <cell r="B110" t="str">
            <v>Cash flow from operating activities</v>
          </cell>
          <cell r="C110" t="str">
            <v>CF_OPS</v>
          </cell>
          <cell r="D110" t="str">
            <v>USD</v>
          </cell>
          <cell r="F110"/>
          <cell r="G110"/>
          <cell r="H110">
            <v>-45.706999999999994</v>
          </cell>
          <cell r="I110">
            <v>-25.693999999999988</v>
          </cell>
          <cell r="J110">
            <v>3.6360000000000241</v>
          </cell>
          <cell r="K110">
            <v>4.1600000000000037</v>
          </cell>
          <cell r="L110">
            <v>19.75200000000001</v>
          </cell>
          <cell r="M110">
            <v>-16.009000000000043</v>
          </cell>
          <cell r="N110">
            <v>5.9189999999999898</v>
          </cell>
          <cell r="O110">
            <v>13.821999999999974</v>
          </cell>
          <cell r="P110">
            <v>10.09800000000001</v>
          </cell>
          <cell r="Q110">
            <v>46.413999999999987</v>
          </cell>
          <cell r="R110">
            <v>13.292000000000002</v>
          </cell>
          <cell r="S110">
            <v>22.736000000000018</v>
          </cell>
          <cell r="T110">
            <v>92.539999999999907</v>
          </cell>
          <cell r="U110">
            <v>49.823999999999998</v>
          </cell>
          <cell r="V110">
            <v>38.489999999999995</v>
          </cell>
          <cell r="W110">
            <v>-36.489999999999952</v>
          </cell>
          <cell r="X110">
            <v>-9.6560000000001196</v>
          </cell>
          <cell r="Y110">
            <v>42.167999999999864</v>
          </cell>
          <cell r="Z110">
            <v>-26.163000000000039</v>
          </cell>
          <cell r="AA110">
            <v>-52.491000000000057</v>
          </cell>
          <cell r="AB110">
            <v>-84.860999999999905</v>
          </cell>
          <cell r="AC110">
            <v>3.6300000000000807</v>
          </cell>
          <cell r="AD110">
            <v>-159.88500000000005</v>
          </cell>
          <cell r="AE110">
            <v>-4.0730000000000572</v>
          </cell>
          <cell r="AF110">
            <v>-15.557000000000016</v>
          </cell>
          <cell r="AG110">
            <v>-55.55</v>
          </cell>
          <cell r="AH110">
            <v>-24.629999999999995</v>
          </cell>
          <cell r="AI110">
            <v>-99.809999999999832</v>
          </cell>
          <cell r="AJ110">
            <v>6.5850000000000044</v>
          </cell>
          <cell r="AK110">
            <v>26.121000000000059</v>
          </cell>
          <cell r="AL110">
            <v>-3.1670000000000087</v>
          </cell>
          <cell r="AM110">
            <v>38.003999999999991</v>
          </cell>
          <cell r="AN110">
            <v>67.542999999999935</v>
          </cell>
          <cell r="AO110">
            <v>65.513000000000019</v>
          </cell>
          <cell r="AP110">
            <v>74.084000000000032</v>
          </cell>
          <cell r="AQ110">
            <v>74.497000000000057</v>
          </cell>
          <cell r="AR110">
            <v>58.309000000000111</v>
          </cell>
          <cell r="AS110">
            <v>272.40300000000019</v>
          </cell>
          <cell r="AT110">
            <v>145.47300000000004</v>
          </cell>
          <cell r="AU110">
            <v>186.40799999999999</v>
          </cell>
          <cell r="AV110">
            <v>96.35299999999998</v>
          </cell>
          <cell r="AW110">
            <v>244.697</v>
          </cell>
          <cell r="AX110">
            <v>672.93099999999993</v>
          </cell>
          <cell r="AY110">
            <v>161.75099999999986</v>
          </cell>
          <cell r="AZ110">
            <v>221.67000000000002</v>
          </cell>
          <cell r="BA110">
            <v>109.28438344784973</v>
          </cell>
          <cell r="BB110">
            <v>275.29680433686292</v>
          </cell>
          <cell r="BC110">
            <v>768.00218778471265</v>
          </cell>
          <cell r="BD110">
            <v>229.17131957080443</v>
          </cell>
          <cell r="BE110">
            <v>248.30308345591362</v>
          </cell>
          <cell r="BF110">
            <v>144.77225436315143</v>
          </cell>
          <cell r="BG110">
            <v>320.29313566424935</v>
          </cell>
          <cell r="BH110">
            <v>942.53979305411804</v>
          </cell>
          <cell r="BI110">
            <v>278.40466213401106</v>
          </cell>
          <cell r="BJ110">
            <v>299.10004129074912</v>
          </cell>
          <cell r="BK110">
            <v>186.66146679909633</v>
          </cell>
          <cell r="BL110">
            <v>389.92186384581231</v>
          </cell>
          <cell r="BM110">
            <v>1154.0880340696694</v>
          </cell>
          <cell r="BN110">
            <v>341.08250606424588</v>
          </cell>
          <cell r="BO110">
            <v>361.78749954281625</v>
          </cell>
          <cell r="BP110">
            <v>224.16173325372301</v>
          </cell>
          <cell r="BQ110">
            <v>475.25398189774285</v>
          </cell>
          <cell r="BR110">
            <v>1402.285720758528</v>
          </cell>
          <cell r="BS110">
            <v>412.78331478638546</v>
          </cell>
          <cell r="BT110">
            <v>437.43953126280582</v>
          </cell>
          <cell r="BU110">
            <v>266.78814882301958</v>
          </cell>
          <cell r="BV110">
            <v>575.62967417969185</v>
          </cell>
          <cell r="BW110">
            <v>1692.6406690519036</v>
          </cell>
          <cell r="BX110">
            <v>496.71957897737161</v>
          </cell>
          <cell r="BY110">
            <v>527.93268945768864</v>
          </cell>
          <cell r="BZ110">
            <v>321.08772283807843</v>
          </cell>
          <cell r="CA110">
            <v>686.82610819924412</v>
          </cell>
          <cell r="CB110">
            <v>2032.5660994723826</v>
          </cell>
        </row>
        <row r="111">
          <cell r="B111" t="str">
            <v>Capital expenditures, Capex</v>
          </cell>
          <cell r="C111" t="str">
            <v>CAPEX</v>
          </cell>
          <cell r="D111" t="str">
            <v>USD</v>
          </cell>
          <cell r="F111"/>
          <cell r="G111"/>
          <cell r="H111">
            <v>-19.032</v>
          </cell>
          <cell r="I111">
            <v>-23.308</v>
          </cell>
          <cell r="J111">
            <v>-42.293999999999997</v>
          </cell>
          <cell r="K111">
            <v>-11.914999999999999</v>
          </cell>
          <cell r="L111">
            <v>-12.701000000000001</v>
          </cell>
          <cell r="M111">
            <v>-13.180999999999997</v>
          </cell>
          <cell r="N111">
            <v>-12.384</v>
          </cell>
          <cell r="O111">
            <v>-50.180999999999997</v>
          </cell>
          <cell r="P111">
            <v>-17.965</v>
          </cell>
          <cell r="Q111">
            <v>-14.027999999999999</v>
          </cell>
          <cell r="R111">
            <v>-14.096</v>
          </cell>
          <cell r="S111">
            <v>-16.283000000000001</v>
          </cell>
          <cell r="T111">
            <v>-62.372</v>
          </cell>
          <cell r="U111">
            <v>-29.832000000000001</v>
          </cell>
          <cell r="V111">
            <v>-42.550999999999995</v>
          </cell>
          <cell r="W111">
            <v>-22.432000000000002</v>
          </cell>
          <cell r="X111">
            <v>-23.637</v>
          </cell>
          <cell r="Y111">
            <v>-118.452</v>
          </cell>
          <cell r="Z111">
            <v>-18.202999999999999</v>
          </cell>
          <cell r="AA111">
            <v>-21.248000000000001</v>
          </cell>
          <cell r="AB111">
            <v>-32.621999999999993</v>
          </cell>
          <cell r="AC111">
            <v>-17.415000000000006</v>
          </cell>
          <cell r="AD111">
            <v>-89.488</v>
          </cell>
          <cell r="AE111">
            <v>-12.252000000000001</v>
          </cell>
          <cell r="AF111">
            <v>-12.915999999999999</v>
          </cell>
          <cell r="AG111">
            <v>-15.942999999999998</v>
          </cell>
          <cell r="AH111">
            <v>-17.536000000000001</v>
          </cell>
          <cell r="AI111">
            <v>-58.646999999999998</v>
          </cell>
          <cell r="AJ111">
            <v>-8.8439999999999994</v>
          </cell>
          <cell r="AK111">
            <v>-8.5460000000000012</v>
          </cell>
          <cell r="AL111">
            <v>-16.889000000000003</v>
          </cell>
          <cell r="AM111">
            <v>-14.778999999999996</v>
          </cell>
          <cell r="AN111">
            <v>-49.058</v>
          </cell>
          <cell r="AO111">
            <v>-19.702000000000002</v>
          </cell>
          <cell r="AP111">
            <v>-11.069999999999997</v>
          </cell>
          <cell r="AQ111">
            <v>-21.831000000000003</v>
          </cell>
          <cell r="AR111">
            <v>-12.800999999999995</v>
          </cell>
          <cell r="AS111">
            <v>-65.403999999999996</v>
          </cell>
          <cell r="AT111">
            <v>-13.02</v>
          </cell>
          <cell r="AU111">
            <v>-23.763999999999999</v>
          </cell>
          <cell r="AV111">
            <v>-18.029000000000003</v>
          </cell>
          <cell r="AW111">
            <v>-20.438999999999993</v>
          </cell>
          <cell r="AX111">
            <v>-75.251999999999995</v>
          </cell>
          <cell r="AY111">
            <v>-9.8309999999999995</v>
          </cell>
          <cell r="AZ111">
            <v>-34.606999999999999</v>
          </cell>
          <cell r="BA111">
            <v>-21.482238411209689</v>
          </cell>
          <cell r="BB111">
            <v>-23.660355938056654</v>
          </cell>
          <cell r="BC111">
            <v>-89.580594349266349</v>
          </cell>
          <cell r="BD111">
            <v>-27.577813108815491</v>
          </cell>
          <cell r="BE111">
            <v>-30.231545419532551</v>
          </cell>
          <cell r="BF111">
            <v>-28.413179081122973</v>
          </cell>
          <cell r="BG111">
            <v>-28.884611758103283</v>
          </cell>
          <cell r="BH111">
            <v>-115.10714936757429</v>
          </cell>
          <cell r="BI111">
            <v>-31.812403287724685</v>
          </cell>
          <cell r="BJ111">
            <v>-34.752495189942096</v>
          </cell>
          <cell r="BK111">
            <v>-32.244085506499957</v>
          </cell>
          <cell r="BL111">
            <v>-32.782018588304297</v>
          </cell>
          <cell r="BM111">
            <v>-131.59100257247104</v>
          </cell>
          <cell r="BN111">
            <v>-36.587397097191122</v>
          </cell>
          <cell r="BO111">
            <v>-39.821628305809128</v>
          </cell>
          <cell r="BP111">
            <v>-36.497566361012225</v>
          </cell>
          <cell r="BQ111">
            <v>-37.090796012192342</v>
          </cell>
          <cell r="BR111">
            <v>-149.99738777620479</v>
          </cell>
          <cell r="BS111">
            <v>-41.950895115579144</v>
          </cell>
          <cell r="BT111">
            <v>-45.486228621411819</v>
          </cell>
          <cell r="BU111">
            <v>-41.19652730349835</v>
          </cell>
          <cell r="BV111">
            <v>-41.845157083363226</v>
          </cell>
          <cell r="BW111">
            <v>-170.47880812385256</v>
          </cell>
          <cell r="BX111">
            <v>-47.965530661282628</v>
          </cell>
          <cell r="BY111">
            <v>-51.806173365163744</v>
          </cell>
          <cell r="BZ111">
            <v>-46.377265851920782</v>
          </cell>
          <cell r="CA111">
            <v>-47.0846626529381</v>
          </cell>
          <cell r="CB111">
            <v>-193.23363253130526</v>
          </cell>
        </row>
        <row r="112">
          <cell r="B112" t="str">
            <v>Acquisitions</v>
          </cell>
          <cell r="C112" t="str">
            <v>ACQ</v>
          </cell>
          <cell r="D112" t="str">
            <v>USD</v>
          </cell>
          <cell r="F112"/>
          <cell r="G112"/>
          <cell r="H112">
            <v>0</v>
          </cell>
          <cell r="I112">
            <v>0</v>
          </cell>
          <cell r="J112">
            <v>0</v>
          </cell>
          <cell r="K112">
            <v>-0.184</v>
          </cell>
          <cell r="L112">
            <v>0</v>
          </cell>
          <cell r="M112">
            <v>0</v>
          </cell>
          <cell r="N112">
            <v>0</v>
          </cell>
          <cell r="O112">
            <v>-0.184</v>
          </cell>
          <cell r="P112">
            <v>0</v>
          </cell>
          <cell r="Q112">
            <v>0</v>
          </cell>
          <cell r="R112">
            <v>-22.792000000000002</v>
          </cell>
          <cell r="S112">
            <v>0.56500000000000128</v>
          </cell>
          <cell r="T112">
            <v>-22.227</v>
          </cell>
          <cell r="U112">
            <v>-18.661999999999999</v>
          </cell>
          <cell r="V112">
            <v>0</v>
          </cell>
          <cell r="W112">
            <v>-0.35500000000000043</v>
          </cell>
          <cell r="X112">
            <v>0</v>
          </cell>
          <cell r="Y112">
            <v>-19.016999999999999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-4.5</v>
          </cell>
          <cell r="AV112">
            <v>0</v>
          </cell>
          <cell r="AW112">
            <v>0</v>
          </cell>
          <cell r="AX112">
            <v>-4.5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</row>
        <row r="113">
          <cell r="B113" t="str">
            <v>Divestitures</v>
          </cell>
          <cell r="C113" t="str">
            <v>DIVEST</v>
          </cell>
          <cell r="D113" t="str">
            <v>USD</v>
          </cell>
          <cell r="F113"/>
          <cell r="G113"/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5.9089999999999998</v>
          </cell>
          <cell r="AS113">
            <v>5.9089999999999998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</row>
        <row r="114">
          <cell r="B114" t="str">
            <v>Other investing cash flow items</v>
          </cell>
          <cell r="C114" t="str">
            <v>OTH_INV_CF</v>
          </cell>
          <cell r="D114" t="str">
            <v>USD</v>
          </cell>
          <cell r="F114"/>
          <cell r="G114"/>
          <cell r="H114">
            <v>0</v>
          </cell>
          <cell r="I114">
            <v>-83.359000000000009</v>
          </cell>
          <cell r="J114">
            <v>-4.2099999999999937</v>
          </cell>
          <cell r="K114">
            <v>-35.859999999999985</v>
          </cell>
          <cell r="L114">
            <v>-7.8500000000000014</v>
          </cell>
          <cell r="M114">
            <v>-20.527999999999992</v>
          </cell>
          <cell r="N114">
            <v>-61.491000000000014</v>
          </cell>
          <cell r="O114">
            <v>-125.729</v>
          </cell>
          <cell r="P114">
            <v>-23.187999999999995</v>
          </cell>
          <cell r="Q114">
            <v>-74.986999999999995</v>
          </cell>
          <cell r="R114">
            <v>-239.73399999999998</v>
          </cell>
          <cell r="S114">
            <v>-81.047000000000082</v>
          </cell>
          <cell r="T114">
            <v>-418.95600000000002</v>
          </cell>
          <cell r="U114">
            <v>63.642999999999986</v>
          </cell>
          <cell r="V114">
            <v>66.887000000000015</v>
          </cell>
          <cell r="W114">
            <v>5.4519999999999698</v>
          </cell>
          <cell r="X114">
            <v>-15.362999999999943</v>
          </cell>
          <cell r="Y114">
            <v>120.61900000000003</v>
          </cell>
          <cell r="Z114">
            <v>-142.16299999999998</v>
          </cell>
          <cell r="AA114">
            <v>49.053999999999959</v>
          </cell>
          <cell r="AB114">
            <v>138.03000000000003</v>
          </cell>
          <cell r="AC114">
            <v>69.126000000000005</v>
          </cell>
          <cell r="AD114">
            <v>114.04700000000001</v>
          </cell>
          <cell r="AE114">
            <v>-416.42000000000007</v>
          </cell>
          <cell r="AF114">
            <v>-179.30500000000001</v>
          </cell>
          <cell r="AG114">
            <v>7.085000000000008</v>
          </cell>
          <cell r="AH114">
            <v>50.134000000000015</v>
          </cell>
          <cell r="AI114">
            <v>-538.50600000000009</v>
          </cell>
          <cell r="AJ114">
            <v>-2.7000000000011681E-2</v>
          </cell>
          <cell r="AK114">
            <v>30.574999999999989</v>
          </cell>
          <cell r="AL114">
            <v>-27.814999999999941</v>
          </cell>
          <cell r="AM114">
            <v>-7.8640000000001464</v>
          </cell>
          <cell r="AN114">
            <v>-5.1310000000001104</v>
          </cell>
          <cell r="AO114">
            <v>11.464999999999975</v>
          </cell>
          <cell r="AP114">
            <v>8.6630000000000109</v>
          </cell>
          <cell r="AQ114">
            <v>-8.3980000000000814</v>
          </cell>
          <cell r="AR114">
            <v>-2.0199999999999818</v>
          </cell>
          <cell r="AS114">
            <v>9.7099999999999227</v>
          </cell>
          <cell r="AT114">
            <v>-29.198000000000008</v>
          </cell>
          <cell r="AU114">
            <v>3.1629999999999825</v>
          </cell>
          <cell r="AV114">
            <v>-88.479999999999961</v>
          </cell>
          <cell r="AW114">
            <v>723.85599999999999</v>
          </cell>
          <cell r="AX114">
            <v>609.34100000000001</v>
          </cell>
          <cell r="AY114">
            <v>-18.363</v>
          </cell>
          <cell r="AZ114">
            <v>-312.654</v>
          </cell>
          <cell r="BA114">
            <v>0</v>
          </cell>
          <cell r="BB114">
            <v>0</v>
          </cell>
          <cell r="BC114">
            <v>-331.01699999999994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</row>
        <row r="115">
          <cell r="B115" t="str">
            <v>Cash flow from investing</v>
          </cell>
          <cell r="C115" t="str">
            <v>CF_INV</v>
          </cell>
          <cell r="D115" t="str">
            <v>USD</v>
          </cell>
          <cell r="F115"/>
          <cell r="G115"/>
          <cell r="H115">
            <v>-19.032</v>
          </cell>
          <cell r="I115">
            <v>-106.667</v>
          </cell>
          <cell r="J115">
            <v>-46.503999999999991</v>
          </cell>
          <cell r="K115">
            <v>-47.958999999999982</v>
          </cell>
          <cell r="L115">
            <v>-20.551000000000002</v>
          </cell>
          <cell r="M115">
            <v>-33.708999999999989</v>
          </cell>
          <cell r="N115">
            <v>-73.875000000000014</v>
          </cell>
          <cell r="O115">
            <v>-176.09399999999999</v>
          </cell>
          <cell r="P115">
            <v>-41.152999999999992</v>
          </cell>
          <cell r="Q115">
            <v>-89.014999999999986</v>
          </cell>
          <cell r="R115">
            <v>-276.62199999999996</v>
          </cell>
          <cell r="S115">
            <v>-96.765000000000086</v>
          </cell>
          <cell r="T115">
            <v>-503.55500000000001</v>
          </cell>
          <cell r="U115">
            <v>15.148999999999987</v>
          </cell>
          <cell r="V115">
            <v>24.33600000000002</v>
          </cell>
          <cell r="W115">
            <v>-17.335000000000033</v>
          </cell>
          <cell r="X115">
            <v>-38.999999999999943</v>
          </cell>
          <cell r="Y115">
            <v>-16.849999999999966</v>
          </cell>
          <cell r="Z115">
            <v>-160.36599999999999</v>
          </cell>
          <cell r="AA115">
            <v>27.805999999999958</v>
          </cell>
          <cell r="AB115">
            <v>105.40800000000004</v>
          </cell>
          <cell r="AC115">
            <v>51.710999999999999</v>
          </cell>
          <cell r="AD115">
            <v>24.559000000000012</v>
          </cell>
          <cell r="AE115">
            <v>-428.67200000000008</v>
          </cell>
          <cell r="AF115">
            <v>-192.221</v>
          </cell>
          <cell r="AG115">
            <v>-8.8579999999999899</v>
          </cell>
          <cell r="AH115">
            <v>32.598000000000013</v>
          </cell>
          <cell r="AI115">
            <v>-597.15300000000013</v>
          </cell>
          <cell r="AJ115">
            <v>-8.8710000000000111</v>
          </cell>
          <cell r="AK115">
            <v>22.028999999999989</v>
          </cell>
          <cell r="AL115">
            <v>-44.703999999999944</v>
          </cell>
          <cell r="AM115">
            <v>-22.643000000000143</v>
          </cell>
          <cell r="AN115">
            <v>-54.189000000000107</v>
          </cell>
          <cell r="AO115">
            <v>-8.2370000000000267</v>
          </cell>
          <cell r="AP115">
            <v>-2.4069999999999858</v>
          </cell>
          <cell r="AQ115">
            <v>-30.229000000000084</v>
          </cell>
          <cell r="AR115">
            <v>-8.9119999999999777</v>
          </cell>
          <cell r="AS115">
            <v>-49.785000000000075</v>
          </cell>
          <cell r="AT115">
            <v>-42.218000000000004</v>
          </cell>
          <cell r="AU115">
            <v>-25.101000000000017</v>
          </cell>
          <cell r="AV115">
            <v>-106.50899999999996</v>
          </cell>
          <cell r="AW115">
            <v>703.41700000000003</v>
          </cell>
          <cell r="AX115">
            <v>529.58900000000006</v>
          </cell>
          <cell r="AY115">
            <v>-28.193999999999999</v>
          </cell>
          <cell r="AZ115">
            <v>-347.26099999999997</v>
          </cell>
          <cell r="BA115">
            <v>-21.482238411209689</v>
          </cell>
          <cell r="BB115">
            <v>-23.660355938056654</v>
          </cell>
          <cell r="BC115">
            <v>-420.59759434926627</v>
          </cell>
          <cell r="BD115">
            <v>-27.577813108815491</v>
          </cell>
          <cell r="BE115">
            <v>-30.231545419532551</v>
          </cell>
          <cell r="BF115">
            <v>-28.413179081122973</v>
          </cell>
          <cell r="BG115">
            <v>-28.884611758103283</v>
          </cell>
          <cell r="BH115">
            <v>-115.10714936757429</v>
          </cell>
          <cell r="BI115">
            <v>-31.812403287724685</v>
          </cell>
          <cell r="BJ115">
            <v>-34.752495189942096</v>
          </cell>
          <cell r="BK115">
            <v>-32.244085506499957</v>
          </cell>
          <cell r="BL115">
            <v>-32.782018588304297</v>
          </cell>
          <cell r="BM115">
            <v>-131.59100257247104</v>
          </cell>
          <cell r="BN115">
            <v>-36.587397097191122</v>
          </cell>
          <cell r="BO115">
            <v>-39.821628305809128</v>
          </cell>
          <cell r="BP115">
            <v>-36.497566361012225</v>
          </cell>
          <cell r="BQ115">
            <v>-37.090796012192342</v>
          </cell>
          <cell r="BR115">
            <v>-149.99738777620479</v>
          </cell>
          <cell r="BS115">
            <v>-41.950895115579144</v>
          </cell>
          <cell r="BT115">
            <v>-45.486228621411819</v>
          </cell>
          <cell r="BU115">
            <v>-41.19652730349835</v>
          </cell>
          <cell r="BV115">
            <v>-41.845157083363226</v>
          </cell>
          <cell r="BW115">
            <v>-170.47880812385256</v>
          </cell>
          <cell r="BX115">
            <v>-47.965530661282628</v>
          </cell>
          <cell r="BY115">
            <v>-51.806173365163744</v>
          </cell>
          <cell r="BZ115">
            <v>-46.377265851920782</v>
          </cell>
          <cell r="CA115">
            <v>-47.0846626529381</v>
          </cell>
          <cell r="CB115">
            <v>-193.23363253130526</v>
          </cell>
        </row>
        <row r="116">
          <cell r="B116" t="str">
            <v>Dividends paid</v>
          </cell>
          <cell r="C116" t="str">
            <v>DIV_PAID</v>
          </cell>
          <cell r="D116" t="str">
            <v>USD</v>
          </cell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</row>
        <row r="117">
          <cell r="B117" t="str">
            <v>Common stock issuance/(repurchase)</v>
          </cell>
          <cell r="C117" t="str">
            <v>SH_REPUR</v>
          </cell>
          <cell r="D117" t="str">
            <v>USD</v>
          </cell>
          <cell r="F117"/>
          <cell r="G117"/>
          <cell r="H117">
            <v>3.53</v>
          </cell>
          <cell r="I117">
            <v>4.75</v>
          </cell>
          <cell r="J117">
            <v>3.149</v>
          </cell>
          <cell r="K117">
            <v>255.92700000000002</v>
          </cell>
          <cell r="L117">
            <v>0.70800000000000018</v>
          </cell>
          <cell r="M117">
            <v>24.481999999999999</v>
          </cell>
          <cell r="N117">
            <v>5.5919999999999987</v>
          </cell>
          <cell r="O117">
            <v>286.709</v>
          </cell>
          <cell r="P117">
            <v>25.231000000000002</v>
          </cell>
          <cell r="Q117">
            <v>11.588000000000001</v>
          </cell>
          <cell r="R117">
            <v>31.367000000000004</v>
          </cell>
          <cell r="S117">
            <v>3.8239999999999981</v>
          </cell>
          <cell r="T117">
            <v>72.010000000000005</v>
          </cell>
          <cell r="U117">
            <v>29.89</v>
          </cell>
          <cell r="V117">
            <v>3.4739999999999966</v>
          </cell>
          <cell r="W117">
            <v>33.913000000000004</v>
          </cell>
          <cell r="X117">
            <v>1.9329999999999927</v>
          </cell>
          <cell r="Y117">
            <v>69.209999999999994</v>
          </cell>
          <cell r="Z117">
            <v>23.972999999999999</v>
          </cell>
          <cell r="AA117">
            <v>2.5130000000000017</v>
          </cell>
          <cell r="AB117">
            <v>30.029</v>
          </cell>
          <cell r="AC117">
            <v>1.2819999999999965</v>
          </cell>
          <cell r="AD117">
            <v>57.796999999999997</v>
          </cell>
          <cell r="AE117">
            <v>-105.47899999999998</v>
          </cell>
          <cell r="AF117">
            <v>2.3039999999999985</v>
          </cell>
          <cell r="AG117">
            <v>40.439000000000007</v>
          </cell>
          <cell r="AH117">
            <v>3.4230000000000018</v>
          </cell>
          <cell r="AI117">
            <v>-59.312999999999988</v>
          </cell>
          <cell r="AJ117">
            <v>-28.431000000000001</v>
          </cell>
          <cell r="AK117">
            <v>1.9139999999999979</v>
          </cell>
          <cell r="AL117">
            <v>34.591000000000008</v>
          </cell>
          <cell r="AM117">
            <v>1.1819999999999879</v>
          </cell>
          <cell r="AN117">
            <v>9.2559999999999931</v>
          </cell>
          <cell r="AO117">
            <v>22.186</v>
          </cell>
          <cell r="AP117">
            <v>0.71000000000000085</v>
          </cell>
          <cell r="AQ117">
            <v>0.37199999999999989</v>
          </cell>
          <cell r="AR117">
            <v>23.232999999999997</v>
          </cell>
          <cell r="AS117">
            <v>46.500999999999998</v>
          </cell>
          <cell r="AT117">
            <v>-3.7300000000000022</v>
          </cell>
          <cell r="AU117">
            <v>-40.308999999999997</v>
          </cell>
          <cell r="AV117">
            <v>-11.431999999999995</v>
          </cell>
          <cell r="AW117">
            <v>-24.097000000000008</v>
          </cell>
          <cell r="AX117">
            <v>-79.568000000000012</v>
          </cell>
          <cell r="AY117">
            <v>8.0129999999999981</v>
          </cell>
          <cell r="AZ117">
            <v>-198.81299999999999</v>
          </cell>
          <cell r="BA117">
            <v>-20</v>
          </cell>
          <cell r="BB117">
            <v>-20</v>
          </cell>
          <cell r="BC117">
            <v>-230.8</v>
          </cell>
          <cell r="BD117">
            <v>-20</v>
          </cell>
          <cell r="BE117">
            <v>-20</v>
          </cell>
          <cell r="BF117">
            <v>-20</v>
          </cell>
          <cell r="BG117">
            <v>-20</v>
          </cell>
          <cell r="BH117">
            <v>-80</v>
          </cell>
          <cell r="BI117">
            <v>-20</v>
          </cell>
          <cell r="BJ117">
            <v>-20</v>
          </cell>
          <cell r="BK117">
            <v>-18.77</v>
          </cell>
          <cell r="BL117">
            <v>0</v>
          </cell>
          <cell r="BM117">
            <v>-58.769999999999996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</row>
        <row r="118">
          <cell r="B118" t="str">
            <v>Increase/(decrease) in total debt</v>
          </cell>
          <cell r="C118" t="str">
            <v>CHG_LT_DEBT</v>
          </cell>
          <cell r="D118" t="str">
            <v>USD</v>
          </cell>
          <cell r="F118"/>
          <cell r="G118"/>
          <cell r="H118">
            <v>0</v>
          </cell>
          <cell r="I118">
            <v>0</v>
          </cell>
          <cell r="J118">
            <v>73.254999999999995</v>
          </cell>
          <cell r="K118">
            <v>-82.123999999999995</v>
          </cell>
          <cell r="L118">
            <v>0</v>
          </cell>
          <cell r="M118">
            <v>0</v>
          </cell>
          <cell r="N118">
            <v>0</v>
          </cell>
          <cell r="O118">
            <v>-82.123999999999995</v>
          </cell>
          <cell r="P118">
            <v>0</v>
          </cell>
          <cell r="Q118">
            <v>564.21900000000005</v>
          </cell>
          <cell r="R118">
            <v>-1.710000000000039</v>
          </cell>
          <cell r="S118">
            <v>-0.61800000000002275</v>
          </cell>
          <cell r="T118">
            <v>561.89099999999996</v>
          </cell>
          <cell r="U118">
            <v>-1.0660000000000001</v>
          </cell>
          <cell r="V118">
            <v>0</v>
          </cell>
          <cell r="W118">
            <v>0</v>
          </cell>
          <cell r="X118">
            <v>0</v>
          </cell>
          <cell r="Y118">
            <v>-1.0660000000000001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723.75699999999995</v>
          </cell>
          <cell r="AF118">
            <v>-0.13999999999998636</v>
          </cell>
          <cell r="AG118">
            <v>0</v>
          </cell>
          <cell r="AH118">
            <v>0</v>
          </cell>
          <cell r="AI118">
            <v>723.61699999999996</v>
          </cell>
          <cell r="AJ118">
            <v>89.128</v>
          </cell>
          <cell r="AK118">
            <v>0</v>
          </cell>
          <cell r="AL118">
            <v>-0.4410000000000025</v>
          </cell>
          <cell r="AM118">
            <v>0</v>
          </cell>
          <cell r="AN118">
            <v>88.686999999999998</v>
          </cell>
          <cell r="AO118">
            <v>0</v>
          </cell>
          <cell r="AP118">
            <v>-145.70400000000001</v>
          </cell>
          <cell r="AQ118">
            <v>0</v>
          </cell>
          <cell r="AR118">
            <v>0</v>
          </cell>
          <cell r="AS118">
            <v>-145.70400000000001</v>
          </cell>
          <cell r="AT118">
            <v>0</v>
          </cell>
          <cell r="AU118">
            <v>0</v>
          </cell>
          <cell r="AV118">
            <v>0</v>
          </cell>
          <cell r="AW118">
            <v>-817.63300000000004</v>
          </cell>
          <cell r="AX118">
            <v>-817.63300000000004</v>
          </cell>
          <cell r="AY118">
            <v>0</v>
          </cell>
          <cell r="AZ118">
            <v>848.01</v>
          </cell>
          <cell r="BA118">
            <v>0</v>
          </cell>
          <cell r="BB118">
            <v>0</v>
          </cell>
          <cell r="BC118">
            <v>848.01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</row>
        <row r="119">
          <cell r="B119" t="str">
            <v>Lease principal payments  (applicable to IFRS cos.)</v>
          </cell>
          <cell r="C119" t="str">
            <v>LEASE_PRINCIPAL_CASH</v>
          </cell>
          <cell r="D119" t="str">
            <v>USD</v>
          </cell>
          <cell r="F119"/>
          <cell r="G119"/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-0.45900000000000002</v>
          </cell>
          <cell r="AI119">
            <v>-0.45900000000000002</v>
          </cell>
          <cell r="AJ119">
            <v>-0.219</v>
          </cell>
          <cell r="AK119">
            <v>-0.10400000000000001</v>
          </cell>
          <cell r="AL119">
            <v>-0.30299999999999999</v>
          </cell>
          <cell r="AM119">
            <v>-0.46299999999999997</v>
          </cell>
          <cell r="AN119">
            <v>-1.089</v>
          </cell>
          <cell r="AO119">
            <v>-1.8560000000000001</v>
          </cell>
          <cell r="AP119">
            <v>-0.48799999999999977</v>
          </cell>
          <cell r="AQ119">
            <v>-1.367</v>
          </cell>
          <cell r="AR119">
            <v>0.41900000000000004</v>
          </cell>
          <cell r="AS119">
            <v>-3.2919999999999998</v>
          </cell>
          <cell r="AT119">
            <v>-0.63700000000000001</v>
          </cell>
          <cell r="AU119">
            <v>-1.121</v>
          </cell>
          <cell r="AV119">
            <v>-1.17</v>
          </cell>
          <cell r="AW119">
            <v>-0.94799999999999995</v>
          </cell>
          <cell r="AX119">
            <v>-3.8759999999999999</v>
          </cell>
          <cell r="AY119">
            <v>-0.96399999999999997</v>
          </cell>
          <cell r="AZ119">
            <v>-0.98100000000000009</v>
          </cell>
          <cell r="BA119">
            <v>0</v>
          </cell>
          <cell r="BB119">
            <v>0</v>
          </cell>
          <cell r="BC119">
            <v>-1.9450000000000001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</row>
        <row r="120">
          <cell r="B120" t="str">
            <v>Other financing cash flow items</v>
          </cell>
          <cell r="C120" t="str">
            <v>OTH_FIN_CF</v>
          </cell>
          <cell r="D120" t="str">
            <v>USD</v>
          </cell>
          <cell r="F120"/>
          <cell r="G120"/>
          <cell r="H120">
            <v>100.64699999999999</v>
          </cell>
          <cell r="I120">
            <v>138.005</v>
          </cell>
          <cell r="J120">
            <v>-2.206</v>
          </cell>
          <cell r="K120">
            <v>-3.75</v>
          </cell>
          <cell r="L120">
            <v>0.6339999999999999</v>
          </cell>
          <cell r="M120">
            <v>4.0000000000000036E-3</v>
          </cell>
          <cell r="N120">
            <v>-5.1000000000000087E-2</v>
          </cell>
          <cell r="O120">
            <v>-3.1630000000000003</v>
          </cell>
          <cell r="P120">
            <v>-1.214</v>
          </cell>
          <cell r="Q120">
            <v>-55.219000000000015</v>
          </cell>
          <cell r="R120">
            <v>1.6000000000000014E-2</v>
          </cell>
          <cell r="S120">
            <v>8.999999999999897E-3</v>
          </cell>
          <cell r="T120">
            <v>-56.408000000000015</v>
          </cell>
          <cell r="U120">
            <v>1.4000000000000012E-2</v>
          </cell>
          <cell r="V120">
            <v>-7.6000000000000068E-2</v>
          </cell>
          <cell r="W120">
            <v>-0.97900000000000009</v>
          </cell>
          <cell r="X120">
            <v>-1.718</v>
          </cell>
          <cell r="Y120">
            <v>-2.7590000000000003</v>
          </cell>
          <cell r="Z120">
            <v>-0.30200000000000005</v>
          </cell>
          <cell r="AA120">
            <v>4.4999999999999929E-2</v>
          </cell>
          <cell r="AB120">
            <v>6.2000000000000277E-2</v>
          </cell>
          <cell r="AC120">
            <v>-0.21700000000000008</v>
          </cell>
          <cell r="AD120">
            <v>-0.41199999999999992</v>
          </cell>
          <cell r="AE120">
            <v>0.21200000000000019</v>
          </cell>
          <cell r="AF120">
            <v>-0.16800000000000015</v>
          </cell>
          <cell r="AG120">
            <v>-5.500000000000016E-2</v>
          </cell>
          <cell r="AH120">
            <v>0.11500000000000021</v>
          </cell>
          <cell r="AI120">
            <v>0.10400000000000009</v>
          </cell>
          <cell r="AJ120">
            <v>6.7160000000000029</v>
          </cell>
          <cell r="AK120">
            <v>0.15799999999999992</v>
          </cell>
          <cell r="AL120">
            <v>-4.0000000000000036E-3</v>
          </cell>
          <cell r="AM120">
            <v>4.8999999999999932E-2</v>
          </cell>
          <cell r="AN120">
            <v>6.9190000000000023</v>
          </cell>
          <cell r="AO120">
            <v>0.16100000000000003</v>
          </cell>
          <cell r="AP120">
            <v>-0.21099999999999985</v>
          </cell>
          <cell r="AQ120">
            <v>-9.9559999999999995</v>
          </cell>
          <cell r="AR120">
            <v>-3.8000000000000256E-2</v>
          </cell>
          <cell r="AS120">
            <v>-10.044</v>
          </cell>
          <cell r="AT120">
            <v>0.64500000000000002</v>
          </cell>
          <cell r="AU120">
            <v>-53.092999999999996</v>
          </cell>
          <cell r="AV120">
            <v>-58.461000000000006</v>
          </cell>
          <cell r="AW120">
            <v>-48.192999999999991</v>
          </cell>
          <cell r="AX120">
            <v>-159.102</v>
          </cell>
          <cell r="AY120">
            <v>-79.272000000000006</v>
          </cell>
          <cell r="AZ120">
            <v>-167.06800000000001</v>
          </cell>
          <cell r="BA120">
            <v>0</v>
          </cell>
          <cell r="BB120">
            <v>0</v>
          </cell>
          <cell r="BC120">
            <v>-246.33999999999997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</row>
        <row r="121">
          <cell r="B121" t="str">
            <v>Cash flow from financing</v>
          </cell>
          <cell r="C121" t="str">
            <v>CF_FIN</v>
          </cell>
          <cell r="D121" t="str">
            <v>USD</v>
          </cell>
          <cell r="F121"/>
          <cell r="G121"/>
          <cell r="H121">
            <v>104.17699999999999</v>
          </cell>
          <cell r="I121">
            <v>142.755</v>
          </cell>
          <cell r="J121">
            <v>74.197999999999993</v>
          </cell>
          <cell r="K121">
            <v>170.05300000000003</v>
          </cell>
          <cell r="L121">
            <v>1.3420000000000001</v>
          </cell>
          <cell r="M121">
            <v>24.486000000000001</v>
          </cell>
          <cell r="N121">
            <v>5.5409999999999986</v>
          </cell>
          <cell r="O121">
            <v>201.422</v>
          </cell>
          <cell r="P121">
            <v>24.016999999999999</v>
          </cell>
          <cell r="Q121">
            <v>520.58799999999997</v>
          </cell>
          <cell r="R121">
            <v>29.672999999999966</v>
          </cell>
          <cell r="S121">
            <v>3.2149999999999754</v>
          </cell>
          <cell r="T121">
            <v>577.49299999999982</v>
          </cell>
          <cell r="U121">
            <v>28.838000000000001</v>
          </cell>
          <cell r="V121">
            <v>3.3979999999999966</v>
          </cell>
          <cell r="W121">
            <v>32.934000000000005</v>
          </cell>
          <cell r="X121">
            <v>0.21499999999999275</v>
          </cell>
          <cell r="Y121">
            <v>65.384999999999991</v>
          </cell>
          <cell r="Z121">
            <v>23.670999999999999</v>
          </cell>
          <cell r="AA121">
            <v>2.5580000000000016</v>
          </cell>
          <cell r="AB121">
            <v>30.091000000000001</v>
          </cell>
          <cell r="AC121">
            <v>1.0649999999999964</v>
          </cell>
          <cell r="AD121">
            <v>57.384999999999998</v>
          </cell>
          <cell r="AE121">
            <v>618.49</v>
          </cell>
          <cell r="AF121">
            <v>1.996000000000012</v>
          </cell>
          <cell r="AG121">
            <v>40.384000000000007</v>
          </cell>
          <cell r="AH121">
            <v>3.079000000000002</v>
          </cell>
          <cell r="AI121">
            <v>663.94900000000007</v>
          </cell>
          <cell r="AJ121">
            <v>67.194000000000017</v>
          </cell>
          <cell r="AK121">
            <v>1.9679999999999978</v>
          </cell>
          <cell r="AL121">
            <v>33.843000000000011</v>
          </cell>
          <cell r="AM121">
            <v>0.76799999999998791</v>
          </cell>
          <cell r="AN121">
            <v>103.773</v>
          </cell>
          <cell r="AO121">
            <v>20.491</v>
          </cell>
          <cell r="AP121">
            <v>-145.69300000000001</v>
          </cell>
          <cell r="AQ121">
            <v>-10.951000000000001</v>
          </cell>
          <cell r="AR121">
            <v>23.613999999999997</v>
          </cell>
          <cell r="AS121">
            <v>-112.539</v>
          </cell>
          <cell r="AT121">
            <v>-3.7220000000000026</v>
          </cell>
          <cell r="AU121">
            <v>-94.522999999999996</v>
          </cell>
          <cell r="AV121">
            <v>-71.063000000000002</v>
          </cell>
          <cell r="AW121">
            <v>-890.87099999999998</v>
          </cell>
          <cell r="AX121">
            <v>-1060.1790000000001</v>
          </cell>
          <cell r="AY121">
            <v>-72.222999999999999</v>
          </cell>
          <cell r="AZ121">
            <v>481.14800000000014</v>
          </cell>
          <cell r="BA121">
            <v>-20</v>
          </cell>
          <cell r="BB121">
            <v>-20</v>
          </cell>
          <cell r="BC121">
            <v>368.92499999999995</v>
          </cell>
          <cell r="BD121">
            <v>-20</v>
          </cell>
          <cell r="BE121">
            <v>-20</v>
          </cell>
          <cell r="BF121">
            <v>-20</v>
          </cell>
          <cell r="BG121">
            <v>-20</v>
          </cell>
          <cell r="BH121">
            <v>-80</v>
          </cell>
          <cell r="BI121">
            <v>-20</v>
          </cell>
          <cell r="BJ121">
            <v>-20</v>
          </cell>
          <cell r="BK121">
            <v>-18.77</v>
          </cell>
          <cell r="BL121">
            <v>0</v>
          </cell>
          <cell r="BM121">
            <v>-58.769999999999996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</row>
        <row r="122">
          <cell r="B122" t="str">
            <v>Total cash flow</v>
          </cell>
          <cell r="C122" t="str">
            <v>TOT_CF</v>
          </cell>
          <cell r="D122" t="str">
            <v>USD</v>
          </cell>
          <cell r="F122"/>
          <cell r="G122"/>
          <cell r="H122">
            <v>39.438000000000002</v>
          </cell>
          <cell r="I122">
            <v>10.394000000000005</v>
          </cell>
          <cell r="J122">
            <v>31.330000000000027</v>
          </cell>
          <cell r="K122">
            <v>126.25400000000005</v>
          </cell>
          <cell r="L122">
            <v>0.5430000000000077</v>
          </cell>
          <cell r="M122">
            <v>-25.232000000000031</v>
          </cell>
          <cell r="N122">
            <v>-62.41500000000002</v>
          </cell>
          <cell r="O122">
            <v>39.150000000000006</v>
          </cell>
          <cell r="P122">
            <v>-7.0379999999999807</v>
          </cell>
          <cell r="Q122">
            <v>477.98699999999997</v>
          </cell>
          <cell r="R122">
            <v>-233.65699999999998</v>
          </cell>
          <cell r="S122">
            <v>-70.814000000000092</v>
          </cell>
          <cell r="T122">
            <v>166.47799999999992</v>
          </cell>
          <cell r="U122">
            <v>93.810999999999979</v>
          </cell>
          <cell r="V122">
            <v>66.224000000000018</v>
          </cell>
          <cell r="W122">
            <v>-20.890999999999984</v>
          </cell>
          <cell r="X122">
            <v>-48.441000000000074</v>
          </cell>
          <cell r="Y122">
            <v>90.702999999999918</v>
          </cell>
          <cell r="Z122">
            <v>-162.85800000000003</v>
          </cell>
          <cell r="AA122">
            <v>-22.127000000000095</v>
          </cell>
          <cell r="AB122">
            <v>50.638000000000133</v>
          </cell>
          <cell r="AC122">
            <v>56.406000000000077</v>
          </cell>
          <cell r="AD122">
            <v>-77.940999999999917</v>
          </cell>
          <cell r="AE122">
            <v>185.74499999999989</v>
          </cell>
          <cell r="AF122">
            <v>-205.78200000000001</v>
          </cell>
          <cell r="AG122">
            <v>-24.02399999999998</v>
          </cell>
          <cell r="AH122">
            <v>11.04700000000002</v>
          </cell>
          <cell r="AI122">
            <v>-33.014000000000067</v>
          </cell>
          <cell r="AJ122">
            <v>64.908000000000015</v>
          </cell>
          <cell r="AK122">
            <v>50.118000000000045</v>
          </cell>
          <cell r="AL122">
            <v>-14.027999999999944</v>
          </cell>
          <cell r="AM122">
            <v>16.128999999999834</v>
          </cell>
          <cell r="AN122">
            <v>117.12699999999995</v>
          </cell>
          <cell r="AO122">
            <v>77.766999999999996</v>
          </cell>
          <cell r="AP122">
            <v>-74.015999999999948</v>
          </cell>
          <cell r="AQ122">
            <v>33.316999999999972</v>
          </cell>
          <cell r="AR122">
            <v>73.011000000000138</v>
          </cell>
          <cell r="AS122">
            <v>110.07900000000015</v>
          </cell>
          <cell r="AT122">
            <v>99.53300000000003</v>
          </cell>
          <cell r="AU122">
            <v>66.783999999999963</v>
          </cell>
          <cell r="AV122">
            <v>-81.21899999999998</v>
          </cell>
          <cell r="AW122">
            <v>57.243000000000016</v>
          </cell>
          <cell r="AX122">
            <v>142.34100000000001</v>
          </cell>
          <cell r="AY122">
            <v>61.333999999999882</v>
          </cell>
          <cell r="AZ122">
            <v>355.55700000000019</v>
          </cell>
          <cell r="BA122">
            <v>67.802145036640042</v>
          </cell>
          <cell r="BB122">
            <v>231.63644839880627</v>
          </cell>
          <cell r="BC122">
            <v>716.32959343544633</v>
          </cell>
          <cell r="BD122">
            <v>181.59350646198894</v>
          </cell>
          <cell r="BE122">
            <v>198.07153803638107</v>
          </cell>
          <cell r="BF122">
            <v>96.359075282028456</v>
          </cell>
          <cell r="BG122">
            <v>271.40852390614606</v>
          </cell>
          <cell r="BH122">
            <v>747.43264368654445</v>
          </cell>
          <cell r="BI122">
            <v>226.59225884628637</v>
          </cell>
          <cell r="BJ122">
            <v>244.34754610080699</v>
          </cell>
          <cell r="BK122">
            <v>135.64738129259635</v>
          </cell>
          <cell r="BL122">
            <v>357.139845257508</v>
          </cell>
          <cell r="BM122">
            <v>963.72703149719769</v>
          </cell>
          <cell r="BN122">
            <v>304.49510896705476</v>
          </cell>
          <cell r="BO122">
            <v>321.96587123700715</v>
          </cell>
          <cell r="BP122">
            <v>187.6641668927108</v>
          </cell>
          <cell r="BQ122">
            <v>438.16318588555049</v>
          </cell>
          <cell r="BR122">
            <v>1252.2883329823233</v>
          </cell>
          <cell r="BS122">
            <v>370.8324196708063</v>
          </cell>
          <cell r="BT122">
            <v>391.95330264139398</v>
          </cell>
          <cell r="BU122">
            <v>225.59162151952123</v>
          </cell>
          <cell r="BV122">
            <v>533.78451709632861</v>
          </cell>
          <cell r="BW122">
            <v>1522.1618609280501</v>
          </cell>
          <cell r="BX122">
            <v>448.75404831608898</v>
          </cell>
          <cell r="BY122">
            <v>476.12651609252487</v>
          </cell>
          <cell r="BZ122">
            <v>274.71045698615762</v>
          </cell>
          <cell r="CA122">
            <v>639.74144554630607</v>
          </cell>
          <cell r="CB122">
            <v>1839.3324669410774</v>
          </cell>
        </row>
        <row r="123">
          <cell r="A123" t="str">
            <v>Additional Cash Flow Items</v>
          </cell>
          <cell r="B123"/>
          <cell r="C123"/>
          <cell r="D123"/>
          <cell r="J123">
            <v>31.33</v>
          </cell>
          <cell r="K123">
            <v>126.25399999999999</v>
          </cell>
          <cell r="L123">
            <v>0.54300000000000637</v>
          </cell>
          <cell r="M123">
            <v>-25.231999999999999</v>
          </cell>
          <cell r="N123">
            <v>-62.414999999999992</v>
          </cell>
          <cell r="O123">
            <v>39.150000000000006</v>
          </cell>
          <cell r="P123">
            <v>-5.9000000000000057</v>
          </cell>
          <cell r="Q123">
            <v>477.98700000000002</v>
          </cell>
          <cell r="R123">
            <v>-233.65700000000004</v>
          </cell>
          <cell r="S123">
            <v>-70.813999999999965</v>
          </cell>
          <cell r="T123">
            <v>167.61600000000001</v>
          </cell>
          <cell r="U123">
            <v>93.810999999999979</v>
          </cell>
          <cell r="V123">
            <v>66.22399999999999</v>
          </cell>
          <cell r="W123">
            <v>-20.890999999999963</v>
          </cell>
          <cell r="X123">
            <v>-48.441000000000031</v>
          </cell>
          <cell r="Y123">
            <v>90.702999999999975</v>
          </cell>
          <cell r="Z123">
            <v>-162.858</v>
          </cell>
          <cell r="AA123">
            <v>-22.126999999999981</v>
          </cell>
          <cell r="AB123">
            <v>50.638000000000005</v>
          </cell>
          <cell r="AC123">
            <v>56.406000000000006</v>
          </cell>
          <cell r="AD123">
            <v>-77.940999999999974</v>
          </cell>
          <cell r="AE123">
            <v>185.745</v>
          </cell>
          <cell r="AF123">
            <v>-205.78100000000001</v>
          </cell>
          <cell r="AG123">
            <v>-24.025000000000034</v>
          </cell>
          <cell r="AH123">
            <v>11.047000000000025</v>
          </cell>
          <cell r="AI123">
            <v>-33.01400000000001</v>
          </cell>
          <cell r="AJ123">
            <v>64.908000000000015</v>
          </cell>
          <cell r="AK123">
            <v>50.117999999999995</v>
          </cell>
          <cell r="AL123">
            <v>-14.02800000000002</v>
          </cell>
          <cell r="AM123">
            <v>16.129000000000019</v>
          </cell>
          <cell r="AN123">
            <v>117.12700000000001</v>
          </cell>
          <cell r="AO123">
            <v>77.766999999999996</v>
          </cell>
          <cell r="AP123">
            <v>-74.01600000000002</v>
          </cell>
          <cell r="AQ123">
            <v>33.317000000000007</v>
          </cell>
          <cell r="AR123">
            <v>73.010999999999967</v>
          </cell>
          <cell r="AS123">
            <v>110.07899999999995</v>
          </cell>
          <cell r="AT123">
            <v>99.533000000000015</v>
          </cell>
          <cell r="AU123">
            <v>66.783999999999992</v>
          </cell>
          <cell r="AV123">
            <v>-81.218999999999937</v>
          </cell>
          <cell r="AW123">
            <v>57.242999999999938</v>
          </cell>
          <cell r="AX123">
            <v>142.34100000000001</v>
          </cell>
          <cell r="AY123">
            <v>61.33400000000006</v>
          </cell>
          <cell r="AZ123">
            <v>355.55700000000002</v>
          </cell>
          <cell r="BA123">
            <v>67.802145036640013</v>
          </cell>
          <cell r="BB123">
            <v>231.63644839880635</v>
          </cell>
          <cell r="BC123">
            <v>716.32959343544644</v>
          </cell>
          <cell r="BD123">
            <v>181.59350646198868</v>
          </cell>
          <cell r="BE123">
            <v>198.07153803638107</v>
          </cell>
          <cell r="BF123">
            <v>96.359075282028471</v>
          </cell>
          <cell r="BG123">
            <v>271.40852390614623</v>
          </cell>
          <cell r="BH123">
            <v>747.43264368654445</v>
          </cell>
          <cell r="BI123">
            <v>226.59225884628631</v>
          </cell>
          <cell r="BJ123">
            <v>244.34754610080699</v>
          </cell>
          <cell r="BK123">
            <v>135.64738129259649</v>
          </cell>
          <cell r="BL123">
            <v>357.13984525750811</v>
          </cell>
          <cell r="BM123">
            <v>963.72703149719791</v>
          </cell>
          <cell r="BN123">
            <v>304.49510896705488</v>
          </cell>
          <cell r="BO123">
            <v>321.96587123700738</v>
          </cell>
          <cell r="BP123">
            <v>187.66416689271091</v>
          </cell>
          <cell r="BQ123">
            <v>438.16318588554986</v>
          </cell>
          <cell r="BR123">
            <v>1252.288332982323</v>
          </cell>
          <cell r="BS123">
            <v>370.8324196708063</v>
          </cell>
          <cell r="BT123">
            <v>391.95330264139375</v>
          </cell>
          <cell r="BU123">
            <v>225.59162151952114</v>
          </cell>
          <cell r="BV123">
            <v>533.78451709632827</v>
          </cell>
          <cell r="BW123">
            <v>1522.1618609280495</v>
          </cell>
          <cell r="BX123">
            <v>448.75404831609012</v>
          </cell>
          <cell r="BY123">
            <v>476.12651609252498</v>
          </cell>
          <cell r="BZ123">
            <v>274.71045698615762</v>
          </cell>
          <cell r="CA123">
            <v>639.74144554630584</v>
          </cell>
          <cell r="CB123">
            <v>1839.3324669410786</v>
          </cell>
        </row>
        <row r="124">
          <cell r="B124" t="str">
            <v>Associate and JV add-back</v>
          </cell>
          <cell r="C124" t="str">
            <v>ASSOC_JV_ADDBK</v>
          </cell>
          <cell r="D124" t="str">
            <v>USD</v>
          </cell>
          <cell r="F124"/>
          <cell r="G124"/>
          <cell r="H124"/>
          <cell r="I124"/>
          <cell r="J124">
            <v>-2.8421709430404007E-14</v>
          </cell>
          <cell r="K124">
            <v>0</v>
          </cell>
          <cell r="L124">
            <v>-1.3322676295501878E-15</v>
          </cell>
          <cell r="M124">
            <v>3.1974423109204508E-14</v>
          </cell>
          <cell r="N124">
            <v>0</v>
          </cell>
          <cell r="O124">
            <v>0</v>
          </cell>
          <cell r="P124">
            <v>1.137999999999975</v>
          </cell>
          <cell r="Q124">
            <v>0</v>
          </cell>
          <cell r="R124">
            <v>0</v>
          </cell>
          <cell r="S124">
            <v>1.2789769243681803E-13</v>
          </cell>
          <cell r="T124">
            <v>1.1380000000000905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1.1368683772161603E-13</v>
          </cell>
          <cell r="AB124">
            <v>-1.2789769243681803E-13</v>
          </cell>
          <cell r="AC124">
            <v>-7.1054273576010019E-14</v>
          </cell>
          <cell r="AD124">
            <v>0</v>
          </cell>
          <cell r="AE124">
            <v>0</v>
          </cell>
          <cell r="AF124">
            <v>1.0000000000047748E-3</v>
          </cell>
          <cell r="AG124">
            <v>-1.0000000000545128E-3</v>
          </cell>
          <cell r="AH124">
            <v>0</v>
          </cell>
          <cell r="AI124">
            <v>5.6843418860808015E-14</v>
          </cell>
          <cell r="AJ124">
            <v>0</v>
          </cell>
          <cell r="AK124">
            <v>0</v>
          </cell>
          <cell r="AL124">
            <v>-7.638334409421077E-14</v>
          </cell>
          <cell r="AM124">
            <v>1.8474111129762605E-13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-1.7053025658242404E-13</v>
          </cell>
          <cell r="AS124">
            <v>-1.9895196601282805E-13</v>
          </cell>
          <cell r="AT124">
            <v>0</v>
          </cell>
          <cell r="AU124">
            <v>0</v>
          </cell>
          <cell r="AV124">
            <v>0</v>
          </cell>
          <cell r="AW124">
            <v>-7.815970093361102E-14</v>
          </cell>
          <cell r="AX124">
            <v>0</v>
          </cell>
          <cell r="AY124">
            <v>1.7763568394002505E-13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-2.5579538487363607E-13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-6.2527760746888816E-13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1.1368683772161603E-12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</row>
        <row r="125">
          <cell r="B125" t="str">
            <v>Profit/(loss) on sale of assets</v>
          </cell>
          <cell r="C125" t="str">
            <v>PL_SALE_ASSETS</v>
          </cell>
          <cell r="D125" t="str">
            <v>USD</v>
          </cell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</row>
        <row r="126">
          <cell r="B126" t="str">
            <v>Other non-cash adjustments</v>
          </cell>
          <cell r="C126" t="str">
            <v>OTH_NONCASH_ADJ</v>
          </cell>
          <cell r="D126" t="str">
            <v>USD</v>
          </cell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</row>
        <row r="127">
          <cell r="B127" t="str">
            <v>Other DACF adjustments</v>
          </cell>
          <cell r="C127" t="str">
            <v>OTH_DACF_ADJ</v>
          </cell>
          <cell r="D127" t="str">
            <v>USD</v>
          </cell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</row>
        <row r="128">
          <cell r="B128" t="str">
            <v>Change in LT deferred income taxes (Cash flow)</v>
          </cell>
          <cell r="C128" t="str">
            <v>CHG_DEF_TAX_CF</v>
          </cell>
          <cell r="D128" t="str">
            <v>USD</v>
          </cell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</row>
        <row r="129">
          <cell r="B129" t="str">
            <v>Other items/adjustments for computing cash tax rate (except def taxes)</v>
          </cell>
          <cell r="C129" t="str">
            <v>OTH_ADJ_CASH_TAX</v>
          </cell>
          <cell r="D129" t="str">
            <v>USD</v>
          </cell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</row>
        <row r="130">
          <cell r="B130" t="str">
            <v>Cash interest expense</v>
          </cell>
          <cell r="C130" t="str">
            <v>CASH_INT_EXP</v>
          </cell>
          <cell r="D130" t="str">
            <v>USD</v>
          </cell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</row>
        <row r="131">
          <cell r="B131" t="str">
            <v>Cash tax expense</v>
          </cell>
          <cell r="C131" t="str">
            <v>CASH_TAX_EXP</v>
          </cell>
          <cell r="D131" t="str">
            <v>USD</v>
          </cell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</row>
        <row r="132">
          <cell r="B132" t="str">
            <v>Dividends received from associates/JVs</v>
          </cell>
          <cell r="C132" t="str">
            <v>DIVDS_ASSOC_JV</v>
          </cell>
          <cell r="D132" t="str">
            <v>USD</v>
          </cell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</row>
        <row r="133">
          <cell r="B133" t="str">
            <v>Capex maintenance</v>
          </cell>
          <cell r="C133" t="str">
            <v>CAPEX_MAINTENANCE</v>
          </cell>
          <cell r="D133" t="str">
            <v>USD</v>
          </cell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</row>
        <row r="134">
          <cell r="B134" t="str">
            <v>Capex expansion</v>
          </cell>
          <cell r="C134" t="str">
            <v>CAPEX_EXPANSION</v>
          </cell>
          <cell r="D134" t="str">
            <v>USD</v>
          </cell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</row>
        <row r="135">
          <cell r="B135" t="str">
            <v>Non-PP&amp;E capex</v>
          </cell>
          <cell r="C135" t="str">
            <v>NONPPE_CAPEX</v>
          </cell>
          <cell r="D135" t="str">
            <v>USD</v>
          </cell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</row>
        <row r="136">
          <cell r="B136" t="str">
            <v>Dividends paid to minorities</v>
          </cell>
          <cell r="C136" t="str">
            <v>DIVDS_PD_MINORITIES</v>
          </cell>
          <cell r="D136" t="str">
            <v>USD</v>
          </cell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</row>
        <row r="137">
          <cell r="B137" t="str">
            <v>Free cash flow (unlevered)</v>
          </cell>
          <cell r="C137" t="str">
            <v>FCF_UNLEVERED</v>
          </cell>
          <cell r="D137" t="str">
            <v>USD</v>
          </cell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</row>
        <row r="138">
          <cell r="A138" t="str">
            <v>Other Items</v>
          </cell>
          <cell r="B138"/>
          <cell r="C138"/>
          <cell r="D138"/>
        </row>
        <row r="139">
          <cell r="B139" t="str">
            <v>License revenue</v>
          </cell>
          <cell r="C139" t="str">
            <v>LICENSE_REV</v>
          </cell>
          <cell r="D139" t="str">
            <v>USD</v>
          </cell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</row>
        <row r="140">
          <cell r="B140" t="str">
            <v>Maintenance revenue</v>
          </cell>
          <cell r="C140" t="str">
            <v>MAINTEN_REV</v>
          </cell>
          <cell r="D140" t="str">
            <v>USD</v>
          </cell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</row>
        <row r="141">
          <cell r="B141" t="str">
            <v>Number of employees</v>
          </cell>
          <cell r="C141" t="str">
            <v>EMPLOYEES</v>
          </cell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</row>
        <row r="142">
          <cell r="B142" t="str">
            <v>Total billings (revenue plus change in deferred revenue)</v>
          </cell>
          <cell r="C142" t="str">
            <v>TOT_BILLINGS</v>
          </cell>
          <cell r="D142" t="str">
            <v>USD</v>
          </cell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</row>
        <row r="143">
          <cell r="B143" t="str">
            <v>Short term billings (revenue plus change in short term deferred revenue)</v>
          </cell>
          <cell r="C143" t="str">
            <v>ST_BILLINGS</v>
          </cell>
          <cell r="D143" t="str">
            <v>USD</v>
          </cell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</row>
        <row r="144">
          <cell r="B144" t="str">
            <v>Remaining performance obligations</v>
          </cell>
          <cell r="C144" t="str">
            <v>REM_PERF_OBLIG</v>
          </cell>
          <cell r="D144" t="str">
            <v>USD</v>
          </cell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</row>
        <row r="145">
          <cell r="B145" t="str">
            <v>Current remaining performance obligations</v>
          </cell>
          <cell r="C145" t="str">
            <v>CUR_REM_PERF_OBLIG</v>
          </cell>
          <cell r="D145" t="str">
            <v>USD</v>
          </cell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</row>
        <row r="146">
          <cell r="B146" t="str">
            <v>Segment revenue name 1</v>
          </cell>
          <cell r="C146" t="str">
            <v>SEGMENT1_REV_NAME</v>
          </cell>
          <cell r="E146"/>
        </row>
        <row r="147">
          <cell r="B147" t="str">
            <v>Segment revenue value 1</v>
          </cell>
          <cell r="C147" t="str">
            <v>SEGMENT1_REV_VALUE</v>
          </cell>
          <cell r="D147" t="str">
            <v>USD</v>
          </cell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</row>
        <row r="148">
          <cell r="B148" t="str">
            <v>Segment revenue name 2</v>
          </cell>
          <cell r="C148" t="str">
            <v>SEGMENT2_REV_NAME</v>
          </cell>
          <cell r="E148"/>
        </row>
        <row r="149">
          <cell r="B149" t="str">
            <v>Segment revenue value 2</v>
          </cell>
          <cell r="C149" t="str">
            <v>SEGMENT2_REV_VALUE</v>
          </cell>
          <cell r="D149" t="str">
            <v>USD</v>
          </cell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</row>
        <row r="150">
          <cell r="B150" t="str">
            <v>Segment revenue name 3</v>
          </cell>
          <cell r="C150" t="str">
            <v>SEGMENT3_REV_NAME</v>
          </cell>
          <cell r="E150"/>
        </row>
        <row r="151">
          <cell r="B151" t="str">
            <v>Segment revenue value 3</v>
          </cell>
          <cell r="C151" t="str">
            <v>SEGMENT3_REV_VALUE</v>
          </cell>
          <cell r="D151" t="str">
            <v>USD</v>
          </cell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</row>
        <row r="152">
          <cell r="B152" t="str">
            <v>Segment revenue name 4</v>
          </cell>
          <cell r="C152" t="str">
            <v>SEGMENT4_REV_NAME</v>
          </cell>
          <cell r="E152"/>
        </row>
        <row r="153">
          <cell r="B153" t="str">
            <v>Segment revenue value 4</v>
          </cell>
          <cell r="C153" t="str">
            <v>SEGMENT4_REV_VALUE</v>
          </cell>
          <cell r="D153" t="str">
            <v>USD</v>
          </cell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</row>
        <row r="154">
          <cell r="B154" t="str">
            <v>Segment revenue name 5</v>
          </cell>
          <cell r="C154" t="str">
            <v>SEGMENT5_REV_NAME</v>
          </cell>
          <cell r="E154"/>
        </row>
        <row r="155">
          <cell r="B155" t="str">
            <v>Segment revenue value 5</v>
          </cell>
          <cell r="C155" t="str">
            <v>SEGMENT5_REV_VALUE</v>
          </cell>
          <cell r="D155" t="str">
            <v>USD</v>
          </cell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</row>
        <row r="156">
          <cell r="B156" t="str">
            <v>Segment revenue name 6</v>
          </cell>
          <cell r="C156" t="str">
            <v>SEGMENT6_REV_NAME</v>
          </cell>
          <cell r="E156"/>
        </row>
        <row r="157">
          <cell r="B157" t="str">
            <v>Segment revenue value 6</v>
          </cell>
          <cell r="C157" t="str">
            <v>SEGMENT6_REV_VALUE</v>
          </cell>
          <cell r="D157" t="str">
            <v>USD</v>
          </cell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</row>
        <row r="158">
          <cell r="B158" t="str">
            <v>Segment revenue name 7</v>
          </cell>
          <cell r="C158" t="str">
            <v>SEGMENT7_REV_NAME</v>
          </cell>
          <cell r="E158"/>
        </row>
        <row r="159">
          <cell r="B159" t="str">
            <v>Segment revenue value 7</v>
          </cell>
          <cell r="C159" t="str">
            <v>SEGMENT7_REV_VALUE</v>
          </cell>
          <cell r="D159" t="str">
            <v>USD</v>
          </cell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</row>
        <row r="160">
          <cell r="B160" t="str">
            <v>Segment revenue name 8</v>
          </cell>
          <cell r="C160" t="str">
            <v>SEGMENT8_REV_NAME</v>
          </cell>
          <cell r="E160"/>
        </row>
        <row r="161">
          <cell r="B161" t="str">
            <v>Segment revenue value 8</v>
          </cell>
          <cell r="C161" t="str">
            <v>SEGMENT8_REV_VALUE</v>
          </cell>
          <cell r="D161" t="str">
            <v>USD</v>
          </cell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</row>
        <row r="162">
          <cell r="B162" t="str">
            <v>Segment revenue name 9</v>
          </cell>
          <cell r="C162" t="str">
            <v>SEGMENT9_REV_NAME</v>
          </cell>
          <cell r="E162"/>
        </row>
        <row r="163">
          <cell r="B163" t="str">
            <v>Segment revenue value 9</v>
          </cell>
          <cell r="C163" t="str">
            <v>SEGMENT9_REV_VALUE</v>
          </cell>
          <cell r="D163" t="str">
            <v>USD</v>
          </cell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</row>
        <row r="164">
          <cell r="B164" t="str">
            <v>Segment revenue name 10</v>
          </cell>
          <cell r="C164" t="str">
            <v>SEGMENT10_REV_NAME</v>
          </cell>
          <cell r="E164"/>
        </row>
        <row r="165">
          <cell r="B165" t="str">
            <v>Segment revenue value 10</v>
          </cell>
          <cell r="C165" t="str">
            <v>SEGMENT10_REV_VALUE</v>
          </cell>
          <cell r="D165" t="str">
            <v>USD</v>
          </cell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</row>
        <row r="166">
          <cell r="A166" t="str">
            <v>Geographical Breakdown</v>
          </cell>
          <cell r="B166"/>
          <cell r="C166"/>
          <cell r="D166"/>
        </row>
        <row r="167">
          <cell r="B167" t="str">
            <v>Sales - % Canada</v>
          </cell>
          <cell r="C167" t="str">
            <v>SALES_CANADA</v>
          </cell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</row>
        <row r="168">
          <cell r="B168" t="str">
            <v>Sales - % United States</v>
          </cell>
          <cell r="C168" t="str">
            <v>SALES_US</v>
          </cell>
          <cell r="F168"/>
          <cell r="G168"/>
          <cell r="H168"/>
          <cell r="I168"/>
          <cell r="J168">
            <v>0.63426630380802929</v>
          </cell>
          <cell r="K168">
            <v>0.56304325921054721</v>
          </cell>
          <cell r="L168">
            <v>0.52728221912114615</v>
          </cell>
          <cell r="M168">
            <v>0.55585646910098707</v>
          </cell>
          <cell r="N168">
            <v>0.64385363109903426</v>
          </cell>
          <cell r="O168">
            <v>0.57699168817228452</v>
          </cell>
          <cell r="P168">
            <v>0.67996240274068054</v>
          </cell>
          <cell r="Q168">
            <v>0.57812892336020971</v>
          </cell>
          <cell r="R168">
            <v>0.46741507810637395</v>
          </cell>
          <cell r="S168">
            <v>0.52803310639082368</v>
          </cell>
          <cell r="T168">
            <v>0.56151375602899967</v>
          </cell>
          <cell r="U168">
            <v>0.57777153564029959</v>
          </cell>
          <cell r="V168">
            <v>0.53868678435114503</v>
          </cell>
          <cell r="W168">
            <v>0.55024267794064474</v>
          </cell>
          <cell r="X168">
            <v>0.54161386706505366</v>
          </cell>
          <cell r="Y168">
            <v>0.55199115312710589</v>
          </cell>
          <cell r="Z168">
            <v>0.58699423067147871</v>
          </cell>
          <cell r="AA168">
            <v>0.52592086328860599</v>
          </cell>
          <cell r="AB168">
            <v>0.52401554640198822</v>
          </cell>
          <cell r="AC168">
            <v>0.52517430476341531</v>
          </cell>
          <cell r="AD168">
            <v>0.53997072682808211</v>
          </cell>
          <cell r="AE168">
            <v>0.5663013102949922</v>
          </cell>
          <cell r="AF168">
            <v>0.5261849634218867</v>
          </cell>
          <cell r="AG168">
            <v>0.53523285380891017</v>
          </cell>
          <cell r="AH168">
            <v>0.54863329238329228</v>
          </cell>
          <cell r="AI168">
            <v>0.54370881634924595</v>
          </cell>
          <cell r="AJ168">
            <v>0.57368625451432831</v>
          </cell>
          <cell r="AK168">
            <v>0.54816609817444995</v>
          </cell>
          <cell r="AL168">
            <v>0.56284032522580996</v>
          </cell>
          <cell r="AM168">
            <v>0.5611843129117603</v>
          </cell>
          <cell r="AN168">
            <v>0.56119891497701158</v>
          </cell>
          <cell r="AO168"/>
          <cell r="AP168"/>
          <cell r="AQ168"/>
          <cell r="AR168"/>
          <cell r="AS168">
            <v>0.55789188333212558</v>
          </cell>
          <cell r="AT168"/>
          <cell r="AU168"/>
          <cell r="AV168"/>
          <cell r="AW168"/>
          <cell r="AX168">
            <v>0.55342709659645128</v>
          </cell>
          <cell r="AY168"/>
          <cell r="AZ168"/>
          <cell r="BA168"/>
          <cell r="BB168"/>
          <cell r="BC168">
            <v>0.55342709659645128</v>
          </cell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</row>
        <row r="169">
          <cell r="B169" t="str">
            <v>Sales - % Other North Americas</v>
          </cell>
          <cell r="C169" t="str">
            <v>SALES_OTH_NO_AMER</v>
          </cell>
          <cell r="F169"/>
          <cell r="G169"/>
          <cell r="H169"/>
          <cell r="I169"/>
          <cell r="J169">
            <v>4.3288770584612946E-2</v>
          </cell>
          <cell r="K169">
            <v>5.9025991588928781E-2</v>
          </cell>
          <cell r="L169">
            <v>4.8324916923509396E-2</v>
          </cell>
          <cell r="M169">
            <v>3.2250692857490153E-2</v>
          </cell>
          <cell r="N169">
            <v>1.8834816088220626E-2</v>
          </cell>
          <cell r="O169">
            <v>3.8000810967687787E-2</v>
          </cell>
          <cell r="P169">
            <v>2.1353501335501103E-2</v>
          </cell>
          <cell r="Q169">
            <v>3.4689479117261383E-2</v>
          </cell>
          <cell r="R169">
            <v>3.6622404660467914E-2</v>
          </cell>
          <cell r="S169">
            <v>5.1302395406718715E-2</v>
          </cell>
          <cell r="T169">
            <v>3.6360504977684151E-2</v>
          </cell>
          <cell r="U169">
            <v>3.2759517752319785E-2</v>
          </cell>
          <cell r="V169">
            <v>3.9670801526717557E-2</v>
          </cell>
          <cell r="W169">
            <v>3.6168748087781269E-2</v>
          </cell>
          <cell r="X169">
            <v>3.2563459563286164E-2</v>
          </cell>
          <cell r="Y169">
            <v>3.5380210865571374E-2</v>
          </cell>
          <cell r="Z169">
            <v>4.1195420118944753E-2</v>
          </cell>
          <cell r="AA169">
            <v>5.1648513266833347E-2</v>
          </cell>
          <cell r="AB169">
            <v>4.3547520524832448E-2</v>
          </cell>
          <cell r="AC169">
            <v>4.3474017457925909E-2</v>
          </cell>
          <cell r="AD169">
            <v>4.511112028765403E-2</v>
          </cell>
          <cell r="AE169">
            <v>4.2004258938334919E-2</v>
          </cell>
          <cell r="AF169">
            <v>4.2724506469735718E-2</v>
          </cell>
          <cell r="AG169">
            <v>3.8672541711658369E-2</v>
          </cell>
          <cell r="AH169">
            <v>3.4559275184275179E-2</v>
          </cell>
          <cell r="AI169">
            <v>3.9273819461776119E-2</v>
          </cell>
          <cell r="AJ169">
            <v>3.0881043651936373E-2</v>
          </cell>
          <cell r="AK169">
            <v>3.4414557919633187E-2</v>
          </cell>
          <cell r="AL169">
            <v>2.9532425964554153E-2</v>
          </cell>
          <cell r="AM169">
            <v>1.8856668568760691E-2</v>
          </cell>
          <cell r="AN169">
            <v>2.852740011993957E-2</v>
          </cell>
          <cell r="AO169"/>
          <cell r="AP169"/>
          <cell r="AQ169"/>
          <cell r="AR169"/>
          <cell r="AS169">
            <v>2.3133885699408715E-2</v>
          </cell>
          <cell r="AT169"/>
          <cell r="AU169"/>
          <cell r="AV169"/>
          <cell r="AW169"/>
          <cell r="AX169">
            <v>2.2044698103513751E-2</v>
          </cell>
          <cell r="AY169"/>
          <cell r="AZ169"/>
          <cell r="BA169"/>
          <cell r="BB169"/>
          <cell r="BC169">
            <v>2.2044698103513751E-2</v>
          </cell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</row>
        <row r="170">
          <cell r="B170" t="str">
            <v>Sales - % Argentina</v>
          </cell>
          <cell r="C170" t="str">
            <v>SALES_ARGENTINA</v>
          </cell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</row>
        <row r="171">
          <cell r="B171" t="str">
            <v>Sales - % Brazil</v>
          </cell>
          <cell r="C171" t="str">
            <v>SALES_BRAZIL</v>
          </cell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</row>
        <row r="172">
          <cell r="B172" t="str">
            <v>Sales - % Chile</v>
          </cell>
          <cell r="C172" t="str">
            <v>SALES_CHILE</v>
          </cell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</row>
        <row r="173">
          <cell r="B173" t="str">
            <v>Sales - % Colombia</v>
          </cell>
          <cell r="C173" t="str">
            <v>SALES_COLOMBIA</v>
          </cell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</row>
        <row r="174">
          <cell r="B174" t="str">
            <v>Sales - % Mexico</v>
          </cell>
          <cell r="C174" t="str">
            <v>SALES_MEXICO</v>
          </cell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</row>
        <row r="175">
          <cell r="B175" t="str">
            <v>Sales - % Venezuela</v>
          </cell>
          <cell r="C175" t="str">
            <v>SALES_VENEZUELA</v>
          </cell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</row>
        <row r="176">
          <cell r="B176" t="str">
            <v>Sales - % Other Latin Americas</v>
          </cell>
          <cell r="C176" t="str">
            <v>SALES_OTH_LATAM</v>
          </cell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</row>
        <row r="177">
          <cell r="B177" t="str">
            <v>Sales - % Austria</v>
          </cell>
          <cell r="C177" t="str">
            <v>SALES_AUSTRIA</v>
          </cell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</row>
        <row r="178">
          <cell r="B178" t="str">
            <v>Sales - % Belgium</v>
          </cell>
          <cell r="C178" t="str">
            <v>SALES_BEL</v>
          </cell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</row>
        <row r="179">
          <cell r="B179" t="str">
            <v>Sales - % France</v>
          </cell>
          <cell r="C179" t="str">
            <v>SALES_FRA</v>
          </cell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</row>
        <row r="180">
          <cell r="B180" t="str">
            <v>Sales - % Germany</v>
          </cell>
          <cell r="C180" t="str">
            <v>SALES_GER</v>
          </cell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</row>
        <row r="181">
          <cell r="B181" t="str">
            <v>Sales - % Greece</v>
          </cell>
          <cell r="C181" t="str">
            <v>SALES_GRE</v>
          </cell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</row>
        <row r="182">
          <cell r="B182" t="str">
            <v>Sales - % Ireland</v>
          </cell>
          <cell r="C182" t="str">
            <v>SALES_IRE</v>
          </cell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</row>
        <row r="183">
          <cell r="B183" t="str">
            <v>Sales - % Italy</v>
          </cell>
          <cell r="C183" t="str">
            <v>SALES_ITA</v>
          </cell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</row>
        <row r="184">
          <cell r="B184" t="str">
            <v>Sales - % Netherlands</v>
          </cell>
          <cell r="C184" t="str">
            <v>SALES_NETH</v>
          </cell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</row>
        <row r="185">
          <cell r="B185" t="str">
            <v>Sales - % Norway</v>
          </cell>
          <cell r="C185" t="str">
            <v>SALES_NOR</v>
          </cell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</row>
        <row r="186">
          <cell r="B186" t="str">
            <v>Sales - % Portugal</v>
          </cell>
          <cell r="C186" t="str">
            <v>SALES_POR</v>
          </cell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</row>
        <row r="187">
          <cell r="B187" t="str">
            <v>Sales - % Spain</v>
          </cell>
          <cell r="C187" t="str">
            <v>SALES_SPA</v>
          </cell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</row>
        <row r="188">
          <cell r="B188" t="str">
            <v>Sales - % Sweden</v>
          </cell>
          <cell r="C188" t="str">
            <v>SALES_SWE</v>
          </cell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</row>
        <row r="189">
          <cell r="B189" t="str">
            <v>Sales - % Switzerland</v>
          </cell>
          <cell r="C189" t="str">
            <v>SALES_SWIT</v>
          </cell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</row>
        <row r="190">
          <cell r="B190" t="str">
            <v>Sales - % UK</v>
          </cell>
          <cell r="C190" t="str">
            <v>SALES_UK</v>
          </cell>
          <cell r="F190"/>
          <cell r="G190"/>
          <cell r="H190"/>
          <cell r="I190"/>
          <cell r="J190">
            <v>0.1042474325102799</v>
          </cell>
          <cell r="K190">
            <v>0.10783141794962903</v>
          </cell>
          <cell r="L190">
            <v>0.13895408957201802</v>
          </cell>
          <cell r="M190">
            <v>0.15275343997666169</v>
          </cell>
          <cell r="N190">
            <v>0.12525172503941248</v>
          </cell>
          <cell r="O190">
            <v>0.13128219192980756</v>
          </cell>
          <cell r="P190">
            <v>0.10870978980373941</v>
          </cell>
          <cell r="Q190">
            <v>0.14432106687498256</v>
          </cell>
          <cell r="R190">
            <v>0.20708399415368348</v>
          </cell>
          <cell r="S190">
            <v>0.15882376180254684</v>
          </cell>
          <cell r="T190">
            <v>0.15536155824059225</v>
          </cell>
          <cell r="U190">
            <v>0.13987608647772143</v>
          </cell>
          <cell r="V190">
            <v>0.16610209923664121</v>
          </cell>
          <cell r="W190">
            <v>0.14700581314493921</v>
          </cell>
          <cell r="X190">
            <v>0.16299270365084231</v>
          </cell>
          <cell r="Y190">
            <v>0.15425788116747011</v>
          </cell>
          <cell r="Z190">
            <v>0.14413917551974789</v>
          </cell>
          <cell r="AA190">
            <v>0.17459792886866399</v>
          </cell>
          <cell r="AB190">
            <v>0.18074294709259031</v>
          </cell>
          <cell r="AC190">
            <v>0.17857591635811318</v>
          </cell>
          <cell r="AD190">
            <v>0.16975931457342075</v>
          </cell>
          <cell r="AE190">
            <v>0.15323481074582579</v>
          </cell>
          <cell r="AF190">
            <v>0.19893643434127639</v>
          </cell>
          <cell r="AG190">
            <v>0.19066262612188978</v>
          </cell>
          <cell r="AH190">
            <v>0.18978296478296477</v>
          </cell>
          <cell r="AI190">
            <v>0.18407646783766651</v>
          </cell>
          <cell r="AJ190">
            <v>0.17752439124266547</v>
          </cell>
          <cell r="AK190">
            <v>0.18898763196564353</v>
          </cell>
          <cell r="AL190">
            <v>0.19135208518101962</v>
          </cell>
          <cell r="AM190">
            <v>0.1993173211599315</v>
          </cell>
          <cell r="AN190">
            <v>0.18936586378001968</v>
          </cell>
          <cell r="AO190"/>
          <cell r="AP190"/>
          <cell r="AQ190"/>
          <cell r="AR190"/>
          <cell r="AS190">
            <v>0.20242343234589177</v>
          </cell>
          <cell r="AT190"/>
          <cell r="AU190"/>
          <cell r="AV190"/>
          <cell r="AW190"/>
          <cell r="AX190">
            <v>0.2097084161696488</v>
          </cell>
          <cell r="AY190"/>
          <cell r="AZ190"/>
          <cell r="BA190"/>
          <cell r="BB190"/>
          <cell r="BC190">
            <v>0.2097084161696488</v>
          </cell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</row>
        <row r="191">
          <cell r="B191" t="str">
            <v>Sales - % Other Western Europe</v>
          </cell>
          <cell r="C191" t="str">
            <v>SALES_OTH_WEST_EURO</v>
          </cell>
          <cell r="F191"/>
          <cell r="G191"/>
          <cell r="H191"/>
          <cell r="I191"/>
          <cell r="J191">
            <v>2.6061858127569976E-2</v>
          </cell>
          <cell r="K191">
            <v>2.6957854487407257E-2</v>
          </cell>
          <cell r="L191">
            <v>3.4738522393004505E-2</v>
          </cell>
          <cell r="M191">
            <v>3.8188359994165422E-2</v>
          </cell>
          <cell r="N191">
            <v>3.131293125985312E-2</v>
          </cell>
          <cell r="O191">
            <v>3.2820547982451889E-2</v>
          </cell>
          <cell r="P191">
            <v>2.7177447450934852E-2</v>
          </cell>
          <cell r="Q191">
            <v>3.6080266718745639E-2</v>
          </cell>
          <cell r="R191">
            <v>5.1770998538420869E-2</v>
          </cell>
          <cell r="S191">
            <v>3.9705940450636711E-2</v>
          </cell>
          <cell r="T191">
            <v>3.8840389560148063E-2</v>
          </cell>
          <cell r="U191">
            <v>3.4969021619430357E-2</v>
          </cell>
          <cell r="V191">
            <v>4.1525524809160302E-2</v>
          </cell>
          <cell r="W191">
            <v>3.6751453286234803E-2</v>
          </cell>
          <cell r="X191">
            <v>4.0748175912710578E-2</v>
          </cell>
          <cell r="Y191">
            <v>3.8564470291867527E-2</v>
          </cell>
          <cell r="Z191">
            <v>3.6034793879936973E-2</v>
          </cell>
          <cell r="AA191">
            <v>4.3649482217165997E-2</v>
          </cell>
          <cell r="AB191">
            <v>4.5185736773147578E-2</v>
          </cell>
          <cell r="AC191">
            <v>4.4643979089528295E-2</v>
          </cell>
          <cell r="AD191">
            <v>4.2439828643355187E-2</v>
          </cell>
          <cell r="AE191">
            <v>3.8308702686456447E-2</v>
          </cell>
          <cell r="AF191">
            <v>4.9734108585319098E-2</v>
          </cell>
          <cell r="AG191">
            <v>4.7665656530472444E-2</v>
          </cell>
          <cell r="AH191">
            <v>4.7445741195741194E-2</v>
          </cell>
          <cell r="AI191">
            <v>4.6019116959416628E-2</v>
          </cell>
          <cell r="AJ191">
            <v>4.4381097810666369E-2</v>
          </cell>
          <cell r="AK191">
            <v>4.7246907991410882E-2</v>
          </cell>
          <cell r="AL191">
            <v>4.7838021295254905E-2</v>
          </cell>
          <cell r="AM191">
            <v>4.9829330289982876E-2</v>
          </cell>
          <cell r="AN191">
            <v>4.7341465945004921E-2</v>
          </cell>
          <cell r="AO191"/>
          <cell r="AP191"/>
          <cell r="AQ191"/>
          <cell r="AR191"/>
          <cell r="AS191">
            <v>5.0605858086472943E-2</v>
          </cell>
          <cell r="AT191"/>
          <cell r="AU191"/>
          <cell r="AV191"/>
          <cell r="AW191"/>
          <cell r="AX191">
            <v>5.2427104042412201E-2</v>
          </cell>
          <cell r="AY191"/>
          <cell r="AZ191"/>
          <cell r="BA191"/>
          <cell r="BB191"/>
          <cell r="BC191">
            <v>5.2427104042412201E-2</v>
          </cell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</row>
        <row r="192">
          <cell r="B192" t="str">
            <v>Sales - % Poland</v>
          </cell>
          <cell r="C192" t="str">
            <v>SALES_POLAND</v>
          </cell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</row>
        <row r="193">
          <cell r="B193" t="str">
            <v>Sales - % Russia</v>
          </cell>
          <cell r="C193" t="str">
            <v>SALES_RUSSIA</v>
          </cell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</row>
        <row r="194">
          <cell r="B194" t="str">
            <v>Sales - % Turkey</v>
          </cell>
          <cell r="C194" t="str">
            <v>SALES_TURKEY</v>
          </cell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</row>
        <row r="195">
          <cell r="B195" t="str">
            <v>Sales - % Other CEE</v>
          </cell>
          <cell r="C195" t="str">
            <v>SALES_OTH_CEE</v>
          </cell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</row>
        <row r="196">
          <cell r="B196" t="str">
            <v>Sales - % Saudi Arabia</v>
          </cell>
          <cell r="C196" t="str">
            <v>SALES_SAUDI_ARABIA</v>
          </cell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</row>
        <row r="197">
          <cell r="B197" t="str">
            <v>Sales - % United Arab Emirates</v>
          </cell>
          <cell r="C197" t="str">
            <v>SALES_UAE</v>
          </cell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</row>
        <row r="198">
          <cell r="B198" t="str">
            <v>Sales - % Other Middle East</v>
          </cell>
          <cell r="C198" t="str">
            <v>SALES_OTH_ME</v>
          </cell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</row>
        <row r="199">
          <cell r="B199" t="str">
            <v>Sales - % Nigeria</v>
          </cell>
          <cell r="C199" t="str">
            <v>SALES_NIGERIA</v>
          </cell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</row>
        <row r="200">
          <cell r="B200" t="str">
            <v>Sales - % South Africa</v>
          </cell>
          <cell r="C200" t="str">
            <v>SALES_SO_AFRICA</v>
          </cell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</row>
        <row r="201">
          <cell r="B201" t="str">
            <v>Sales - % Other Africa</v>
          </cell>
          <cell r="C201" t="str">
            <v>SALES_OTH_AFRICA</v>
          </cell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</row>
        <row r="202">
          <cell r="B202" t="str">
            <v>Sales - % Hong Kong</v>
          </cell>
          <cell r="C202" t="str">
            <v>SALES_HONG_KONG</v>
          </cell>
          <cell r="F202"/>
          <cell r="G202"/>
          <cell r="H202"/>
          <cell r="I202"/>
          <cell r="J202">
            <v>0.03</v>
          </cell>
          <cell r="K202">
            <v>0.03</v>
          </cell>
          <cell r="L202">
            <v>0.03</v>
          </cell>
          <cell r="M202">
            <v>0.03</v>
          </cell>
          <cell r="N202">
            <v>0.03</v>
          </cell>
          <cell r="O202">
            <v>0.03</v>
          </cell>
          <cell r="P202">
            <v>0.03</v>
          </cell>
          <cell r="Q202">
            <v>0.03</v>
          </cell>
          <cell r="R202">
            <v>0.03</v>
          </cell>
          <cell r="S202">
            <v>0.03</v>
          </cell>
          <cell r="T202">
            <v>0.03</v>
          </cell>
          <cell r="U202">
            <v>0.03</v>
          </cell>
          <cell r="V202">
            <v>0.03</v>
          </cell>
          <cell r="W202">
            <v>0.03</v>
          </cell>
          <cell r="X202">
            <v>0.03</v>
          </cell>
          <cell r="Y202">
            <v>0.03</v>
          </cell>
          <cell r="Z202">
            <v>0.03</v>
          </cell>
          <cell r="AA202">
            <v>0.03</v>
          </cell>
          <cell r="AB202">
            <v>0.03</v>
          </cell>
          <cell r="AC202">
            <v>0.03</v>
          </cell>
          <cell r="AD202">
            <v>0.03</v>
          </cell>
          <cell r="AE202">
            <v>0.03</v>
          </cell>
          <cell r="AF202">
            <v>0.03</v>
          </cell>
          <cell r="AG202">
            <v>0.03</v>
          </cell>
          <cell r="AH202">
            <v>0.03</v>
          </cell>
          <cell r="AI202">
            <v>0.03</v>
          </cell>
          <cell r="AJ202">
            <v>0.03</v>
          </cell>
          <cell r="AK202">
            <v>0.03</v>
          </cell>
          <cell r="AL202">
            <v>0.03</v>
          </cell>
          <cell r="AM202">
            <v>0.03</v>
          </cell>
          <cell r="AN202">
            <v>0.03</v>
          </cell>
          <cell r="AO202"/>
          <cell r="AP202"/>
          <cell r="AQ202"/>
          <cell r="AR202"/>
          <cell r="AS202">
            <v>0</v>
          </cell>
          <cell r="AT202"/>
          <cell r="AU202"/>
          <cell r="AV202"/>
          <cell r="AW202"/>
          <cell r="AX202">
            <v>0</v>
          </cell>
          <cell r="AY202"/>
          <cell r="AZ202"/>
          <cell r="BA202"/>
          <cell r="BB202"/>
          <cell r="BC202">
            <v>0</v>
          </cell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</row>
        <row r="203">
          <cell r="B203" t="str">
            <v>Sales - % Japan</v>
          </cell>
          <cell r="C203" t="str">
            <v>SALES_JAPAN</v>
          </cell>
          <cell r="F203"/>
          <cell r="G203"/>
          <cell r="H203"/>
          <cell r="I203"/>
          <cell r="J203">
            <v>4.2135634969507979E-2</v>
          </cell>
          <cell r="K203">
            <v>9.3141476763487691E-2</v>
          </cell>
          <cell r="L203">
            <v>0.10070025199032198</v>
          </cell>
          <cell r="M203">
            <v>7.0951038070695777E-2</v>
          </cell>
          <cell r="N203">
            <v>3.0746896513479477E-2</v>
          </cell>
          <cell r="O203">
            <v>7.0904760947768236E-2</v>
          </cell>
          <cell r="P203">
            <v>1.2796858669144123E-2</v>
          </cell>
          <cell r="Q203">
            <v>5.6780263928800589E-2</v>
          </cell>
          <cell r="R203">
            <v>8.7107524541053777E-2</v>
          </cell>
          <cell r="S203">
            <v>7.2134795949273744E-2</v>
          </cell>
          <cell r="T203">
            <v>5.7923791192575763E-2</v>
          </cell>
          <cell r="U203">
            <v>6.4623838510228765E-2</v>
          </cell>
          <cell r="V203">
            <v>6.4014790076335898E-2</v>
          </cell>
          <cell r="W203">
            <v>7.9831307540399965E-2</v>
          </cell>
          <cell r="X203">
            <v>7.2081793808107308E-2</v>
          </cell>
          <cell r="Y203">
            <v>6.9806284547985126E-2</v>
          </cell>
          <cell r="Z203">
            <v>4.1636379809891738E-2</v>
          </cell>
          <cell r="AA203">
            <v>5.4183212358730803E-2</v>
          </cell>
          <cell r="AB203">
            <v>5.6508249207441408E-2</v>
          </cell>
          <cell r="AC203">
            <v>5.8131782331017373E-2</v>
          </cell>
          <cell r="AD203">
            <v>5.2719009667487965E-2</v>
          </cell>
          <cell r="AE203">
            <v>5.0150917334390588E-2</v>
          </cell>
          <cell r="AF203">
            <v>3.2419987181781934E-2</v>
          </cell>
          <cell r="AG203">
            <v>3.7766321827069349E-2</v>
          </cell>
          <cell r="AH203">
            <v>2.95787264537265E-2</v>
          </cell>
          <cell r="AI203">
            <v>3.692177939189481E-2</v>
          </cell>
          <cell r="AJ203">
            <v>2.3527212780403539E-2</v>
          </cell>
          <cell r="AK203">
            <v>3.1184803948862277E-2</v>
          </cell>
          <cell r="AL203">
            <v>1.8437142333361439E-2</v>
          </cell>
          <cell r="AM203">
            <v>2.0812367069564824E-2</v>
          </cell>
          <cell r="AN203">
            <v>2.3566355178024218E-2</v>
          </cell>
          <cell r="AO203"/>
          <cell r="AP203"/>
          <cell r="AQ203"/>
          <cell r="AR203"/>
          <cell r="AS203">
            <v>0.16594494053610107</v>
          </cell>
          <cell r="AT203"/>
          <cell r="AU203"/>
          <cell r="AV203"/>
          <cell r="AW203"/>
          <cell r="AX203">
            <v>0.16239268508797405</v>
          </cell>
          <cell r="AY203"/>
          <cell r="AZ203"/>
          <cell r="BA203"/>
          <cell r="BB203"/>
          <cell r="BC203">
            <v>0.16239268508797405</v>
          </cell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</row>
        <row r="204">
          <cell r="B204" t="str">
            <v>Sales - % Singapore</v>
          </cell>
          <cell r="C204" t="str">
            <v>SALES_SINGAPORE</v>
          </cell>
          <cell r="F204"/>
          <cell r="G204"/>
          <cell r="H204"/>
          <cell r="I204"/>
          <cell r="J204">
            <v>0.02</v>
          </cell>
          <cell r="K204">
            <v>0.02</v>
          </cell>
          <cell r="L204">
            <v>0.02</v>
          </cell>
          <cell r="M204">
            <v>0.02</v>
          </cell>
          <cell r="N204">
            <v>0.02</v>
          </cell>
          <cell r="O204">
            <v>0.02</v>
          </cell>
          <cell r="P204">
            <v>0.02</v>
          </cell>
          <cell r="Q204">
            <v>0.02</v>
          </cell>
          <cell r="R204">
            <v>0.02</v>
          </cell>
          <cell r="S204">
            <v>0.02</v>
          </cell>
          <cell r="T204">
            <v>0.02</v>
          </cell>
          <cell r="U204">
            <v>0.02</v>
          </cell>
          <cell r="V204">
            <v>0.02</v>
          </cell>
          <cell r="W204">
            <v>0.02</v>
          </cell>
          <cell r="X204">
            <v>0.02</v>
          </cell>
          <cell r="Y204">
            <v>0.02</v>
          </cell>
          <cell r="Z204">
            <v>0.02</v>
          </cell>
          <cell r="AA204">
            <v>0.02</v>
          </cell>
          <cell r="AB204">
            <v>0.02</v>
          </cell>
          <cell r="AC204">
            <v>0.02</v>
          </cell>
          <cell r="AD204">
            <v>0.02</v>
          </cell>
          <cell r="AE204">
            <v>0.02</v>
          </cell>
          <cell r="AF204">
            <v>0.02</v>
          </cell>
          <cell r="AG204">
            <v>0.02</v>
          </cell>
          <cell r="AH204">
            <v>0.02</v>
          </cell>
          <cell r="AI204">
            <v>0.02</v>
          </cell>
          <cell r="AJ204">
            <v>0.02</v>
          </cell>
          <cell r="AK204">
            <v>0.02</v>
          </cell>
          <cell r="AL204">
            <v>0.02</v>
          </cell>
          <cell r="AM204">
            <v>0.02</v>
          </cell>
          <cell r="AN204">
            <v>0.02</v>
          </cell>
          <cell r="AO204"/>
          <cell r="AP204"/>
          <cell r="AQ204"/>
          <cell r="AR204"/>
          <cell r="AS204">
            <v>0</v>
          </cell>
          <cell r="AT204"/>
          <cell r="AU204"/>
          <cell r="AV204"/>
          <cell r="AW204"/>
          <cell r="AX204">
            <v>0</v>
          </cell>
          <cell r="AY204"/>
          <cell r="AZ204"/>
          <cell r="BA204"/>
          <cell r="BB204"/>
          <cell r="BC204">
            <v>0</v>
          </cell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</row>
        <row r="205">
          <cell r="B205" t="str">
            <v>Sales - % South Korea</v>
          </cell>
          <cell r="C205" t="str">
            <v>SALES_SK</v>
          </cell>
          <cell r="F205"/>
          <cell r="G205"/>
          <cell r="H205"/>
          <cell r="I205"/>
          <cell r="J205">
            <v>0.03</v>
          </cell>
          <cell r="K205">
            <v>0.03</v>
          </cell>
          <cell r="L205">
            <v>0.03</v>
          </cell>
          <cell r="M205">
            <v>0.03</v>
          </cell>
          <cell r="N205">
            <v>0.03</v>
          </cell>
          <cell r="O205">
            <v>0.03</v>
          </cell>
          <cell r="P205">
            <v>0.03</v>
          </cell>
          <cell r="Q205">
            <v>0.03</v>
          </cell>
          <cell r="R205">
            <v>0.03</v>
          </cell>
          <cell r="S205">
            <v>0.03</v>
          </cell>
          <cell r="T205">
            <v>0.03</v>
          </cell>
          <cell r="U205">
            <v>0.03</v>
          </cell>
          <cell r="V205">
            <v>0.03</v>
          </cell>
          <cell r="W205">
            <v>0.03</v>
          </cell>
          <cell r="X205">
            <v>0.03</v>
          </cell>
          <cell r="Y205">
            <v>0.03</v>
          </cell>
          <cell r="Z205">
            <v>0.03</v>
          </cell>
          <cell r="AA205">
            <v>0.03</v>
          </cell>
          <cell r="AB205">
            <v>0.03</v>
          </cell>
          <cell r="AC205">
            <v>0.03</v>
          </cell>
          <cell r="AD205">
            <v>0.03</v>
          </cell>
          <cell r="AE205">
            <v>0.03</v>
          </cell>
          <cell r="AF205">
            <v>0.03</v>
          </cell>
          <cell r="AG205">
            <v>0.03</v>
          </cell>
          <cell r="AH205">
            <v>0.03</v>
          </cell>
          <cell r="AI205">
            <v>0.03</v>
          </cell>
          <cell r="AJ205">
            <v>0.03</v>
          </cell>
          <cell r="AK205">
            <v>0.03</v>
          </cell>
          <cell r="AL205">
            <v>0.03</v>
          </cell>
          <cell r="AM205">
            <v>0.03</v>
          </cell>
          <cell r="AN205">
            <v>0.03</v>
          </cell>
          <cell r="AO205"/>
          <cell r="AP205"/>
          <cell r="AQ205"/>
          <cell r="AR205"/>
          <cell r="AS205">
            <v>0</v>
          </cell>
          <cell r="AT205"/>
          <cell r="AU205"/>
          <cell r="AV205"/>
          <cell r="AW205"/>
          <cell r="AX205">
            <v>0</v>
          </cell>
          <cell r="AY205"/>
          <cell r="AZ205"/>
          <cell r="BA205"/>
          <cell r="BB205"/>
          <cell r="BC205">
            <v>0</v>
          </cell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</row>
        <row r="206">
          <cell r="B206" t="str">
            <v>Sales - % Taiwan</v>
          </cell>
          <cell r="C206" t="str">
            <v>SALES_TAIWAN</v>
          </cell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</row>
        <row r="207">
          <cell r="B207" t="str">
            <v>Sales - % Other Developed Asia</v>
          </cell>
          <cell r="C207" t="str">
            <v>SALES_OTH_DEV_ASIA</v>
          </cell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</row>
        <row r="208">
          <cell r="B208" t="str">
            <v>Sales - % China</v>
          </cell>
          <cell r="C208" t="str">
            <v>SALES_CHINA</v>
          </cell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</row>
        <row r="209">
          <cell r="B209" t="str">
            <v>Sales - % India</v>
          </cell>
          <cell r="C209" t="str">
            <v>SALES_INDIA</v>
          </cell>
          <cell r="F209"/>
          <cell r="G209"/>
          <cell r="H209"/>
          <cell r="I209"/>
          <cell r="J209">
            <v>0.02</v>
          </cell>
          <cell r="K209">
            <v>0.02</v>
          </cell>
          <cell r="L209">
            <v>0.02</v>
          </cell>
          <cell r="M209">
            <v>0.02</v>
          </cell>
          <cell r="N209">
            <v>0.02</v>
          </cell>
          <cell r="O209">
            <v>0.02</v>
          </cell>
          <cell r="P209">
            <v>0.02</v>
          </cell>
          <cell r="Q209">
            <v>0.02</v>
          </cell>
          <cell r="R209">
            <v>0.02</v>
          </cell>
          <cell r="S209">
            <v>0.02</v>
          </cell>
          <cell r="T209">
            <v>0.02</v>
          </cell>
          <cell r="U209">
            <v>0.02</v>
          </cell>
          <cell r="V209">
            <v>0.02</v>
          </cell>
          <cell r="W209">
            <v>0.02</v>
          </cell>
          <cell r="X209">
            <v>0.02</v>
          </cell>
          <cell r="Y209">
            <v>0.02</v>
          </cell>
          <cell r="Z209">
            <v>0.02</v>
          </cell>
          <cell r="AA209">
            <v>0.02</v>
          </cell>
          <cell r="AB209">
            <v>0.02</v>
          </cell>
          <cell r="AC209">
            <v>0.02</v>
          </cell>
          <cell r="AD209">
            <v>0.02</v>
          </cell>
          <cell r="AE209">
            <v>0.02</v>
          </cell>
          <cell r="AF209">
            <v>0.02</v>
          </cell>
          <cell r="AG209">
            <v>0.02</v>
          </cell>
          <cell r="AH209">
            <v>0.02</v>
          </cell>
          <cell r="AI209">
            <v>0.02</v>
          </cell>
          <cell r="AJ209">
            <v>0.02</v>
          </cell>
          <cell r="AK209">
            <v>0.02</v>
          </cell>
          <cell r="AL209">
            <v>0.02</v>
          </cell>
          <cell r="AM209">
            <v>0.02</v>
          </cell>
          <cell r="AN209">
            <v>0.02</v>
          </cell>
          <cell r="AO209"/>
          <cell r="AP209"/>
          <cell r="AQ209"/>
          <cell r="AR209"/>
          <cell r="AS209">
            <v>0</v>
          </cell>
          <cell r="AT209"/>
          <cell r="AU209"/>
          <cell r="AV209"/>
          <cell r="AW209"/>
          <cell r="AX209">
            <v>0</v>
          </cell>
          <cell r="AY209"/>
          <cell r="AZ209"/>
          <cell r="BA209"/>
          <cell r="BB209"/>
          <cell r="BC209">
            <v>0</v>
          </cell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</row>
        <row r="210">
          <cell r="B210" t="str">
            <v>Sales - % Indonesia</v>
          </cell>
          <cell r="C210" t="str">
            <v>SALES_INDONESIA</v>
          </cell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</row>
        <row r="211">
          <cell r="B211" t="str">
            <v>Sales - % Thailand</v>
          </cell>
          <cell r="C211" t="str">
            <v>SALES_THAILAND</v>
          </cell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</row>
        <row r="212">
          <cell r="B212" t="str">
            <v>Sales - % Other Emerging Asia</v>
          </cell>
          <cell r="C212" t="str">
            <v>SALES_OTH_EMERG_ASIA</v>
          </cell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</row>
        <row r="213">
          <cell r="B213" t="str">
            <v>Sales - % Australia</v>
          </cell>
          <cell r="C213" t="str">
            <v>SALES_AUSTRA</v>
          </cell>
          <cell r="F213"/>
          <cell r="G213"/>
          <cell r="H213"/>
          <cell r="I213"/>
          <cell r="J213">
            <v>0.05</v>
          </cell>
          <cell r="K213">
            <v>0.05</v>
          </cell>
          <cell r="L213">
            <v>0.05</v>
          </cell>
          <cell r="M213">
            <v>0.05</v>
          </cell>
          <cell r="N213">
            <v>0.05</v>
          </cell>
          <cell r="O213">
            <v>0.05</v>
          </cell>
          <cell r="P213">
            <v>0.05</v>
          </cell>
          <cell r="Q213">
            <v>0.05</v>
          </cell>
          <cell r="R213">
            <v>0.05</v>
          </cell>
          <cell r="S213">
            <v>0.05</v>
          </cell>
          <cell r="T213">
            <v>0.05</v>
          </cell>
          <cell r="U213">
            <v>0.05</v>
          </cell>
          <cell r="V213">
            <v>0.05</v>
          </cell>
          <cell r="W213">
            <v>0.05</v>
          </cell>
          <cell r="X213">
            <v>0.05</v>
          </cell>
          <cell r="Y213">
            <v>0.05</v>
          </cell>
          <cell r="Z213">
            <v>0.05</v>
          </cell>
          <cell r="AA213">
            <v>0.05</v>
          </cell>
          <cell r="AB213">
            <v>0.05</v>
          </cell>
          <cell r="AC213">
            <v>0.05</v>
          </cell>
          <cell r="AD213">
            <v>0.05</v>
          </cell>
          <cell r="AE213">
            <v>0.05</v>
          </cell>
          <cell r="AF213">
            <v>0.05</v>
          </cell>
          <cell r="AG213">
            <v>0.05</v>
          </cell>
          <cell r="AH213">
            <v>0.05</v>
          </cell>
          <cell r="AI213">
            <v>0.05</v>
          </cell>
          <cell r="AJ213">
            <v>0.05</v>
          </cell>
          <cell r="AK213">
            <v>0.05</v>
          </cell>
          <cell r="AL213">
            <v>0.05</v>
          </cell>
          <cell r="AM213">
            <v>0.05</v>
          </cell>
          <cell r="AN213">
            <v>0.05</v>
          </cell>
          <cell r="AO213"/>
          <cell r="AP213"/>
          <cell r="AQ213"/>
          <cell r="AR213"/>
          <cell r="AS213">
            <v>0</v>
          </cell>
          <cell r="AT213"/>
          <cell r="AU213"/>
          <cell r="AV213"/>
          <cell r="AW213"/>
          <cell r="AX213">
            <v>0</v>
          </cell>
          <cell r="AY213"/>
          <cell r="AZ213"/>
          <cell r="BA213"/>
          <cell r="BB213"/>
          <cell r="BC213">
            <v>0</v>
          </cell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</row>
        <row r="214">
          <cell r="B214" t="str">
            <v>Sales - % New Zealand</v>
          </cell>
          <cell r="C214" t="str">
            <v>SALES_NZ</v>
          </cell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</row>
        <row r="215">
          <cell r="B215" t="str">
            <v>Sales - % Others</v>
          </cell>
          <cell r="C215" t="str">
            <v>SALES_OTHER</v>
          </cell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</row>
        <row r="216">
          <cell r="B216" t="str">
            <v>% of CoGS from U.S. (GS estimate)</v>
          </cell>
          <cell r="C216" t="str">
            <v>COGS_PCT_US</v>
          </cell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>
            <v>1</v>
          </cell>
          <cell r="AJ216"/>
          <cell r="AK216"/>
          <cell r="AL216"/>
          <cell r="AM216"/>
          <cell r="AN216">
            <v>1</v>
          </cell>
          <cell r="AO216"/>
          <cell r="AP216"/>
          <cell r="AQ216"/>
          <cell r="AR216"/>
          <cell r="AS216">
            <v>1</v>
          </cell>
          <cell r="AT216"/>
          <cell r="AU216"/>
          <cell r="AV216"/>
          <cell r="AW216"/>
          <cell r="AX216">
            <v>1</v>
          </cell>
          <cell r="AY216"/>
          <cell r="AZ216"/>
          <cell r="BA216"/>
          <cell r="BB216"/>
          <cell r="BC216">
            <v>1</v>
          </cell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</row>
        <row r="217">
          <cell r="B217" t="str">
            <v>% of CoGS from non-U.S. (GS estimate)</v>
          </cell>
          <cell r="C217" t="str">
            <v>COGS_PCT_ROW</v>
          </cell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>
            <v>0</v>
          </cell>
          <cell r="AJ217"/>
          <cell r="AK217"/>
          <cell r="AL217"/>
          <cell r="AM217"/>
          <cell r="AN217">
            <v>0</v>
          </cell>
          <cell r="AO217"/>
          <cell r="AP217"/>
          <cell r="AQ217"/>
          <cell r="AR217"/>
          <cell r="AS217">
            <v>0</v>
          </cell>
          <cell r="AT217"/>
          <cell r="AU217"/>
          <cell r="AV217"/>
          <cell r="AW217"/>
          <cell r="AX217">
            <v>0</v>
          </cell>
          <cell r="AY217"/>
          <cell r="AZ217"/>
          <cell r="BA217"/>
          <cell r="BB217"/>
          <cell r="BC217">
            <v>0</v>
          </cell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</row>
        <row r="218">
          <cell r="B218" t="str">
            <v>% of SG&amp;A from U.S. (GS estimate)</v>
          </cell>
          <cell r="C218" t="str">
            <v>SGA_PCT_US</v>
          </cell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>
            <v>1</v>
          </cell>
          <cell r="AJ218"/>
          <cell r="AK218"/>
          <cell r="AL218"/>
          <cell r="AM218"/>
          <cell r="AN218">
            <v>1</v>
          </cell>
          <cell r="AO218"/>
          <cell r="AP218"/>
          <cell r="AQ218"/>
          <cell r="AR218"/>
          <cell r="AS218">
            <v>1</v>
          </cell>
          <cell r="AT218"/>
          <cell r="AU218"/>
          <cell r="AV218"/>
          <cell r="AW218"/>
          <cell r="AX218">
            <v>1</v>
          </cell>
          <cell r="AY218"/>
          <cell r="AZ218"/>
          <cell r="BA218"/>
          <cell r="BB218"/>
          <cell r="BC218">
            <v>1</v>
          </cell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</row>
        <row r="219">
          <cell r="B219" t="str">
            <v>% of SG&amp;A from non-U.S. (GS estimate)</v>
          </cell>
          <cell r="C219" t="str">
            <v>SGA_PCT_ROW</v>
          </cell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>
            <v>0</v>
          </cell>
          <cell r="AJ219"/>
          <cell r="AK219"/>
          <cell r="AL219"/>
          <cell r="AM219"/>
          <cell r="AN219">
            <v>0</v>
          </cell>
          <cell r="AO219"/>
          <cell r="AP219"/>
          <cell r="AQ219"/>
          <cell r="AR219"/>
          <cell r="AS219">
            <v>0</v>
          </cell>
          <cell r="AT219"/>
          <cell r="AU219"/>
          <cell r="AV219"/>
          <cell r="AW219"/>
          <cell r="AX219">
            <v>0</v>
          </cell>
          <cell r="AY219"/>
          <cell r="AZ219"/>
          <cell r="BA219"/>
          <cell r="BB219"/>
          <cell r="BC219">
            <v>0</v>
          </cell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</row>
        <row r="220">
          <cell r="B220" t="str">
            <v>Sales -% Consumer (C)</v>
          </cell>
          <cell r="C220" t="str">
            <v>SALES_CONS</v>
          </cell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/>
          <cell r="AP220"/>
          <cell r="AQ220"/>
          <cell r="AR220"/>
          <cell r="AS220">
            <v>0</v>
          </cell>
          <cell r="AT220"/>
          <cell r="AU220"/>
          <cell r="AV220"/>
          <cell r="AW220"/>
          <cell r="AX220">
            <v>0</v>
          </cell>
          <cell r="AY220"/>
          <cell r="AZ220"/>
          <cell r="BA220"/>
          <cell r="BB220"/>
          <cell r="BC220">
            <v>0</v>
          </cell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</row>
        <row r="221">
          <cell r="B221" t="str">
            <v>Sales -% Industry (I)</v>
          </cell>
          <cell r="C221" t="str">
            <v>SALES_IND</v>
          </cell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0.7</v>
          </cell>
          <cell r="AJ221">
            <v>0.7</v>
          </cell>
          <cell r="AK221">
            <v>0.7</v>
          </cell>
          <cell r="AL221">
            <v>0.7</v>
          </cell>
          <cell r="AM221">
            <v>0.7</v>
          </cell>
          <cell r="AN221">
            <v>0.7</v>
          </cell>
          <cell r="AO221"/>
          <cell r="AP221"/>
          <cell r="AQ221"/>
          <cell r="AR221"/>
          <cell r="AS221">
            <v>0</v>
          </cell>
          <cell r="AT221"/>
          <cell r="AU221"/>
          <cell r="AV221"/>
          <cell r="AW221"/>
          <cell r="AX221">
            <v>0</v>
          </cell>
          <cell r="AY221"/>
          <cell r="AZ221"/>
          <cell r="BA221"/>
          <cell r="BB221"/>
          <cell r="BC221">
            <v>0</v>
          </cell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</row>
        <row r="222">
          <cell r="B222" t="str">
            <v>Sales -% Government (G)</v>
          </cell>
          <cell r="C222" t="str">
            <v>SALES_GOV</v>
          </cell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0.2</v>
          </cell>
          <cell r="AJ222">
            <v>0.2</v>
          </cell>
          <cell r="AK222">
            <v>0.2</v>
          </cell>
          <cell r="AL222">
            <v>0.2</v>
          </cell>
          <cell r="AM222">
            <v>0.2</v>
          </cell>
          <cell r="AN222">
            <v>0.2</v>
          </cell>
          <cell r="AO222"/>
          <cell r="AP222"/>
          <cell r="AQ222"/>
          <cell r="AR222"/>
          <cell r="AS222">
            <v>0</v>
          </cell>
          <cell r="AT222"/>
          <cell r="AU222"/>
          <cell r="AV222"/>
          <cell r="AW222"/>
          <cell r="AX222">
            <v>0</v>
          </cell>
          <cell r="AY222"/>
          <cell r="AZ222"/>
          <cell r="BA222"/>
          <cell r="BB222"/>
          <cell r="BC222">
            <v>0</v>
          </cell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</row>
        <row r="223">
          <cell r="B223" t="str">
            <v>Sales - % Industry Sub-Segment: Financial Services</v>
          </cell>
          <cell r="C223" t="str">
            <v>SALES_FINAN</v>
          </cell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>
            <v>0.1</v>
          </cell>
          <cell r="AJ223"/>
          <cell r="AK223"/>
          <cell r="AL223"/>
          <cell r="AM223"/>
          <cell r="AN223">
            <v>0.1</v>
          </cell>
          <cell r="AO223"/>
          <cell r="AP223"/>
          <cell r="AQ223"/>
          <cell r="AR223"/>
          <cell r="AS223">
            <v>0.1</v>
          </cell>
          <cell r="AT223"/>
          <cell r="AU223"/>
          <cell r="AV223"/>
          <cell r="AW223"/>
          <cell r="AX223">
            <v>0.1</v>
          </cell>
          <cell r="AY223"/>
          <cell r="AZ223"/>
          <cell r="BA223"/>
          <cell r="BB223"/>
          <cell r="BC223">
            <v>0.1</v>
          </cell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</row>
        <row r="224">
          <cell r="B224" t="str">
            <v>Sales - % Industry Sub-Segment: Oil &amp; Gas</v>
          </cell>
          <cell r="C224" t="str">
            <v>SALES_OIL_GAS</v>
          </cell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>
            <v>0</v>
          </cell>
          <cell r="AJ224"/>
          <cell r="AK224"/>
          <cell r="AL224"/>
          <cell r="AM224"/>
          <cell r="AN224">
            <v>0</v>
          </cell>
          <cell r="AO224"/>
          <cell r="AP224"/>
          <cell r="AQ224"/>
          <cell r="AR224"/>
          <cell r="AS224">
            <v>0</v>
          </cell>
          <cell r="AT224"/>
          <cell r="AU224"/>
          <cell r="AV224"/>
          <cell r="AW224"/>
          <cell r="AX224">
            <v>0</v>
          </cell>
          <cell r="AY224"/>
          <cell r="AZ224"/>
          <cell r="BA224"/>
          <cell r="BB224"/>
          <cell r="BC224">
            <v>0</v>
          </cell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</row>
        <row r="225">
          <cell r="B225" t="str">
            <v>Sales (%) SMB</v>
          </cell>
          <cell r="C225" t="str">
            <v>SALES_SMB</v>
          </cell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>
            <v>0</v>
          </cell>
          <cell r="AJ225"/>
          <cell r="AK225"/>
          <cell r="AL225"/>
          <cell r="AM225"/>
          <cell r="AN225">
            <v>0</v>
          </cell>
          <cell r="AO225"/>
          <cell r="AP225"/>
          <cell r="AQ225"/>
          <cell r="AR225"/>
          <cell r="AS225">
            <v>0</v>
          </cell>
          <cell r="AT225"/>
          <cell r="AU225"/>
          <cell r="AV225"/>
          <cell r="AW225"/>
          <cell r="AX225">
            <v>0</v>
          </cell>
          <cell r="AY225"/>
          <cell r="AZ225"/>
          <cell r="BA225"/>
          <cell r="BB225"/>
          <cell r="BC225">
            <v>0</v>
          </cell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</row>
        <row r="226">
          <cell r="B226" t="str">
            <v>% of total cash balance held overseas (outside the US)</v>
          </cell>
          <cell r="C226" t="str">
            <v>CASH_PCT_OS_US</v>
          </cell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>
            <v>0</v>
          </cell>
          <cell r="AT226"/>
          <cell r="AU226"/>
          <cell r="AV226"/>
          <cell r="AW226"/>
          <cell r="AX226">
            <v>0</v>
          </cell>
          <cell r="AY226"/>
          <cell r="AZ226"/>
          <cell r="BA226"/>
          <cell r="BB226"/>
          <cell r="BC226">
            <v>0</v>
          </cell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</row>
        <row r="227">
          <cell r="B227" t="str">
            <v>Sales - % from Captive Financing Business</v>
          </cell>
          <cell r="C227" t="str">
            <v>REV_FIN_SEGMENT</v>
          </cell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</row>
        <row r="228">
          <cell r="B228" t="str">
            <v>Operating Earnings - % from Captive Financing Business</v>
          </cell>
          <cell r="C228" t="str">
            <v>EBIT_FIN_SEGMENT</v>
          </cell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</row>
        <row r="229">
          <cell r="A229" t="str">
            <v>Commodities Exposure - Expense</v>
          </cell>
          <cell r="B229"/>
          <cell r="C229"/>
          <cell r="D229"/>
        </row>
        <row r="230">
          <cell r="B230" t="str">
            <v>Expense - % Oil/Petrol/Fuel</v>
          </cell>
          <cell r="C230" t="str">
            <v>EXP_OIL_PETRO_FUEL</v>
          </cell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/>
          <cell r="AZ230"/>
          <cell r="BA230"/>
          <cell r="BB230"/>
          <cell r="BC230">
            <v>0</v>
          </cell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</row>
        <row r="231">
          <cell r="B231" t="str">
            <v>Expense - % Oil derivatives/NGLs/plastics</v>
          </cell>
          <cell r="C231" t="str">
            <v>EXP_OIL_DERIV_NGLS_PLASTICS</v>
          </cell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/>
          <cell r="AZ231"/>
          <cell r="BA231"/>
          <cell r="BB231"/>
          <cell r="BC231">
            <v>0</v>
          </cell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</row>
        <row r="232">
          <cell r="A232" t="str">
            <v>FX Exposure - Sales</v>
          </cell>
          <cell r="B232"/>
          <cell r="C232"/>
          <cell r="D232"/>
        </row>
        <row r="233">
          <cell r="B233" t="str">
            <v>Sales - % FX: British Pounds/Pence</v>
          </cell>
          <cell r="C233" t="str">
            <v>SALES_FX_GPB</v>
          </cell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</row>
        <row r="234">
          <cell r="B234" t="str">
            <v>Sales - % FX: Euro</v>
          </cell>
          <cell r="C234" t="str">
            <v>SALES_FX_EUR</v>
          </cell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</row>
        <row r="235">
          <cell r="B235" t="str">
            <v>Sales - % FX: New Russian Ruble</v>
          </cell>
          <cell r="C235" t="str">
            <v>SALES_FX_RUB</v>
          </cell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</row>
        <row r="236">
          <cell r="B236" t="str">
            <v>Sales - % FX: U.S. Dollar</v>
          </cell>
          <cell r="C236" t="str">
            <v>SALES_FX_USD</v>
          </cell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</row>
        <row r="237">
          <cell r="B237" t="str">
            <v>Sales - % FX: Brazilian Real</v>
          </cell>
          <cell r="C237" t="str">
            <v>SALES_FX_BRL</v>
          </cell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</row>
        <row r="238">
          <cell r="B238" t="str">
            <v>Sales - % FX: Japanese Yen</v>
          </cell>
          <cell r="C238" t="str">
            <v>SALES_FX_YEN</v>
          </cell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</row>
        <row r="239">
          <cell r="B239" t="str">
            <v>Sales - % FX: Chinese Renminbi</v>
          </cell>
          <cell r="C239" t="str">
            <v>SALES_FX_CNY</v>
          </cell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</row>
        <row r="240">
          <cell r="B240" t="str">
            <v>Sales - % FX: Indian Rupee</v>
          </cell>
          <cell r="C240" t="str">
            <v>SALES_FX_INR</v>
          </cell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</row>
        <row r="241">
          <cell r="B241" t="str">
            <v>Sales - % FX: Canadian Dollar</v>
          </cell>
          <cell r="C241" t="str">
            <v>SALES_FX_CAD</v>
          </cell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</row>
        <row r="242">
          <cell r="B242" t="str">
            <v>Sales - % FX: Mexican Peso</v>
          </cell>
          <cell r="C242" t="str">
            <v>SALES_FX_MXN</v>
          </cell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</row>
        <row r="243">
          <cell r="B243" t="str">
            <v>Sales - % FX: Colombian Peso</v>
          </cell>
          <cell r="C243" t="str">
            <v>SALES_FX_COP</v>
          </cell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</row>
        <row r="244">
          <cell r="B244" t="str">
            <v>Sales - % FX: Argentine Peso</v>
          </cell>
          <cell r="C244" t="str">
            <v>SALES_FX_ARS</v>
          </cell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</row>
        <row r="245">
          <cell r="B245" t="str">
            <v>Sales - % FX: Chilean Peso</v>
          </cell>
          <cell r="C245" t="str">
            <v>SALES_FX_CLP</v>
          </cell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</row>
        <row r="246">
          <cell r="B246" t="str">
            <v>Sales - % FX: Venezuelan bolivar</v>
          </cell>
          <cell r="C246" t="str">
            <v>SALES_FX_VEF</v>
          </cell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</row>
        <row r="247">
          <cell r="B247" t="str">
            <v>Sales - % FX: Other Currency</v>
          </cell>
          <cell r="C247" t="str">
            <v>SALES_FX_OTH</v>
          </cell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</row>
        <row r="248">
          <cell r="A248" t="str">
            <v>Items to be removed</v>
          </cell>
          <cell r="B248"/>
          <cell r="C248"/>
          <cell r="D248"/>
        </row>
        <row r="249">
          <cell r="B249" t="str">
            <v>Sales - Total % Americas</v>
          </cell>
          <cell r="C249" t="str">
            <v>SALES_TOT_AM</v>
          </cell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</row>
        <row r="250">
          <cell r="B250" t="str">
            <v>Sales - % Other Americas</v>
          </cell>
          <cell r="C250" t="str">
            <v>SALES_OTH_AM</v>
          </cell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</row>
        <row r="251">
          <cell r="B251" t="str">
            <v>Sales - Total % EMEA</v>
          </cell>
          <cell r="C251" t="str">
            <v>SALES_TOT_EMEA</v>
          </cell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</row>
        <row r="252">
          <cell r="B252" t="str">
            <v>Sales - % Western Europe-Ex UK</v>
          </cell>
          <cell r="C252" t="str">
            <v>SALES_EU_EX_UK</v>
          </cell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</row>
        <row r="253">
          <cell r="B253" t="str">
            <v>Sales - % Central &amp; Eastern Europe</v>
          </cell>
          <cell r="C253" t="str">
            <v>SALES_CEE</v>
          </cell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</row>
        <row r="254">
          <cell r="B254" t="str">
            <v>Sales - % Middle East</v>
          </cell>
          <cell r="C254" t="str">
            <v>SALES_ME</v>
          </cell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</row>
        <row r="255">
          <cell r="B255" t="str">
            <v>Sales - % Total Africa</v>
          </cell>
          <cell r="C255" t="str">
            <v>SALES_TOT_AFRICA</v>
          </cell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</row>
        <row r="256">
          <cell r="B256" t="str">
            <v>Sales - % Other EMEA</v>
          </cell>
          <cell r="C256" t="str">
            <v>SALES_OTH_EMEA</v>
          </cell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</row>
        <row r="257">
          <cell r="B257" t="str">
            <v>Sales - Total % Asia (incl Australia &amp; New Zealand)</v>
          </cell>
          <cell r="C257" t="str">
            <v>SALES_TOT_ASIA</v>
          </cell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</row>
        <row r="258">
          <cell r="B258" t="str">
            <v>Sales - % Other Asia</v>
          </cell>
          <cell r="C258" t="str">
            <v>SALES_OTH_AEJ</v>
          </cell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</row>
        <row r="259">
          <cell r="A259" t="str">
            <v>Security: Nutanix Inc.</v>
          </cell>
          <cell r="B259"/>
          <cell r="C259"/>
          <cell r="D259"/>
        </row>
        <row r="260">
          <cell r="A260" t="str">
            <v>Reference Data</v>
          </cell>
          <cell r="B260"/>
          <cell r="C260"/>
          <cell r="D260"/>
        </row>
        <row r="261">
          <cell r="B261" t="str">
            <v>Ticker</v>
          </cell>
          <cell r="C261" t="str">
            <v>Ticker</v>
          </cell>
          <cell r="E261" t="str">
            <v>NTNX</v>
          </cell>
        </row>
        <row r="262">
          <cell r="B262" t="str">
            <v>Security Name</v>
          </cell>
          <cell r="C262" t="str">
            <v>Security Name</v>
          </cell>
          <cell r="E262" t="str">
            <v>Nutanix Inc.</v>
          </cell>
        </row>
        <row r="263">
          <cell r="B263" t="str">
            <v>Interim Type</v>
          </cell>
          <cell r="C263" t="str">
            <v>Interim Type</v>
          </cell>
          <cell r="E263" t="str">
            <v>Q</v>
          </cell>
        </row>
        <row r="264">
          <cell r="B264" t="str">
            <v>Publishing Currency</v>
          </cell>
          <cell r="C264" t="str">
            <v>PUB_CURRENCY_ISO</v>
          </cell>
          <cell r="E264" t="str">
            <v>USD</v>
          </cell>
        </row>
        <row r="265">
          <cell r="B265" t="str">
            <v>Pricing Currency</v>
          </cell>
          <cell r="C265" t="str">
            <v>PRICE_CURRENCY_ISO</v>
          </cell>
          <cell r="E265" t="str">
            <v>USD</v>
          </cell>
        </row>
        <row r="266">
          <cell r="B266" t="str">
            <v>Reporting Currency</v>
          </cell>
          <cell r="C266" t="str">
            <v>CURRENCY_ISO</v>
          </cell>
          <cell r="E266" t="str">
            <v>USD</v>
          </cell>
        </row>
        <row r="267">
          <cell r="A267" t="str">
            <v>General Information</v>
          </cell>
          <cell r="B267"/>
          <cell r="C267"/>
          <cell r="D267"/>
        </row>
        <row r="268">
          <cell r="B268" t="str">
            <v>Americas Investment List</v>
          </cell>
          <cell r="C268" t="str">
            <v>AMER_LIST</v>
          </cell>
          <cell r="E268"/>
        </row>
        <row r="269">
          <cell r="B269" t="str">
            <v>Americas Conviction List</v>
          </cell>
          <cell r="C269" t="str">
            <v>NOT IN USE</v>
          </cell>
          <cell r="E269"/>
        </row>
        <row r="270">
          <cell r="B270" t="str">
            <v>Legal rating</v>
          </cell>
          <cell r="C270" t="str">
            <v>LEGAL_RATING</v>
          </cell>
          <cell r="E270"/>
        </row>
        <row r="271">
          <cell r="B271" t="str">
            <v>Target price</v>
          </cell>
          <cell r="C271" t="str">
            <v>TARGET_PRICE</v>
          </cell>
          <cell r="D271" t="str">
            <v>USD</v>
          </cell>
          <cell r="E271">
            <v>80</v>
          </cell>
        </row>
        <row r="272">
          <cell r="B272" t="str">
            <v>Target price period</v>
          </cell>
          <cell r="C272" t="str">
            <v>TP_PERIOD</v>
          </cell>
          <cell r="E272" t="str">
            <v>12 months</v>
          </cell>
        </row>
        <row r="273">
          <cell r="B273" t="str">
            <v>Fundamental value</v>
          </cell>
          <cell r="C273" t="str">
            <v>TARGET_PRICE_FUNDAMENTAL</v>
          </cell>
          <cell r="D273" t="str">
            <v>USD</v>
          </cell>
          <cell r="E273"/>
        </row>
        <row r="274">
          <cell r="B274" t="str">
            <v>M&amp;A value</v>
          </cell>
          <cell r="C274" t="str">
            <v>TARGET_PRICE_MA</v>
          </cell>
          <cell r="D274" t="str">
            <v>USD</v>
          </cell>
          <cell r="E274"/>
        </row>
        <row r="275">
          <cell r="B275" t="str">
            <v>Current shares outstanding (mn)</v>
          </cell>
          <cell r="C275" t="str">
            <v>NUM_SH</v>
          </cell>
          <cell r="E275">
            <v>293.351</v>
          </cell>
        </row>
        <row r="276">
          <cell r="B276" t="str">
            <v>Free float</v>
          </cell>
          <cell r="C276" t="str">
            <v>FREE_FLOAT</v>
          </cell>
          <cell r="E276"/>
        </row>
        <row r="277">
          <cell r="A277" t="str">
            <v>Publishing Items</v>
          </cell>
          <cell r="B277"/>
          <cell r="C277"/>
          <cell r="D277"/>
        </row>
        <row r="278">
          <cell r="B278" t="str">
            <v>Book value per share, BVPS (Pub)</v>
          </cell>
          <cell r="C278" t="str">
            <v>BVPS_PUB</v>
          </cell>
          <cell r="D278" t="str">
            <v>USD</v>
          </cell>
          <cell r="F278"/>
          <cell r="G278"/>
          <cell r="H278">
            <v>1.1308838717257867</v>
          </cell>
          <cell r="I278">
            <v>1.8673406356403326</v>
          </cell>
          <cell r="J278">
            <v>-1.4995548935543672</v>
          </cell>
          <cell r="K278">
            <v>2.3081115621003465</v>
          </cell>
          <cell r="L278">
            <v>0.92877575941959201</v>
          </cell>
          <cell r="M278">
            <v>0.66112509471419767</v>
          </cell>
          <cell r="N278">
            <v>1.422603126274298</v>
          </cell>
          <cell r="O278">
            <v>1.6941937750980658</v>
          </cell>
          <cell r="P278">
            <v>1.3814206424516817</v>
          </cell>
          <cell r="Q278">
            <v>1.8578198238690913</v>
          </cell>
          <cell r="R278">
            <v>2.1252050938801212</v>
          </cell>
          <cell r="S278">
            <v>1.908783190684384</v>
          </cell>
          <cell r="T278">
            <v>1.9911216041879158</v>
          </cell>
          <cell r="U278">
            <v>2.458414554905783</v>
          </cell>
          <cell r="V278">
            <v>2.1484633174510308</v>
          </cell>
          <cell r="W278">
            <v>1.6694413624612634</v>
          </cell>
          <cell r="X278">
            <v>1.0028008649414353</v>
          </cell>
          <cell r="Y278">
            <v>1.0323265755103337</v>
          </cell>
          <cell r="Z278">
            <v>0.33494313838172413</v>
          </cell>
          <cell r="AA278">
            <v>-0.34298256082437661</v>
          </cell>
          <cell r="AB278">
            <v>-0.93722436674373233</v>
          </cell>
          <cell r="AC278">
            <v>-1.3738546090432169</v>
          </cell>
          <cell r="AD278">
            <v>-1.412169437014051</v>
          </cell>
          <cell r="AE278">
            <v>-2.7443068514734485</v>
          </cell>
          <cell r="AF278">
            <v>-3.7497750309023479</v>
          </cell>
          <cell r="AG278">
            <v>-3.5951857111908114</v>
          </cell>
          <cell r="AH278">
            <v>-4.7600370628186539</v>
          </cell>
          <cell r="AI278">
            <v>-4.9031250601035872</v>
          </cell>
          <cell r="AJ278">
            <v>-3.2424233987164675</v>
          </cell>
          <cell r="AK278">
            <v>-3.3162270118094392</v>
          </cell>
          <cell r="AL278">
            <v>-3.2447353161956731</v>
          </cell>
          <cell r="AM278">
            <v>-3.5515133230995857</v>
          </cell>
          <cell r="AN278">
            <v>-3.6299319951682247</v>
          </cell>
          <cell r="AO278">
            <v>-3.4612547255670676</v>
          </cell>
          <cell r="AP278">
            <v>-3.3747348269260629</v>
          </cell>
          <cell r="AQ278">
            <v>-3.3615225680022172</v>
          </cell>
          <cell r="AR278">
            <v>-2.9744483500958636</v>
          </cell>
          <cell r="AS278">
            <v>-3.0329228813784761</v>
          </cell>
          <cell r="AT278">
            <v>-2.6593689179676185</v>
          </cell>
          <cell r="AU278">
            <v>-2.5084046536232885</v>
          </cell>
          <cell r="AV278">
            <v>-2.5205276563885994</v>
          </cell>
          <cell r="AW278">
            <v>-2.9374309158242102</v>
          </cell>
          <cell r="AX278">
            <v>-2.9751512034338483</v>
          </cell>
          <cell r="AY278">
            <v>-2.5709269346778925</v>
          </cell>
          <cell r="AZ278">
            <v>-3.0234335811453223</v>
          </cell>
          <cell r="BA278">
            <v>-2.6415800399475948</v>
          </cell>
          <cell r="BB278">
            <v>-2.426102079305867</v>
          </cell>
          <cell r="BC278">
            <v>-2.457654864358044</v>
          </cell>
          <cell r="BD278">
            <v>-1.927960707316384</v>
          </cell>
          <cell r="BE278">
            <v>-1.2671912230074405</v>
          </cell>
          <cell r="BF278">
            <v>-0.82258852657482684</v>
          </cell>
          <cell r="BG278">
            <v>-0.55826562902075116</v>
          </cell>
          <cell r="BH278">
            <v>-0.56342416913082505</v>
          </cell>
          <cell r="BI278">
            <v>3.9707459019224525E-2</v>
          </cell>
          <cell r="BJ278">
            <v>0.82063637442644199</v>
          </cell>
          <cell r="BK278">
            <v>1.3547601152628876</v>
          </cell>
          <cell r="BL278">
            <v>1.7538773839051223</v>
          </cell>
          <cell r="BM278">
            <v>1.7712195936274855</v>
          </cell>
          <cell r="BN278">
            <v>2.5335037120832822</v>
          </cell>
          <cell r="BO278">
            <v>3.5158958933518174</v>
          </cell>
          <cell r="BP278">
            <v>4.2068711919862105</v>
          </cell>
          <cell r="BQ278">
            <v>4.677882969329465</v>
          </cell>
          <cell r="BR278">
            <v>4.7261254017717791</v>
          </cell>
          <cell r="BS278">
            <v>5.5822127393818866</v>
          </cell>
          <cell r="BT278">
            <v>6.7122143108653916</v>
          </cell>
          <cell r="BU278">
            <v>7.5073397150986381</v>
          </cell>
          <cell r="BV278">
            <v>8.061189102620629</v>
          </cell>
          <cell r="BW278">
            <v>8.1421769217921725</v>
          </cell>
          <cell r="BX278">
            <v>9.1085549513861714</v>
          </cell>
          <cell r="BY278">
            <v>10.406146353716684</v>
          </cell>
          <cell r="BZ278">
            <v>11.319650325620964</v>
          </cell>
          <cell r="CA278">
            <v>11.969103235371222</v>
          </cell>
          <cell r="CB278">
            <v>12.086223246812548</v>
          </cell>
        </row>
        <row r="279">
          <cell r="B279" t="str">
            <v>DPS, dividend per share (Pub)</v>
          </cell>
          <cell r="C279" t="str">
            <v>DPS_PUB</v>
          </cell>
          <cell r="D279" t="str">
            <v>USD</v>
          </cell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</row>
        <row r="280">
          <cell r="B280" t="str">
            <v>Special dividend per share</v>
          </cell>
          <cell r="C280" t="str">
            <v>DPS_SPECIAL_PUB</v>
          </cell>
          <cell r="D280" t="str">
            <v>USD</v>
          </cell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</row>
        <row r="281">
          <cell r="B281" t="str">
            <v>EBITDA (Pub)</v>
          </cell>
          <cell r="C281" t="str">
            <v>EBITDA_PUB</v>
          </cell>
          <cell r="D281" t="str">
            <v>USD</v>
          </cell>
          <cell r="F281">
            <v>-12.528999999999998</v>
          </cell>
          <cell r="G281">
            <v>-39.61</v>
          </cell>
          <cell r="H281">
            <v>-72.459000000000017</v>
          </cell>
          <cell r="I281">
            <v>-101.62500000000003</v>
          </cell>
          <cell r="J281">
            <v>-58.161999999999864</v>
          </cell>
          <cell r="K281">
            <v>-13.915999999999997</v>
          </cell>
          <cell r="L281">
            <v>-12.299999999999983</v>
          </cell>
          <cell r="M281">
            <v>-34.074000000000012</v>
          </cell>
          <cell r="N281">
            <v>-13.403999999999968</v>
          </cell>
          <cell r="O281">
            <v>-73.694000000000074</v>
          </cell>
          <cell r="P281">
            <v>-10.802999999999997</v>
          </cell>
          <cell r="Q281">
            <v>-8.5169999999999959</v>
          </cell>
          <cell r="R281">
            <v>-21.569999999999993</v>
          </cell>
          <cell r="S281">
            <v>-5.4590000000000032</v>
          </cell>
          <cell r="T281">
            <v>-46.348999999999933</v>
          </cell>
          <cell r="U281">
            <v>-9.6819999999999595</v>
          </cell>
          <cell r="V281">
            <v>-20.201999999999998</v>
          </cell>
          <cell r="W281">
            <v>-84.044999999999959</v>
          </cell>
          <cell r="X281">
            <v>-82.739000000000033</v>
          </cell>
          <cell r="Y281">
            <v>-196.66799999999989</v>
          </cell>
          <cell r="Z281">
            <v>-111.75099999999998</v>
          </cell>
          <cell r="AA281">
            <v>-90.864999999999952</v>
          </cell>
          <cell r="AB281">
            <v>-109.08499999999998</v>
          </cell>
          <cell r="AC281">
            <v>-49.56799999999987</v>
          </cell>
          <cell r="AD281">
            <v>-361.26900000000001</v>
          </cell>
          <cell r="AE281">
            <v>-61.702999999999975</v>
          </cell>
          <cell r="AF281">
            <v>-43.394000000000005</v>
          </cell>
          <cell r="AG281">
            <v>-56.608000000000004</v>
          </cell>
          <cell r="AH281">
            <v>-24.951999999999884</v>
          </cell>
          <cell r="AI281">
            <v>-186.65699999999993</v>
          </cell>
          <cell r="AJ281">
            <v>-18.939999999999998</v>
          </cell>
          <cell r="AK281">
            <v>20.885000000000048</v>
          </cell>
          <cell r="AL281">
            <v>15.788000000000011</v>
          </cell>
          <cell r="AM281">
            <v>-17.000000000000114</v>
          </cell>
          <cell r="AN281">
            <v>0.73299999999994725</v>
          </cell>
          <cell r="AO281">
            <v>30.035000000000025</v>
          </cell>
          <cell r="AP281">
            <v>89.627999999999986</v>
          </cell>
          <cell r="AQ281">
            <v>36.788000000000068</v>
          </cell>
          <cell r="AR281">
            <v>80.93300000000005</v>
          </cell>
          <cell r="AS281">
            <v>237.38400000000001</v>
          </cell>
          <cell r="AT281">
            <v>97.673000000000002</v>
          </cell>
          <cell r="AU281">
            <v>142.07999999999993</v>
          </cell>
          <cell r="AV281">
            <v>91.873000000000047</v>
          </cell>
          <cell r="AW281">
            <v>88.68</v>
          </cell>
          <cell r="AX281">
            <v>420.30600000000004</v>
          </cell>
          <cell r="AY281">
            <v>136.4009999999999</v>
          </cell>
          <cell r="AZ281">
            <v>179.536</v>
          </cell>
          <cell r="BA281">
            <v>127.1478941042306</v>
          </cell>
          <cell r="BB281">
            <v>81.527823897910821</v>
          </cell>
          <cell r="BC281">
            <v>524.61271800214149</v>
          </cell>
          <cell r="BD281">
            <v>165.10728259143161</v>
          </cell>
          <cell r="BE281">
            <v>212.89122383098345</v>
          </cell>
          <cell r="BF281">
            <v>151.86552948469239</v>
          </cell>
          <cell r="BG281">
            <v>100.657707764527</v>
          </cell>
          <cell r="BH281">
            <v>630.52174367163389</v>
          </cell>
          <cell r="BI281">
            <v>199.10212421034066</v>
          </cell>
          <cell r="BJ281">
            <v>253.97673000077862</v>
          </cell>
          <cell r="BK281">
            <v>181.1319730503925</v>
          </cell>
          <cell r="BL281">
            <v>123.02925460009385</v>
          </cell>
          <cell r="BM281">
            <v>757.24008186160563</v>
          </cell>
          <cell r="BN281">
            <v>238.17264990689421</v>
          </cell>
          <cell r="BO281">
            <v>300.98034973595043</v>
          </cell>
          <cell r="BP281">
            <v>214.40136116028611</v>
          </cell>
          <cell r="BQ281">
            <v>148.64548456028024</v>
          </cell>
          <cell r="BR281">
            <v>902.19984536341053</v>
          </cell>
          <cell r="BS281">
            <v>283.40275269185827</v>
          </cell>
          <cell r="BT281">
            <v>355.00613035923141</v>
          </cell>
          <cell r="BU281">
            <v>252.44952334260529</v>
          </cell>
          <cell r="BV281">
            <v>178.25364932200819</v>
          </cell>
          <cell r="BW281">
            <v>1069.1120557157033</v>
          </cell>
          <cell r="BX281">
            <v>335.61766298029158</v>
          </cell>
          <cell r="BY281">
            <v>416.9145851362814</v>
          </cell>
          <cell r="BZ281">
            <v>295.77618341264008</v>
          </cell>
          <cell r="CA281">
            <v>212.28991676672933</v>
          </cell>
          <cell r="CB281">
            <v>1260.5983482959432</v>
          </cell>
        </row>
        <row r="282">
          <cell r="B282" t="str">
            <v>EPS (Pub)</v>
          </cell>
          <cell r="C282" t="str">
            <v>EPS_PUB</v>
          </cell>
          <cell r="D282" t="str">
            <v>USD</v>
          </cell>
          <cell r="F282">
            <v>-0.40441533352994419</v>
          </cell>
          <cell r="G282">
            <v>-1.2068377288557779</v>
          </cell>
          <cell r="H282">
            <v>-2.1230770216527564</v>
          </cell>
          <cell r="I282">
            <v>-2.6522926818045391</v>
          </cell>
          <cell r="J282">
            <v>-1.9526780993778514</v>
          </cell>
          <cell r="K282">
            <v>-0.34914182399853022</v>
          </cell>
          <cell r="L282">
            <v>-0.16225740616324599</v>
          </cell>
          <cell r="M282">
            <v>-0.31695657930191296</v>
          </cell>
          <cell r="N282">
            <v>-0.17072181272865125</v>
          </cell>
          <cell r="O282">
            <v>-0.94219006261298865</v>
          </cell>
          <cell r="P282">
            <v>-0.15764702465064082</v>
          </cell>
          <cell r="Q282">
            <v>-0.14328779854221504</v>
          </cell>
          <cell r="R282">
            <v>-0.20752726845375019</v>
          </cell>
          <cell r="S282">
            <v>-0.11111140511843912</v>
          </cell>
          <cell r="T282">
            <v>-0.61868879409641642</v>
          </cell>
          <cell r="U282">
            <v>-0.13481071098799619</v>
          </cell>
          <cell r="V282">
            <v>-0.22519434924350079</v>
          </cell>
          <cell r="W282">
            <v>-0.56274765936282201</v>
          </cell>
          <cell r="X282">
            <v>-0.56786195277162244</v>
          </cell>
          <cell r="Y282">
            <v>-1.5071593500774385</v>
          </cell>
          <cell r="Z282">
            <v>-0.71348809253918644</v>
          </cell>
          <cell r="AA282">
            <v>-0.60334047642520239</v>
          </cell>
          <cell r="AB282">
            <v>-0.68873430227228727</v>
          </cell>
          <cell r="AC282">
            <v>-0.39467399450412177</v>
          </cell>
          <cell r="AD282">
            <v>-2.392394576838238</v>
          </cell>
          <cell r="AE282">
            <v>-0.44010930845170981</v>
          </cell>
          <cell r="AF282">
            <v>-0.36600829547699004</v>
          </cell>
          <cell r="AG282">
            <v>-0.41224273644175907</v>
          </cell>
          <cell r="AH282">
            <v>-0.26070964950237968</v>
          </cell>
          <cell r="AI282">
            <v>-1.4750764889309373</v>
          </cell>
          <cell r="AJ282">
            <v>-0.21745344525960619</v>
          </cell>
          <cell r="AK282">
            <v>-2.965613688713396E-2</v>
          </cell>
          <cell r="AL282">
            <v>-4.7893452239147802E-2</v>
          </cell>
          <cell r="AM282">
            <v>-0.17232628506020467</v>
          </cell>
          <cell r="AN282">
            <v>-0.46636570948685602</v>
          </cell>
          <cell r="AO282">
            <v>3.3131475777093362E-2</v>
          </cell>
          <cell r="AP282">
            <v>0.3110329245787416</v>
          </cell>
          <cell r="AQ282">
            <v>9.2517093744009279E-2</v>
          </cell>
          <cell r="AR282">
            <v>0.28396515187190979</v>
          </cell>
          <cell r="AS282">
            <v>0.72438778568371698</v>
          </cell>
          <cell r="AT282">
            <v>0.35214708683589402</v>
          </cell>
          <cell r="AU282">
            <v>0.4567093186842629</v>
          </cell>
          <cell r="AV282">
            <v>0.34687466940097494</v>
          </cell>
          <cell r="AW282">
            <v>0.30548316564872574</v>
          </cell>
          <cell r="AX282">
            <v>1.5622959594349992</v>
          </cell>
          <cell r="AY282">
            <v>0.42160932593333728</v>
          </cell>
          <cell r="AZ282">
            <v>0.56290246155629253</v>
          </cell>
          <cell r="BA282">
            <v>0.38921438734695157</v>
          </cell>
          <cell r="BB282">
            <v>0.2407266080436298</v>
          </cell>
          <cell r="BC282">
            <v>1.6111629873026416</v>
          </cell>
          <cell r="BD282">
            <v>0.50776320628006866</v>
          </cell>
          <cell r="BE282">
            <v>0.65894657517812649</v>
          </cell>
          <cell r="BF282">
            <v>0.46512900961764631</v>
          </cell>
          <cell r="BG282">
            <v>0.30265128612672165</v>
          </cell>
          <cell r="BH282">
            <v>1.9322636180990413</v>
          </cell>
          <cell r="BI282">
            <v>0.60903374325066417</v>
          </cell>
          <cell r="BJ282">
            <v>0.7796974293965947</v>
          </cell>
          <cell r="BK282">
            <v>0.55417682123137824</v>
          </cell>
          <cell r="BL282">
            <v>0.37442098694293713</v>
          </cell>
          <cell r="BM282">
            <v>2.3146002648486173</v>
          </cell>
          <cell r="BN282">
            <v>0.72554027132901633</v>
          </cell>
          <cell r="BO282">
            <v>0.91677483235437907</v>
          </cell>
          <cell r="BP282">
            <v>0.65595490816224056</v>
          </cell>
          <cell r="BQ282">
            <v>0.45849336381587319</v>
          </cell>
          <cell r="BR282">
            <v>2.7534675312758821</v>
          </cell>
          <cell r="BS282">
            <v>0.85955034327636515</v>
          </cell>
          <cell r="BT282">
            <v>1.0728415870576515</v>
          </cell>
          <cell r="BU282">
            <v>0.7721605565141898</v>
          </cell>
          <cell r="BV282">
            <v>0.55509913622748475</v>
          </cell>
          <cell r="BW282">
            <v>3.2560057312321624</v>
          </cell>
          <cell r="BX282">
            <v>1.0127726621374329</v>
          </cell>
          <cell r="BY282">
            <v>1.2497856022438318</v>
          </cell>
          <cell r="BZ282">
            <v>0.90388365222627831</v>
          </cell>
          <cell r="CA282">
            <v>0.6658692589246511</v>
          </cell>
          <cell r="CB282">
            <v>3.8282495536256822</v>
          </cell>
        </row>
        <row r="283">
          <cell r="B283" t="str">
            <v>Consensus earnings equivalent estimate</v>
          </cell>
          <cell r="C283" t="str">
            <v>CEEE_EPS</v>
          </cell>
          <cell r="D283" t="str">
            <v>USD</v>
          </cell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</row>
        <row r="284">
          <cell r="B284" t="str">
            <v>EPS (excl. ESO) (Pub)</v>
          </cell>
          <cell r="C284" t="str">
            <v>EPS_PUB_EX_ESO</v>
          </cell>
          <cell r="D284" t="str">
            <v>USD</v>
          </cell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</row>
        <row r="285">
          <cell r="B285" t="str">
            <v>EV adjustment (Pub)</v>
          </cell>
          <cell r="C285" t="str">
            <v>EV_ADJ_PUB</v>
          </cell>
          <cell r="D285" t="str">
            <v>USD</v>
          </cell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>
            <v>-22.61800000000008</v>
          </cell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</row>
        <row r="286">
          <cell r="B286" t="str">
            <v>Net debt (Pub)</v>
          </cell>
          <cell r="C286" t="str">
            <v>NET_DEBT_PUB</v>
          </cell>
          <cell r="D286" t="str">
            <v>USD</v>
          </cell>
          <cell r="F286"/>
          <cell r="G286"/>
          <cell r="H286">
            <v>-57.484999999999999</v>
          </cell>
          <cell r="I286">
            <v>-67.879000000000005</v>
          </cell>
          <cell r="J286">
            <v>-111.94</v>
          </cell>
          <cell r="K286">
            <v>-347.11199999999997</v>
          </cell>
          <cell r="L286">
            <v>-355.15300000000002</v>
          </cell>
          <cell r="M286">
            <v>-350.34500000000003</v>
          </cell>
          <cell r="N286">
            <v>-349.053</v>
          </cell>
          <cell r="O286">
            <v>-349.053</v>
          </cell>
          <cell r="P286">
            <v>-365.94499999999999</v>
          </cell>
          <cell r="Q286">
            <v>-502.60400000000004</v>
          </cell>
          <cell r="R286">
            <v>-500.89699999999993</v>
          </cell>
          <cell r="S286">
            <v>-504.70499999999998</v>
          </cell>
          <cell r="T286">
            <v>-504.70499999999998</v>
          </cell>
          <cell r="U286">
            <v>-528.23</v>
          </cell>
          <cell r="V286">
            <v>-521.91300000000001</v>
          </cell>
          <cell r="W286">
            <v>-489.35300000000001</v>
          </cell>
          <cell r="X286">
            <v>-449.92399999999992</v>
          </cell>
          <cell r="Y286">
            <v>-449.92399999999992</v>
          </cell>
          <cell r="Z286">
            <v>-274.48099999999994</v>
          </cell>
          <cell r="AA286">
            <v>-183.60400000000007</v>
          </cell>
          <cell r="AB286">
            <v>-92.096999999999923</v>
          </cell>
          <cell r="AC286">
            <v>-76.193000000000097</v>
          </cell>
          <cell r="AD286">
            <v>-76.193000000000097</v>
          </cell>
          <cell r="AE286">
            <v>-168.87700000000012</v>
          </cell>
          <cell r="AF286">
            <v>-128.02099999999984</v>
          </cell>
          <cell r="AG286">
            <v>-78.054999999999893</v>
          </cell>
          <cell r="AH286">
            <v>-28.76600000000002</v>
          </cell>
          <cell r="AI286">
            <v>-28.76600000000002</v>
          </cell>
          <cell r="AJ286">
            <v>106.80499999999989</v>
          </cell>
          <cell r="AK286">
            <v>89.44700000000023</v>
          </cell>
          <cell r="AL286">
            <v>89.280000000000086</v>
          </cell>
          <cell r="AM286">
            <v>106.96499999999992</v>
          </cell>
          <cell r="AN286">
            <v>106.96499999999992</v>
          </cell>
          <cell r="AO286">
            <v>51.921999999999969</v>
          </cell>
          <cell r="AP286">
            <v>-9.9140000000002146</v>
          </cell>
          <cell r="AQ286">
            <v>-46.674999999999955</v>
          </cell>
          <cell r="AR286">
            <v>-120.72299999999996</v>
          </cell>
          <cell r="AS286">
            <v>-120.72299999999996</v>
          </cell>
          <cell r="AT286">
            <v>-230.59099999999989</v>
          </cell>
          <cell r="AU286">
            <v>-290.65499999999997</v>
          </cell>
          <cell r="AV286">
            <v>-276.50300000000016</v>
          </cell>
          <cell r="AW286">
            <v>-309.74699999999996</v>
          </cell>
          <cell r="AX286">
            <v>-309.74699999999996</v>
          </cell>
          <cell r="AY286">
            <v>-380.9620000000001</v>
          </cell>
          <cell r="AZ286">
            <v>-285.81200000000024</v>
          </cell>
          <cell r="BA286">
            <v>-359.13865594719175</v>
          </cell>
          <cell r="BB286">
            <v>-574.66911409847182</v>
          </cell>
          <cell r="BC286">
            <v>-574.66911409847182</v>
          </cell>
          <cell r="BD286">
            <v>-744.68458728689177</v>
          </cell>
          <cell r="BE286">
            <v>-954.62138751392501</v>
          </cell>
          <cell r="BF286">
            <v>-1058.8785051495656</v>
          </cell>
          <cell r="BG286">
            <v>-1311.8504043939429</v>
          </cell>
          <cell r="BH286">
            <v>-1311.8504043939429</v>
          </cell>
          <cell r="BI286">
            <v>-1530.2712899964249</v>
          </cell>
          <cell r="BJ286">
            <v>-1790.1336413755021</v>
          </cell>
          <cell r="BK286">
            <v>-1937.0806689143947</v>
          </cell>
          <cell r="BL286">
            <v>-2271.9140912930343</v>
          </cell>
          <cell r="BM286">
            <v>-2271.9140912930343</v>
          </cell>
          <cell r="BN286">
            <v>-2550.1892435088539</v>
          </cell>
          <cell r="BO286">
            <v>-2890.54551417316</v>
          </cell>
          <cell r="BP286">
            <v>-3111.0500005263311</v>
          </cell>
          <cell r="BQ286">
            <v>-3505.7823944974989</v>
          </cell>
          <cell r="BR286">
            <v>-3505.7823944974989</v>
          </cell>
          <cell r="BS286">
            <v>-3844.4270265994719</v>
          </cell>
          <cell r="BT286">
            <v>-4258.1095655280142</v>
          </cell>
          <cell r="BU286">
            <v>-4533.0666813578619</v>
          </cell>
          <cell r="BV286">
            <v>-5007.6193549050122</v>
          </cell>
          <cell r="BW286">
            <v>-5007.6193549050122</v>
          </cell>
          <cell r="BX286">
            <v>-5417.1619289787377</v>
          </cell>
          <cell r="BY286">
            <v>-5918.8820579273188</v>
          </cell>
          <cell r="BZ286">
            <v>-6262.9889616635128</v>
          </cell>
          <cell r="CA286">
            <v>-6824.5529278865743</v>
          </cell>
          <cell r="CB286">
            <v>-6824.5529278865743</v>
          </cell>
        </row>
        <row r="287">
          <cell r="B287" t="str">
            <v>Net Debt (ex leases) (Pub)</v>
          </cell>
          <cell r="C287" t="str">
            <v>NET_DEBT_EX_LEASES_PUB</v>
          </cell>
          <cell r="D287" t="str">
            <v>USD</v>
          </cell>
          <cell r="F287"/>
          <cell r="G287"/>
          <cell r="H287">
            <v>-57.484999999999999</v>
          </cell>
          <cell r="I287">
            <v>-150.53899999999999</v>
          </cell>
          <cell r="J287">
            <v>-111.93999999999998</v>
          </cell>
          <cell r="K287">
            <v>-347.11199999999997</v>
          </cell>
          <cell r="L287">
            <v>-355.15300000000002</v>
          </cell>
          <cell r="M287">
            <v>-350.34500000000003</v>
          </cell>
          <cell r="N287">
            <v>-349.053</v>
          </cell>
          <cell r="O287">
            <v>-349.053</v>
          </cell>
          <cell r="P287">
            <v>-365.94499999999999</v>
          </cell>
          <cell r="Q287">
            <v>-502.6040000000001</v>
          </cell>
          <cell r="R287">
            <v>-500.89699999999993</v>
          </cell>
          <cell r="S287">
            <v>-504.70499999999998</v>
          </cell>
          <cell r="T287">
            <v>-504.70499999999998</v>
          </cell>
          <cell r="U287">
            <v>-528.2299999999999</v>
          </cell>
          <cell r="V287">
            <v>-521.91300000000001</v>
          </cell>
          <cell r="W287">
            <v>-489.35299999999995</v>
          </cell>
          <cell r="X287">
            <v>-449.92399999999992</v>
          </cell>
          <cell r="Y287">
            <v>-449.92399999999992</v>
          </cell>
          <cell r="Z287">
            <v>-422.85899999999998</v>
          </cell>
          <cell r="AA287">
            <v>-344.69200000000001</v>
          </cell>
          <cell r="AB287">
            <v>-249.93799999999993</v>
          </cell>
          <cell r="AC287">
            <v>-229.55600000000004</v>
          </cell>
          <cell r="AD287">
            <v>-229.55600000000004</v>
          </cell>
          <cell r="AE287">
            <v>-323.44800000000009</v>
          </cell>
          <cell r="AF287">
            <v>-277.11399999999992</v>
          </cell>
          <cell r="AG287">
            <v>-216.80799999999999</v>
          </cell>
          <cell r="AH287">
            <v>-158.03500000000008</v>
          </cell>
          <cell r="AI287">
            <v>-158.03500000000008</v>
          </cell>
          <cell r="AJ287">
            <v>-14.091000000000122</v>
          </cell>
          <cell r="AK287">
            <v>-20.153999999999996</v>
          </cell>
          <cell r="AL287">
            <v>-9.2639999999998963</v>
          </cell>
          <cell r="AM287">
            <v>-22.618000000000166</v>
          </cell>
          <cell r="AN287">
            <v>-22.618000000000166</v>
          </cell>
          <cell r="AO287">
            <v>-66.19399999999996</v>
          </cell>
          <cell r="AP287">
            <v>-124.60000000000014</v>
          </cell>
          <cell r="AQ287">
            <v>-151.19200000000001</v>
          </cell>
          <cell r="AR287">
            <v>-219.23000000000002</v>
          </cell>
          <cell r="AS287">
            <v>-219.23000000000002</v>
          </cell>
          <cell r="AT287">
            <v>-331.92699999999991</v>
          </cell>
          <cell r="AU287">
            <v>-393.52600000000007</v>
          </cell>
          <cell r="AV287">
            <v>-379.41500000000019</v>
          </cell>
          <cell r="AW287">
            <v>-424.26900000000001</v>
          </cell>
          <cell r="AX287">
            <v>-424.26900000000001</v>
          </cell>
          <cell r="AY287">
            <v>-504.99200000000008</v>
          </cell>
          <cell r="AZ287">
            <v>-401.45900000000029</v>
          </cell>
          <cell r="BA287">
            <v>-469.2611450366403</v>
          </cell>
          <cell r="BB287">
            <v>-700.89759343544665</v>
          </cell>
          <cell r="BC287">
            <v>-700.89759343544665</v>
          </cell>
          <cell r="BD287">
            <v>-882.49109989743511</v>
          </cell>
          <cell r="BE287">
            <v>-1080.5626379338164</v>
          </cell>
          <cell r="BF287">
            <v>-1176.9217132158446</v>
          </cell>
          <cell r="BG287">
            <v>-1448.3302371219911</v>
          </cell>
          <cell r="BH287">
            <v>-1448.3302371219911</v>
          </cell>
          <cell r="BI287">
            <v>-1674.9224959682774</v>
          </cell>
          <cell r="BJ287">
            <v>-1919.2700420690844</v>
          </cell>
          <cell r="BK287">
            <v>-2054.9174233616809</v>
          </cell>
          <cell r="BL287">
            <v>-2412.057268619189</v>
          </cell>
          <cell r="BM287">
            <v>-2412.057268619189</v>
          </cell>
          <cell r="BN287">
            <v>-2716.5523775862439</v>
          </cell>
          <cell r="BO287">
            <v>-3038.5182488232513</v>
          </cell>
          <cell r="BP287">
            <v>-3226.1824157159617</v>
          </cell>
          <cell r="BQ287">
            <v>-3664.3456016015116</v>
          </cell>
          <cell r="BR287">
            <v>-3664.3456016015116</v>
          </cell>
          <cell r="BS287">
            <v>-4035.1780212723179</v>
          </cell>
          <cell r="BT287">
            <v>-4427.1313239137116</v>
          </cell>
          <cell r="BU287">
            <v>-4652.7229454332328</v>
          </cell>
          <cell r="BV287">
            <v>-5186.5074625295611</v>
          </cell>
          <cell r="BW287">
            <v>-5186.5074625295611</v>
          </cell>
          <cell r="BX287">
            <v>-5635.2615108456512</v>
          </cell>
          <cell r="BY287">
            <v>-6111.3880269381762</v>
          </cell>
          <cell r="BZ287">
            <v>-6386.0984839243338</v>
          </cell>
          <cell r="CA287">
            <v>-7025.8399294706405</v>
          </cell>
          <cell r="CB287">
            <v>-7025.8399294706405</v>
          </cell>
        </row>
        <row r="288">
          <cell r="B288" t="str">
            <v>Consensus equivalent net debt</v>
          </cell>
          <cell r="C288" t="str">
            <v>CEEE_NDEBT</v>
          </cell>
          <cell r="D288" t="str">
            <v>USD</v>
          </cell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</row>
        <row r="289">
          <cell r="B289" t="str">
            <v>Net income (Pub)</v>
          </cell>
          <cell r="C289" t="str">
            <v>NI_PUB</v>
          </cell>
          <cell r="D289" t="str">
            <v>USD</v>
          </cell>
          <cell r="F289">
            <v>-13.114999999999998</v>
          </cell>
          <cell r="G289">
            <v>-39.664000000000001</v>
          </cell>
          <cell r="H289">
            <v>-77.534999999999982</v>
          </cell>
          <cell r="I289">
            <v>-107.44300000000003</v>
          </cell>
          <cell r="J289">
            <v>-85.86</v>
          </cell>
          <cell r="K289">
            <v>-25.967000000000002</v>
          </cell>
          <cell r="L289">
            <v>-23.039999999999978</v>
          </cell>
          <cell r="M289">
            <v>-45.659000000000027</v>
          </cell>
          <cell r="N289">
            <v>-26.049000000000028</v>
          </cell>
          <cell r="O289">
            <v>-120.71500000000007</v>
          </cell>
          <cell r="P289">
            <v>-24.716000000000022</v>
          </cell>
          <cell r="Q289">
            <v>-23.175000000000011</v>
          </cell>
          <cell r="R289">
            <v>-34.624999999999986</v>
          </cell>
          <cell r="S289">
            <v>-19.02200000000002</v>
          </cell>
          <cell r="T289">
            <v>-101.53800000000007</v>
          </cell>
          <cell r="U289">
            <v>-23.65199999999998</v>
          </cell>
          <cell r="V289">
            <v>-40.409999999999997</v>
          </cell>
          <cell r="W289">
            <v>-102.962</v>
          </cell>
          <cell r="X289">
            <v>-105.83300000000006</v>
          </cell>
          <cell r="Y289">
            <v>-272.85699999999997</v>
          </cell>
          <cell r="Z289">
            <v>-135.32800000000003</v>
          </cell>
          <cell r="AA289">
            <v>-116.27999999999997</v>
          </cell>
          <cell r="AB289">
            <v>-135.24399999999997</v>
          </cell>
          <cell r="AC289">
            <v>-78.993999999999971</v>
          </cell>
          <cell r="AD289">
            <v>-465.84600000000017</v>
          </cell>
          <cell r="AE289">
            <v>-89.384</v>
          </cell>
          <cell r="AF289">
            <v>-74.124000000000024</v>
          </cell>
          <cell r="AG289">
            <v>-85.628999999999991</v>
          </cell>
          <cell r="AH289">
            <v>-55.42999999999995</v>
          </cell>
          <cell r="AI289">
            <v>-304.56700000000001</v>
          </cell>
          <cell r="AJ289">
            <v>-46.860999999999876</v>
          </cell>
          <cell r="AK289">
            <v>-6.489000000000007</v>
          </cell>
          <cell r="AL289">
            <v>-10.65499999999993</v>
          </cell>
          <cell r="AM289">
            <v>-38.842000000000013</v>
          </cell>
          <cell r="AN289">
            <v>-102.84699999999998</v>
          </cell>
          <cell r="AO289">
            <v>7.5720000000000258</v>
          </cell>
          <cell r="AP289">
            <v>72.136000000000067</v>
          </cell>
          <cell r="AQ289">
            <v>21.71700000000002</v>
          </cell>
          <cell r="AR289">
            <v>67.536000000000044</v>
          </cell>
          <cell r="AS289">
            <v>168.9610000000001</v>
          </cell>
          <cell r="AT289">
            <v>85.040000000000049</v>
          </cell>
          <cell r="AU289">
            <v>136.34599999999986</v>
          </cell>
          <cell r="AV289">
            <v>85.25</v>
          </cell>
          <cell r="AW289">
            <v>75.725000000000023</v>
          </cell>
          <cell r="AX289">
            <v>382.36099999999999</v>
          </cell>
          <cell r="AY289">
            <v>121.77299999999988</v>
          </cell>
          <cell r="AZ289">
            <v>165.12799999999999</v>
          </cell>
          <cell r="BA289">
            <v>115.21684939901911</v>
          </cell>
          <cell r="BB289">
            <v>71.905919877033114</v>
          </cell>
          <cell r="BC289">
            <v>474.02376927605235</v>
          </cell>
          <cell r="BD289">
            <v>152.526727745573</v>
          </cell>
          <cell r="BE289">
            <v>199.05554685732289</v>
          </cell>
          <cell r="BF289">
            <v>141.29665117795142</v>
          </cell>
          <cell r="BG289">
            <v>92.454952019874398</v>
          </cell>
          <cell r="BH289">
            <v>585.33387780072121</v>
          </cell>
          <cell r="BI289">
            <v>187.09100826240191</v>
          </cell>
          <cell r="BJ289">
            <v>240.85524999604473</v>
          </cell>
          <cell r="BK289">
            <v>172.15324836070499</v>
          </cell>
          <cell r="BL289">
            <v>117.06151815803743</v>
          </cell>
          <cell r="BM289">
            <v>717.16102477718914</v>
          </cell>
          <cell r="BN289">
            <v>228.28891444728654</v>
          </cell>
          <cell r="BO289">
            <v>290.29380410021503</v>
          </cell>
          <cell r="BP289">
            <v>209.01792321069885</v>
          </cell>
          <cell r="BQ289">
            <v>147.01442348463863</v>
          </cell>
          <cell r="BR289">
            <v>874.6150652428388</v>
          </cell>
          <cell r="BS289">
            <v>277.33115561597941</v>
          </cell>
          <cell r="BT289">
            <v>348.29457306632304</v>
          </cell>
          <cell r="BU289">
            <v>252.22376401880763</v>
          </cell>
          <cell r="BV289">
            <v>182.43154700196902</v>
          </cell>
          <cell r="BW289">
            <v>1060.2810397030796</v>
          </cell>
          <cell r="BX289">
            <v>334.87002562863142</v>
          </cell>
          <cell r="BY289">
            <v>415.73716370665778</v>
          </cell>
          <cell r="BZ289">
            <v>302.48175908568777</v>
          </cell>
          <cell r="CA289">
            <v>224.16274587651534</v>
          </cell>
          <cell r="CB289">
            <v>1277.2516942974928</v>
          </cell>
        </row>
        <row r="290">
          <cell r="B290" t="str">
            <v>EBIT, operating profit (Pub)</v>
          </cell>
          <cell r="C290" t="str">
            <v>EBIT_PUB</v>
          </cell>
          <cell r="D290" t="str">
            <v>USD</v>
          </cell>
          <cell r="F290">
            <v>-12.528999999999998</v>
          </cell>
          <cell r="G290">
            <v>-39.61</v>
          </cell>
          <cell r="H290">
            <v>-72.458999999999989</v>
          </cell>
          <cell r="I290">
            <v>-101.62500000000003</v>
          </cell>
          <cell r="J290">
            <v>-84.57</v>
          </cell>
          <cell r="K290">
            <v>-22.488</v>
          </cell>
          <cell r="L290">
            <v>-21.899999999999977</v>
          </cell>
          <cell r="M290">
            <v>-43.836000000000027</v>
          </cell>
          <cell r="N290">
            <v>-23.869000000000028</v>
          </cell>
          <cell r="O290">
            <v>-112.09300000000007</v>
          </cell>
          <cell r="P290">
            <v>-22.136000000000024</v>
          </cell>
          <cell r="Q290">
            <v>-20.199000000000012</v>
          </cell>
          <cell r="R290">
            <v>-34.567999999999984</v>
          </cell>
          <cell r="S290">
            <v>-19.748000000000019</v>
          </cell>
          <cell r="T290">
            <v>-96.651000000000067</v>
          </cell>
          <cell r="U290">
            <v>-25.864999999999981</v>
          </cell>
          <cell r="V290">
            <v>-39.024000000000001</v>
          </cell>
          <cell r="W290">
            <v>-104.78</v>
          </cell>
          <cell r="X290">
            <v>-104.61100000000005</v>
          </cell>
          <cell r="Y290">
            <v>-274.27999999999997</v>
          </cell>
          <cell r="Z290">
            <v>-134.21300000000002</v>
          </cell>
          <cell r="AA290">
            <v>-113.94299999999998</v>
          </cell>
          <cell r="AB290">
            <v>-133.26</v>
          </cell>
          <cell r="AC290">
            <v>-73.625999999999976</v>
          </cell>
          <cell r="AD290">
            <v>-455.04200000000014</v>
          </cell>
          <cell r="AE290">
            <v>-85.201999999999998</v>
          </cell>
          <cell r="AF290">
            <v>-66.982000000000028</v>
          </cell>
          <cell r="AG290">
            <v>-80.13</v>
          </cell>
          <cell r="AH290">
            <v>-48.715999999999951</v>
          </cell>
          <cell r="AI290">
            <v>-281.02999999999997</v>
          </cell>
          <cell r="AJ290">
            <v>-42.230999999999938</v>
          </cell>
          <cell r="AK290">
            <v>-1.4060000000000059</v>
          </cell>
          <cell r="AL290">
            <v>-5.7529999999999291</v>
          </cell>
          <cell r="AM290">
            <v>-37.829000000000008</v>
          </cell>
          <cell r="AN290">
            <v>-87.219000000000051</v>
          </cell>
          <cell r="AO290">
            <v>10.196000000000026</v>
          </cell>
          <cell r="AP290">
            <v>69.988000000000056</v>
          </cell>
          <cell r="AQ290">
            <v>17.189000000000021</v>
          </cell>
          <cell r="AR290">
            <v>63.623000000000047</v>
          </cell>
          <cell r="AS290">
            <v>160.99600000000009</v>
          </cell>
          <cell r="AT290">
            <v>79.486000000000047</v>
          </cell>
          <cell r="AU290">
            <v>123.87799999999987</v>
          </cell>
          <cell r="AV290">
            <v>73.27600000000001</v>
          </cell>
          <cell r="AW290">
            <v>70.467000000000041</v>
          </cell>
          <cell r="AX290">
            <v>347.10699999999997</v>
          </cell>
          <cell r="AY290">
            <v>118.22099999999989</v>
          </cell>
          <cell r="AZ290">
            <v>161.28899999999999</v>
          </cell>
          <cell r="BA290">
            <v>109.34089410423064</v>
          </cell>
          <cell r="BB290">
            <v>63.208132810527104</v>
          </cell>
          <cell r="BC290">
            <v>452.05902691475785</v>
          </cell>
          <cell r="BD290">
            <v>146.21941845565453</v>
          </cell>
          <cell r="BE290">
            <v>193.74466397355525</v>
          </cell>
          <cell r="BF290">
            <v>131.36156959961522</v>
          </cell>
          <cell r="BG290">
            <v>79.178535574484613</v>
          </cell>
          <cell r="BH290">
            <v>550.50418760330922</v>
          </cell>
          <cell r="BI290">
            <v>176.62460098961242</v>
          </cell>
          <cell r="BJ290">
            <v>231.40616250111316</v>
          </cell>
          <cell r="BK290">
            <v>157.1338748698862</v>
          </cell>
          <cell r="BL290">
            <v>98.057616927996378</v>
          </cell>
          <cell r="BM290">
            <v>663.22225528860827</v>
          </cell>
          <cell r="BN290">
            <v>212.28253679506554</v>
          </cell>
          <cell r="BO290">
            <v>275.11536581978726</v>
          </cell>
          <cell r="BP290">
            <v>186.98659284482324</v>
          </cell>
          <cell r="BQ290">
            <v>120.21873660353947</v>
          </cell>
          <cell r="BR290">
            <v>794.60323206321527</v>
          </cell>
          <cell r="BS290">
            <v>253.88963652776727</v>
          </cell>
          <cell r="BT290">
            <v>325.62190198910935</v>
          </cell>
          <cell r="BU290">
            <v>221.35973245125422</v>
          </cell>
          <cell r="BV290">
            <v>146.08986720389316</v>
          </cell>
          <cell r="BW290">
            <v>946.96113817202468</v>
          </cell>
          <cell r="BX290">
            <v>302.28199772616722</v>
          </cell>
          <cell r="BY290">
            <v>383.81598335338879</v>
          </cell>
          <cell r="BZ290">
            <v>260.79151420663788</v>
          </cell>
          <cell r="CA290">
            <v>176.15320157253723</v>
          </cell>
          <cell r="CB290">
            <v>1123.0426968587317</v>
          </cell>
        </row>
        <row r="291">
          <cell r="B291" t="str">
            <v>Pre-tax profit (Pub)</v>
          </cell>
          <cell r="C291" t="str">
            <v>PTP_PUB</v>
          </cell>
          <cell r="D291" t="str">
            <v>USD</v>
          </cell>
          <cell r="F291">
            <v>-13.114999999999998</v>
          </cell>
          <cell r="G291">
            <v>-39.664000000000001</v>
          </cell>
          <cell r="H291">
            <v>-77.534999999999982</v>
          </cell>
          <cell r="I291">
            <v>-107.44300000000003</v>
          </cell>
          <cell r="J291">
            <v>-85.86</v>
          </cell>
          <cell r="K291">
            <v>-25.856000000000002</v>
          </cell>
          <cell r="L291">
            <v>-22.492999999999977</v>
          </cell>
          <cell r="M291">
            <v>-43.53300000000003</v>
          </cell>
          <cell r="N291">
            <v>-24.416000000000029</v>
          </cell>
          <cell r="O291">
            <v>-116.29800000000007</v>
          </cell>
          <cell r="P291">
            <v>-22.325000000000024</v>
          </cell>
          <cell r="Q291">
            <v>-20.322000000000013</v>
          </cell>
          <cell r="R291">
            <v>-31.886999999999983</v>
          </cell>
          <cell r="S291">
            <v>-16.738000000000021</v>
          </cell>
          <cell r="T291">
            <v>-91.272000000000062</v>
          </cell>
          <cell r="U291">
            <v>-21.41999999999998</v>
          </cell>
          <cell r="V291">
            <v>-36.155999999999999</v>
          </cell>
          <cell r="W291">
            <v>-100.605</v>
          </cell>
          <cell r="X291">
            <v>-101.80500000000005</v>
          </cell>
          <cell r="Y291">
            <v>-259.98599999999999</v>
          </cell>
          <cell r="Z291">
            <v>-131.61800000000002</v>
          </cell>
          <cell r="AA291">
            <v>-112.04299999999998</v>
          </cell>
          <cell r="AB291">
            <v>-131.00799999999998</v>
          </cell>
          <cell r="AC291">
            <v>-75.359999999999971</v>
          </cell>
          <cell r="AD291">
            <v>-450.02900000000017</v>
          </cell>
          <cell r="AE291">
            <v>-85.534000000000006</v>
          </cell>
          <cell r="AF291">
            <v>-69.592000000000027</v>
          </cell>
          <cell r="AG291">
            <v>-81.706999999999994</v>
          </cell>
          <cell r="AH291">
            <v>-49.989999999999952</v>
          </cell>
          <cell r="AI291">
            <v>-286.82299999999998</v>
          </cell>
          <cell r="AJ291">
            <v>-43.074999999999875</v>
          </cell>
          <cell r="AK291">
            <v>-1.6120000000000072</v>
          </cell>
          <cell r="AL291">
            <v>-6.1039999999999299</v>
          </cell>
          <cell r="AM291">
            <v>-33.57800000000001</v>
          </cell>
          <cell r="AN291">
            <v>-84.368999999999986</v>
          </cell>
          <cell r="AO291">
            <v>12.511000000000026</v>
          </cell>
          <cell r="AP291">
            <v>75.763000000000062</v>
          </cell>
          <cell r="AQ291">
            <v>26.209000000000021</v>
          </cell>
          <cell r="AR291">
            <v>73.234000000000037</v>
          </cell>
          <cell r="AS291">
            <v>187.7170000000001</v>
          </cell>
          <cell r="AT291">
            <v>89.638000000000048</v>
          </cell>
          <cell r="AU291">
            <v>142.51499999999987</v>
          </cell>
          <cell r="AV291">
            <v>90.701000000000008</v>
          </cell>
          <cell r="AW291">
            <v>83.491000000000028</v>
          </cell>
          <cell r="AX291">
            <v>406.34499999999997</v>
          </cell>
          <cell r="AY291">
            <v>128.42899999999989</v>
          </cell>
          <cell r="AZ291">
            <v>173.93499999999997</v>
          </cell>
          <cell r="BA291">
            <v>121.28089410423064</v>
          </cell>
          <cell r="BB291">
            <v>75.690441975824328</v>
          </cell>
          <cell r="BC291">
            <v>499.33533608005507</v>
          </cell>
          <cell r="BD291">
            <v>160.55445025849789</v>
          </cell>
          <cell r="BE291">
            <v>209.53215458665568</v>
          </cell>
          <cell r="BF291">
            <v>148.73331702942255</v>
          </cell>
          <cell r="BG291">
            <v>97.321002126183572</v>
          </cell>
          <cell r="BH291">
            <v>616.14092400075924</v>
          </cell>
          <cell r="BI291">
            <v>196.93790343410728</v>
          </cell>
          <cell r="BJ291">
            <v>253.53184210109973</v>
          </cell>
          <cell r="BK291">
            <v>181.21394564284736</v>
          </cell>
          <cell r="BL291">
            <v>123.22265069267098</v>
          </cell>
          <cell r="BM291">
            <v>754.90634187072544</v>
          </cell>
          <cell r="BN291">
            <v>240.30412047082794</v>
          </cell>
          <cell r="BO291">
            <v>305.57242536864737</v>
          </cell>
          <cell r="BP291">
            <v>220.01886653757774</v>
          </cell>
          <cell r="BQ291">
            <v>154.75202472067224</v>
          </cell>
          <cell r="BR291">
            <v>920.64743709772506</v>
          </cell>
          <cell r="BS291">
            <v>291.92753222734677</v>
          </cell>
          <cell r="BT291">
            <v>366.62586638560322</v>
          </cell>
          <cell r="BU291">
            <v>265.49869896716592</v>
          </cell>
          <cell r="BV291">
            <v>192.0332073704937</v>
          </cell>
          <cell r="BW291">
            <v>1116.0853049506102</v>
          </cell>
          <cell r="BX291">
            <v>352.49476381961205</v>
          </cell>
          <cell r="BY291">
            <v>437.61806705963977</v>
          </cell>
          <cell r="BZ291">
            <v>318.401851669145</v>
          </cell>
          <cell r="CA291">
            <v>235.96078513317406</v>
          </cell>
          <cell r="CB291">
            <v>1344.4754676815714</v>
          </cell>
        </row>
        <row r="292">
          <cell r="B292" t="str">
            <v>Sales, revenue (Pub)</v>
          </cell>
          <cell r="C292" t="str">
            <v>REVS_PUB</v>
          </cell>
          <cell r="D292" t="str">
            <v>USD</v>
          </cell>
          <cell r="F292">
            <v>6.5860000000000003</v>
          </cell>
          <cell r="G292">
            <v>30.533000000000001</v>
          </cell>
          <cell r="H292">
            <v>127.127</v>
          </cell>
          <cell r="I292">
            <v>241.43199999999999</v>
          </cell>
          <cell r="J292">
            <v>503.41</v>
          </cell>
          <cell r="K292">
            <v>188.56100000000001</v>
          </cell>
          <cell r="L292">
            <v>199.214</v>
          </cell>
          <cell r="M292">
            <v>205.67</v>
          </cell>
          <cell r="N292">
            <v>252.458</v>
          </cell>
          <cell r="O292">
            <v>845.90300000000002</v>
          </cell>
          <cell r="P292">
            <v>275.55200000000002</v>
          </cell>
          <cell r="Q292">
            <v>286.74399999999997</v>
          </cell>
          <cell r="R292">
            <v>289.41300000000001</v>
          </cell>
          <cell r="S292">
            <v>303.74799999999999</v>
          </cell>
          <cell r="T292">
            <v>1155.4569999999999</v>
          </cell>
          <cell r="U292">
            <v>313.28300000000002</v>
          </cell>
          <cell r="V292">
            <v>335.36</v>
          </cell>
          <cell r="W292">
            <v>287.62400000000002</v>
          </cell>
          <cell r="X292">
            <v>299.87599999999998</v>
          </cell>
          <cell r="Y292">
            <v>1236.143</v>
          </cell>
          <cell r="Z292">
            <v>314.76799999999997</v>
          </cell>
          <cell r="AA292">
            <v>346.767</v>
          </cell>
          <cell r="AB292">
            <v>318.27300000000002</v>
          </cell>
          <cell r="AC292">
            <v>327.87400000000002</v>
          </cell>
          <cell r="AD292">
            <v>1307.6819999999998</v>
          </cell>
          <cell r="AE292">
            <v>312.75400000000002</v>
          </cell>
          <cell r="AF292">
            <v>346.38200000000001</v>
          </cell>
          <cell r="AG292">
            <v>344.50799999999998</v>
          </cell>
          <cell r="AH292">
            <v>390.72</v>
          </cell>
          <cell r="AI292">
            <v>1394.364</v>
          </cell>
          <cell r="AJ292">
            <v>378.517</v>
          </cell>
          <cell r="AK292">
            <v>413.08100000000002</v>
          </cell>
          <cell r="AL292">
            <v>403.65800000000002</v>
          </cell>
          <cell r="AM292">
            <v>385.53999999999996</v>
          </cell>
          <cell r="AN292">
            <v>1580.7959999999998</v>
          </cell>
          <cell r="AO292">
            <v>433.60900000000004</v>
          </cell>
          <cell r="AP292">
            <v>486.495</v>
          </cell>
          <cell r="AQ292">
            <v>448.58100000000002</v>
          </cell>
          <cell r="AR292">
            <v>494.21000000000004</v>
          </cell>
          <cell r="AS292">
            <v>1862.895</v>
          </cell>
          <cell r="AT292">
            <v>511.05399999999997</v>
          </cell>
          <cell r="AU292">
            <v>565.23299999999995</v>
          </cell>
          <cell r="AV292">
            <v>524.577</v>
          </cell>
          <cell r="AW292">
            <v>547.952</v>
          </cell>
          <cell r="AX292">
            <v>2148.8159999999998</v>
          </cell>
          <cell r="AY292">
            <v>590.9559999999999</v>
          </cell>
          <cell r="AZ292">
            <v>654.721</v>
          </cell>
          <cell r="BA292">
            <v>625.05342387470989</v>
          </cell>
          <cell r="BB292">
            <v>634.31378036939304</v>
          </cell>
          <cell r="BC292">
            <v>2505.0442042441027</v>
          </cell>
          <cell r="BD292">
            <v>689.44532772038724</v>
          </cell>
          <cell r="BE292">
            <v>755.78863548831373</v>
          </cell>
          <cell r="BF292">
            <v>710.32947702807428</v>
          </cell>
          <cell r="BG292">
            <v>722.11529395258208</v>
          </cell>
          <cell r="BH292">
            <v>2877.6787341893569</v>
          </cell>
          <cell r="BI292">
            <v>795.31008219311707</v>
          </cell>
          <cell r="BJ292">
            <v>868.8123797485523</v>
          </cell>
          <cell r="BK292">
            <v>806.10213766249888</v>
          </cell>
          <cell r="BL292">
            <v>819.55046470760738</v>
          </cell>
          <cell r="BM292">
            <v>3289.7750643117756</v>
          </cell>
          <cell r="BN292">
            <v>914.68492742977799</v>
          </cell>
          <cell r="BO292">
            <v>995.54070764522817</v>
          </cell>
          <cell r="BP292">
            <v>912.43915902530557</v>
          </cell>
          <cell r="BQ292">
            <v>927.26990030480863</v>
          </cell>
          <cell r="BR292">
            <v>3749.9346944051204</v>
          </cell>
          <cell r="BS292">
            <v>1048.7723778894785</v>
          </cell>
          <cell r="BT292">
            <v>1137.1557155352955</v>
          </cell>
          <cell r="BU292">
            <v>1029.9131825874588</v>
          </cell>
          <cell r="BV292">
            <v>1046.1289270840809</v>
          </cell>
          <cell r="BW292">
            <v>4261.9702030963144</v>
          </cell>
          <cell r="BX292">
            <v>1199.1382665320657</v>
          </cell>
          <cell r="BY292">
            <v>1295.1543341290935</v>
          </cell>
          <cell r="BZ292">
            <v>1159.4316462980196</v>
          </cell>
          <cell r="CA292">
            <v>1177.1165663234524</v>
          </cell>
          <cell r="CB292">
            <v>4830.8408132826316</v>
          </cell>
        </row>
        <row r="293">
          <cell r="B293" t="str">
            <v>Total shareholders' equity (Pub)</v>
          </cell>
          <cell r="C293" t="str">
            <v>EQ_PUB</v>
          </cell>
          <cell r="D293" t="str">
            <v>USD</v>
          </cell>
          <cell r="F293"/>
          <cell r="G293"/>
          <cell r="H293">
            <v>41.300000000000011</v>
          </cell>
          <cell r="I293">
            <v>75.644999999999982</v>
          </cell>
          <cell r="J293">
            <v>-65.935999999999979</v>
          </cell>
          <cell r="K293">
            <v>171.66300000000001</v>
          </cell>
          <cell r="L293">
            <v>131.88300000000004</v>
          </cell>
          <cell r="M293">
            <v>95.237999999999943</v>
          </cell>
          <cell r="N293">
            <v>217.06299999999999</v>
          </cell>
          <cell r="O293">
            <v>217.06299999999999</v>
          </cell>
          <cell r="P293">
            <v>216.58000000000004</v>
          </cell>
          <cell r="Q293">
            <v>300.47899999999981</v>
          </cell>
          <cell r="R293">
            <v>354.5809999999999</v>
          </cell>
          <cell r="S293">
            <v>326.77899999999977</v>
          </cell>
          <cell r="T293">
            <v>326.77899999999977</v>
          </cell>
          <cell r="U293">
            <v>431.31899999999996</v>
          </cell>
          <cell r="V293">
            <v>385.53100000000018</v>
          </cell>
          <cell r="W293">
            <v>305.44600000000014</v>
          </cell>
          <cell r="X293">
            <v>186.89300000000026</v>
          </cell>
          <cell r="Y293">
            <v>186.89300000000026</v>
          </cell>
          <cell r="Z293">
            <v>63.528999999999996</v>
          </cell>
          <cell r="AA293">
            <v>-66.101999999999634</v>
          </cell>
          <cell r="AB293">
            <v>-184.03899999999976</v>
          </cell>
          <cell r="AC293">
            <v>-274.97699999999986</v>
          </cell>
          <cell r="AD293">
            <v>-274.97699999999986</v>
          </cell>
          <cell r="AE293">
            <v>-557.35500000000002</v>
          </cell>
          <cell r="AF293">
            <v>-758.39199999999983</v>
          </cell>
          <cell r="AG293">
            <v>-746.77399999999943</v>
          </cell>
          <cell r="AH293">
            <v>-1012.0409999999997</v>
          </cell>
          <cell r="AI293">
            <v>-1012.0409999999997</v>
          </cell>
          <cell r="AJ293">
            <v>-698.73900000000003</v>
          </cell>
          <cell r="AK293">
            <v>-725.61699999999973</v>
          </cell>
          <cell r="AL293">
            <v>-721.86599999999999</v>
          </cell>
          <cell r="AM293">
            <v>-800.50400000000036</v>
          </cell>
          <cell r="AN293">
            <v>-800.50400000000036</v>
          </cell>
          <cell r="AO293">
            <v>-791.04899999999998</v>
          </cell>
          <cell r="AP293">
            <v>-782.68200000000024</v>
          </cell>
          <cell r="AQ293">
            <v>-789.06700000000046</v>
          </cell>
          <cell r="AR293">
            <v>-707.41899999999941</v>
          </cell>
          <cell r="AS293">
            <v>-707.41899999999941</v>
          </cell>
          <cell r="AT293">
            <v>-642.21100000000024</v>
          </cell>
          <cell r="AU293">
            <v>-611.68199999999979</v>
          </cell>
          <cell r="AV293">
            <v>-619.46000000000049</v>
          </cell>
          <cell r="AW293">
            <v>-728.14800000000014</v>
          </cell>
          <cell r="AX293">
            <v>-728.14800000000014</v>
          </cell>
          <cell r="AY293">
            <v>-685.29600000000028</v>
          </cell>
          <cell r="AZ293">
            <v>-807.67399999999907</v>
          </cell>
          <cell r="BA293">
            <v>-712.72768878458919</v>
          </cell>
          <cell r="BB293">
            <v>-661.09016684543894</v>
          </cell>
          <cell r="BC293">
            <v>-661.09016684543894</v>
          </cell>
          <cell r="BD293">
            <v>-528.60148884578848</v>
          </cell>
          <cell r="BE293">
            <v>-349.57809768865263</v>
          </cell>
          <cell r="BF293">
            <v>-228.32300623704486</v>
          </cell>
          <cell r="BG293">
            <v>-155.90708049999375</v>
          </cell>
          <cell r="BH293">
            <v>-155.90708049999375</v>
          </cell>
          <cell r="BI293">
            <v>11.157008718249017</v>
          </cell>
          <cell r="BJ293">
            <v>231.99030136242618</v>
          </cell>
          <cell r="BK293">
            <v>385.33954863141116</v>
          </cell>
          <cell r="BL293">
            <v>502.36973915513136</v>
          </cell>
          <cell r="BM293">
            <v>502.36973915513136</v>
          </cell>
          <cell r="BN293">
            <v>730.74806738171173</v>
          </cell>
          <cell r="BO293">
            <v>1021.1349552943957</v>
          </cell>
          <cell r="BP293">
            <v>1230.2312696551826</v>
          </cell>
          <cell r="BQ293">
            <v>1377.3267928669793</v>
          </cell>
          <cell r="BR293">
            <v>1377.3267928669793</v>
          </cell>
          <cell r="BS293">
            <v>1654.7564562849843</v>
          </cell>
          <cell r="BT293">
            <v>2003.1515288652895</v>
          </cell>
          <cell r="BU293">
            <v>2255.4584929818066</v>
          </cell>
          <cell r="BV293">
            <v>2437.9759395235592</v>
          </cell>
          <cell r="BW293">
            <v>2437.9759395235592</v>
          </cell>
          <cell r="BX293">
            <v>2772.9518683379183</v>
          </cell>
          <cell r="BY293">
            <v>3188.7948242664188</v>
          </cell>
          <cell r="BZ293">
            <v>3491.3626055040195</v>
          </cell>
          <cell r="CA293">
            <v>3715.6140317219838</v>
          </cell>
          <cell r="CB293">
            <v>3715.6140317219838</v>
          </cell>
        </row>
        <row r="294">
          <cell r="A294" t="str">
            <v>Income Statement</v>
          </cell>
          <cell r="B294"/>
          <cell r="C294"/>
          <cell r="D294"/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5.6887559579351765E-2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8.8470266862872293E-4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-1.6544677711497036E-2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7.8422889025597797E-3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3.9957661133529498E-3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9.6360995923655546E-4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3.741139711962993E-3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-1.3421193646592222E-3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-3.6667764637254852E-3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-2.67577010384068E-3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-3.2658996980670096E-3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-3.9283761168289466E-3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-4.3264302070573635E-3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-4.7993703680004884E-3</v>
          </cell>
        </row>
        <row r="295">
          <cell r="B295" t="str">
            <v>Provision for income tax</v>
          </cell>
          <cell r="C295" t="str">
            <v>PROV_INC_TAX</v>
          </cell>
          <cell r="D295" t="str">
            <v>USD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-0.111</v>
          </cell>
          <cell r="L295">
            <v>-0.54700000000000004</v>
          </cell>
          <cell r="M295">
            <v>-2.1259999999999999</v>
          </cell>
          <cell r="N295">
            <v>-1.633</v>
          </cell>
          <cell r="O295">
            <v>-4.4169999999999998</v>
          </cell>
          <cell r="P295">
            <v>-2.391</v>
          </cell>
          <cell r="Q295">
            <v>-2.8529999999999998</v>
          </cell>
          <cell r="R295">
            <v>-2.738</v>
          </cell>
          <cell r="S295">
            <v>-2.2840000000000003</v>
          </cell>
          <cell r="T295">
            <v>-10.266</v>
          </cell>
          <cell r="U295">
            <v>-2.2320000000000002</v>
          </cell>
          <cell r="V295">
            <v>-4.2539999999999996</v>
          </cell>
          <cell r="W295">
            <v>-2.3570000000000002</v>
          </cell>
          <cell r="X295">
            <v>-4.0280000000000005</v>
          </cell>
          <cell r="Y295">
            <v>-12.871</v>
          </cell>
          <cell r="Z295">
            <v>-3.71</v>
          </cell>
          <cell r="AA295">
            <v>-4.2370000000000001</v>
          </cell>
          <cell r="AB295">
            <v>-4.2359999999999998</v>
          </cell>
          <cell r="AC295">
            <v>-3.6339999999999999</v>
          </cell>
          <cell r="AD295">
            <v>-15.817</v>
          </cell>
          <cell r="AE295">
            <v>-3.8500000000000005</v>
          </cell>
          <cell r="AF295">
            <v>-4.532</v>
          </cell>
          <cell r="AG295">
            <v>-3.9219999999999997</v>
          </cell>
          <cell r="AH295">
            <v>-5.44</v>
          </cell>
          <cell r="AI295">
            <v>-17.744000000000003</v>
          </cell>
          <cell r="AJ295">
            <v>-3.7859999999999996</v>
          </cell>
          <cell r="AK295">
            <v>-4.8769999999999998</v>
          </cell>
          <cell r="AL295">
            <v>-4.5510000000000002</v>
          </cell>
          <cell r="AM295">
            <v>-5.2639999999999993</v>
          </cell>
          <cell r="AN295">
            <v>-18.478000000000002</v>
          </cell>
          <cell r="AO295">
            <v>-4.9390000000000001</v>
          </cell>
          <cell r="AP295">
            <v>-3.6269999999999998</v>
          </cell>
          <cell r="AQ295">
            <v>-4.4919999999999991</v>
          </cell>
          <cell r="AR295">
            <v>-5.6979999999999995</v>
          </cell>
          <cell r="AS295">
            <v>-18.755999999999997</v>
          </cell>
          <cell r="AT295">
            <v>-4.5979999999999999</v>
          </cell>
          <cell r="AU295">
            <v>-6.1690000000000005</v>
          </cell>
          <cell r="AV295">
            <v>-5.4510000000000005</v>
          </cell>
          <cell r="AW295">
            <v>-7.766</v>
          </cell>
          <cell r="AX295">
            <v>-23.984000000000002</v>
          </cell>
          <cell r="AY295">
            <v>-6.6560000000000006</v>
          </cell>
          <cell r="AZ295">
            <v>-8.8070000000000004</v>
          </cell>
          <cell r="BA295">
            <v>-6.0640447052115327</v>
          </cell>
          <cell r="BB295">
            <v>-3.7845220987912165</v>
          </cell>
          <cell r="BC295">
            <v>-25.311566804002751</v>
          </cell>
          <cell r="BD295">
            <v>-8.0277225129248944</v>
          </cell>
          <cell r="BE295">
            <v>-10.476607729332784</v>
          </cell>
          <cell r="BF295">
            <v>-7.4366658514711279</v>
          </cell>
          <cell r="BG295">
            <v>-4.8660501063091788</v>
          </cell>
          <cell r="BH295">
            <v>-30.807046200037984</v>
          </cell>
          <cell r="BI295">
            <v>-9.8468951717053645</v>
          </cell>
          <cell r="BJ295">
            <v>-12.676592105054986</v>
          </cell>
          <cell r="BK295">
            <v>-9.0606972821423692</v>
          </cell>
          <cell r="BL295">
            <v>-6.1611325346335493</v>
          </cell>
          <cell r="BM295">
            <v>-37.745317093536272</v>
          </cell>
          <cell r="BN295">
            <v>-12.015206023541397</v>
          </cell>
          <cell r="BO295">
            <v>-15.278621268432369</v>
          </cell>
          <cell r="BP295">
            <v>-11.000943326878888</v>
          </cell>
          <cell r="BQ295">
            <v>-7.7376012360336119</v>
          </cell>
          <cell r="BR295">
            <v>-46.032371854886264</v>
          </cell>
          <cell r="BS295">
            <v>-14.59637661136734</v>
          </cell>
          <cell r="BT295">
            <v>-18.33129331928016</v>
          </cell>
          <cell r="BU295">
            <v>-13.274934948358297</v>
          </cell>
          <cell r="BV295">
            <v>-9.6016603685246853</v>
          </cell>
          <cell r="BW295">
            <v>-55.804265247530473</v>
          </cell>
          <cell r="BX295">
            <v>-17.624738190980604</v>
          </cell>
          <cell r="BY295">
            <v>-21.880903352981989</v>
          </cell>
          <cell r="BZ295">
            <v>-15.920092583457251</v>
          </cell>
          <cell r="CA295">
            <v>-11.798039256658704</v>
          </cell>
          <cell r="CB295">
            <v>-67.223773384078555</v>
          </cell>
        </row>
        <row r="296">
          <cell r="B296" t="str">
            <v>Minority interest</v>
          </cell>
          <cell r="C296" t="str">
            <v>INC_MINORITY</v>
          </cell>
          <cell r="D296" t="str">
            <v>USD</v>
          </cell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</row>
        <row r="297">
          <cell r="B297" t="str">
            <v>Net income (pre-preferred dividends)</v>
          </cell>
          <cell r="C297" t="str">
            <v>NI_PRE_PREF</v>
          </cell>
          <cell r="D297" t="str">
            <v>USD</v>
          </cell>
          <cell r="F297">
            <v>-13.114999999999998</v>
          </cell>
          <cell r="G297">
            <v>-39.664000000000001</v>
          </cell>
          <cell r="H297">
            <v>-77.534999999999982</v>
          </cell>
          <cell r="I297">
            <v>-107.44300000000003</v>
          </cell>
          <cell r="J297">
            <v>-85.86</v>
          </cell>
          <cell r="K297">
            <v>-25.967000000000002</v>
          </cell>
          <cell r="L297">
            <v>-23.039999999999978</v>
          </cell>
          <cell r="M297">
            <v>-45.659000000000027</v>
          </cell>
          <cell r="N297">
            <v>-26.049000000000028</v>
          </cell>
          <cell r="O297">
            <v>-120.71500000000007</v>
          </cell>
          <cell r="P297">
            <v>-24.716000000000022</v>
          </cell>
          <cell r="Q297">
            <v>-23.175000000000011</v>
          </cell>
          <cell r="R297">
            <v>-34.624999999999986</v>
          </cell>
          <cell r="S297">
            <v>-19.02200000000002</v>
          </cell>
          <cell r="T297">
            <v>-101.53800000000007</v>
          </cell>
          <cell r="U297">
            <v>-23.65199999999998</v>
          </cell>
          <cell r="V297">
            <v>-40.409999999999997</v>
          </cell>
          <cell r="W297">
            <v>-102.962</v>
          </cell>
          <cell r="X297">
            <v>-105.83300000000006</v>
          </cell>
          <cell r="Y297">
            <v>-272.85699999999997</v>
          </cell>
          <cell r="Z297">
            <v>-135.32800000000003</v>
          </cell>
          <cell r="AA297">
            <v>-116.27999999999997</v>
          </cell>
          <cell r="AB297">
            <v>-135.24399999999997</v>
          </cell>
          <cell r="AC297">
            <v>-78.993999999999971</v>
          </cell>
          <cell r="AD297">
            <v>-465.84600000000017</v>
          </cell>
          <cell r="AE297">
            <v>-89.384</v>
          </cell>
          <cell r="AF297">
            <v>-74.124000000000024</v>
          </cell>
          <cell r="AG297">
            <v>-85.628999999999991</v>
          </cell>
          <cell r="AH297">
            <v>-55.42999999999995</v>
          </cell>
          <cell r="AI297">
            <v>-304.56700000000001</v>
          </cell>
          <cell r="AJ297">
            <v>-46.860999999999876</v>
          </cell>
          <cell r="AK297">
            <v>-6.489000000000007</v>
          </cell>
          <cell r="AL297">
            <v>-10.65499999999993</v>
          </cell>
          <cell r="AM297">
            <v>-38.842000000000013</v>
          </cell>
          <cell r="AN297">
            <v>-102.84699999999998</v>
          </cell>
          <cell r="AO297">
            <v>7.5720000000000258</v>
          </cell>
          <cell r="AP297">
            <v>72.136000000000067</v>
          </cell>
          <cell r="AQ297">
            <v>21.71700000000002</v>
          </cell>
          <cell r="AR297">
            <v>67.536000000000044</v>
          </cell>
          <cell r="AS297">
            <v>168.9610000000001</v>
          </cell>
          <cell r="AT297">
            <v>85.040000000000049</v>
          </cell>
          <cell r="AU297">
            <v>136.34599999999986</v>
          </cell>
          <cell r="AV297">
            <v>85.25</v>
          </cell>
          <cell r="AW297">
            <v>75.725000000000023</v>
          </cell>
          <cell r="AX297">
            <v>382.36099999999999</v>
          </cell>
          <cell r="AY297">
            <v>121.77299999999988</v>
          </cell>
          <cell r="AZ297">
            <v>165.12799999999999</v>
          </cell>
          <cell r="BA297">
            <v>115.21684939901911</v>
          </cell>
          <cell r="BB297">
            <v>71.905919877033114</v>
          </cell>
          <cell r="BC297">
            <v>474.02376927605235</v>
          </cell>
          <cell r="BD297">
            <v>152.526727745573</v>
          </cell>
          <cell r="BE297">
            <v>199.05554685732289</v>
          </cell>
          <cell r="BF297">
            <v>141.29665117795142</v>
          </cell>
          <cell r="BG297">
            <v>92.454952019874398</v>
          </cell>
          <cell r="BH297">
            <v>585.33387780072121</v>
          </cell>
          <cell r="BI297">
            <v>187.09100826240191</v>
          </cell>
          <cell r="BJ297">
            <v>240.85524999604473</v>
          </cell>
          <cell r="BK297">
            <v>172.15324836070499</v>
          </cell>
          <cell r="BL297">
            <v>117.06151815803743</v>
          </cell>
          <cell r="BM297">
            <v>717.16102477718914</v>
          </cell>
          <cell r="BN297">
            <v>228.28891444728654</v>
          </cell>
          <cell r="BO297">
            <v>290.29380410021503</v>
          </cell>
          <cell r="BP297">
            <v>209.01792321069885</v>
          </cell>
          <cell r="BQ297">
            <v>147.01442348463863</v>
          </cell>
          <cell r="BR297">
            <v>874.6150652428388</v>
          </cell>
          <cell r="BS297">
            <v>277.33115561597941</v>
          </cell>
          <cell r="BT297">
            <v>348.29457306632304</v>
          </cell>
          <cell r="BU297">
            <v>252.22376401880763</v>
          </cell>
          <cell r="BV297">
            <v>182.43154700196902</v>
          </cell>
          <cell r="BW297">
            <v>1060.2810397030796</v>
          </cell>
          <cell r="BX297">
            <v>334.87002562863142</v>
          </cell>
          <cell r="BY297">
            <v>415.73716370665778</v>
          </cell>
          <cell r="BZ297">
            <v>302.48175908568777</v>
          </cell>
          <cell r="CA297">
            <v>224.16274587651534</v>
          </cell>
          <cell r="CB297">
            <v>1277.2516942974928</v>
          </cell>
        </row>
        <row r="298">
          <cell r="B298" t="str">
            <v>Preferred dividends</v>
          </cell>
          <cell r="C298" t="str">
            <v>PREF_DIV</v>
          </cell>
          <cell r="D298" t="str">
            <v>USD</v>
          </cell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</row>
        <row r="299">
          <cell r="B299" t="str">
            <v>Net income (pre-exceptionals)</v>
          </cell>
          <cell r="C299" t="str">
            <v>NET_EARNING</v>
          </cell>
          <cell r="D299" t="str">
            <v>USD</v>
          </cell>
          <cell r="F299">
            <v>-13.114999999999998</v>
          </cell>
          <cell r="G299">
            <v>-39.664000000000001</v>
          </cell>
          <cell r="H299">
            <v>-77.534999999999982</v>
          </cell>
          <cell r="I299">
            <v>-107.44300000000003</v>
          </cell>
          <cell r="J299">
            <v>-85.86</v>
          </cell>
          <cell r="K299">
            <v>-25.967000000000002</v>
          </cell>
          <cell r="L299">
            <v>-23.039999999999978</v>
          </cell>
          <cell r="M299">
            <v>-45.659000000000027</v>
          </cell>
          <cell r="N299">
            <v>-26.049000000000028</v>
          </cell>
          <cell r="O299">
            <v>-120.71500000000007</v>
          </cell>
          <cell r="P299">
            <v>-24.716000000000022</v>
          </cell>
          <cell r="Q299">
            <v>-23.175000000000011</v>
          </cell>
          <cell r="R299">
            <v>-34.624999999999986</v>
          </cell>
          <cell r="S299">
            <v>-19.02200000000002</v>
          </cell>
          <cell r="T299">
            <v>-101.53800000000007</v>
          </cell>
          <cell r="U299">
            <v>-23.65199999999998</v>
          </cell>
          <cell r="V299">
            <v>-40.409999999999997</v>
          </cell>
          <cell r="W299">
            <v>-102.962</v>
          </cell>
          <cell r="X299">
            <v>-105.83300000000006</v>
          </cell>
          <cell r="Y299">
            <v>-272.85699999999997</v>
          </cell>
          <cell r="Z299">
            <v>-135.32800000000003</v>
          </cell>
          <cell r="AA299">
            <v>-116.27999999999997</v>
          </cell>
          <cell r="AB299">
            <v>-135.24399999999997</v>
          </cell>
          <cell r="AC299">
            <v>-78.993999999999971</v>
          </cell>
          <cell r="AD299">
            <v>-465.84600000000017</v>
          </cell>
          <cell r="AE299">
            <v>-89.384</v>
          </cell>
          <cell r="AF299">
            <v>-74.124000000000024</v>
          </cell>
          <cell r="AG299">
            <v>-85.628999999999991</v>
          </cell>
          <cell r="AH299">
            <v>-55.42999999999995</v>
          </cell>
          <cell r="AI299">
            <v>-304.56700000000001</v>
          </cell>
          <cell r="AJ299">
            <v>-46.860999999999876</v>
          </cell>
          <cell r="AK299">
            <v>-6.489000000000007</v>
          </cell>
          <cell r="AL299">
            <v>-10.65499999999993</v>
          </cell>
          <cell r="AM299">
            <v>-38.842000000000013</v>
          </cell>
          <cell r="AN299">
            <v>-102.84699999999998</v>
          </cell>
          <cell r="AO299">
            <v>7.5720000000000258</v>
          </cell>
          <cell r="AP299">
            <v>72.136000000000067</v>
          </cell>
          <cell r="AQ299">
            <v>21.71700000000002</v>
          </cell>
          <cell r="AR299">
            <v>67.536000000000044</v>
          </cell>
          <cell r="AS299">
            <v>168.9610000000001</v>
          </cell>
          <cell r="AT299">
            <v>85.040000000000049</v>
          </cell>
          <cell r="AU299">
            <v>136.34599999999986</v>
          </cell>
          <cell r="AV299">
            <v>85.25</v>
          </cell>
          <cell r="AW299">
            <v>75.725000000000023</v>
          </cell>
          <cell r="AX299">
            <v>382.36099999999999</v>
          </cell>
          <cell r="AY299">
            <v>121.77299999999988</v>
          </cell>
          <cell r="AZ299">
            <v>165.12799999999999</v>
          </cell>
          <cell r="BA299">
            <v>115.21684939901911</v>
          </cell>
          <cell r="BB299">
            <v>71.905919877033114</v>
          </cell>
          <cell r="BC299">
            <v>474.02376927605235</v>
          </cell>
          <cell r="BD299">
            <v>152.526727745573</v>
          </cell>
          <cell r="BE299">
            <v>199.05554685732289</v>
          </cell>
          <cell r="BF299">
            <v>141.29665117795142</v>
          </cell>
          <cell r="BG299">
            <v>92.454952019874398</v>
          </cell>
          <cell r="BH299">
            <v>585.33387780072121</v>
          </cell>
          <cell r="BI299">
            <v>187.09100826240191</v>
          </cell>
          <cell r="BJ299">
            <v>240.85524999604473</v>
          </cell>
          <cell r="BK299">
            <v>172.15324836070499</v>
          </cell>
          <cell r="BL299">
            <v>117.06151815803743</v>
          </cell>
          <cell r="BM299">
            <v>717.16102477718914</v>
          </cell>
          <cell r="BN299">
            <v>228.28891444728654</v>
          </cell>
          <cell r="BO299">
            <v>290.29380410021503</v>
          </cell>
          <cell r="BP299">
            <v>209.01792321069885</v>
          </cell>
          <cell r="BQ299">
            <v>147.01442348463863</v>
          </cell>
          <cell r="BR299">
            <v>874.6150652428388</v>
          </cell>
          <cell r="BS299">
            <v>277.33115561597941</v>
          </cell>
          <cell r="BT299">
            <v>348.29457306632304</v>
          </cell>
          <cell r="BU299">
            <v>252.22376401880763</v>
          </cell>
          <cell r="BV299">
            <v>182.43154700196902</v>
          </cell>
          <cell r="BW299">
            <v>1060.2810397030796</v>
          </cell>
          <cell r="BX299">
            <v>334.87002562863142</v>
          </cell>
          <cell r="BY299">
            <v>415.73716370665778</v>
          </cell>
          <cell r="BZ299">
            <v>302.48175908568777</v>
          </cell>
          <cell r="CA299">
            <v>224.16274587651534</v>
          </cell>
          <cell r="CB299">
            <v>1277.2516942974928</v>
          </cell>
        </row>
        <row r="300">
          <cell r="B300" t="str">
            <v>Post-tax exceptionals</v>
          </cell>
          <cell r="C300" t="str">
            <v>TAX_EXC</v>
          </cell>
          <cell r="D300" t="str">
            <v>USD</v>
          </cell>
          <cell r="F300">
            <v>-0.84700000000000131</v>
          </cell>
          <cell r="G300">
            <v>-5.0699999999999932</v>
          </cell>
          <cell r="H300">
            <v>-6.4680000000000319</v>
          </cell>
          <cell r="I300">
            <v>-18.683999999999983</v>
          </cell>
          <cell r="J300">
            <v>-22.372999999999976</v>
          </cell>
          <cell r="K300">
            <v>-114.33499999999999</v>
          </cell>
          <cell r="L300">
            <v>-53.329000000000036</v>
          </cell>
          <cell r="M300">
            <v>-51.176000000000009</v>
          </cell>
          <cell r="N300">
            <v>-40.082999999999977</v>
          </cell>
          <cell r="O300">
            <v>-258.92299999999989</v>
          </cell>
          <cell r="P300">
            <v>-36.770999999999965</v>
          </cell>
          <cell r="Q300">
            <v>-39.45600000000001</v>
          </cell>
          <cell r="R300">
            <v>-51.048999999999992</v>
          </cell>
          <cell r="S300">
            <v>-68.346999999999937</v>
          </cell>
          <cell r="T300">
            <v>-195.62300000000005</v>
          </cell>
          <cell r="U300">
            <v>-70.613000000000028</v>
          </cell>
          <cell r="V300">
            <v>-82.353000000000023</v>
          </cell>
          <cell r="W300">
            <v>-106.85099999999998</v>
          </cell>
          <cell r="X300">
            <v>-88.504999999999995</v>
          </cell>
          <cell r="Y300">
            <v>-348.32200000000012</v>
          </cell>
          <cell r="Z300">
            <v>-93.972000000000008</v>
          </cell>
          <cell r="AA300">
            <v>-101.28400000000005</v>
          </cell>
          <cell r="AB300">
            <v>-105.42699999999996</v>
          </cell>
          <cell r="AC300">
            <v>-106.35399999999996</v>
          </cell>
          <cell r="AD300">
            <v>-407.03699999999986</v>
          </cell>
          <cell r="AE300">
            <v>-175.66400000000004</v>
          </cell>
          <cell r="AF300">
            <v>-213.26600000000002</v>
          </cell>
          <cell r="AG300">
            <v>-38.010999999999981</v>
          </cell>
          <cell r="AH300">
            <v>-302.75200000000007</v>
          </cell>
          <cell r="AI300">
            <v>-729.69299999999998</v>
          </cell>
          <cell r="AJ300">
            <v>-373.34500000000014</v>
          </cell>
          <cell r="AK300">
            <v>-108.92699999999996</v>
          </cell>
          <cell r="AL300">
            <v>-101.33200000000006</v>
          </cell>
          <cell r="AM300">
            <v>-112.49499999999998</v>
          </cell>
          <cell r="AN300">
            <v>-696.09900000000005</v>
          </cell>
          <cell r="AO300">
            <v>-107.086</v>
          </cell>
          <cell r="AP300">
            <v>-142.92600000000004</v>
          </cell>
          <cell r="AQ300">
            <v>-92.68599999999995</v>
          </cell>
          <cell r="AR300">
            <v>-80.822999999999965</v>
          </cell>
          <cell r="AS300">
            <v>-423.52099999999996</v>
          </cell>
          <cell r="AT300">
            <v>-100.89300000000007</v>
          </cell>
          <cell r="AU300">
            <v>-103.5509999999999</v>
          </cell>
          <cell r="AV300">
            <v>-100.86600000000001</v>
          </cell>
          <cell r="AW300">
            <v>-201.82600000000002</v>
          </cell>
          <cell r="AX300">
            <v>-507.13600000000008</v>
          </cell>
          <cell r="AY300">
            <v>-91.846999999999994</v>
          </cell>
          <cell r="AZ300">
            <v>-108.70099999999999</v>
          </cell>
          <cell r="BA300">
            <v>-89.653177797693104</v>
          </cell>
          <cell r="BB300">
            <v>-90.975268530705733</v>
          </cell>
          <cell r="BC300">
            <v>-381.17644632839875</v>
          </cell>
          <cell r="BD300">
            <v>-96.68359503012914</v>
          </cell>
          <cell r="BE300">
            <v>-100.32451492533207</v>
          </cell>
          <cell r="BF300">
            <v>-94.515380171077652</v>
          </cell>
          <cell r="BG300">
            <v>-96.080360378516019</v>
          </cell>
          <cell r="BH300">
            <v>-387.60385050505528</v>
          </cell>
          <cell r="BI300">
            <v>-103.55934647683847</v>
          </cell>
          <cell r="BJ300">
            <v>-106.62432509861827</v>
          </cell>
          <cell r="BK300">
            <v>-99.18456402420712</v>
          </cell>
          <cell r="BL300">
            <v>-100.83603479335292</v>
          </cell>
          <cell r="BM300">
            <v>-410.2042703930162</v>
          </cell>
          <cell r="BN300">
            <v>-109.83622576957191</v>
          </cell>
          <cell r="BO300">
            <v>-112.10330977254304</v>
          </cell>
          <cell r="BP300">
            <v>-103.02723381977123</v>
          </cell>
          <cell r="BQ300">
            <v>-104.70039900728571</v>
          </cell>
          <cell r="BR300">
            <v>-429.66716836917152</v>
          </cell>
          <cell r="BS300">
            <v>-115.45386257984887</v>
          </cell>
          <cell r="BT300">
            <v>-116.68419977287786</v>
          </cell>
          <cell r="BU300">
            <v>-105.99785770879916</v>
          </cell>
          <cell r="BV300">
            <v>-107.66537994987657</v>
          </cell>
          <cell r="BW300">
            <v>-445.80130001140185</v>
          </cell>
          <cell r="BX300">
            <v>-120.02220168945473</v>
          </cell>
          <cell r="BY300">
            <v>-119.95365613745332</v>
          </cell>
          <cell r="BZ300">
            <v>-107.74112095380244</v>
          </cell>
          <cell r="CA300">
            <v>-109.38316032663217</v>
          </cell>
          <cell r="CB300">
            <v>-457.10013910734347</v>
          </cell>
        </row>
        <row r="301">
          <cell r="B301" t="str">
            <v>Net income (post-exceptionals)</v>
          </cell>
          <cell r="C301" t="str">
            <v>NET_INC</v>
          </cell>
          <cell r="D301" t="str">
            <v>USD</v>
          </cell>
          <cell r="F301">
            <v>-13.962</v>
          </cell>
          <cell r="G301">
            <v>-44.733999999999995</v>
          </cell>
          <cell r="H301">
            <v>-84.003000000000014</v>
          </cell>
          <cell r="I301">
            <v>-126.12700000000001</v>
          </cell>
          <cell r="J301">
            <v>-108.23299999999998</v>
          </cell>
          <cell r="K301">
            <v>-140.30199999999999</v>
          </cell>
          <cell r="L301">
            <v>-76.369000000000014</v>
          </cell>
          <cell r="M301">
            <v>-96.835000000000036</v>
          </cell>
          <cell r="N301">
            <v>-66.132000000000005</v>
          </cell>
          <cell r="O301">
            <v>-379.63799999999998</v>
          </cell>
          <cell r="P301">
            <v>-61.486999999999988</v>
          </cell>
          <cell r="Q301">
            <v>-62.631000000000022</v>
          </cell>
          <cell r="R301">
            <v>-85.673999999999978</v>
          </cell>
          <cell r="S301">
            <v>-87.368999999999957</v>
          </cell>
          <cell r="T301">
            <v>-297.16100000000012</v>
          </cell>
          <cell r="U301">
            <v>-94.265000000000001</v>
          </cell>
          <cell r="V301">
            <v>-122.76300000000002</v>
          </cell>
          <cell r="W301">
            <v>-209.81299999999999</v>
          </cell>
          <cell r="X301">
            <v>-194.33800000000005</v>
          </cell>
          <cell r="Y301">
            <v>-621.17900000000009</v>
          </cell>
          <cell r="Z301">
            <v>-229.30000000000004</v>
          </cell>
          <cell r="AA301">
            <v>-217.56400000000002</v>
          </cell>
          <cell r="AB301">
            <v>-240.67099999999994</v>
          </cell>
          <cell r="AC301">
            <v>-185.34799999999993</v>
          </cell>
          <cell r="AD301">
            <v>-872.88300000000004</v>
          </cell>
          <cell r="AE301">
            <v>-265.04800000000006</v>
          </cell>
          <cell r="AF301">
            <v>-287.39000000000004</v>
          </cell>
          <cell r="AG301">
            <v>-123.63999999999997</v>
          </cell>
          <cell r="AH301">
            <v>-358.18200000000002</v>
          </cell>
          <cell r="AI301">
            <v>-1034.26</v>
          </cell>
          <cell r="AJ301">
            <v>-420.20600000000002</v>
          </cell>
          <cell r="AK301">
            <v>-115.41599999999997</v>
          </cell>
          <cell r="AL301">
            <v>-111.98699999999999</v>
          </cell>
          <cell r="AM301">
            <v>-151.33699999999999</v>
          </cell>
          <cell r="AN301">
            <v>-798.94600000000003</v>
          </cell>
          <cell r="AO301">
            <v>-99.513999999999967</v>
          </cell>
          <cell r="AP301">
            <v>-70.789999999999978</v>
          </cell>
          <cell r="AQ301">
            <v>-70.968999999999937</v>
          </cell>
          <cell r="AR301">
            <v>-13.286999999999923</v>
          </cell>
          <cell r="AS301">
            <v>-254.55999999999986</v>
          </cell>
          <cell r="AT301">
            <v>-15.853000000000018</v>
          </cell>
          <cell r="AU301">
            <v>32.794999999999959</v>
          </cell>
          <cell r="AV301">
            <v>-15.616000000000021</v>
          </cell>
          <cell r="AW301">
            <v>-126.101</v>
          </cell>
          <cell r="AX301">
            <v>-124.77500000000012</v>
          </cell>
          <cell r="AY301">
            <v>29.925999999999888</v>
          </cell>
          <cell r="AZ301">
            <v>56.426999999999985</v>
          </cell>
          <cell r="BA301">
            <v>25.563671601326003</v>
          </cell>
          <cell r="BB301">
            <v>-19.069348653672623</v>
          </cell>
          <cell r="BC301">
            <v>92.847322947653595</v>
          </cell>
          <cell r="BD301">
            <v>55.843132715443865</v>
          </cell>
          <cell r="BE301">
            <v>98.731031931990827</v>
          </cell>
          <cell r="BF301">
            <v>46.781271006873773</v>
          </cell>
          <cell r="BG301">
            <v>-3.6254083586416268</v>
          </cell>
          <cell r="BH301">
            <v>197.73002729566593</v>
          </cell>
          <cell r="BI301">
            <v>83.531661785563443</v>
          </cell>
          <cell r="BJ301">
            <v>134.23092489742646</v>
          </cell>
          <cell r="BK301">
            <v>72.968684336497873</v>
          </cell>
          <cell r="BL301">
            <v>16.225483364684504</v>
          </cell>
          <cell r="BM301">
            <v>306.95675438417294</v>
          </cell>
          <cell r="BN301">
            <v>118.45268867771463</v>
          </cell>
          <cell r="BO301">
            <v>178.19049432767198</v>
          </cell>
          <cell r="BP301">
            <v>105.99068939092763</v>
          </cell>
          <cell r="BQ301">
            <v>42.314024477352916</v>
          </cell>
          <cell r="BR301">
            <v>444.94789687366728</v>
          </cell>
          <cell r="BS301">
            <v>161.87729303613054</v>
          </cell>
          <cell r="BT301">
            <v>231.61037329344518</v>
          </cell>
          <cell r="BU301">
            <v>146.22590631000847</v>
          </cell>
          <cell r="BV301">
            <v>74.766167052092456</v>
          </cell>
          <cell r="BW301">
            <v>614.47973969167776</v>
          </cell>
          <cell r="BX301">
            <v>214.84782393917669</v>
          </cell>
          <cell r="BY301">
            <v>295.78350756920446</v>
          </cell>
          <cell r="BZ301">
            <v>194.74063813188533</v>
          </cell>
          <cell r="CA301">
            <v>114.77958554988318</v>
          </cell>
          <cell r="CB301">
            <v>820.15155519014934</v>
          </cell>
        </row>
        <row r="302">
          <cell r="B302" t="str">
            <v>EPS (pre-exceptionals, basic)</v>
          </cell>
          <cell r="C302" t="str">
            <v>EPS</v>
          </cell>
          <cell r="D302" t="str">
            <v>USD</v>
          </cell>
          <cell r="F302">
            <v>-0.40441533352994419</v>
          </cell>
          <cell r="G302">
            <v>-1.2068377288557779</v>
          </cell>
          <cell r="H302">
            <v>-2.1230770216527564</v>
          </cell>
          <cell r="I302">
            <v>-2.6522926818045391</v>
          </cell>
          <cell r="J302">
            <v>-1.9526780993778514</v>
          </cell>
          <cell r="K302">
            <v>-0.34914182399853022</v>
          </cell>
          <cell r="L302">
            <v>-0.16225740616324599</v>
          </cell>
          <cell r="M302">
            <v>-0.31695657930191296</v>
          </cell>
          <cell r="N302">
            <v>-0.17072181272865125</v>
          </cell>
          <cell r="O302">
            <v>-0.99907762219234042</v>
          </cell>
          <cell r="P302">
            <v>-0.15764702465064082</v>
          </cell>
          <cell r="Q302">
            <v>-0.14328779854221504</v>
          </cell>
          <cell r="R302">
            <v>-0.20752726845375019</v>
          </cell>
          <cell r="S302">
            <v>-0.11111140511843912</v>
          </cell>
          <cell r="T302">
            <v>-0.61957349676504514</v>
          </cell>
          <cell r="U302">
            <v>-0.13481071098799619</v>
          </cell>
          <cell r="V302">
            <v>-0.22519434924350079</v>
          </cell>
          <cell r="W302">
            <v>-0.56274765936282201</v>
          </cell>
          <cell r="X302">
            <v>-0.56786195277162244</v>
          </cell>
          <cell r="Y302">
            <v>-1.4906146723659415</v>
          </cell>
          <cell r="Z302">
            <v>-0.71348809253918644</v>
          </cell>
          <cell r="AA302">
            <v>-0.60334047642520239</v>
          </cell>
          <cell r="AB302">
            <v>-0.68873430227228727</v>
          </cell>
          <cell r="AC302">
            <v>-0.39467399450412177</v>
          </cell>
          <cell r="AD302">
            <v>-2.4002368657407978</v>
          </cell>
          <cell r="AE302">
            <v>-0.44010930845170981</v>
          </cell>
          <cell r="AF302">
            <v>-0.36649690976514226</v>
          </cell>
          <cell r="AG302">
            <v>-0.41224273644175907</v>
          </cell>
          <cell r="AH302">
            <v>-0.26070964950237968</v>
          </cell>
          <cell r="AI302">
            <v>-1.4795586041609909</v>
          </cell>
          <cell r="AJ302">
            <v>-0.21745344525960619</v>
          </cell>
          <cell r="AK302">
            <v>-2.965613688713396E-2</v>
          </cell>
          <cell r="AL302">
            <v>-4.7893452239147802E-2</v>
          </cell>
          <cell r="AM302">
            <v>-0.17232628506020467</v>
          </cell>
          <cell r="AN302">
            <v>-0.46732931944609257</v>
          </cell>
          <cell r="AO302">
            <v>3.3131475777093362E-2</v>
          </cell>
          <cell r="AP302">
            <v>0.3110329245787416</v>
          </cell>
          <cell r="AQ302">
            <v>9.2517093744009279E-2</v>
          </cell>
          <cell r="AR302">
            <v>0.28396515187190979</v>
          </cell>
          <cell r="AS302">
            <v>0.72064664597175399</v>
          </cell>
          <cell r="AT302">
            <v>0.35214708683589402</v>
          </cell>
          <cell r="AU302">
            <v>0.55913193604343536</v>
          </cell>
          <cell r="AV302">
            <v>0.34687466940097494</v>
          </cell>
          <cell r="AW302">
            <v>0.30548316564872574</v>
          </cell>
          <cell r="AX302">
            <v>1.5636368579290301</v>
          </cell>
          <cell r="AY302">
            <v>0.45683833791023232</v>
          </cell>
          <cell r="AZ302">
            <v>0.6181374420711393</v>
          </cell>
          <cell r="BA302">
            <v>0.42702778975391159</v>
          </cell>
          <cell r="BB302">
            <v>0.26388397600967084</v>
          </cell>
          <cell r="BC302">
            <v>1.7658875457449543</v>
          </cell>
          <cell r="BD302">
            <v>0.55630856914744264</v>
          </cell>
          <cell r="BE302">
            <v>0.72155962726589806</v>
          </cell>
          <cell r="BF302">
            <v>0.50905515838276683</v>
          </cell>
          <cell r="BG302">
            <v>0.33105887032154785</v>
          </cell>
          <cell r="BH302">
            <v>2.1179822251176552</v>
          </cell>
          <cell r="BI302">
            <v>0.66585128066572086</v>
          </cell>
          <cell r="BJ302">
            <v>0.85199500995320998</v>
          </cell>
          <cell r="BK302">
            <v>0.60524894322517941</v>
          </cell>
          <cell r="BL302">
            <v>0.40868613935279374</v>
          </cell>
          <cell r="BM302">
            <v>2.5317813731969037</v>
          </cell>
          <cell r="BN302">
            <v>0.79147771714536319</v>
          </cell>
          <cell r="BO302">
            <v>0.99951802492861408</v>
          </cell>
          <cell r="BP302">
            <v>0.71475299112689128</v>
          </cell>
          <cell r="BQ302">
            <v>0.49931234288491738</v>
          </cell>
          <cell r="BR302">
            <v>3.0050610760857861</v>
          </cell>
          <cell r="BS302">
            <v>0.93555852526034877</v>
          </cell>
          <cell r="BT302">
            <v>1.167074873789911</v>
          </cell>
          <cell r="BU302">
            <v>0.83953195618631826</v>
          </cell>
          <cell r="BV302">
            <v>0.60321153085452117</v>
          </cell>
          <cell r="BW302">
            <v>3.5453768860910992</v>
          </cell>
          <cell r="BX302">
            <v>1.0999765502019823</v>
          </cell>
          <cell r="BY302">
            <v>1.3566949297861455</v>
          </cell>
          <cell r="BZ302">
            <v>0.98070241610851383</v>
          </cell>
          <cell r="CA302">
            <v>0.72209519719055981</v>
          </cell>
          <cell r="CB302">
            <v>4.1594690932872016</v>
          </cell>
        </row>
        <row r="303">
          <cell r="B303" t="str">
            <v>EPS (pre-exceptionals, diluted)</v>
          </cell>
          <cell r="C303" t="str">
            <v>EPS_FUL_DIL</v>
          </cell>
          <cell r="D303" t="str">
            <v>USD</v>
          </cell>
          <cell r="F303">
            <v>-0.40441533352994419</v>
          </cell>
          <cell r="G303">
            <v>-1.2068377288557779</v>
          </cell>
          <cell r="H303">
            <v>-2.1230770216527564</v>
          </cell>
          <cell r="I303">
            <v>-2.6522926818045391</v>
          </cell>
          <cell r="J303">
            <v>-1.9526780993778514</v>
          </cell>
          <cell r="K303">
            <v>-0.34914182399853022</v>
          </cell>
          <cell r="L303">
            <v>-0.16225740616324599</v>
          </cell>
          <cell r="M303">
            <v>-0.31695657930191296</v>
          </cell>
          <cell r="N303">
            <v>-0.17072181272865125</v>
          </cell>
          <cell r="O303">
            <v>-0.94219006261298865</v>
          </cell>
          <cell r="P303">
            <v>-0.15764702465064082</v>
          </cell>
          <cell r="Q303">
            <v>-0.14328779854221504</v>
          </cell>
          <cell r="R303">
            <v>-0.20752726845375019</v>
          </cell>
          <cell r="S303">
            <v>-0.11111140511843912</v>
          </cell>
          <cell r="T303">
            <v>-0.61868879409641642</v>
          </cell>
          <cell r="U303">
            <v>-0.13481071098799619</v>
          </cell>
          <cell r="V303">
            <v>-0.22519434924350079</v>
          </cell>
          <cell r="W303">
            <v>-0.56274765936282201</v>
          </cell>
          <cell r="X303">
            <v>-0.56786195277162244</v>
          </cell>
          <cell r="Y303">
            <v>-1.5071593500774385</v>
          </cell>
          <cell r="Z303">
            <v>-0.71348809253918644</v>
          </cell>
          <cell r="AA303">
            <v>-0.60334047642520239</v>
          </cell>
          <cell r="AB303">
            <v>-0.68873430227228727</v>
          </cell>
          <cell r="AC303">
            <v>-0.39467399450412177</v>
          </cell>
          <cell r="AD303">
            <v>-2.392394576838238</v>
          </cell>
          <cell r="AE303">
            <v>-0.44010930845170981</v>
          </cell>
          <cell r="AF303">
            <v>-0.36600829547699004</v>
          </cell>
          <cell r="AG303">
            <v>-0.41224273644175907</v>
          </cell>
          <cell r="AH303">
            <v>-0.26070964950237968</v>
          </cell>
          <cell r="AI303">
            <v>-1.4750764889309373</v>
          </cell>
          <cell r="AJ303">
            <v>-0.21745344525960619</v>
          </cell>
          <cell r="AK303">
            <v>-2.965613688713396E-2</v>
          </cell>
          <cell r="AL303">
            <v>-4.7893452239147802E-2</v>
          </cell>
          <cell r="AM303">
            <v>-0.17232628506020467</v>
          </cell>
          <cell r="AN303">
            <v>-0.46636570948685602</v>
          </cell>
          <cell r="AO303">
            <v>3.3131475777093362E-2</v>
          </cell>
          <cell r="AP303">
            <v>0.3110329245787416</v>
          </cell>
          <cell r="AQ303">
            <v>9.2517093744009279E-2</v>
          </cell>
          <cell r="AR303">
            <v>0.28396515187190979</v>
          </cell>
          <cell r="AS303">
            <v>0.72438778568371698</v>
          </cell>
          <cell r="AT303">
            <v>0.35214708683589402</v>
          </cell>
          <cell r="AU303">
            <v>0.4567093186842629</v>
          </cell>
          <cell r="AV303">
            <v>0.34687466940097494</v>
          </cell>
          <cell r="AW303">
            <v>0.30548316564872574</v>
          </cell>
          <cell r="AX303">
            <v>1.5622959594349992</v>
          </cell>
          <cell r="AY303">
            <v>0.42160932593333728</v>
          </cell>
          <cell r="AZ303">
            <v>0.56290246155629253</v>
          </cell>
          <cell r="BA303">
            <v>0.38921438734695157</v>
          </cell>
          <cell r="BB303">
            <v>0.2407266080436298</v>
          </cell>
          <cell r="BC303">
            <v>1.6111629873026416</v>
          </cell>
          <cell r="BD303">
            <v>0.50776320628006866</v>
          </cell>
          <cell r="BE303">
            <v>0.65894657517812649</v>
          </cell>
          <cell r="BF303">
            <v>0.46512900961764631</v>
          </cell>
          <cell r="BG303">
            <v>0.30265128612672165</v>
          </cell>
          <cell r="BH303">
            <v>1.9322636180990413</v>
          </cell>
          <cell r="BI303">
            <v>0.60903374325066417</v>
          </cell>
          <cell r="BJ303">
            <v>0.7796974293965947</v>
          </cell>
          <cell r="BK303">
            <v>0.55417682123137824</v>
          </cell>
          <cell r="BL303">
            <v>0.37442098694293713</v>
          </cell>
          <cell r="BM303">
            <v>2.3146002648486173</v>
          </cell>
          <cell r="BN303">
            <v>0.72554027132901633</v>
          </cell>
          <cell r="BO303">
            <v>0.91677483235437907</v>
          </cell>
          <cell r="BP303">
            <v>0.65595490816224056</v>
          </cell>
          <cell r="BQ303">
            <v>0.45849336381587319</v>
          </cell>
          <cell r="BR303">
            <v>2.7534675312758821</v>
          </cell>
          <cell r="BS303">
            <v>0.85955034327636515</v>
          </cell>
          <cell r="BT303">
            <v>1.0728415870576515</v>
          </cell>
          <cell r="BU303">
            <v>0.7721605565141898</v>
          </cell>
          <cell r="BV303">
            <v>0.55509913622748475</v>
          </cell>
          <cell r="BW303">
            <v>3.2560057312321624</v>
          </cell>
          <cell r="BX303">
            <v>1.0127726621374329</v>
          </cell>
          <cell r="BY303">
            <v>1.2497856022438318</v>
          </cell>
          <cell r="BZ303">
            <v>0.90388365222627831</v>
          </cell>
          <cell r="CA303">
            <v>0.6658692589246511</v>
          </cell>
          <cell r="CB303">
            <v>3.8282495536256822</v>
          </cell>
        </row>
        <row r="304">
          <cell r="B304" t="str">
            <v>EPS (post-exceptionals, basic)</v>
          </cell>
          <cell r="C304" t="str">
            <v>EPS_POST_BASIC</v>
          </cell>
          <cell r="D304" t="str">
            <v>USD</v>
          </cell>
          <cell r="F304">
            <v>-0.43053350261113849</v>
          </cell>
          <cell r="G304">
            <v>-1.3611002158792447</v>
          </cell>
          <cell r="H304">
            <v>-2.3001849364789653</v>
          </cell>
          <cell r="I304">
            <v>-3.1135180428502651</v>
          </cell>
          <cell r="J304">
            <v>-2.4614978887719889</v>
          </cell>
          <cell r="K304">
            <v>-1.8864441864921548</v>
          </cell>
          <cell r="L304">
            <v>-0.53782273660073565</v>
          </cell>
          <cell r="M304">
            <v>-0.6722111819510006</v>
          </cell>
          <cell r="N304">
            <v>-0.43342066564440684</v>
          </cell>
          <cell r="O304">
            <v>-2.9631044277038439</v>
          </cell>
          <cell r="P304">
            <v>-0.3921849249350195</v>
          </cell>
          <cell r="Q304">
            <v>-0.38723875341952402</v>
          </cell>
          <cell r="R304">
            <v>-0.51349288657058756</v>
          </cell>
          <cell r="S304">
            <v>-0.51034025621874102</v>
          </cell>
          <cell r="T304">
            <v>-1.8106539496787917</v>
          </cell>
          <cell r="U304">
            <v>-0.53728782645372364</v>
          </cell>
          <cell r="V304">
            <v>-0.6841260553372901</v>
          </cell>
          <cell r="W304">
            <v>-1.1467509824390723</v>
          </cell>
          <cell r="X304">
            <v>-1.0427480670275957</v>
          </cell>
          <cell r="Y304">
            <v>-3.4311589511053535</v>
          </cell>
          <cell r="Z304">
            <v>-1.2089354724760246</v>
          </cell>
          <cell r="AA304">
            <v>-1.1288714087802956</v>
          </cell>
          <cell r="AB304">
            <v>-1.2256245989631602</v>
          </cell>
          <cell r="AC304">
            <v>-0.92604546590057413</v>
          </cell>
          <cell r="AD304">
            <v>-4.4827701760115808</v>
          </cell>
          <cell r="AE304">
            <v>-1.3050444373322831</v>
          </cell>
          <cell r="AF304">
            <v>-1.4209641532756492</v>
          </cell>
          <cell r="AG304">
            <v>-0.59523866836771522</v>
          </cell>
          <cell r="AH304">
            <v>-1.6846744304178505</v>
          </cell>
          <cell r="AI304">
            <v>-5.0107714259231964</v>
          </cell>
          <cell r="AJ304">
            <v>-1.9499208813033937</v>
          </cell>
          <cell r="AK304">
            <v>-0.52747614346824601</v>
          </cell>
          <cell r="AL304">
            <v>-0.50337344306949605</v>
          </cell>
          <cell r="AM304">
            <v>-0.67142121935420895</v>
          </cell>
          <cell r="AN304">
            <v>-3.6228671534579107</v>
          </cell>
          <cell r="AO304">
            <v>-0.43542600112013424</v>
          </cell>
          <cell r="AP304">
            <v>-0.30522929925320352</v>
          </cell>
          <cell r="AQ304">
            <v>-0.30233667752998034</v>
          </cell>
          <cell r="AR304">
            <v>-5.586716673954692E-2</v>
          </cell>
          <cell r="AS304">
            <v>-1.0913770321177478</v>
          </cell>
          <cell r="AT304">
            <v>-6.5646610625698862E-2</v>
          </cell>
          <cell r="AU304">
            <v>0.13448676046634636</v>
          </cell>
          <cell r="AV304">
            <v>-6.3540115394318267E-2</v>
          </cell>
          <cell r="AW304">
            <v>-0.5087056146777148</v>
          </cell>
          <cell r="AX304">
            <v>-0.50982010718763049</v>
          </cell>
          <cell r="AY304">
            <v>0.1122690916730439</v>
          </cell>
          <cell r="AZ304">
            <v>0.21122790467848074</v>
          </cell>
          <cell r="BA304">
            <v>9.4746543052079135E-2</v>
          </cell>
          <cell r="BB304">
            <v>-6.9981658690288953E-2</v>
          </cell>
          <cell r="BC304">
            <v>0.34516724998917209</v>
          </cell>
          <cell r="BD304">
            <v>0.20367586531758525</v>
          </cell>
          <cell r="BE304">
            <v>0.35789169267153215</v>
          </cell>
          <cell r="BF304">
            <v>0.16854077660877606</v>
          </cell>
          <cell r="BG304">
            <v>-1.2981712384731866E-2</v>
          </cell>
          <cell r="BH304">
            <v>0.71456585540565232</v>
          </cell>
          <cell r="BI304">
            <v>0.2972866761081574</v>
          </cell>
          <cell r="BJ304">
            <v>0.4748249340460276</v>
          </cell>
          <cell r="BK304">
            <v>0.25654014375994655</v>
          </cell>
          <cell r="BL304">
            <v>5.664654157734067E-2</v>
          </cell>
          <cell r="BM304">
            <v>1.0822463524094876</v>
          </cell>
          <cell r="BN304">
            <v>0.41067549798181774</v>
          </cell>
          <cell r="BO304">
            <v>0.61353225055386629</v>
          </cell>
          <cell r="BP304">
            <v>0.36244337858720554</v>
          </cell>
          <cell r="BQ304">
            <v>0.14371320988708608</v>
          </cell>
          <cell r="BR304">
            <v>1.5267833086309985</v>
          </cell>
          <cell r="BS304">
            <v>0.54608246668011051</v>
          </cell>
          <cell r="BT304">
            <v>0.77608630189138583</v>
          </cell>
          <cell r="BU304">
            <v>0.48671591928350072</v>
          </cell>
          <cell r="BV304">
            <v>0.24721499556834203</v>
          </cell>
          <cell r="BW304">
            <v>2.0521952962358561</v>
          </cell>
          <cell r="BX304">
            <v>0.70572923853478631</v>
          </cell>
          <cell r="BY304">
            <v>0.96524443823032524</v>
          </cell>
          <cell r="BZ304">
            <v>0.63138555828205067</v>
          </cell>
          <cell r="CA304">
            <v>0.36973934779845513</v>
          </cell>
          <cell r="CB304">
            <v>2.6678052961423258</v>
          </cell>
        </row>
        <row r="305">
          <cell r="B305" t="str">
            <v>EPS (post-exceptionals, diluted)</v>
          </cell>
          <cell r="C305" t="str">
            <v>FULLY_DIL_EPS</v>
          </cell>
          <cell r="D305" t="str">
            <v>USD</v>
          </cell>
          <cell r="F305">
            <v>-0.43053350261113849</v>
          </cell>
          <cell r="G305">
            <v>-1.3611002158792447</v>
          </cell>
          <cell r="H305">
            <v>-2.3001849364789653</v>
          </cell>
          <cell r="I305">
            <v>-3.1135180428502651</v>
          </cell>
          <cell r="J305">
            <v>-2.4614978887719889</v>
          </cell>
          <cell r="K305">
            <v>-1.8864441864921548</v>
          </cell>
          <cell r="L305">
            <v>-0.53782273660073565</v>
          </cell>
          <cell r="M305">
            <v>-0.6722111819510006</v>
          </cell>
          <cell r="N305">
            <v>-0.43342066564440684</v>
          </cell>
          <cell r="O305">
            <v>-2.9631044277038439</v>
          </cell>
          <cell r="P305">
            <v>-0.3921849249350195</v>
          </cell>
          <cell r="Q305">
            <v>-0.38723875341952402</v>
          </cell>
          <cell r="R305">
            <v>-0.51349288657058756</v>
          </cell>
          <cell r="S305">
            <v>-0.51034025621874102</v>
          </cell>
          <cell r="T305">
            <v>-1.8106539496787917</v>
          </cell>
          <cell r="U305">
            <v>-0.53728782645372364</v>
          </cell>
          <cell r="V305">
            <v>-0.6841260553372901</v>
          </cell>
          <cell r="W305">
            <v>-1.1467509824390723</v>
          </cell>
          <cell r="X305">
            <v>-1.0427480670275957</v>
          </cell>
          <cell r="Y305">
            <v>-3.4311589511053535</v>
          </cell>
          <cell r="Z305">
            <v>-1.2089354724760246</v>
          </cell>
          <cell r="AA305">
            <v>-1.1288714087802956</v>
          </cell>
          <cell r="AB305">
            <v>-1.2256245989631602</v>
          </cell>
          <cell r="AC305">
            <v>-0.92604546590057413</v>
          </cell>
          <cell r="AD305">
            <v>-4.4827701760115808</v>
          </cell>
          <cell r="AE305">
            <v>-1.3050444373322831</v>
          </cell>
          <cell r="AF305">
            <v>-1.4190697215089869</v>
          </cell>
          <cell r="AG305">
            <v>-0.59523866836771522</v>
          </cell>
          <cell r="AH305">
            <v>-1.6846744304178505</v>
          </cell>
          <cell r="AI305">
            <v>-5.0091198634182668</v>
          </cell>
          <cell r="AJ305">
            <v>-1.9499208813033937</v>
          </cell>
          <cell r="AK305">
            <v>-0.52747614346824601</v>
          </cell>
          <cell r="AL305">
            <v>-0.50337344306949605</v>
          </cell>
          <cell r="AM305">
            <v>-0.67142121935420895</v>
          </cell>
          <cell r="AN305">
            <v>-3.6228671534579107</v>
          </cell>
          <cell r="AO305">
            <v>-0.43542600112013424</v>
          </cell>
          <cell r="AP305">
            <v>-0.30522929925320352</v>
          </cell>
          <cell r="AQ305">
            <v>-0.30233667752998034</v>
          </cell>
          <cell r="AR305">
            <v>-5.586716673954692E-2</v>
          </cell>
          <cell r="AS305">
            <v>-1.0913770321177478</v>
          </cell>
          <cell r="AT305">
            <v>-6.5646610625698862E-2</v>
          </cell>
          <cell r="AU305">
            <v>0.10985127621089287</v>
          </cell>
          <cell r="AV305">
            <v>-6.3540115394318267E-2</v>
          </cell>
          <cell r="AW305">
            <v>-0.5087056146777148</v>
          </cell>
          <cell r="AX305">
            <v>-0.50982050559158021</v>
          </cell>
          <cell r="AY305">
            <v>0.10361147945670236</v>
          </cell>
          <cell r="AZ305">
            <v>0.19235318781936991</v>
          </cell>
          <cell r="BA305">
            <v>8.6356716335739964E-2</v>
          </cell>
          <cell r="BB305">
            <v>-6.3840357328718123E-2</v>
          </cell>
          <cell r="BC305">
            <v>0.31557947069164421</v>
          </cell>
          <cell r="BD305">
            <v>0.18590242205691168</v>
          </cell>
          <cell r="BE305">
            <v>0.32683578218505804</v>
          </cell>
          <cell r="BF305">
            <v>0.15399746611600754</v>
          </cell>
          <cell r="BG305">
            <v>-1.1867774289056906E-2</v>
          </cell>
          <cell r="BH305">
            <v>0.65273265812784786</v>
          </cell>
          <cell r="BI305">
            <v>0.2719190041771441</v>
          </cell>
          <cell r="BJ305">
            <v>0.43453280378887099</v>
          </cell>
          <cell r="BK305">
            <v>0.23489277094736694</v>
          </cell>
          <cell r="BL305">
            <v>5.1897169886603423E-2</v>
          </cell>
          <cell r="BM305">
            <v>0.99068711272397225</v>
          </cell>
          <cell r="BN305">
            <v>0.37646241426552152</v>
          </cell>
          <cell r="BO305">
            <v>0.56274215383529236</v>
          </cell>
          <cell r="BP305">
            <v>0.33262751757127668</v>
          </cell>
          <cell r="BQ305">
            <v>0.13196459884247949</v>
          </cell>
          <cell r="BR305">
            <v>1.4007871986643254</v>
          </cell>
          <cell r="BS305">
            <v>0.50171673820349383</v>
          </cell>
          <cell r="BT305">
            <v>0.71342265908874347</v>
          </cell>
          <cell r="BU305">
            <v>0.44765756958852038</v>
          </cell>
          <cell r="BV305">
            <v>0.22749702796308802</v>
          </cell>
          <cell r="BW305">
            <v>1.8869992758923979</v>
          </cell>
          <cell r="BX305">
            <v>0.6497804698907943</v>
          </cell>
          <cell r="BY305">
            <v>0.88918191928111046</v>
          </cell>
          <cell r="BZ305">
            <v>0.58192890627054428</v>
          </cell>
          <cell r="CA305">
            <v>0.34094959566511263</v>
          </cell>
          <cell r="CB305">
            <v>2.4582036877148199</v>
          </cell>
        </row>
        <row r="306">
          <cell r="B306" t="str">
            <v>Common dividends paid</v>
          </cell>
          <cell r="C306" t="str">
            <v>COMMON_DIV_PAID</v>
          </cell>
          <cell r="D306" t="str">
            <v>USD</v>
          </cell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</row>
        <row r="307">
          <cell r="B307" t="str">
            <v>DPS, dividend per share</v>
          </cell>
          <cell r="C307" t="str">
            <v>DPS</v>
          </cell>
          <cell r="D307" t="str">
            <v>USD</v>
          </cell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</row>
        <row r="308">
          <cell r="B308" t="str">
            <v>Weighted average shares outstanding, basic</v>
          </cell>
          <cell r="C308" t="str">
            <v>SH</v>
          </cell>
          <cell r="F308">
            <v>32.429532000000002</v>
          </cell>
          <cell r="G308">
            <v>32.866059</v>
          </cell>
          <cell r="H308">
            <v>36.520107000000003</v>
          </cell>
          <cell r="I308">
            <v>40.509481000000001</v>
          </cell>
          <cell r="J308">
            <v>43.970381000000003</v>
          </cell>
          <cell r="K308">
            <v>74.373788000000005</v>
          </cell>
          <cell r="L308">
            <v>141.9966</v>
          </cell>
          <cell r="M308">
            <v>144.05443199999999</v>
          </cell>
          <cell r="N308">
            <v>152.581557</v>
          </cell>
          <cell r="O308">
            <v>128.12170791232876</v>
          </cell>
          <cell r="P308">
            <v>156.780631</v>
          </cell>
          <cell r="Q308">
            <v>161.73742799999999</v>
          </cell>
          <cell r="R308">
            <v>166.84554399999999</v>
          </cell>
          <cell r="S308">
            <v>171.19754699999999</v>
          </cell>
          <cell r="T308">
            <v>164.11805251506848</v>
          </cell>
          <cell r="U308">
            <v>175.446</v>
          </cell>
          <cell r="V308">
            <v>179.44499999999999</v>
          </cell>
          <cell r="W308">
            <v>182.96299999999999</v>
          </cell>
          <cell r="X308">
            <v>186.37100000000001</v>
          </cell>
          <cell r="Y308">
            <v>181.04057808219181</v>
          </cell>
          <cell r="Z308">
            <v>189.67099999999999</v>
          </cell>
          <cell r="AA308">
            <v>192.727</v>
          </cell>
          <cell r="AB308">
            <v>196.36600000000001</v>
          </cell>
          <cell r="AC308">
            <v>200.15</v>
          </cell>
          <cell r="AD308">
            <v>194.71955191256831</v>
          </cell>
          <cell r="AE308">
            <v>203.095</v>
          </cell>
          <cell r="AF308">
            <v>202.25</v>
          </cell>
          <cell r="AG308">
            <v>207.715</v>
          </cell>
          <cell r="AH308">
            <v>212.61199999999999</v>
          </cell>
          <cell r="AI308">
            <v>206.40733972602743</v>
          </cell>
          <cell r="AJ308">
            <v>215.499</v>
          </cell>
          <cell r="AK308">
            <v>218.80799999999999</v>
          </cell>
          <cell r="AL308">
            <v>222.47300000000001</v>
          </cell>
          <cell r="AM308">
            <v>225.398</v>
          </cell>
          <cell r="AN308">
            <v>220.52864931506849</v>
          </cell>
          <cell r="AO308">
            <v>228.54400000000001</v>
          </cell>
          <cell r="AP308">
            <v>231.92400000000001</v>
          </cell>
          <cell r="AQ308">
            <v>234.73500000000001</v>
          </cell>
          <cell r="AR308">
            <v>237.83199999999999</v>
          </cell>
          <cell r="AS308">
            <v>233.24661643835617</v>
          </cell>
          <cell r="AT308">
            <v>241.49</v>
          </cell>
          <cell r="AU308">
            <v>243.85300000000001</v>
          </cell>
          <cell r="AV308">
            <v>245.76599999999999</v>
          </cell>
          <cell r="AW308">
            <v>247.886</v>
          </cell>
          <cell r="AX308">
            <v>244.74319125683061</v>
          </cell>
          <cell r="AY308">
            <v>266.55599999999998</v>
          </cell>
          <cell r="AZ308">
            <v>267.13799999999998</v>
          </cell>
          <cell r="BA308">
            <v>269.8111274336888</v>
          </cell>
          <cell r="BB308">
            <v>272.49066413338375</v>
          </cell>
          <cell r="BC308">
            <v>268.99227244347838</v>
          </cell>
          <cell r="BD308">
            <v>274.1764844272023</v>
          </cell>
          <cell r="BE308">
            <v>275.86846510741657</v>
          </cell>
          <cell r="BF308">
            <v>277.56648538213648</v>
          </cell>
          <cell r="BG308">
            <v>279.2704268279403</v>
          </cell>
          <cell r="BH308">
            <v>276.71351184757697</v>
          </cell>
          <cell r="BI308">
            <v>280.98017334343422</v>
          </cell>
          <cell r="BJ308">
            <v>282.6956111037224</v>
          </cell>
          <cell r="BK308">
            <v>284.43378594492873</v>
          </cell>
          <cell r="BL308">
            <v>286.43378594492873</v>
          </cell>
          <cell r="BM308">
            <v>283.62928061690548</v>
          </cell>
          <cell r="BN308">
            <v>288.43378594492873</v>
          </cell>
          <cell r="BO308">
            <v>290.43378594492873</v>
          </cell>
          <cell r="BP308">
            <v>292.43378594492873</v>
          </cell>
          <cell r="BQ308">
            <v>294.43378594492873</v>
          </cell>
          <cell r="BR308">
            <v>291.42832146405442</v>
          </cell>
          <cell r="BS308">
            <v>296.43378594492873</v>
          </cell>
          <cell r="BT308">
            <v>298.43378594492873</v>
          </cell>
          <cell r="BU308">
            <v>300.43378594492873</v>
          </cell>
          <cell r="BV308">
            <v>302.43378594492873</v>
          </cell>
          <cell r="BW308">
            <v>299.42556676684654</v>
          </cell>
          <cell r="BX308">
            <v>304.43378594492873</v>
          </cell>
          <cell r="BY308">
            <v>306.43378594492873</v>
          </cell>
          <cell r="BZ308">
            <v>308.43378594492873</v>
          </cell>
          <cell r="CA308">
            <v>310.43378594492873</v>
          </cell>
          <cell r="CB308">
            <v>307.42556676684654</v>
          </cell>
        </row>
        <row r="309">
          <cell r="B309" t="str">
            <v>Diluted average shares outstanding (mn)</v>
          </cell>
          <cell r="C309" t="str">
            <v>DILUTE_SHARES</v>
          </cell>
          <cell r="F309">
            <v>32.429532000000002</v>
          </cell>
          <cell r="G309">
            <v>32.866059</v>
          </cell>
          <cell r="H309">
            <v>36.520107000000003</v>
          </cell>
          <cell r="I309">
            <v>40.509481000000001</v>
          </cell>
          <cell r="J309">
            <v>43.970381000000003</v>
          </cell>
          <cell r="K309">
            <v>74.373788000000005</v>
          </cell>
          <cell r="L309">
            <v>141.9966</v>
          </cell>
          <cell r="M309">
            <v>144.05443199999999</v>
          </cell>
          <cell r="N309">
            <v>152.581557</v>
          </cell>
          <cell r="O309">
            <v>128.12170791232876</v>
          </cell>
          <cell r="P309">
            <v>156.780631</v>
          </cell>
          <cell r="Q309">
            <v>161.73742799999999</v>
          </cell>
          <cell r="R309">
            <v>166.84554399999999</v>
          </cell>
          <cell r="S309">
            <v>171.19754699999999</v>
          </cell>
          <cell r="T309">
            <v>164.11805251506848</v>
          </cell>
          <cell r="U309">
            <v>175.446</v>
          </cell>
          <cell r="V309">
            <v>179.44499999999999</v>
          </cell>
          <cell r="W309">
            <v>182.96299999999999</v>
          </cell>
          <cell r="X309">
            <v>186.37100000000001</v>
          </cell>
          <cell r="Y309">
            <v>181.04057808219181</v>
          </cell>
          <cell r="Z309">
            <v>189.67099999999999</v>
          </cell>
          <cell r="AA309">
            <v>192.727</v>
          </cell>
          <cell r="AB309">
            <v>196.36600000000001</v>
          </cell>
          <cell r="AC309">
            <v>200.15</v>
          </cell>
          <cell r="AD309">
            <v>194.71955191256831</v>
          </cell>
          <cell r="AE309">
            <v>203.095</v>
          </cell>
          <cell r="AF309">
            <v>202.52</v>
          </cell>
          <cell r="AG309">
            <v>207.715</v>
          </cell>
          <cell r="AH309">
            <v>212.61199999999999</v>
          </cell>
          <cell r="AI309">
            <v>206.47539452054798</v>
          </cell>
          <cell r="AJ309">
            <v>215.499</v>
          </cell>
          <cell r="AK309">
            <v>218.80799999999999</v>
          </cell>
          <cell r="AL309">
            <v>222.47300000000001</v>
          </cell>
          <cell r="AM309">
            <v>225.398</v>
          </cell>
          <cell r="AN309">
            <v>220.52864931506849</v>
          </cell>
          <cell r="AO309">
            <v>228.54400000000001</v>
          </cell>
          <cell r="AP309">
            <v>231.92400000000001</v>
          </cell>
          <cell r="AQ309">
            <v>234.73500000000001</v>
          </cell>
          <cell r="AR309">
            <v>237.83199999999999</v>
          </cell>
          <cell r="AS309">
            <v>233.24661643835617</v>
          </cell>
          <cell r="AT309">
            <v>241.49</v>
          </cell>
          <cell r="AU309">
            <v>298.54000000000002</v>
          </cell>
          <cell r="AV309">
            <v>245.76599999999999</v>
          </cell>
          <cell r="AW309">
            <v>247.886</v>
          </cell>
          <cell r="AX309">
            <v>244.74299999999999</v>
          </cell>
          <cell r="AY309">
            <v>288.82900000000001</v>
          </cell>
          <cell r="AZ309">
            <v>293.351</v>
          </cell>
          <cell r="BA309">
            <v>296.02412743368882</v>
          </cell>
          <cell r="BB309">
            <v>298.70366413338377</v>
          </cell>
          <cell r="BC309">
            <v>294.21217655306742</v>
          </cell>
          <cell r="BD309">
            <v>300.38948442720232</v>
          </cell>
          <cell r="BE309">
            <v>302.08146510741659</v>
          </cell>
          <cell r="BF309">
            <v>303.7794853821365</v>
          </cell>
          <cell r="BG309">
            <v>305.48342682794032</v>
          </cell>
          <cell r="BH309">
            <v>302.92651184757699</v>
          </cell>
          <cell r="BI309">
            <v>307.19317334343424</v>
          </cell>
          <cell r="BJ309">
            <v>308.90861110372242</v>
          </cell>
          <cell r="BK309">
            <v>310.64678594492875</v>
          </cell>
          <cell r="BL309">
            <v>312.64678594492875</v>
          </cell>
          <cell r="BM309">
            <v>309.84228061690555</v>
          </cell>
          <cell r="BN309">
            <v>314.64678594492875</v>
          </cell>
          <cell r="BO309">
            <v>316.64678594492875</v>
          </cell>
          <cell r="BP309">
            <v>318.64678594492875</v>
          </cell>
          <cell r="BQ309">
            <v>320.64678594492875</v>
          </cell>
          <cell r="BR309">
            <v>317.64132146405444</v>
          </cell>
          <cell r="BS309">
            <v>322.64678594492875</v>
          </cell>
          <cell r="BT309">
            <v>324.64678594492875</v>
          </cell>
          <cell r="BU309">
            <v>326.64678594492875</v>
          </cell>
          <cell r="BV309">
            <v>328.64678594492875</v>
          </cell>
          <cell r="BW309">
            <v>325.63856676684657</v>
          </cell>
          <cell r="BX309">
            <v>330.64678594492875</v>
          </cell>
          <cell r="BY309">
            <v>332.64678594492875</v>
          </cell>
          <cell r="BZ309">
            <v>334.64678594492875</v>
          </cell>
          <cell r="CA309">
            <v>336.64678594492875</v>
          </cell>
          <cell r="CB309">
            <v>333.63856676684657</v>
          </cell>
        </row>
        <row r="310">
          <cell r="B310" t="str">
            <v>Period-end shares outstanding</v>
          </cell>
          <cell r="C310" t="str">
            <v>NON_OP_ADD</v>
          </cell>
          <cell r="F310">
            <v>32.429532000000002</v>
          </cell>
          <cell r="G310">
            <v>32.866059</v>
          </cell>
          <cell r="H310">
            <v>36.520107000000003</v>
          </cell>
          <cell r="I310">
            <v>40.509481000000001</v>
          </cell>
          <cell r="J310">
            <v>43.970381000000003</v>
          </cell>
          <cell r="K310">
            <v>74.373788000000005</v>
          </cell>
          <cell r="L310">
            <v>141.9966</v>
          </cell>
          <cell r="M310">
            <v>144.05443199999999</v>
          </cell>
          <cell r="N310">
            <v>152.581557</v>
          </cell>
          <cell r="O310">
            <v>128.12170791232876</v>
          </cell>
          <cell r="P310">
            <v>156.780631</v>
          </cell>
          <cell r="Q310">
            <v>161.73742799999999</v>
          </cell>
          <cell r="R310">
            <v>166.84554399999999</v>
          </cell>
          <cell r="S310">
            <v>171.19754699999999</v>
          </cell>
          <cell r="T310">
            <v>164.11805251506848</v>
          </cell>
          <cell r="U310">
            <v>175.446</v>
          </cell>
          <cell r="V310">
            <v>179.44499999999999</v>
          </cell>
          <cell r="W310">
            <v>182.96299999999999</v>
          </cell>
          <cell r="X310">
            <v>186.37100000000001</v>
          </cell>
          <cell r="Y310">
            <v>181.04057808219181</v>
          </cell>
          <cell r="Z310">
            <v>189.67099999999999</v>
          </cell>
          <cell r="AA310">
            <v>192.727</v>
          </cell>
          <cell r="AB310">
            <v>196.36600000000001</v>
          </cell>
          <cell r="AC310">
            <v>200.15</v>
          </cell>
          <cell r="AD310">
            <v>194.71955191256831</v>
          </cell>
          <cell r="AE310">
            <v>203.095</v>
          </cell>
          <cell r="AF310">
            <v>202.25</v>
          </cell>
          <cell r="AG310">
            <v>207.715</v>
          </cell>
          <cell r="AH310">
            <v>212.61199999999999</v>
          </cell>
          <cell r="AI310">
            <v>206.40733972602743</v>
          </cell>
          <cell r="AJ310">
            <v>215.499</v>
          </cell>
          <cell r="AK310">
            <v>218.80799999999999</v>
          </cell>
          <cell r="AL310">
            <v>222.47300000000001</v>
          </cell>
          <cell r="AM310">
            <v>225.398</v>
          </cell>
          <cell r="AN310">
            <v>220.52864931506849</v>
          </cell>
          <cell r="AO310">
            <v>228.54400000000001</v>
          </cell>
          <cell r="AP310">
            <v>231.92400000000001</v>
          </cell>
          <cell r="AQ310">
            <v>234.73500000000001</v>
          </cell>
          <cell r="AR310">
            <v>237.83199999999999</v>
          </cell>
          <cell r="AS310">
            <v>233.24661643835617</v>
          </cell>
          <cell r="AT310">
            <v>241.49</v>
          </cell>
          <cell r="AU310">
            <v>243.85300000000001</v>
          </cell>
          <cell r="AV310">
            <v>245.76599999999999</v>
          </cell>
          <cell r="AW310">
            <v>247.886</v>
          </cell>
          <cell r="AX310">
            <v>244.74319125683061</v>
          </cell>
          <cell r="AY310">
            <v>266.55599999999998</v>
          </cell>
          <cell r="AZ310">
            <v>267.13799999999998</v>
          </cell>
          <cell r="BA310">
            <v>269.8111274336888</v>
          </cell>
          <cell r="BB310">
            <v>272.49066413338375</v>
          </cell>
          <cell r="BC310">
            <v>268.99227244347838</v>
          </cell>
          <cell r="BD310">
            <v>274.1764844272023</v>
          </cell>
          <cell r="BE310">
            <v>275.86846510741657</v>
          </cell>
          <cell r="BF310">
            <v>277.56648538213648</v>
          </cell>
          <cell r="BG310">
            <v>279.2704268279403</v>
          </cell>
          <cell r="BH310">
            <v>276.71351184757697</v>
          </cell>
          <cell r="BI310">
            <v>280.98017334343422</v>
          </cell>
          <cell r="BJ310">
            <v>282.6956111037224</v>
          </cell>
          <cell r="BK310">
            <v>284.43378594492873</v>
          </cell>
          <cell r="BL310">
            <v>286.43378594492873</v>
          </cell>
          <cell r="BM310">
            <v>283.62928061690548</v>
          </cell>
          <cell r="BN310">
            <v>288.43378594492873</v>
          </cell>
          <cell r="BO310">
            <v>290.43378594492873</v>
          </cell>
          <cell r="BP310">
            <v>292.43378594492873</v>
          </cell>
          <cell r="BQ310">
            <v>294.43378594492873</v>
          </cell>
          <cell r="BR310">
            <v>291.42832146405442</v>
          </cell>
          <cell r="BS310">
            <v>296.43378594492873</v>
          </cell>
          <cell r="BT310">
            <v>298.43378594492873</v>
          </cell>
          <cell r="BU310">
            <v>300.43378594492873</v>
          </cell>
          <cell r="BV310">
            <v>302.43378594492873</v>
          </cell>
          <cell r="BW310">
            <v>299.42556676684654</v>
          </cell>
          <cell r="BX310">
            <v>304.43378594492873</v>
          </cell>
          <cell r="BY310">
            <v>306.43378594492873</v>
          </cell>
          <cell r="BZ310">
            <v>308.43378594492873</v>
          </cell>
          <cell r="CA310">
            <v>310.43378594492873</v>
          </cell>
          <cell r="CB310">
            <v>307.42556676684654</v>
          </cell>
        </row>
        <row r="311">
          <cell r="A311" t="str">
            <v>Additional Income Statement Items</v>
          </cell>
          <cell r="B311"/>
          <cell r="C311"/>
          <cell r="D311"/>
        </row>
        <row r="312">
          <cell r="B312" t="str">
            <v>Marginal tax rate</v>
          </cell>
          <cell r="C312" t="str">
            <v>MARGIN_TAX_RATE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0.39477260011190074</v>
          </cell>
          <cell r="AP312">
            <v>4.787297229518362E-2</v>
          </cell>
          <cell r="AQ312">
            <v>0.17139150673432774</v>
          </cell>
          <cell r="AR312">
            <v>7.7805390938635019E-2</v>
          </cell>
          <cell r="AS312">
            <v>9.9916363462019889E-2</v>
          </cell>
          <cell r="AT312">
            <v>5.1295209620919671E-2</v>
          </cell>
          <cell r="AU312">
            <v>4.3286671578430386E-2</v>
          </cell>
          <cell r="AV312">
            <v>6.0098565616696617E-2</v>
          </cell>
          <cell r="AW312">
            <v>9.3016013702075642E-2</v>
          </cell>
          <cell r="AX312">
            <v>5.9023735987892068E-2</v>
          </cell>
          <cell r="AY312">
            <v>5.1826300913345169E-2</v>
          </cell>
          <cell r="AZ312">
            <v>5.0633857475493732E-2</v>
          </cell>
          <cell r="BA312">
            <v>0.05</v>
          </cell>
          <cell r="BB312">
            <v>0.05</v>
          </cell>
          <cell r="BC312">
            <v>5.0690517924701244E-2</v>
          </cell>
          <cell r="BD312">
            <v>0.05</v>
          </cell>
          <cell r="BE312">
            <v>0.05</v>
          </cell>
          <cell r="BF312">
            <v>0.05</v>
          </cell>
          <cell r="BG312">
            <v>0.05</v>
          </cell>
          <cell r="BH312">
            <v>5.0000000000000037E-2</v>
          </cell>
          <cell r="BI312">
            <v>0.05</v>
          </cell>
          <cell r="BJ312">
            <v>0.05</v>
          </cell>
          <cell r="BK312">
            <v>0.05</v>
          </cell>
          <cell r="BL312">
            <v>0.05</v>
          </cell>
          <cell r="BM312">
            <v>0.05</v>
          </cell>
          <cell r="BN312">
            <v>0.05</v>
          </cell>
          <cell r="BO312">
            <v>0.05</v>
          </cell>
          <cell r="BP312">
            <v>0.05</v>
          </cell>
          <cell r="BQ312">
            <v>0.05</v>
          </cell>
          <cell r="BR312">
            <v>5.000000000000001E-2</v>
          </cell>
          <cell r="BS312">
            <v>0.05</v>
          </cell>
          <cell r="BT312">
            <v>0.05</v>
          </cell>
          <cell r="BU312">
            <v>0.05</v>
          </cell>
          <cell r="BV312">
            <v>0.05</v>
          </cell>
          <cell r="BW312">
            <v>4.9999999999999968E-2</v>
          </cell>
          <cell r="BX312">
            <v>0.05</v>
          </cell>
          <cell r="BY312">
            <v>0.05</v>
          </cell>
          <cell r="BZ312">
            <v>0.05</v>
          </cell>
          <cell r="CA312">
            <v>0.05</v>
          </cell>
          <cell r="CB312">
            <v>4.9999999999999989E-2</v>
          </cell>
        </row>
        <row r="313">
          <cell r="A313" t="str">
            <v>ESO</v>
          </cell>
          <cell r="B313"/>
          <cell r="C313"/>
          <cell r="D313"/>
        </row>
        <row r="314">
          <cell r="B314" t="str">
            <v>Fair value of grant</v>
          </cell>
          <cell r="C314" t="str">
            <v>FV_GRANT</v>
          </cell>
          <cell r="D314" t="str">
            <v>USD</v>
          </cell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</row>
        <row r="315">
          <cell r="B315" t="str">
            <v>ESO expense (post-tax)</v>
          </cell>
          <cell r="C315" t="str">
            <v>ESO_POST_TAX</v>
          </cell>
          <cell r="D315" t="str">
            <v>USD</v>
          </cell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</row>
        <row r="316">
          <cell r="B316" t="str">
            <v>EPS (excl. ESO expense, basic)</v>
          </cell>
          <cell r="C316" t="str">
            <v>EPS_EX_ESO_B</v>
          </cell>
          <cell r="D316" t="str">
            <v>USD</v>
          </cell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</row>
        <row r="317">
          <cell r="B317" t="str">
            <v>EPS (excl. ESO expense, diluted)</v>
          </cell>
          <cell r="C317" t="str">
            <v>EPS_EX_ESO_D</v>
          </cell>
          <cell r="D317" t="str">
            <v>USD</v>
          </cell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</row>
        <row r="318">
          <cell r="B318" t="str">
            <v>Year that ESO expense takes effect</v>
          </cell>
          <cell r="C318" t="str">
            <v>ESO_YEAR</v>
          </cell>
          <cell r="E318"/>
        </row>
        <row r="319">
          <cell r="A319" t="str">
            <v>Balance Sheet</v>
          </cell>
          <cell r="B319"/>
          <cell r="C319"/>
          <cell r="D319"/>
        </row>
        <row r="320">
          <cell r="B320" t="str">
            <v>BVPS, book value per share</v>
          </cell>
          <cell r="C320" t="str">
            <v>BVPS</v>
          </cell>
          <cell r="D320" t="str">
            <v>USD</v>
          </cell>
          <cell r="F320"/>
          <cell r="G320"/>
          <cell r="H320">
            <v>1.1308838717257867</v>
          </cell>
          <cell r="I320">
            <v>1.8673406356403326</v>
          </cell>
          <cell r="J320">
            <v>-1.4995548935543672</v>
          </cell>
          <cell r="K320">
            <v>2.3081115621003465</v>
          </cell>
          <cell r="L320">
            <v>0.92877575941959201</v>
          </cell>
          <cell r="M320">
            <v>0.66112509471419767</v>
          </cell>
          <cell r="N320">
            <v>1.422603126274298</v>
          </cell>
          <cell r="O320">
            <v>1.6941937750980658</v>
          </cell>
          <cell r="P320">
            <v>1.3814206424516817</v>
          </cell>
          <cell r="Q320">
            <v>1.8578198238690913</v>
          </cell>
          <cell r="R320">
            <v>2.1252050938801212</v>
          </cell>
          <cell r="S320">
            <v>1.908783190684384</v>
          </cell>
          <cell r="T320">
            <v>1.9911216041879158</v>
          </cell>
          <cell r="U320">
            <v>2.458414554905783</v>
          </cell>
          <cell r="V320">
            <v>2.1484633174510308</v>
          </cell>
          <cell r="W320">
            <v>1.6694413624612634</v>
          </cell>
          <cell r="X320">
            <v>1.0028008649414353</v>
          </cell>
          <cell r="Y320">
            <v>1.0323265755103337</v>
          </cell>
          <cell r="Z320">
            <v>0.33494313838172413</v>
          </cell>
          <cell r="AA320">
            <v>-0.34298256082437661</v>
          </cell>
          <cell r="AB320">
            <v>-0.93722436674373233</v>
          </cell>
          <cell r="AC320">
            <v>-1.3738546090432169</v>
          </cell>
          <cell r="AD320">
            <v>-1.412169437014051</v>
          </cell>
          <cell r="AE320">
            <v>-2.7443068514734485</v>
          </cell>
          <cell r="AF320">
            <v>-3.7497750309023479</v>
          </cell>
          <cell r="AG320">
            <v>-3.5951857111908114</v>
          </cell>
          <cell r="AH320">
            <v>-4.7600370628186539</v>
          </cell>
          <cell r="AI320">
            <v>-4.9031250601035872</v>
          </cell>
          <cell r="AJ320">
            <v>-3.2424233987164675</v>
          </cell>
          <cell r="AK320">
            <v>-3.3162270118094392</v>
          </cell>
          <cell r="AL320">
            <v>-3.2447353161956731</v>
          </cell>
          <cell r="AM320">
            <v>-3.5515133230995857</v>
          </cell>
          <cell r="AN320">
            <v>-3.6299319951682247</v>
          </cell>
          <cell r="AO320">
            <v>-3.4612547255670676</v>
          </cell>
          <cell r="AP320">
            <v>-3.3747348269260629</v>
          </cell>
          <cell r="AQ320">
            <v>-3.3615225680022172</v>
          </cell>
          <cell r="AR320">
            <v>-2.9744483500958636</v>
          </cell>
          <cell r="AS320">
            <v>-3.0329228813784761</v>
          </cell>
          <cell r="AT320">
            <v>-2.6593689179676185</v>
          </cell>
          <cell r="AU320">
            <v>-2.5084046536232885</v>
          </cell>
          <cell r="AV320">
            <v>-2.5205276563885994</v>
          </cell>
          <cell r="AW320">
            <v>-2.9374309158242102</v>
          </cell>
          <cell r="AX320">
            <v>-2.9751512034338483</v>
          </cell>
          <cell r="AY320">
            <v>-2.5709269346778925</v>
          </cell>
          <cell r="AZ320">
            <v>-3.0234335811453223</v>
          </cell>
          <cell r="BA320">
            <v>-2.6415800399475948</v>
          </cell>
          <cell r="BB320">
            <v>-2.426102079305867</v>
          </cell>
          <cell r="BC320">
            <v>-2.457654864358044</v>
          </cell>
          <cell r="BD320">
            <v>-1.927960707316384</v>
          </cell>
          <cell r="BE320">
            <v>-1.2671912230074405</v>
          </cell>
          <cell r="BF320">
            <v>-0.82258852657482684</v>
          </cell>
          <cell r="BG320">
            <v>-0.55826562902075116</v>
          </cell>
          <cell r="BH320">
            <v>-0.56342416913082505</v>
          </cell>
          <cell r="BI320">
            <v>3.9707459019224525E-2</v>
          </cell>
          <cell r="BJ320">
            <v>0.82063637442644199</v>
          </cell>
          <cell r="BK320">
            <v>1.3547601152628876</v>
          </cell>
          <cell r="BL320">
            <v>1.7538773839051223</v>
          </cell>
          <cell r="BM320">
            <v>1.7712195936274855</v>
          </cell>
          <cell r="BN320">
            <v>2.5335037120832822</v>
          </cell>
          <cell r="BO320">
            <v>3.5158958933518174</v>
          </cell>
          <cell r="BP320">
            <v>4.2068711919862105</v>
          </cell>
          <cell r="BQ320">
            <v>4.677882969329465</v>
          </cell>
          <cell r="BR320">
            <v>4.7261254017717791</v>
          </cell>
          <cell r="BS320">
            <v>5.5822127393818866</v>
          </cell>
          <cell r="BT320">
            <v>6.7122143108653916</v>
          </cell>
          <cell r="BU320">
            <v>7.5073397150986381</v>
          </cell>
          <cell r="BV320">
            <v>8.061189102620629</v>
          </cell>
          <cell r="BW320">
            <v>8.1421769217921725</v>
          </cell>
          <cell r="BX320">
            <v>9.1085549513861714</v>
          </cell>
          <cell r="BY320">
            <v>10.406146353716684</v>
          </cell>
          <cell r="BZ320">
            <v>11.319650325620964</v>
          </cell>
          <cell r="CA320">
            <v>11.969103235371222</v>
          </cell>
          <cell r="CB320">
            <v>12.086223246812548</v>
          </cell>
        </row>
        <row r="321">
          <cell r="A321" t="str">
            <v>Additional Balance Sheet Items</v>
          </cell>
          <cell r="B321"/>
          <cell r="C321"/>
          <cell r="D321"/>
        </row>
        <row r="322">
          <cell r="B322" t="str">
            <v>Total repurchase authorization</v>
          </cell>
          <cell r="C322" t="str">
            <v>REPUR_TOT_AUTH</v>
          </cell>
          <cell r="D322" t="str">
            <v>USD</v>
          </cell>
          <cell r="E322"/>
        </row>
        <row r="323">
          <cell r="B323" t="str">
            <v>Remaining repurchase authorization</v>
          </cell>
          <cell r="C323" t="str">
            <v>REPUR_REMAINING</v>
          </cell>
          <cell r="D323" t="str">
            <v>USD</v>
          </cell>
          <cell r="E323"/>
        </row>
        <row r="324">
          <cell r="B324" t="str">
            <v>Suspended repurchase authorization</v>
          </cell>
          <cell r="C324" t="str">
            <v>REPUR_SUSPENDED</v>
          </cell>
          <cell r="D324" t="str">
            <v>USD</v>
          </cell>
          <cell r="E324"/>
        </row>
        <row r="325">
          <cell r="B325" t="str">
            <v>Shares repurchased during period</v>
          </cell>
          <cell r="C325" t="str">
            <v>REPUR_ACTUAL</v>
          </cell>
          <cell r="D325" t="str">
            <v>USD</v>
          </cell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</row>
        <row r="326">
          <cell r="A326" t="str">
            <v>Cash Flow Statement</v>
          </cell>
          <cell r="B326"/>
          <cell r="C326"/>
          <cell r="D326"/>
        </row>
        <row r="327">
          <cell r="B327" t="str">
            <v>Net income (pre-preferred dividends)</v>
          </cell>
          <cell r="C327" t="str">
            <v>CF_NI_PRE_PREF</v>
          </cell>
          <cell r="D327" t="str">
            <v>USD</v>
          </cell>
          <cell r="F327"/>
          <cell r="G327"/>
          <cell r="H327">
            <v>-84.003000000000014</v>
          </cell>
          <cell r="I327">
            <v>-126.12700000000001</v>
          </cell>
          <cell r="J327">
            <v>-108.23299999999998</v>
          </cell>
          <cell r="K327">
            <v>-140.30199999999999</v>
          </cell>
          <cell r="L327">
            <v>-76.369000000000014</v>
          </cell>
          <cell r="M327">
            <v>-96.835000000000036</v>
          </cell>
          <cell r="N327">
            <v>-66.132000000000005</v>
          </cell>
          <cell r="O327">
            <v>-379.63799999999998</v>
          </cell>
          <cell r="P327">
            <v>-61.486999999999988</v>
          </cell>
          <cell r="Q327">
            <v>-62.631000000000022</v>
          </cell>
          <cell r="R327">
            <v>-85.673999999999978</v>
          </cell>
          <cell r="S327">
            <v>-87.368999999999957</v>
          </cell>
          <cell r="T327">
            <v>-297.16100000000012</v>
          </cell>
          <cell r="U327">
            <v>-94.265000000000001</v>
          </cell>
          <cell r="V327">
            <v>-122.76300000000002</v>
          </cell>
          <cell r="W327">
            <v>-209.81299999999999</v>
          </cell>
          <cell r="X327">
            <v>-194.33800000000005</v>
          </cell>
          <cell r="Y327">
            <v>-621.17900000000009</v>
          </cell>
          <cell r="Z327">
            <v>-229.30000000000004</v>
          </cell>
          <cell r="AA327">
            <v>-217.56400000000002</v>
          </cell>
          <cell r="AB327">
            <v>-240.67099999999994</v>
          </cell>
          <cell r="AC327">
            <v>-185.34799999999993</v>
          </cell>
          <cell r="AD327">
            <v>-872.88300000000004</v>
          </cell>
          <cell r="AE327">
            <v>-265.04800000000006</v>
          </cell>
          <cell r="AF327">
            <v>-287.39000000000004</v>
          </cell>
          <cell r="AG327">
            <v>-123.63999999999997</v>
          </cell>
          <cell r="AH327">
            <v>-358.18200000000002</v>
          </cell>
          <cell r="AI327">
            <v>-1034.26</v>
          </cell>
          <cell r="AJ327">
            <v>-420.20600000000002</v>
          </cell>
          <cell r="AK327">
            <v>-115.41599999999997</v>
          </cell>
          <cell r="AL327">
            <v>-111.98699999999999</v>
          </cell>
          <cell r="AM327">
            <v>-151.33699999999999</v>
          </cell>
          <cell r="AN327">
            <v>-798.94600000000003</v>
          </cell>
          <cell r="AO327">
            <v>-99.513999999999967</v>
          </cell>
          <cell r="AP327">
            <v>-70.789999999999978</v>
          </cell>
          <cell r="AQ327">
            <v>-70.968999999999937</v>
          </cell>
          <cell r="AR327">
            <v>-13.286999999999923</v>
          </cell>
          <cell r="AS327">
            <v>-254.55999999999986</v>
          </cell>
          <cell r="AT327">
            <v>-15.853000000000018</v>
          </cell>
          <cell r="AU327">
            <v>32.794999999999959</v>
          </cell>
          <cell r="AV327">
            <v>-15.616000000000021</v>
          </cell>
          <cell r="AW327">
            <v>-126.101</v>
          </cell>
          <cell r="AX327">
            <v>-124.77500000000012</v>
          </cell>
          <cell r="AY327">
            <v>29.925999999999888</v>
          </cell>
          <cell r="AZ327">
            <v>56.426999999999985</v>
          </cell>
          <cell r="BA327">
            <v>25.563671601326003</v>
          </cell>
          <cell r="BB327">
            <v>-19.069348653672623</v>
          </cell>
          <cell r="BC327">
            <v>92.847322947653595</v>
          </cell>
          <cell r="BD327">
            <v>55.843132715443865</v>
          </cell>
          <cell r="BE327">
            <v>98.731031931990827</v>
          </cell>
          <cell r="BF327">
            <v>46.781271006873773</v>
          </cell>
          <cell r="BG327">
            <v>-3.6254083586416268</v>
          </cell>
          <cell r="BH327">
            <v>197.73002729566593</v>
          </cell>
          <cell r="BI327">
            <v>83.531661785563443</v>
          </cell>
          <cell r="BJ327">
            <v>134.23092489742646</v>
          </cell>
          <cell r="BK327">
            <v>72.968684336497873</v>
          </cell>
          <cell r="BL327">
            <v>16.225483364684504</v>
          </cell>
          <cell r="BM327">
            <v>306.95675438417294</v>
          </cell>
          <cell r="BN327">
            <v>118.45268867771463</v>
          </cell>
          <cell r="BO327">
            <v>178.19049432767198</v>
          </cell>
          <cell r="BP327">
            <v>105.99068939092763</v>
          </cell>
          <cell r="BQ327">
            <v>42.314024477352916</v>
          </cell>
          <cell r="BR327">
            <v>444.94789687366728</v>
          </cell>
          <cell r="BS327">
            <v>161.87729303613054</v>
          </cell>
          <cell r="BT327">
            <v>231.61037329344518</v>
          </cell>
          <cell r="BU327">
            <v>146.22590631000847</v>
          </cell>
          <cell r="BV327">
            <v>74.766167052092456</v>
          </cell>
          <cell r="BW327">
            <v>614.47973969167776</v>
          </cell>
          <cell r="BX327">
            <v>214.84782393917669</v>
          </cell>
          <cell r="BY327">
            <v>295.78350756920446</v>
          </cell>
          <cell r="BZ327">
            <v>194.74063813188533</v>
          </cell>
          <cell r="CA327">
            <v>114.77958554988318</v>
          </cell>
          <cell r="CB327">
            <v>820.15155519014934</v>
          </cell>
        </row>
        <row r="328">
          <cell r="A328" t="str">
            <v>Other Items</v>
          </cell>
          <cell r="B328"/>
          <cell r="C328"/>
          <cell r="D328"/>
        </row>
        <row r="329">
          <cell r="B329" t="str">
            <v>Beta</v>
          </cell>
          <cell r="C329" t="str">
            <v>BETA_ANALYST</v>
          </cell>
          <cell r="E329"/>
        </row>
        <row r="330">
          <cell r="B330" t="str">
            <v>Market equity risk premium</v>
          </cell>
          <cell r="C330" t="str">
            <v>MKT_EQ_RISK_PREM</v>
          </cell>
          <cell r="E330"/>
        </row>
        <row r="331">
          <cell r="B331" t="str">
            <v>Risk-free rate</v>
          </cell>
          <cell r="C331" t="str">
            <v>RISK_FR_RATE</v>
          </cell>
          <cell r="E331"/>
        </row>
      </sheetData>
      <sheetData sheetId="21" refreshError="1"/>
      <sheetData sheetId="22" refreshError="1"/>
      <sheetData sheetId="23" refreshError="1"/>
      <sheetData sheetId="24" refreshError="1"/>
      <sheetData sheetId="25">
        <row r="6">
          <cell r="H6" t="str">
            <v>2Q25 (A)</v>
          </cell>
        </row>
      </sheetData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Cover"/>
      <sheetName val="Rev. Summary"/>
      <sheetName val="Leading Indicators"/>
      <sheetName val="MSFT_Live_Sheet"/>
      <sheetName val="MSFT_Validation_Sheet"/>
      <sheetName val="MSFT_Annotation_Sheet"/>
      <sheetName val="IS"/>
      <sheetName val="BS"/>
      <sheetName val="CF"/>
      <sheetName val="Share Count"/>
      <sheetName val="Def. Rev. &amp; Billings"/>
      <sheetName val="PBP"/>
      <sheetName val="IC"/>
      <sheetName val="MPC"/>
      <sheetName val="MSFT Cloud"/>
      <sheetName val="CapEx and Azure"/>
      <sheetName val="Capex Charts"/>
      <sheetName val="Sheet1"/>
      <sheetName val="Guidance"/>
      <sheetName val="Dates"/>
      <sheetName val="Consensus"/>
      <sheetName val="Est. Changes"/>
      <sheetName val="MSFT_Exchange_Sheet"/>
      <sheetName val="First Read"/>
      <sheetName val="SumVal"/>
      <sheetName val="Est. vs. Guide (hardcode)"/>
      <sheetName val="Est. vs. Guide - NEED TO REWORK"/>
      <sheetName val="What to Expect"/>
      <sheetName val="LT Scenarios"/>
      <sheetName val="GS Framework"/>
      <sheetName val="Capex Charts (old est.)"/>
      <sheetName val="Est. Changes (hardcodes)"/>
      <sheetName val="PBP old vs New"/>
      <sheetName val="IC old vs New"/>
      <sheetName val="MPC old vs New"/>
      <sheetName val="Old vs. New"/>
    </sheetNames>
    <sheetDataSet>
      <sheetData sheetId="0"/>
      <sheetData sheetId="1"/>
      <sheetData sheetId="2"/>
      <sheetData sheetId="3"/>
      <sheetData sheetId="4">
        <row r="1">
          <cell r="A1" t="str">
            <v>Issuer: Microsoft Corp.</v>
          </cell>
          <cell r="C1">
            <v>2708875085</v>
          </cell>
          <cell r="F1">
            <v>1995</v>
          </cell>
          <cell r="G1" t="str">
            <v>1996 Q1</v>
          </cell>
          <cell r="H1" t="str">
            <v>1996 Q2</v>
          </cell>
          <cell r="I1" t="str">
            <v>1996 Q3</v>
          </cell>
          <cell r="J1" t="str">
            <v>1996 Q4</v>
          </cell>
          <cell r="K1">
            <v>1996</v>
          </cell>
          <cell r="L1" t="str">
            <v>1997 Q1</v>
          </cell>
          <cell r="M1" t="str">
            <v>1997 Q2</v>
          </cell>
          <cell r="N1" t="str">
            <v>1997 Q3</v>
          </cell>
          <cell r="O1" t="str">
            <v>1997 Q4</v>
          </cell>
          <cell r="P1">
            <v>1997</v>
          </cell>
          <cell r="Q1" t="str">
            <v>1998 Q1</v>
          </cell>
          <cell r="R1" t="str">
            <v>1998 Q2</v>
          </cell>
          <cell r="S1" t="str">
            <v>1998 Q3</v>
          </cell>
          <cell r="T1" t="str">
            <v>1998 Q4</v>
          </cell>
          <cell r="U1">
            <v>1998</v>
          </cell>
          <cell r="V1" t="str">
            <v>1999 Q1</v>
          </cell>
          <cell r="W1" t="str">
            <v>1999 Q2</v>
          </cell>
          <cell r="X1" t="str">
            <v>1999 Q3</v>
          </cell>
          <cell r="Y1" t="str">
            <v>1999 Q4</v>
          </cell>
          <cell r="Z1">
            <v>1999</v>
          </cell>
          <cell r="AA1" t="str">
            <v>2000 Q1</v>
          </cell>
          <cell r="AB1" t="str">
            <v>2000 Q2</v>
          </cell>
          <cell r="AC1" t="str">
            <v>2000 Q3</v>
          </cell>
          <cell r="AD1" t="str">
            <v>2000 Q4</v>
          </cell>
          <cell r="AE1">
            <v>2000</v>
          </cell>
          <cell r="AF1" t="str">
            <v>2001 Q1</v>
          </cell>
          <cell r="AG1" t="str">
            <v>2001 Q2</v>
          </cell>
          <cell r="AH1" t="str">
            <v>2001 Q3</v>
          </cell>
          <cell r="AI1" t="str">
            <v>2001 Q4</v>
          </cell>
          <cell r="AJ1">
            <v>2001</v>
          </cell>
          <cell r="AK1" t="str">
            <v>2002 Q1</v>
          </cell>
          <cell r="AL1" t="str">
            <v>2002 Q2</v>
          </cell>
          <cell r="AM1" t="str">
            <v>2002 Q3</v>
          </cell>
          <cell r="AN1" t="str">
            <v>2002 Q4</v>
          </cell>
          <cell r="AO1">
            <v>2002</v>
          </cell>
          <cell r="AP1" t="str">
            <v>2003 Q1</v>
          </cell>
          <cell r="AQ1" t="str">
            <v>2003 Q2</v>
          </cell>
          <cell r="AR1" t="str">
            <v>2003 Q3</v>
          </cell>
          <cell r="AS1" t="str">
            <v>2003 Q4</v>
          </cell>
          <cell r="AT1">
            <v>2003</v>
          </cell>
          <cell r="AU1" t="str">
            <v>2004 Q1</v>
          </cell>
          <cell r="AV1" t="str">
            <v>2004 Q2</v>
          </cell>
          <cell r="AW1" t="str">
            <v>2004 Q3</v>
          </cell>
          <cell r="AX1" t="str">
            <v>2004 Q4</v>
          </cell>
          <cell r="AY1">
            <v>2004</v>
          </cell>
          <cell r="AZ1" t="str">
            <v>2005 Q1</v>
          </cell>
          <cell r="BA1" t="str">
            <v>2005 Q2</v>
          </cell>
          <cell r="BB1" t="str">
            <v>2005 Q3</v>
          </cell>
          <cell r="BC1" t="str">
            <v>2005 Q4</v>
          </cell>
          <cell r="BD1">
            <v>2005</v>
          </cell>
          <cell r="BE1" t="str">
            <v>2006 Q1</v>
          </cell>
          <cell r="BF1" t="str">
            <v>2006 Q2</v>
          </cell>
          <cell r="BG1" t="str">
            <v>2006 Q3</v>
          </cell>
          <cell r="BH1" t="str">
            <v>2006 Q4</v>
          </cell>
          <cell r="BI1">
            <v>2006</v>
          </cell>
          <cell r="BJ1" t="str">
            <v>2007 Q1</v>
          </cell>
          <cell r="BK1" t="str">
            <v>2007 Q2</v>
          </cell>
          <cell r="BL1" t="str">
            <v>2007 Q3</v>
          </cell>
          <cell r="BM1" t="str">
            <v>2007 Q4</v>
          </cell>
          <cell r="BN1">
            <v>2007</v>
          </cell>
          <cell r="BO1" t="str">
            <v>2008 Q1</v>
          </cell>
          <cell r="BP1" t="str">
            <v>2008 Q2</v>
          </cell>
          <cell r="BQ1" t="str">
            <v>2008 Q3</v>
          </cell>
          <cell r="BR1" t="str">
            <v>2008 Q4</v>
          </cell>
          <cell r="BS1">
            <v>2008</v>
          </cell>
          <cell r="BT1" t="str">
            <v>2009 Q1</v>
          </cell>
          <cell r="BU1" t="str">
            <v>2009 Q2</v>
          </cell>
          <cell r="BV1" t="str">
            <v>2009 Q3</v>
          </cell>
          <cell r="BW1" t="str">
            <v>2009 Q4</v>
          </cell>
          <cell r="BX1">
            <v>2009</v>
          </cell>
          <cell r="BY1" t="str">
            <v>2010 Q1</v>
          </cell>
          <cell r="BZ1" t="str">
            <v>2010 Q2</v>
          </cell>
          <cell r="CA1" t="str">
            <v>2010 Q3</v>
          </cell>
          <cell r="CB1" t="str">
            <v>2010 Q4</v>
          </cell>
          <cell r="CC1">
            <v>2010</v>
          </cell>
          <cell r="CD1" t="str">
            <v>2011 Q1</v>
          </cell>
          <cell r="CE1" t="str">
            <v>2011 Q2</v>
          </cell>
          <cell r="CF1" t="str">
            <v>2011 Q3</v>
          </cell>
          <cell r="CG1" t="str">
            <v>2011 Q4</v>
          </cell>
          <cell r="CH1">
            <v>2011</v>
          </cell>
          <cell r="CI1" t="str">
            <v>2012 Q1</v>
          </cell>
          <cell r="CJ1" t="str">
            <v>2012 Q2</v>
          </cell>
          <cell r="CK1" t="str">
            <v>2012 Q3</v>
          </cell>
          <cell r="CL1" t="str">
            <v>2012 Q4</v>
          </cell>
          <cell r="CM1">
            <v>2012</v>
          </cell>
          <cell r="CN1" t="str">
            <v>2013 Q1</v>
          </cell>
          <cell r="CO1" t="str">
            <v>2013 Q2</v>
          </cell>
          <cell r="CP1" t="str">
            <v>2013 Q3</v>
          </cell>
          <cell r="CQ1" t="str">
            <v>2013 Q4</v>
          </cell>
          <cell r="CR1">
            <v>2013</v>
          </cell>
          <cell r="CS1" t="str">
            <v>2014 Q1</v>
          </cell>
          <cell r="CT1" t="str">
            <v>2014 Q2</v>
          </cell>
          <cell r="CU1" t="str">
            <v>2014 Q3</v>
          </cell>
          <cell r="CV1" t="str">
            <v>2014 Q4</v>
          </cell>
          <cell r="CW1">
            <v>2014</v>
          </cell>
          <cell r="CX1" t="str">
            <v>2015 Q1</v>
          </cell>
          <cell r="CY1" t="str">
            <v>2015 Q2</v>
          </cell>
          <cell r="CZ1" t="str">
            <v>2015 Q3</v>
          </cell>
          <cell r="DA1" t="str">
            <v>2015 Q4</v>
          </cell>
          <cell r="DB1">
            <v>2015</v>
          </cell>
          <cell r="DC1" t="str">
            <v>2016 Q1</v>
          </cell>
          <cell r="DD1" t="str">
            <v>2016 Q2</v>
          </cell>
          <cell r="DE1" t="str">
            <v>2016 Q3</v>
          </cell>
          <cell r="DF1" t="str">
            <v>2016 Q4</v>
          </cell>
          <cell r="DG1">
            <v>2016</v>
          </cell>
          <cell r="DH1" t="str">
            <v>2017 Q1</v>
          </cell>
          <cell r="DI1" t="str">
            <v>2017 Q2</v>
          </cell>
          <cell r="DJ1" t="str">
            <v>2017 Q3</v>
          </cell>
          <cell r="DK1" t="str">
            <v>2017 Q4</v>
          </cell>
          <cell r="DL1">
            <v>2017</v>
          </cell>
          <cell r="DM1" t="str">
            <v>2018 Q1</v>
          </cell>
          <cell r="DN1" t="str">
            <v>2018 Q2</v>
          </cell>
          <cell r="DO1" t="str">
            <v>2018 Q3</v>
          </cell>
          <cell r="DP1" t="str">
            <v>2018 Q4</v>
          </cell>
          <cell r="DQ1">
            <v>2018</v>
          </cell>
          <cell r="DR1" t="str">
            <v>2019 Q1</v>
          </cell>
          <cell r="DS1" t="str">
            <v>2019 Q2</v>
          </cell>
          <cell r="DT1" t="str">
            <v>2019 Q3</v>
          </cell>
          <cell r="DU1" t="str">
            <v>2019 Q4</v>
          </cell>
          <cell r="DV1">
            <v>2019</v>
          </cell>
          <cell r="DW1" t="str">
            <v>2020 Q1</v>
          </cell>
          <cell r="DX1" t="str">
            <v>2020 Q2</v>
          </cell>
          <cell r="DY1" t="str">
            <v>2020 Q3</v>
          </cell>
          <cell r="DZ1" t="str">
            <v>2020 Q4</v>
          </cell>
          <cell r="EA1">
            <v>2020</v>
          </cell>
          <cell r="EB1" t="str">
            <v>2021 Q1</v>
          </cell>
          <cell r="EC1" t="str">
            <v>2021 Q2</v>
          </cell>
          <cell r="ED1" t="str">
            <v>2021 Q3</v>
          </cell>
          <cell r="EE1" t="str">
            <v>2021 Q4</v>
          </cell>
          <cell r="EF1">
            <v>2021</v>
          </cell>
          <cell r="EG1" t="str">
            <v>2022 Q1</v>
          </cell>
          <cell r="EH1" t="str">
            <v>2022 Q2</v>
          </cell>
          <cell r="EI1" t="str">
            <v>2022 Q3</v>
          </cell>
          <cell r="EJ1" t="str">
            <v>2022 Q4</v>
          </cell>
          <cell r="EK1">
            <v>2022</v>
          </cell>
          <cell r="EL1" t="str">
            <v>2023 Q1</v>
          </cell>
          <cell r="EM1" t="str">
            <v>2023 Q2</v>
          </cell>
          <cell r="EN1" t="str">
            <v>2023 Q3</v>
          </cell>
          <cell r="EO1" t="str">
            <v>2023 Q4</v>
          </cell>
          <cell r="EP1">
            <v>2023</v>
          </cell>
          <cell r="EQ1" t="str">
            <v>2024 Q1</v>
          </cell>
          <cell r="ER1" t="str">
            <v>2024 Q2</v>
          </cell>
          <cell r="ES1" t="str">
            <v>2024 Q3</v>
          </cell>
          <cell r="ET1" t="str">
            <v>2024 Q4</v>
          </cell>
          <cell r="EU1">
            <v>2024</v>
          </cell>
          <cell r="EV1" t="str">
            <v>2025 Q1</v>
          </cell>
          <cell r="EW1" t="str">
            <v>2025 Q2</v>
          </cell>
          <cell r="EX1" t="str">
            <v>2025 Q3</v>
          </cell>
          <cell r="EY1" t="str">
            <v>2025 Q4</v>
          </cell>
          <cell r="EZ1">
            <v>2025</v>
          </cell>
          <cell r="FA1" t="str">
            <v>2026 Q1</v>
          </cell>
          <cell r="FB1" t="str">
            <v>2026 Q2</v>
          </cell>
          <cell r="FC1" t="str">
            <v>2026 Q3</v>
          </cell>
          <cell r="FD1" t="str">
            <v>2026 Q4</v>
          </cell>
          <cell r="FE1">
            <v>2026</v>
          </cell>
        </row>
        <row r="2"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Actual</v>
          </cell>
          <cell r="N2" t="str">
            <v>Actual</v>
          </cell>
          <cell r="O2" t="str">
            <v>Actual</v>
          </cell>
          <cell r="P2" t="str">
            <v>Actual</v>
          </cell>
          <cell r="Q2" t="str">
            <v>Actual</v>
          </cell>
          <cell r="R2" t="str">
            <v>Actual</v>
          </cell>
          <cell r="S2" t="str">
            <v>Actual</v>
          </cell>
          <cell r="T2" t="str">
            <v>Actual</v>
          </cell>
          <cell r="U2" t="str">
            <v>Actual</v>
          </cell>
          <cell r="V2" t="str">
            <v>Actual</v>
          </cell>
          <cell r="W2" t="str">
            <v>Actual</v>
          </cell>
          <cell r="X2" t="str">
            <v>Actual</v>
          </cell>
          <cell r="Y2" t="str">
            <v>Actual</v>
          </cell>
          <cell r="Z2" t="str">
            <v>Actual</v>
          </cell>
          <cell r="AA2" t="str">
            <v>Actual</v>
          </cell>
          <cell r="AB2" t="str">
            <v>Actual</v>
          </cell>
          <cell r="AC2" t="str">
            <v>Actual</v>
          </cell>
          <cell r="AD2" t="str">
            <v>Actual</v>
          </cell>
          <cell r="AE2" t="str">
            <v>Actual</v>
          </cell>
          <cell r="AF2" t="str">
            <v>Actual</v>
          </cell>
          <cell r="AG2" t="str">
            <v>Actual</v>
          </cell>
          <cell r="AH2" t="str">
            <v>Actual</v>
          </cell>
          <cell r="AI2" t="str">
            <v>Actual</v>
          </cell>
          <cell r="AJ2" t="str">
            <v>Actual</v>
          </cell>
          <cell r="AK2" t="str">
            <v>Actual</v>
          </cell>
          <cell r="AL2" t="str">
            <v>Actual</v>
          </cell>
          <cell r="AM2" t="str">
            <v>Actual</v>
          </cell>
          <cell r="AN2" t="str">
            <v>Actual</v>
          </cell>
          <cell r="AO2" t="str">
            <v>Actual</v>
          </cell>
          <cell r="AP2" t="str">
            <v>Actual</v>
          </cell>
          <cell r="AQ2" t="str">
            <v>Actual</v>
          </cell>
          <cell r="AR2" t="str">
            <v>Actual</v>
          </cell>
          <cell r="AS2" t="str">
            <v>Actual</v>
          </cell>
          <cell r="AT2" t="str">
            <v>Actual</v>
          </cell>
          <cell r="AU2" t="str">
            <v>Actual</v>
          </cell>
          <cell r="AV2" t="str">
            <v>Actual</v>
          </cell>
          <cell r="AW2" t="str">
            <v>Actual</v>
          </cell>
          <cell r="AX2" t="str">
            <v>Actual</v>
          </cell>
          <cell r="AY2" t="str">
            <v>Actual</v>
          </cell>
          <cell r="AZ2" t="str">
            <v>Actual</v>
          </cell>
          <cell r="BA2" t="str">
            <v>Actual</v>
          </cell>
          <cell r="BB2" t="str">
            <v>Actual</v>
          </cell>
          <cell r="BC2" t="str">
            <v>Actual</v>
          </cell>
          <cell r="BD2" t="str">
            <v>Actual</v>
          </cell>
          <cell r="BE2" t="str">
            <v>Actual</v>
          </cell>
          <cell r="BF2" t="str">
            <v>Actual</v>
          </cell>
          <cell r="BG2" t="str">
            <v>Actual</v>
          </cell>
          <cell r="BH2" t="str">
            <v>Actual</v>
          </cell>
          <cell r="BI2" t="str">
            <v>Actual</v>
          </cell>
          <cell r="BJ2" t="str">
            <v>Actual</v>
          </cell>
          <cell r="BK2" t="str">
            <v>Actual</v>
          </cell>
          <cell r="BL2" t="str">
            <v>Actual</v>
          </cell>
          <cell r="BM2" t="str">
            <v>Actual</v>
          </cell>
          <cell r="BN2" t="str">
            <v>Actual</v>
          </cell>
          <cell r="BO2" t="str">
            <v>Actual</v>
          </cell>
          <cell r="BP2" t="str">
            <v>Actual</v>
          </cell>
          <cell r="BQ2" t="str">
            <v>Actual</v>
          </cell>
          <cell r="BR2" t="str">
            <v>Actual</v>
          </cell>
          <cell r="BS2" t="str">
            <v>Actual</v>
          </cell>
          <cell r="BT2" t="str">
            <v>Actual</v>
          </cell>
          <cell r="BU2" t="str">
            <v>Actual</v>
          </cell>
          <cell r="BV2" t="str">
            <v>Actual</v>
          </cell>
          <cell r="BW2" t="str">
            <v>Actual</v>
          </cell>
          <cell r="BX2" t="str">
            <v>Actual</v>
          </cell>
          <cell r="BY2" t="str">
            <v>Actual</v>
          </cell>
          <cell r="BZ2" t="str">
            <v>Actual</v>
          </cell>
          <cell r="CA2" t="str">
            <v>Actual</v>
          </cell>
          <cell r="CB2" t="str">
            <v>Actual</v>
          </cell>
          <cell r="CC2" t="str">
            <v>Actual</v>
          </cell>
          <cell r="CD2" t="str">
            <v>Actual</v>
          </cell>
          <cell r="CE2" t="str">
            <v>Actual</v>
          </cell>
          <cell r="CF2" t="str">
            <v>Actual</v>
          </cell>
          <cell r="CG2" t="str">
            <v>Actual</v>
          </cell>
          <cell r="CH2" t="str">
            <v>Actual</v>
          </cell>
          <cell r="CI2" t="str">
            <v>Actual</v>
          </cell>
          <cell r="CJ2" t="str">
            <v>Actual</v>
          </cell>
          <cell r="CK2" t="str">
            <v>Actual</v>
          </cell>
          <cell r="CL2" t="str">
            <v>Actual</v>
          </cell>
          <cell r="CM2" t="str">
            <v>Actual</v>
          </cell>
          <cell r="CN2" t="str">
            <v>Actual</v>
          </cell>
          <cell r="CO2" t="str">
            <v>Actual</v>
          </cell>
          <cell r="CP2" t="str">
            <v>Actual</v>
          </cell>
          <cell r="CQ2" t="str">
            <v>Actual</v>
          </cell>
          <cell r="CR2" t="str">
            <v>Actual</v>
          </cell>
          <cell r="CS2" t="str">
            <v>Actual</v>
          </cell>
          <cell r="CT2" t="str">
            <v>Actual</v>
          </cell>
          <cell r="CU2" t="str">
            <v>Actual</v>
          </cell>
          <cell r="CV2" t="str">
            <v>Actual</v>
          </cell>
          <cell r="CW2" t="str">
            <v>Actual</v>
          </cell>
          <cell r="CX2" t="str">
            <v>Actual</v>
          </cell>
          <cell r="CY2" t="str">
            <v>Actual</v>
          </cell>
          <cell r="CZ2" t="str">
            <v>Actual</v>
          </cell>
          <cell r="DA2" t="str">
            <v>Actual</v>
          </cell>
          <cell r="DB2" t="str">
            <v>Actual</v>
          </cell>
          <cell r="DC2" t="str">
            <v>Actual</v>
          </cell>
          <cell r="DD2" t="str">
            <v>Actual</v>
          </cell>
          <cell r="DE2" t="str">
            <v>Actual</v>
          </cell>
          <cell r="DF2" t="str">
            <v>Actual</v>
          </cell>
          <cell r="DG2" t="str">
            <v>Actual</v>
          </cell>
          <cell r="DH2" t="str">
            <v>Actual</v>
          </cell>
          <cell r="DI2" t="str">
            <v>Actual</v>
          </cell>
          <cell r="DJ2" t="str">
            <v>Actual</v>
          </cell>
          <cell r="DK2" t="str">
            <v>Actual</v>
          </cell>
          <cell r="DL2" t="str">
            <v>Actual</v>
          </cell>
          <cell r="DM2" t="str">
            <v>Actual</v>
          </cell>
          <cell r="DN2" t="str">
            <v>Actual</v>
          </cell>
          <cell r="DO2" t="str">
            <v>Actual</v>
          </cell>
          <cell r="DP2" t="str">
            <v>Actual</v>
          </cell>
          <cell r="DQ2" t="str">
            <v>Actual</v>
          </cell>
          <cell r="DR2" t="str">
            <v>Actual</v>
          </cell>
          <cell r="DS2" t="str">
            <v>Actual</v>
          </cell>
          <cell r="DT2" t="str">
            <v>Actual</v>
          </cell>
          <cell r="DU2" t="str">
            <v>Actual</v>
          </cell>
          <cell r="DV2" t="str">
            <v>Actual</v>
          </cell>
          <cell r="DW2" t="str">
            <v>Actual</v>
          </cell>
          <cell r="DX2" t="str">
            <v>Actual</v>
          </cell>
          <cell r="DY2" t="str">
            <v>Actual</v>
          </cell>
          <cell r="DZ2" t="str">
            <v>Actual</v>
          </cell>
          <cell r="EA2" t="str">
            <v>Actual</v>
          </cell>
          <cell r="EB2" t="str">
            <v>Actual</v>
          </cell>
          <cell r="EC2" t="str">
            <v>Actual</v>
          </cell>
          <cell r="ED2" t="str">
            <v>Actual</v>
          </cell>
          <cell r="EE2" t="str">
            <v>Actual</v>
          </cell>
          <cell r="EF2" t="str">
            <v>Actual</v>
          </cell>
          <cell r="EG2" t="str">
            <v>Actual</v>
          </cell>
          <cell r="EH2" t="str">
            <v>Actual</v>
          </cell>
          <cell r="EI2" t="str">
            <v>Actual</v>
          </cell>
          <cell r="EJ2" t="str">
            <v>Actual</v>
          </cell>
          <cell r="EK2" t="str">
            <v>Actual</v>
          </cell>
          <cell r="EL2" t="str">
            <v>Actual</v>
          </cell>
          <cell r="EM2" t="str">
            <v>Actual</v>
          </cell>
          <cell r="EN2" t="str">
            <v>Actual</v>
          </cell>
          <cell r="EO2" t="str">
            <v>Actual</v>
          </cell>
          <cell r="EP2" t="str">
            <v>Actual</v>
          </cell>
          <cell r="EQ2" t="str">
            <v>Actual</v>
          </cell>
          <cell r="ER2" t="str">
            <v>Actual</v>
          </cell>
          <cell r="ES2" t="str">
            <v>Actual</v>
          </cell>
          <cell r="ET2" t="str">
            <v>Estimate</v>
          </cell>
          <cell r="EU2" t="str">
            <v>Estimate</v>
          </cell>
          <cell r="EV2" t="str">
            <v>Estimate</v>
          </cell>
          <cell r="EW2" t="str">
            <v>Estimate</v>
          </cell>
          <cell r="EX2" t="str">
            <v>Estimate</v>
          </cell>
          <cell r="EY2" t="str">
            <v>Estimate</v>
          </cell>
          <cell r="EZ2" t="str">
            <v>Estimate</v>
          </cell>
          <cell r="FA2" t="str">
            <v>Estimate</v>
          </cell>
          <cell r="FB2" t="str">
            <v>Estimate</v>
          </cell>
          <cell r="FC2" t="str">
            <v>Estimate</v>
          </cell>
          <cell r="FD2" t="str">
            <v>Estimate</v>
          </cell>
          <cell r="FE2" t="str">
            <v>Estimate</v>
          </cell>
        </row>
        <row r="3">
          <cell r="F3">
            <v>34880</v>
          </cell>
          <cell r="G3">
            <v>34972</v>
          </cell>
          <cell r="H3">
            <v>35064</v>
          </cell>
          <cell r="I3">
            <v>35155</v>
          </cell>
          <cell r="J3">
            <v>35246</v>
          </cell>
          <cell r="K3">
            <v>35246</v>
          </cell>
          <cell r="L3">
            <v>35338</v>
          </cell>
          <cell r="M3">
            <v>35430</v>
          </cell>
          <cell r="N3">
            <v>35520</v>
          </cell>
          <cell r="O3">
            <v>35611</v>
          </cell>
          <cell r="P3">
            <v>35611</v>
          </cell>
          <cell r="Q3">
            <v>35703</v>
          </cell>
          <cell r="R3">
            <v>35795</v>
          </cell>
          <cell r="S3">
            <v>35885</v>
          </cell>
          <cell r="T3">
            <v>35976</v>
          </cell>
          <cell r="U3">
            <v>35976</v>
          </cell>
          <cell r="V3">
            <v>36068</v>
          </cell>
          <cell r="W3">
            <v>36160</v>
          </cell>
          <cell r="X3">
            <v>36250</v>
          </cell>
          <cell r="Y3">
            <v>36341</v>
          </cell>
          <cell r="Z3">
            <v>36341</v>
          </cell>
          <cell r="AA3">
            <v>36433</v>
          </cell>
          <cell r="AB3">
            <v>36525</v>
          </cell>
          <cell r="AC3">
            <v>36616</v>
          </cell>
          <cell r="AD3">
            <v>36707</v>
          </cell>
          <cell r="AE3">
            <v>36707</v>
          </cell>
          <cell r="AF3">
            <v>36799</v>
          </cell>
          <cell r="AG3">
            <v>36891</v>
          </cell>
          <cell r="AH3">
            <v>36981</v>
          </cell>
          <cell r="AI3">
            <v>37072</v>
          </cell>
          <cell r="AJ3">
            <v>37072</v>
          </cell>
          <cell r="AK3">
            <v>37164</v>
          </cell>
          <cell r="AL3">
            <v>37256</v>
          </cell>
          <cell r="AM3">
            <v>37346</v>
          </cell>
          <cell r="AN3">
            <v>37437</v>
          </cell>
          <cell r="AO3">
            <v>37437</v>
          </cell>
          <cell r="AP3">
            <v>37529</v>
          </cell>
          <cell r="AQ3">
            <v>37621</v>
          </cell>
          <cell r="AR3">
            <v>37711</v>
          </cell>
          <cell r="AS3">
            <v>37802</v>
          </cell>
          <cell r="AT3">
            <v>37802</v>
          </cell>
          <cell r="AU3">
            <v>37894</v>
          </cell>
          <cell r="AV3">
            <v>37986</v>
          </cell>
          <cell r="AW3">
            <v>38077</v>
          </cell>
          <cell r="AX3">
            <v>38168</v>
          </cell>
          <cell r="AY3">
            <v>38168</v>
          </cell>
          <cell r="AZ3">
            <v>38260</v>
          </cell>
          <cell r="BA3">
            <v>38352</v>
          </cell>
          <cell r="BB3">
            <v>38442</v>
          </cell>
          <cell r="BC3">
            <v>38533</v>
          </cell>
          <cell r="BD3">
            <v>38533</v>
          </cell>
          <cell r="BE3">
            <v>38625</v>
          </cell>
          <cell r="BF3">
            <v>38717</v>
          </cell>
          <cell r="BG3">
            <v>38807</v>
          </cell>
          <cell r="BH3">
            <v>38898</v>
          </cell>
          <cell r="BI3">
            <v>38898</v>
          </cell>
          <cell r="BJ3">
            <v>38990</v>
          </cell>
          <cell r="BK3">
            <v>39082</v>
          </cell>
          <cell r="BL3">
            <v>39172</v>
          </cell>
          <cell r="BM3">
            <v>39263</v>
          </cell>
          <cell r="BN3">
            <v>39263</v>
          </cell>
          <cell r="BO3">
            <v>39355</v>
          </cell>
          <cell r="BP3">
            <v>39447</v>
          </cell>
          <cell r="BQ3">
            <v>39538</v>
          </cell>
          <cell r="BR3">
            <v>39629</v>
          </cell>
          <cell r="BS3">
            <v>39629</v>
          </cell>
          <cell r="BT3">
            <v>39721</v>
          </cell>
          <cell r="BU3">
            <v>39813</v>
          </cell>
          <cell r="BV3">
            <v>39903</v>
          </cell>
          <cell r="BW3">
            <v>39994</v>
          </cell>
          <cell r="BX3">
            <v>39994</v>
          </cell>
          <cell r="BY3">
            <v>40086</v>
          </cell>
          <cell r="BZ3">
            <v>40178</v>
          </cell>
          <cell r="CA3">
            <v>40268</v>
          </cell>
          <cell r="CB3">
            <v>40359</v>
          </cell>
          <cell r="CC3">
            <v>40359</v>
          </cell>
          <cell r="CD3">
            <v>40451</v>
          </cell>
          <cell r="CE3">
            <v>40543</v>
          </cell>
          <cell r="CF3">
            <v>40633</v>
          </cell>
          <cell r="CG3">
            <v>40724</v>
          </cell>
          <cell r="CH3">
            <v>40724</v>
          </cell>
          <cell r="CI3">
            <v>40816</v>
          </cell>
          <cell r="CJ3">
            <v>40908</v>
          </cell>
          <cell r="CK3">
            <v>40999</v>
          </cell>
          <cell r="CL3">
            <v>41090</v>
          </cell>
          <cell r="CM3">
            <v>41090</v>
          </cell>
          <cell r="CN3">
            <v>41182</v>
          </cell>
          <cell r="CO3">
            <v>41274</v>
          </cell>
          <cell r="CP3">
            <v>41364</v>
          </cell>
          <cell r="CQ3">
            <v>41455</v>
          </cell>
          <cell r="CR3">
            <v>41455</v>
          </cell>
          <cell r="CS3">
            <v>41547</v>
          </cell>
          <cell r="CT3">
            <v>41639</v>
          </cell>
          <cell r="CU3">
            <v>41729</v>
          </cell>
          <cell r="CV3">
            <v>41820</v>
          </cell>
          <cell r="CW3">
            <v>41820</v>
          </cell>
          <cell r="CX3">
            <v>41912</v>
          </cell>
          <cell r="CY3">
            <v>42004</v>
          </cell>
          <cell r="CZ3">
            <v>42094</v>
          </cell>
          <cell r="DA3">
            <v>42185</v>
          </cell>
          <cell r="DB3">
            <v>42185</v>
          </cell>
          <cell r="DC3">
            <v>42277</v>
          </cell>
          <cell r="DD3">
            <v>42369</v>
          </cell>
          <cell r="DE3">
            <v>42460</v>
          </cell>
          <cell r="DF3">
            <v>42551</v>
          </cell>
          <cell r="DG3">
            <v>42551</v>
          </cell>
          <cell r="DH3">
            <v>42643</v>
          </cell>
          <cell r="DI3">
            <v>42735</v>
          </cell>
          <cell r="DJ3">
            <v>42825</v>
          </cell>
          <cell r="DK3">
            <v>42916</v>
          </cell>
          <cell r="DL3">
            <v>42916</v>
          </cell>
          <cell r="DM3">
            <v>43008</v>
          </cell>
          <cell r="DN3">
            <v>43100</v>
          </cell>
          <cell r="DO3">
            <v>43190</v>
          </cell>
          <cell r="DP3">
            <v>43281</v>
          </cell>
          <cell r="DQ3">
            <v>43281</v>
          </cell>
          <cell r="DR3">
            <v>43373</v>
          </cell>
          <cell r="DS3">
            <v>43465</v>
          </cell>
          <cell r="DT3">
            <v>43555</v>
          </cell>
          <cell r="DU3">
            <v>43646</v>
          </cell>
          <cell r="DV3">
            <v>43646</v>
          </cell>
          <cell r="DW3">
            <v>43738</v>
          </cell>
          <cell r="DX3">
            <v>43830</v>
          </cell>
          <cell r="DY3">
            <v>43921</v>
          </cell>
          <cell r="DZ3">
            <v>44012</v>
          </cell>
          <cell r="EA3">
            <v>44012</v>
          </cell>
          <cell r="EB3">
            <v>44104</v>
          </cell>
          <cell r="EC3">
            <v>44196</v>
          </cell>
          <cell r="ED3">
            <v>44286</v>
          </cell>
          <cell r="EE3">
            <v>44377</v>
          </cell>
          <cell r="EF3">
            <v>44377</v>
          </cell>
          <cell r="EG3">
            <v>44469</v>
          </cell>
          <cell r="EH3">
            <v>44561</v>
          </cell>
          <cell r="EI3">
            <v>44651</v>
          </cell>
          <cell r="EJ3">
            <v>44742</v>
          </cell>
          <cell r="EK3">
            <v>44742</v>
          </cell>
          <cell r="EL3">
            <v>44834</v>
          </cell>
          <cell r="EM3">
            <v>44926</v>
          </cell>
          <cell r="EN3">
            <v>45016</v>
          </cell>
          <cell r="EO3">
            <v>45107</v>
          </cell>
          <cell r="EP3">
            <v>45107</v>
          </cell>
          <cell r="EQ3">
            <v>45199</v>
          </cell>
          <cell r="ER3">
            <v>45291</v>
          </cell>
          <cell r="ES3">
            <v>45382</v>
          </cell>
          <cell r="ET3">
            <v>45473</v>
          </cell>
          <cell r="EU3">
            <v>45473</v>
          </cell>
          <cell r="EV3">
            <v>45565</v>
          </cell>
          <cell r="EW3">
            <v>45657</v>
          </cell>
          <cell r="EX3">
            <v>45747</v>
          </cell>
          <cell r="EY3">
            <v>45838</v>
          </cell>
          <cell r="EZ3">
            <v>45838</v>
          </cell>
          <cell r="FA3">
            <v>45930</v>
          </cell>
          <cell r="FB3">
            <v>46022</v>
          </cell>
          <cell r="FC3">
            <v>46112</v>
          </cell>
          <cell r="FD3">
            <v>46203</v>
          </cell>
          <cell r="FE3">
            <v>46203</v>
          </cell>
        </row>
        <row r="4">
          <cell r="A4" t="str">
            <v>Issuer: Microsoft Corp.</v>
          </cell>
          <cell r="B4" t="str">
            <v>15ZXKA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Microsoft Corp.</v>
          </cell>
        </row>
        <row r="7">
          <cell r="B7" t="str">
            <v>Reporting Currency</v>
          </cell>
          <cell r="C7" t="str">
            <v>CURRENCY_ISO</v>
          </cell>
          <cell r="E7" t="str">
            <v>USD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  <cell r="E9">
            <v>3</v>
          </cell>
        </row>
        <row r="10">
          <cell r="A10" t="str">
            <v>Income Statement</v>
          </cell>
        </row>
        <row r="11">
          <cell r="B11" t="str">
            <v>Sales, net revenue</v>
          </cell>
          <cell r="C11" t="str">
            <v>SALES</v>
          </cell>
          <cell r="D11" t="str">
            <v>USD</v>
          </cell>
          <cell r="F11">
            <v>5937</v>
          </cell>
          <cell r="G11">
            <v>2016</v>
          </cell>
          <cell r="H11">
            <v>2195</v>
          </cell>
          <cell r="I11">
            <v>2205</v>
          </cell>
          <cell r="J11">
            <v>2255</v>
          </cell>
          <cell r="K11">
            <v>8671</v>
          </cell>
          <cell r="L11">
            <v>2295</v>
          </cell>
          <cell r="M11">
            <v>2680</v>
          </cell>
          <cell r="N11">
            <v>3208</v>
          </cell>
          <cell r="O11">
            <v>3175</v>
          </cell>
          <cell r="P11">
            <v>11358</v>
          </cell>
          <cell r="Q11">
            <v>3130</v>
          </cell>
          <cell r="R11">
            <v>3585</v>
          </cell>
          <cell r="S11">
            <v>3774</v>
          </cell>
          <cell r="T11">
            <v>3995</v>
          </cell>
          <cell r="U11">
            <v>14484</v>
          </cell>
          <cell r="V11">
            <v>4193</v>
          </cell>
          <cell r="W11">
            <v>5195</v>
          </cell>
          <cell r="X11">
            <v>4595</v>
          </cell>
          <cell r="Y11">
            <v>5764</v>
          </cell>
          <cell r="Z11">
            <v>19747</v>
          </cell>
          <cell r="AA11">
            <v>5384</v>
          </cell>
          <cell r="AB11">
            <v>6112</v>
          </cell>
          <cell r="AC11">
            <v>5656</v>
          </cell>
          <cell r="AD11">
            <v>5804</v>
          </cell>
          <cell r="AE11">
            <v>22956</v>
          </cell>
          <cell r="AF11">
            <v>5766</v>
          </cell>
          <cell r="AG11">
            <v>6550</v>
          </cell>
          <cell r="AH11">
            <v>6403</v>
          </cell>
          <cell r="AI11">
            <v>6577</v>
          </cell>
          <cell r="AJ11">
            <v>25296</v>
          </cell>
          <cell r="AK11">
            <v>6126</v>
          </cell>
          <cell r="AL11">
            <v>7741</v>
          </cell>
          <cell r="AM11">
            <v>7245</v>
          </cell>
          <cell r="AN11">
            <v>7253</v>
          </cell>
          <cell r="AO11">
            <v>28365</v>
          </cell>
          <cell r="AP11">
            <v>7746</v>
          </cell>
          <cell r="AQ11">
            <v>8541</v>
          </cell>
          <cell r="AR11">
            <v>7835</v>
          </cell>
          <cell r="AS11">
            <v>8065</v>
          </cell>
          <cell r="AT11">
            <v>32187</v>
          </cell>
          <cell r="AU11">
            <v>8215</v>
          </cell>
          <cell r="AV11">
            <v>10153</v>
          </cell>
          <cell r="AW11">
            <v>9175</v>
          </cell>
          <cell r="AX11">
            <v>9292</v>
          </cell>
          <cell r="AY11">
            <v>36835</v>
          </cell>
          <cell r="AZ11">
            <v>9189</v>
          </cell>
          <cell r="BA11">
            <v>10818</v>
          </cell>
          <cell r="BB11">
            <v>9620</v>
          </cell>
          <cell r="BC11">
            <v>10161</v>
          </cell>
          <cell r="BD11">
            <v>39788</v>
          </cell>
          <cell r="BE11">
            <v>9741</v>
          </cell>
          <cell r="BF11">
            <v>11837</v>
          </cell>
          <cell r="BG11">
            <v>10900</v>
          </cell>
          <cell r="BH11">
            <v>11804</v>
          </cell>
          <cell r="BI11">
            <v>44282</v>
          </cell>
          <cell r="BJ11">
            <v>10811</v>
          </cell>
          <cell r="BK11">
            <v>12542</v>
          </cell>
          <cell r="BL11">
            <v>14398</v>
          </cell>
          <cell r="BM11">
            <v>13371</v>
          </cell>
          <cell r="BN11">
            <v>51122</v>
          </cell>
          <cell r="BO11">
            <v>13762</v>
          </cell>
          <cell r="BP11">
            <v>16367</v>
          </cell>
          <cell r="BQ11">
            <v>14454</v>
          </cell>
          <cell r="BR11">
            <v>15837</v>
          </cell>
          <cell r="BS11">
            <v>60420</v>
          </cell>
          <cell r="BT11">
            <v>15061</v>
          </cell>
          <cell r="BU11">
            <v>16629</v>
          </cell>
          <cell r="BV11">
            <v>13648</v>
          </cell>
          <cell r="BW11">
            <v>13099</v>
          </cell>
          <cell r="BX11">
            <v>58437</v>
          </cell>
          <cell r="BY11">
            <v>12920</v>
          </cell>
          <cell r="BZ11">
            <v>19022</v>
          </cell>
          <cell r="CA11">
            <v>14503</v>
          </cell>
          <cell r="CB11">
            <v>16039</v>
          </cell>
          <cell r="CC11">
            <v>62484</v>
          </cell>
          <cell r="CD11">
            <v>16195</v>
          </cell>
          <cell r="CE11">
            <v>19953</v>
          </cell>
          <cell r="CF11">
            <v>16428</v>
          </cell>
          <cell r="CG11">
            <v>17367</v>
          </cell>
          <cell r="CH11">
            <v>69943</v>
          </cell>
          <cell r="CI11">
            <v>17372</v>
          </cell>
          <cell r="CJ11">
            <v>20885</v>
          </cell>
          <cell r="CK11">
            <v>17407</v>
          </cell>
          <cell r="CL11">
            <v>18059</v>
          </cell>
          <cell r="CM11">
            <v>73723</v>
          </cell>
          <cell r="CN11">
            <v>16008</v>
          </cell>
          <cell r="CO11">
            <v>21456</v>
          </cell>
          <cell r="CP11">
            <v>20489</v>
          </cell>
          <cell r="CQ11">
            <v>19896</v>
          </cell>
          <cell r="CR11">
            <v>77849</v>
          </cell>
          <cell r="CS11">
            <v>18529</v>
          </cell>
          <cell r="CT11">
            <v>24519</v>
          </cell>
          <cell r="CU11">
            <v>20403</v>
          </cell>
          <cell r="CV11">
            <v>23382</v>
          </cell>
          <cell r="CW11">
            <v>86833</v>
          </cell>
          <cell r="CX11">
            <v>23201</v>
          </cell>
          <cell r="CY11">
            <v>26470</v>
          </cell>
          <cell r="CZ11">
            <v>21729</v>
          </cell>
          <cell r="DA11">
            <v>22180</v>
          </cell>
          <cell r="DB11">
            <v>93580</v>
          </cell>
          <cell r="DC11">
            <v>20379</v>
          </cell>
          <cell r="DD11">
            <v>23796</v>
          </cell>
          <cell r="DE11">
            <v>20531</v>
          </cell>
          <cell r="DF11">
            <v>20614</v>
          </cell>
          <cell r="DG11">
            <v>85320</v>
          </cell>
          <cell r="DH11">
            <v>21928</v>
          </cell>
          <cell r="DI11">
            <v>25826</v>
          </cell>
          <cell r="DJ11">
            <v>23212</v>
          </cell>
          <cell r="DK11">
            <v>25605</v>
          </cell>
          <cell r="DL11">
            <v>96571</v>
          </cell>
          <cell r="DM11">
            <v>24538</v>
          </cell>
          <cell r="DN11">
            <v>28918</v>
          </cell>
          <cell r="DO11">
            <v>26819</v>
          </cell>
          <cell r="DP11">
            <v>30085</v>
          </cell>
          <cell r="DQ11">
            <v>110360</v>
          </cell>
          <cell r="DR11">
            <v>29084</v>
          </cell>
          <cell r="DS11">
            <v>32471</v>
          </cell>
          <cell r="DT11">
            <v>30571</v>
          </cell>
          <cell r="DU11">
            <v>33717</v>
          </cell>
          <cell r="DV11">
            <v>125843</v>
          </cell>
          <cell r="DW11">
            <v>33055</v>
          </cell>
          <cell r="DX11">
            <v>36906</v>
          </cell>
          <cell r="DY11">
            <v>35021</v>
          </cell>
          <cell r="DZ11">
            <v>38033</v>
          </cell>
          <cell r="EA11">
            <v>143015</v>
          </cell>
          <cell r="EB11">
            <v>37154</v>
          </cell>
          <cell r="EC11">
            <v>43076</v>
          </cell>
          <cell r="ED11">
            <v>41706</v>
          </cell>
          <cell r="EE11">
            <v>46152</v>
          </cell>
          <cell r="EF11">
            <v>168088</v>
          </cell>
          <cell r="EG11">
            <v>45317</v>
          </cell>
          <cell r="EH11">
            <v>51728</v>
          </cell>
          <cell r="EI11">
            <v>49360</v>
          </cell>
          <cell r="EJ11">
            <v>51865</v>
          </cell>
          <cell r="EK11">
            <v>198270</v>
          </cell>
          <cell r="EL11">
            <v>50122</v>
          </cell>
          <cell r="EM11">
            <v>52747</v>
          </cell>
          <cell r="EN11">
            <v>52857</v>
          </cell>
          <cell r="EO11">
            <v>56189</v>
          </cell>
          <cell r="EP11">
            <v>211915</v>
          </cell>
          <cell r="EQ11">
            <v>56517</v>
          </cell>
          <cell r="ER11">
            <v>62020</v>
          </cell>
          <cell r="ES11">
            <v>61858</v>
          </cell>
          <cell r="ET11">
            <v>64904.736469703697</v>
          </cell>
          <cell r="EU11">
            <v>245299.73646970399</v>
          </cell>
          <cell r="EV11">
            <v>66156.828369105293</v>
          </cell>
          <cell r="EW11">
            <v>70377.619938189993</v>
          </cell>
          <cell r="EX11">
            <v>70355.831979936993</v>
          </cell>
          <cell r="EY11">
            <v>73980.879966571199</v>
          </cell>
          <cell r="EZ11">
            <v>280871.16025380301</v>
          </cell>
          <cell r="FA11">
            <v>75055.961276820104</v>
          </cell>
          <cell r="FB11">
            <v>79842.010683144705</v>
          </cell>
          <cell r="FC11">
            <v>79966.703647055707</v>
          </cell>
          <cell r="FD11">
            <v>84303.218187392893</v>
          </cell>
          <cell r="FE11">
            <v>319167.89379441302</v>
          </cell>
        </row>
        <row r="12">
          <cell r="B12" t="str">
            <v>Cost of goods sold, COGS</v>
          </cell>
          <cell r="C12" t="str">
            <v>COST_GD_SD</v>
          </cell>
          <cell r="D12" t="str">
            <v>USD</v>
          </cell>
          <cell r="F12">
            <v>-877</v>
          </cell>
          <cell r="G12">
            <v>-322</v>
          </cell>
          <cell r="H12">
            <v>-330</v>
          </cell>
          <cell r="I12">
            <v>-295</v>
          </cell>
          <cell r="J12">
            <v>-241</v>
          </cell>
          <cell r="K12">
            <v>-1188</v>
          </cell>
          <cell r="L12">
            <v>-250</v>
          </cell>
          <cell r="M12">
            <v>-296</v>
          </cell>
          <cell r="N12">
            <v>-297</v>
          </cell>
          <cell r="O12">
            <v>-242</v>
          </cell>
          <cell r="P12">
            <v>-1085</v>
          </cell>
          <cell r="Q12">
            <v>-253</v>
          </cell>
          <cell r="R12">
            <v>-313</v>
          </cell>
          <cell r="S12">
            <v>-317</v>
          </cell>
          <cell r="T12">
            <v>-314</v>
          </cell>
          <cell r="U12">
            <v>-1197</v>
          </cell>
          <cell r="V12">
            <v>-649</v>
          </cell>
          <cell r="W12">
            <v>-788</v>
          </cell>
          <cell r="X12">
            <v>-708</v>
          </cell>
          <cell r="Y12">
            <v>-669</v>
          </cell>
          <cell r="Z12">
            <v>-2814</v>
          </cell>
          <cell r="AA12">
            <v>-712</v>
          </cell>
          <cell r="AB12">
            <v>-756</v>
          </cell>
          <cell r="AC12">
            <v>-752</v>
          </cell>
          <cell r="AD12">
            <v>-782</v>
          </cell>
          <cell r="AE12">
            <v>-3002</v>
          </cell>
          <cell r="AF12">
            <v>-825</v>
          </cell>
          <cell r="AG12">
            <v>-864</v>
          </cell>
          <cell r="AH12">
            <v>-899</v>
          </cell>
          <cell r="AI12">
            <v>-867</v>
          </cell>
          <cell r="AJ12">
            <v>-3455</v>
          </cell>
          <cell r="AK12">
            <v>-884</v>
          </cell>
          <cell r="AL12">
            <v>-1544</v>
          </cell>
          <cell r="AM12">
            <v>-1395</v>
          </cell>
          <cell r="AN12">
            <v>-1368</v>
          </cell>
          <cell r="AO12">
            <v>-5191</v>
          </cell>
          <cell r="AP12">
            <v>-1344</v>
          </cell>
          <cell r="AQ12">
            <v>-2137</v>
          </cell>
          <cell r="AR12">
            <v>-1274</v>
          </cell>
          <cell r="AS12">
            <v>-1304</v>
          </cell>
          <cell r="AT12">
            <v>-6059</v>
          </cell>
          <cell r="AU12">
            <v>-1480</v>
          </cell>
          <cell r="AV12">
            <v>-2344</v>
          </cell>
          <cell r="AW12">
            <v>-1411</v>
          </cell>
          <cell r="AX12">
            <v>-1481</v>
          </cell>
          <cell r="AY12">
            <v>-6716</v>
          </cell>
          <cell r="AZ12">
            <v>-1405</v>
          </cell>
          <cell r="BA12">
            <v>-1875</v>
          </cell>
          <cell r="BB12">
            <v>-1363</v>
          </cell>
          <cell r="BC12">
            <v>-1557</v>
          </cell>
          <cell r="BD12">
            <v>-6200</v>
          </cell>
          <cell r="BE12">
            <v>-1253</v>
          </cell>
          <cell r="BF12">
            <v>-2239</v>
          </cell>
          <cell r="BG12">
            <v>-2028</v>
          </cell>
          <cell r="BH12">
            <v>-2130</v>
          </cell>
          <cell r="BI12">
            <v>-7650</v>
          </cell>
          <cell r="BJ12">
            <v>-1696</v>
          </cell>
          <cell r="BK12">
            <v>-3620</v>
          </cell>
          <cell r="BL12">
            <v>-2140</v>
          </cell>
          <cell r="BM12">
            <v>-3237</v>
          </cell>
          <cell r="BN12">
            <v>-10693</v>
          </cell>
          <cell r="BO12">
            <v>-2675</v>
          </cell>
          <cell r="BP12">
            <v>-3543</v>
          </cell>
          <cell r="BQ12">
            <v>-2514</v>
          </cell>
          <cell r="BR12">
            <v>-2866</v>
          </cell>
          <cell r="BS12">
            <v>-11598</v>
          </cell>
          <cell r="BT12">
            <v>-2848</v>
          </cell>
          <cell r="BU12">
            <v>-3907</v>
          </cell>
          <cell r="BV12">
            <v>-2814</v>
          </cell>
          <cell r="BW12">
            <v>-2586</v>
          </cell>
          <cell r="BX12">
            <v>-12155</v>
          </cell>
          <cell r="BY12">
            <v>-2842</v>
          </cell>
          <cell r="BZ12">
            <v>-3628</v>
          </cell>
          <cell r="CA12">
            <v>-2755</v>
          </cell>
          <cell r="CB12">
            <v>-3170</v>
          </cell>
          <cell r="CC12">
            <v>-12395</v>
          </cell>
          <cell r="CD12">
            <v>-3139</v>
          </cell>
          <cell r="CE12">
            <v>-4833</v>
          </cell>
          <cell r="CF12">
            <v>-3897</v>
          </cell>
          <cell r="CG12">
            <v>-3708</v>
          </cell>
          <cell r="CH12">
            <v>-15577</v>
          </cell>
          <cell r="CI12">
            <v>-3777</v>
          </cell>
          <cell r="CJ12">
            <v>-5638</v>
          </cell>
          <cell r="CK12">
            <v>-3952</v>
          </cell>
          <cell r="CL12">
            <v>-4163</v>
          </cell>
          <cell r="CM12">
            <v>-17530</v>
          </cell>
          <cell r="CN12">
            <v>-4168</v>
          </cell>
          <cell r="CO12">
            <v>-5692</v>
          </cell>
          <cell r="CP12">
            <v>-4787</v>
          </cell>
          <cell r="CQ12">
            <v>-5602</v>
          </cell>
          <cell r="CR12">
            <v>-20249</v>
          </cell>
          <cell r="CS12">
            <v>-5145</v>
          </cell>
          <cell r="CT12">
            <v>-8322</v>
          </cell>
          <cell r="CU12">
            <v>-5978</v>
          </cell>
          <cell r="CV12">
            <v>-7633</v>
          </cell>
          <cell r="CW12">
            <v>-27078</v>
          </cell>
          <cell r="CX12">
            <v>-8273</v>
          </cell>
          <cell r="CY12">
            <v>-10136</v>
          </cell>
          <cell r="CZ12">
            <v>-7161</v>
          </cell>
          <cell r="DA12">
            <v>-7468</v>
          </cell>
          <cell r="DB12">
            <v>-33038</v>
          </cell>
          <cell r="DC12">
            <v>-7207</v>
          </cell>
          <cell r="DD12">
            <v>-9872</v>
          </cell>
          <cell r="DE12">
            <v>-7722</v>
          </cell>
          <cell r="DF12">
            <v>-7979</v>
          </cell>
          <cell r="DG12">
            <v>-32780</v>
          </cell>
          <cell r="DH12">
            <v>-7844</v>
          </cell>
          <cell r="DI12">
            <v>-9901</v>
          </cell>
          <cell r="DJ12">
            <v>-8060</v>
          </cell>
          <cell r="DK12">
            <v>-8456</v>
          </cell>
          <cell r="DL12">
            <v>-34261</v>
          </cell>
          <cell r="DM12">
            <v>-8278</v>
          </cell>
          <cell r="DN12">
            <v>-11064</v>
          </cell>
          <cell r="DO12">
            <v>-9269</v>
          </cell>
          <cell r="DP12">
            <v>-9742</v>
          </cell>
          <cell r="DQ12">
            <v>-38353</v>
          </cell>
          <cell r="DR12">
            <v>-9905</v>
          </cell>
          <cell r="DS12">
            <v>-12423</v>
          </cell>
          <cell r="DT12">
            <v>-10170</v>
          </cell>
          <cell r="DU12">
            <v>-10412</v>
          </cell>
          <cell r="DV12">
            <v>-42910</v>
          </cell>
          <cell r="DW12">
            <v>-10406</v>
          </cell>
          <cell r="DX12">
            <v>-12358</v>
          </cell>
          <cell r="DY12">
            <v>-10975</v>
          </cell>
          <cell r="DZ12">
            <v>-12339</v>
          </cell>
          <cell r="EA12">
            <v>-46078</v>
          </cell>
          <cell r="EB12">
            <v>-11002</v>
          </cell>
          <cell r="EC12">
            <v>-14194</v>
          </cell>
          <cell r="ED12">
            <v>-13045</v>
          </cell>
          <cell r="EE12">
            <v>-13991</v>
          </cell>
          <cell r="EF12">
            <v>-52232</v>
          </cell>
          <cell r="EG12">
            <v>-13646</v>
          </cell>
          <cell r="EH12">
            <v>-16960</v>
          </cell>
          <cell r="EI12">
            <v>-15615</v>
          </cell>
          <cell r="EJ12">
            <v>-16429</v>
          </cell>
          <cell r="EK12">
            <v>-62650</v>
          </cell>
          <cell r="EL12">
            <v>-15452</v>
          </cell>
          <cell r="EM12">
            <v>-17488</v>
          </cell>
          <cell r="EN12">
            <v>-16128</v>
          </cell>
          <cell r="EO12">
            <v>-16795</v>
          </cell>
          <cell r="EP12">
            <v>-65863</v>
          </cell>
          <cell r="EQ12">
            <v>-16302</v>
          </cell>
          <cell r="ER12">
            <v>-19623</v>
          </cell>
          <cell r="ES12">
            <v>-18505</v>
          </cell>
          <cell r="ET12">
            <v>-20134.0179690269</v>
          </cell>
          <cell r="EU12">
            <v>-74564.0179690269</v>
          </cell>
          <cell r="EV12">
            <v>-20291.827582122402</v>
          </cell>
          <cell r="EW12">
            <v>-21722.9190952385</v>
          </cell>
          <cell r="EX12">
            <v>-21465.177201491799</v>
          </cell>
          <cell r="EY12">
            <v>-22442.915069375598</v>
          </cell>
          <cell r="EZ12">
            <v>-85922.838948228295</v>
          </cell>
          <cell r="FA12">
            <v>-22970.365504699999</v>
          </cell>
          <cell r="FB12">
            <v>-24595.3479412579</v>
          </cell>
          <cell r="FC12">
            <v>-24336.701075866898</v>
          </cell>
          <cell r="FD12">
            <v>-25503.211033694901</v>
          </cell>
          <cell r="FE12">
            <v>-97405.625555519597</v>
          </cell>
        </row>
        <row r="13">
          <cell r="B13" t="str">
            <v>SG&amp;A, selling, general and admin. expense</v>
          </cell>
          <cell r="C13" t="str">
            <v>SEL_GL_AD</v>
          </cell>
          <cell r="D13" t="str">
            <v>USD</v>
          </cell>
          <cell r="F13">
            <v>-2162</v>
          </cell>
          <cell r="G13">
            <v>-684</v>
          </cell>
          <cell r="H13">
            <v>-766</v>
          </cell>
          <cell r="I13">
            <v>-772</v>
          </cell>
          <cell r="J13">
            <v>-751</v>
          </cell>
          <cell r="K13">
            <v>-2973</v>
          </cell>
          <cell r="L13">
            <v>-711</v>
          </cell>
          <cell r="M13">
            <v>-818</v>
          </cell>
          <cell r="N13">
            <v>-851</v>
          </cell>
          <cell r="O13">
            <v>-838</v>
          </cell>
          <cell r="P13">
            <v>-3218</v>
          </cell>
          <cell r="Q13">
            <v>-883</v>
          </cell>
          <cell r="R13">
            <v>-982</v>
          </cell>
          <cell r="S13">
            <v>-933</v>
          </cell>
          <cell r="T13">
            <v>-1047</v>
          </cell>
          <cell r="U13">
            <v>-3845</v>
          </cell>
          <cell r="V13">
            <v>-787</v>
          </cell>
          <cell r="W13">
            <v>-943</v>
          </cell>
          <cell r="X13">
            <v>-993</v>
          </cell>
          <cell r="Y13">
            <v>-1197</v>
          </cell>
          <cell r="Z13">
            <v>-3920</v>
          </cell>
          <cell r="AA13">
            <v>-1046</v>
          </cell>
          <cell r="AB13">
            <v>-1533</v>
          </cell>
          <cell r="AC13">
            <v>-1218</v>
          </cell>
          <cell r="AD13">
            <v>-1353</v>
          </cell>
          <cell r="AE13">
            <v>-5150</v>
          </cell>
          <cell r="AF13">
            <v>-1208</v>
          </cell>
          <cell r="AG13">
            <v>-1502</v>
          </cell>
          <cell r="AH13">
            <v>-1437</v>
          </cell>
          <cell r="AI13">
            <v>-1595</v>
          </cell>
          <cell r="AJ13">
            <v>-5742</v>
          </cell>
          <cell r="AK13">
            <v>-1332</v>
          </cell>
          <cell r="AL13">
            <v>-2312</v>
          </cell>
          <cell r="AM13">
            <v>-1486</v>
          </cell>
          <cell r="AN13">
            <v>-1827</v>
          </cell>
          <cell r="AO13">
            <v>-6957</v>
          </cell>
          <cell r="AP13">
            <v>-1667</v>
          </cell>
          <cell r="AQ13">
            <v>-2656</v>
          </cell>
          <cell r="AR13">
            <v>-2125</v>
          </cell>
          <cell r="AS13">
            <v>-3540</v>
          </cell>
          <cell r="AT13">
            <v>-9988</v>
          </cell>
          <cell r="AU13">
            <v>-1976</v>
          </cell>
          <cell r="AV13">
            <v>-3363</v>
          </cell>
          <cell r="AW13">
            <v>-4948</v>
          </cell>
          <cell r="AX13">
            <v>-3019</v>
          </cell>
          <cell r="AY13">
            <v>-13306</v>
          </cell>
          <cell r="AZ13">
            <v>-2760</v>
          </cell>
          <cell r="BA13">
            <v>-2773</v>
          </cell>
          <cell r="BB13">
            <v>-3446</v>
          </cell>
          <cell r="BC13">
            <v>-3864</v>
          </cell>
          <cell r="BD13">
            <v>-12843</v>
          </cell>
          <cell r="BE13">
            <v>-2927</v>
          </cell>
          <cell r="BF13">
            <v>-3350</v>
          </cell>
          <cell r="BG13">
            <v>-3367</v>
          </cell>
          <cell r="BH13">
            <v>-3932</v>
          </cell>
          <cell r="BI13">
            <v>-13576</v>
          </cell>
          <cell r="BJ13">
            <v>-2855</v>
          </cell>
          <cell r="BK13">
            <v>-3813</v>
          </cell>
          <cell r="BL13">
            <v>-3919</v>
          </cell>
          <cell r="BM13">
            <v>-4197</v>
          </cell>
          <cell r="BN13">
            <v>-14784</v>
          </cell>
          <cell r="BO13">
            <v>-3332</v>
          </cell>
          <cell r="BP13">
            <v>-4458</v>
          </cell>
          <cell r="BQ13">
            <v>-5496</v>
          </cell>
          <cell r="BR13">
            <v>-4880</v>
          </cell>
          <cell r="BS13">
            <v>-18166</v>
          </cell>
          <cell r="BT13">
            <v>-3931</v>
          </cell>
          <cell r="BU13">
            <v>-4493</v>
          </cell>
          <cell r="BV13">
            <v>-3894</v>
          </cell>
          <cell r="BW13">
            <v>-4261</v>
          </cell>
          <cell r="BX13">
            <v>-16579</v>
          </cell>
          <cell r="BY13">
            <v>-3531</v>
          </cell>
          <cell r="BZ13">
            <v>-4743</v>
          </cell>
          <cell r="CA13">
            <v>-4355</v>
          </cell>
          <cell r="CB13">
            <v>-4589</v>
          </cell>
          <cell r="CC13">
            <v>-17218</v>
          </cell>
          <cell r="CD13">
            <v>-3744</v>
          </cell>
          <cell r="CE13">
            <v>-4770</v>
          </cell>
          <cell r="CF13">
            <v>-4553</v>
          </cell>
          <cell r="CG13">
            <v>-5095</v>
          </cell>
          <cell r="CH13">
            <v>-18162</v>
          </cell>
          <cell r="CI13">
            <v>-4063</v>
          </cell>
          <cell r="CJ13">
            <v>-4882</v>
          </cell>
          <cell r="CK13">
            <v>-4564</v>
          </cell>
          <cell r="CL13">
            <v>-4917</v>
          </cell>
          <cell r="CM13">
            <v>-18426</v>
          </cell>
          <cell r="CN13">
            <v>-4072</v>
          </cell>
          <cell r="CO13">
            <v>-5465</v>
          </cell>
          <cell r="CP13">
            <v>-5450</v>
          </cell>
          <cell r="CQ13">
            <v>-5438</v>
          </cell>
          <cell r="CR13">
            <v>-20425</v>
          </cell>
          <cell r="CS13">
            <v>-4283</v>
          </cell>
          <cell r="CT13">
            <v>-5480</v>
          </cell>
          <cell r="CU13">
            <v>-4708</v>
          </cell>
          <cell r="CV13">
            <v>-6017</v>
          </cell>
          <cell r="CW13">
            <v>-20488</v>
          </cell>
          <cell r="CX13">
            <v>-4879</v>
          </cell>
          <cell r="CY13">
            <v>-5412</v>
          </cell>
          <cell r="CZ13">
            <v>-4800</v>
          </cell>
          <cell r="DA13">
            <v>-5233</v>
          </cell>
          <cell r="DB13">
            <v>-20324</v>
          </cell>
          <cell r="DC13">
            <v>-4417</v>
          </cell>
          <cell r="DD13">
            <v>-4998</v>
          </cell>
          <cell r="DE13">
            <v>-4546</v>
          </cell>
          <cell r="DF13">
            <v>-5299</v>
          </cell>
          <cell r="DG13">
            <v>-19260</v>
          </cell>
          <cell r="DH13">
            <v>-4263</v>
          </cell>
          <cell r="DI13">
            <v>-4958</v>
          </cell>
          <cell r="DJ13">
            <v>-5074</v>
          </cell>
          <cell r="DK13">
            <v>-5647</v>
          </cell>
          <cell r="DL13">
            <v>-19942</v>
          </cell>
          <cell r="DM13">
            <v>-4978</v>
          </cell>
          <cell r="DN13">
            <v>-5671</v>
          </cell>
          <cell r="DO13">
            <v>-5543</v>
          </cell>
          <cell r="DP13">
            <v>-6031</v>
          </cell>
          <cell r="DQ13">
            <v>-22223</v>
          </cell>
          <cell r="DR13">
            <v>-5247</v>
          </cell>
          <cell r="DS13">
            <v>-5720</v>
          </cell>
          <cell r="DT13">
            <v>-5744</v>
          </cell>
          <cell r="DU13">
            <v>-6387</v>
          </cell>
          <cell r="DV13">
            <v>-23098</v>
          </cell>
          <cell r="DW13">
            <v>-5398</v>
          </cell>
          <cell r="DX13">
            <v>-6054</v>
          </cell>
          <cell r="DY13">
            <v>-6184</v>
          </cell>
          <cell r="DZ13">
            <v>-7073</v>
          </cell>
          <cell r="EA13">
            <v>-24709</v>
          </cell>
          <cell r="EB13">
            <v>-5350</v>
          </cell>
          <cell r="EC13">
            <v>-6086</v>
          </cell>
          <cell r="ED13">
            <v>-6409</v>
          </cell>
          <cell r="EE13">
            <v>-7379</v>
          </cell>
          <cell r="EF13">
            <v>-25224</v>
          </cell>
          <cell r="EG13">
            <v>-5834</v>
          </cell>
          <cell r="EH13">
            <v>-6763</v>
          </cell>
          <cell r="EI13">
            <v>-7075</v>
          </cell>
          <cell r="EJ13">
            <v>-8053</v>
          </cell>
          <cell r="EK13">
            <v>-27725</v>
          </cell>
          <cell r="EL13">
            <v>-6524</v>
          </cell>
          <cell r="EM13">
            <v>-8016</v>
          </cell>
          <cell r="EN13">
            <v>-7393</v>
          </cell>
          <cell r="EO13">
            <v>-8401</v>
          </cell>
          <cell r="EP13">
            <v>-30334</v>
          </cell>
          <cell r="EQ13">
            <v>-6661</v>
          </cell>
          <cell r="ER13">
            <v>-8223</v>
          </cell>
          <cell r="ES13">
            <v>-8119</v>
          </cell>
          <cell r="ET13">
            <v>-8307.8062681220708</v>
          </cell>
          <cell r="EU13">
            <v>-31310.806268122102</v>
          </cell>
          <cell r="EV13">
            <v>-7938.8194042926298</v>
          </cell>
          <cell r="EW13">
            <v>-8867.5801122119392</v>
          </cell>
          <cell r="EX13">
            <v>-8928.8236281269001</v>
          </cell>
          <cell r="EY13">
            <v>-9173.6291158548302</v>
          </cell>
          <cell r="EZ13">
            <v>-34908.852260486303</v>
          </cell>
          <cell r="FA13">
            <v>-8556.3795855574899</v>
          </cell>
          <cell r="FB13">
            <v>-9581.0412819773701</v>
          </cell>
          <cell r="FC13">
            <v>-9668.7343472328794</v>
          </cell>
          <cell r="FD13">
            <v>-9947.77974611237</v>
          </cell>
          <cell r="FE13">
            <v>-37753.934960880099</v>
          </cell>
        </row>
        <row r="14">
          <cell r="B14" t="str">
            <v>Total operating expense</v>
          </cell>
          <cell r="C14" t="str">
            <v>OP_COST</v>
          </cell>
          <cell r="D14" t="str">
            <v>USD</v>
          </cell>
          <cell r="F14">
            <v>-3039</v>
          </cell>
          <cell r="G14">
            <v>-1006</v>
          </cell>
          <cell r="H14">
            <v>-1096</v>
          </cell>
          <cell r="I14">
            <v>-1067</v>
          </cell>
          <cell r="J14">
            <v>-992</v>
          </cell>
          <cell r="K14">
            <v>-4161</v>
          </cell>
          <cell r="L14">
            <v>-961</v>
          </cell>
          <cell r="M14">
            <v>-1114</v>
          </cell>
          <cell r="N14">
            <v>-1148</v>
          </cell>
          <cell r="O14">
            <v>-1080</v>
          </cell>
          <cell r="P14">
            <v>-4303</v>
          </cell>
          <cell r="Q14">
            <v>-1136</v>
          </cell>
          <cell r="R14">
            <v>-1295</v>
          </cell>
          <cell r="S14">
            <v>-1250</v>
          </cell>
          <cell r="T14">
            <v>-1361</v>
          </cell>
          <cell r="U14">
            <v>-5042</v>
          </cell>
          <cell r="V14">
            <v>-1436</v>
          </cell>
          <cell r="W14">
            <v>-1731</v>
          </cell>
          <cell r="X14">
            <v>-1701</v>
          </cell>
          <cell r="Y14">
            <v>-1866</v>
          </cell>
          <cell r="Z14">
            <v>-6734</v>
          </cell>
          <cell r="AA14">
            <v>-1758</v>
          </cell>
          <cell r="AB14">
            <v>-2289</v>
          </cell>
          <cell r="AC14">
            <v>-1970</v>
          </cell>
          <cell r="AD14">
            <v>-2135</v>
          </cell>
          <cell r="AE14">
            <v>-8152</v>
          </cell>
          <cell r="AF14">
            <v>-2033</v>
          </cell>
          <cell r="AG14">
            <v>-2366</v>
          </cell>
          <cell r="AH14">
            <v>-2336</v>
          </cell>
          <cell r="AI14">
            <v>-2462</v>
          </cell>
          <cell r="AJ14">
            <v>-9197</v>
          </cell>
          <cell r="AK14">
            <v>-2216</v>
          </cell>
          <cell r="AL14">
            <v>-3856</v>
          </cell>
          <cell r="AM14">
            <v>-2881</v>
          </cell>
          <cell r="AN14">
            <v>-3195</v>
          </cell>
          <cell r="AO14">
            <v>-12148</v>
          </cell>
          <cell r="AP14">
            <v>-3011</v>
          </cell>
          <cell r="AQ14">
            <v>-4793</v>
          </cell>
          <cell r="AR14">
            <v>-3399</v>
          </cell>
          <cell r="AS14">
            <v>-4844</v>
          </cell>
          <cell r="AT14">
            <v>-16047</v>
          </cell>
          <cell r="AU14">
            <v>-3456</v>
          </cell>
          <cell r="AV14">
            <v>-5707</v>
          </cell>
          <cell r="AW14">
            <v>-6359</v>
          </cell>
          <cell r="AX14">
            <v>-4500</v>
          </cell>
          <cell r="AY14">
            <v>-20022</v>
          </cell>
          <cell r="AZ14">
            <v>-4165</v>
          </cell>
          <cell r="BA14">
            <v>-4648</v>
          </cell>
          <cell r="BB14">
            <v>-4809</v>
          </cell>
          <cell r="BC14">
            <v>-5421</v>
          </cell>
          <cell r="BD14">
            <v>-19043</v>
          </cell>
          <cell r="BE14">
            <v>-4180</v>
          </cell>
          <cell r="BF14">
            <v>-5589</v>
          </cell>
          <cell r="BG14">
            <v>-5395</v>
          </cell>
          <cell r="BH14">
            <v>-6062</v>
          </cell>
          <cell r="BI14">
            <v>-21226</v>
          </cell>
          <cell r="BJ14">
            <v>-4551</v>
          </cell>
          <cell r="BK14">
            <v>-7433</v>
          </cell>
          <cell r="BL14">
            <v>-6059</v>
          </cell>
          <cell r="BM14">
            <v>-7434</v>
          </cell>
          <cell r="BN14">
            <v>-25477</v>
          </cell>
          <cell r="BO14">
            <v>-6007</v>
          </cell>
          <cell r="BP14">
            <v>-8001</v>
          </cell>
          <cell r="BQ14">
            <v>-8010</v>
          </cell>
          <cell r="BR14">
            <v>-7746</v>
          </cell>
          <cell r="BS14">
            <v>-29764</v>
          </cell>
          <cell r="BT14">
            <v>-6779</v>
          </cell>
          <cell r="BU14">
            <v>-8400</v>
          </cell>
          <cell r="BV14">
            <v>-6708</v>
          </cell>
          <cell r="BW14">
            <v>-6847</v>
          </cell>
          <cell r="BX14">
            <v>-28734</v>
          </cell>
          <cell r="BY14">
            <v>-6373</v>
          </cell>
          <cell r="BZ14">
            <v>-8371</v>
          </cell>
          <cell r="CA14">
            <v>-7110</v>
          </cell>
          <cell r="CB14">
            <v>-7759</v>
          </cell>
          <cell r="CC14">
            <v>-29613</v>
          </cell>
          <cell r="CD14">
            <v>-6883</v>
          </cell>
          <cell r="CE14">
            <v>-9603</v>
          </cell>
          <cell r="CF14">
            <v>-8450</v>
          </cell>
          <cell r="CG14">
            <v>-8803</v>
          </cell>
          <cell r="CH14">
            <v>-33739</v>
          </cell>
          <cell r="CI14">
            <v>-7840</v>
          </cell>
          <cell r="CJ14">
            <v>-10520</v>
          </cell>
          <cell r="CK14">
            <v>-8516</v>
          </cell>
          <cell r="CL14">
            <v>-9080</v>
          </cell>
          <cell r="CM14">
            <v>-35956</v>
          </cell>
          <cell r="CN14">
            <v>-8240</v>
          </cell>
          <cell r="CO14">
            <v>-11157</v>
          </cell>
          <cell r="CP14">
            <v>-10237</v>
          </cell>
          <cell r="CQ14">
            <v>-11040</v>
          </cell>
          <cell r="CR14">
            <v>-40674</v>
          </cell>
          <cell r="CS14">
            <v>-9428</v>
          </cell>
          <cell r="CT14">
            <v>-13802</v>
          </cell>
          <cell r="CU14">
            <v>-10686</v>
          </cell>
          <cell r="CV14">
            <v>-13650</v>
          </cell>
          <cell r="CW14">
            <v>-47566</v>
          </cell>
          <cell r="CX14">
            <v>-13152</v>
          </cell>
          <cell r="CY14">
            <v>-15548</v>
          </cell>
          <cell r="CZ14">
            <v>-11961</v>
          </cell>
          <cell r="DA14">
            <v>-12701</v>
          </cell>
          <cell r="DB14">
            <v>-53362</v>
          </cell>
          <cell r="DC14">
            <v>-11624</v>
          </cell>
          <cell r="DD14">
            <v>-14870</v>
          </cell>
          <cell r="DE14">
            <v>-12268</v>
          </cell>
          <cell r="DF14">
            <v>-13278</v>
          </cell>
          <cell r="DG14">
            <v>-52040</v>
          </cell>
          <cell r="DH14">
            <v>-12107</v>
          </cell>
          <cell r="DI14">
            <v>-14859</v>
          </cell>
          <cell r="DJ14">
            <v>-13134</v>
          </cell>
          <cell r="DK14">
            <v>-14103</v>
          </cell>
          <cell r="DL14">
            <v>-54203</v>
          </cell>
          <cell r="DM14">
            <v>-13256</v>
          </cell>
          <cell r="DN14">
            <v>-16735</v>
          </cell>
          <cell r="DO14">
            <v>-14812</v>
          </cell>
          <cell r="DP14">
            <v>-15773</v>
          </cell>
          <cell r="DQ14">
            <v>-60576</v>
          </cell>
          <cell r="DR14">
            <v>-15152</v>
          </cell>
          <cell r="DS14">
            <v>-18143</v>
          </cell>
          <cell r="DT14">
            <v>-15914</v>
          </cell>
          <cell r="DU14">
            <v>-16799</v>
          </cell>
          <cell r="DV14">
            <v>-66008</v>
          </cell>
          <cell r="DW14">
            <v>-15804</v>
          </cell>
          <cell r="DX14">
            <v>-18412</v>
          </cell>
          <cell r="DY14">
            <v>-17159</v>
          </cell>
          <cell r="DZ14">
            <v>-19412</v>
          </cell>
          <cell r="EA14">
            <v>-70787</v>
          </cell>
          <cell r="EB14">
            <v>-16352</v>
          </cell>
          <cell r="EC14">
            <v>-20280</v>
          </cell>
          <cell r="ED14">
            <v>-19454</v>
          </cell>
          <cell r="EE14">
            <v>-21370</v>
          </cell>
          <cell r="EF14">
            <v>-77456</v>
          </cell>
          <cell r="EG14">
            <v>-19480</v>
          </cell>
          <cell r="EH14">
            <v>-23723</v>
          </cell>
          <cell r="EI14">
            <v>-22690</v>
          </cell>
          <cell r="EJ14">
            <v>-24482</v>
          </cell>
          <cell r="EK14">
            <v>-90375</v>
          </cell>
          <cell r="EL14">
            <v>-21976</v>
          </cell>
          <cell r="EM14">
            <v>-25504</v>
          </cell>
          <cell r="EN14">
            <v>-23521</v>
          </cell>
          <cell r="EO14">
            <v>-25196</v>
          </cell>
          <cell r="EP14">
            <v>-96197</v>
          </cell>
          <cell r="EQ14">
            <v>-22963</v>
          </cell>
          <cell r="ER14">
            <v>-27846</v>
          </cell>
          <cell r="ES14">
            <v>-26624</v>
          </cell>
          <cell r="ET14">
            <v>-28441.8242371489</v>
          </cell>
          <cell r="EU14">
            <v>-105874.82423714901</v>
          </cell>
          <cell r="EV14">
            <v>-28230.646986414999</v>
          </cell>
          <cell r="EW14">
            <v>-30590.499207450499</v>
          </cell>
          <cell r="EX14">
            <v>-30394.000829618701</v>
          </cell>
          <cell r="EY14">
            <v>-31616.544185230399</v>
          </cell>
          <cell r="EZ14">
            <v>-120831.691208715</v>
          </cell>
          <cell r="FA14">
            <v>-31526.7450902575</v>
          </cell>
          <cell r="FB14">
            <v>-34176.389223235201</v>
          </cell>
          <cell r="FC14">
            <v>-34005.435423099698</v>
          </cell>
          <cell r="FD14">
            <v>-35450.990779807304</v>
          </cell>
          <cell r="FE14">
            <v>-135159.5605164</v>
          </cell>
        </row>
        <row r="15">
          <cell r="B15" t="str">
            <v>R&amp;D expense</v>
          </cell>
          <cell r="C15" t="str">
            <v>RD_EXP</v>
          </cell>
          <cell r="D15" t="str">
            <v>USD</v>
          </cell>
          <cell r="F15">
            <v>-860</v>
          </cell>
          <cell r="G15">
            <v>-302</v>
          </cell>
          <cell r="H15">
            <v>-313</v>
          </cell>
          <cell r="I15">
            <v>-364</v>
          </cell>
          <cell r="J15">
            <v>-453</v>
          </cell>
          <cell r="K15">
            <v>-1432</v>
          </cell>
          <cell r="L15">
            <v>-432</v>
          </cell>
          <cell r="M15">
            <v>-485</v>
          </cell>
          <cell r="N15">
            <v>-492</v>
          </cell>
          <cell r="O15">
            <v>-516</v>
          </cell>
          <cell r="P15">
            <v>-1925</v>
          </cell>
          <cell r="Q15">
            <v>-567</v>
          </cell>
          <cell r="R15">
            <v>-627</v>
          </cell>
          <cell r="S15">
            <v>-597</v>
          </cell>
          <cell r="T15">
            <v>-711</v>
          </cell>
          <cell r="U15">
            <v>-2502</v>
          </cell>
          <cell r="V15">
            <v>-651</v>
          </cell>
          <cell r="W15">
            <v>-715</v>
          </cell>
          <cell r="X15">
            <v>-664</v>
          </cell>
          <cell r="Y15">
            <v>-940</v>
          </cell>
          <cell r="Z15">
            <v>-2970</v>
          </cell>
          <cell r="AA15">
            <v>-834</v>
          </cell>
          <cell r="AB15">
            <v>-911</v>
          </cell>
          <cell r="AC15">
            <v>-990</v>
          </cell>
          <cell r="AD15">
            <v>-1040</v>
          </cell>
          <cell r="AE15">
            <v>-3775</v>
          </cell>
          <cell r="AF15">
            <v>-956</v>
          </cell>
          <cell r="AG15">
            <v>-990</v>
          </cell>
          <cell r="AH15">
            <v>-1069</v>
          </cell>
          <cell r="AI15">
            <v>-1364</v>
          </cell>
          <cell r="AJ15">
            <v>-4379</v>
          </cell>
          <cell r="AK15">
            <v>-1013</v>
          </cell>
          <cell r="AL15">
            <v>-1044</v>
          </cell>
          <cell r="AM15">
            <v>-1066</v>
          </cell>
          <cell r="AN15">
            <v>-1184</v>
          </cell>
          <cell r="AO15">
            <v>-4307</v>
          </cell>
          <cell r="AP15">
            <v>-1707</v>
          </cell>
          <cell r="AQ15">
            <v>-1515</v>
          </cell>
          <cell r="AR15">
            <v>-1692</v>
          </cell>
          <cell r="AS15">
            <v>-1681</v>
          </cell>
          <cell r="AT15">
            <v>-6595</v>
          </cell>
          <cell r="AU15">
            <v>-1611</v>
          </cell>
          <cell r="AV15">
            <v>-2971</v>
          </cell>
          <cell r="AW15">
            <v>-1538</v>
          </cell>
          <cell r="AX15">
            <v>-1659</v>
          </cell>
          <cell r="AY15">
            <v>-7779</v>
          </cell>
          <cell r="AZ15">
            <v>-1530</v>
          </cell>
          <cell r="BA15">
            <v>-1421</v>
          </cell>
          <cell r="BB15">
            <v>-1482</v>
          </cell>
          <cell r="BC15">
            <v>-1751</v>
          </cell>
          <cell r="BD15">
            <v>-6184</v>
          </cell>
          <cell r="BE15">
            <v>-1515</v>
          </cell>
          <cell r="BF15">
            <v>-1591</v>
          </cell>
          <cell r="BG15">
            <v>-1617</v>
          </cell>
          <cell r="BH15">
            <v>-1861</v>
          </cell>
          <cell r="BI15">
            <v>-6584</v>
          </cell>
          <cell r="BJ15">
            <v>-1786</v>
          </cell>
          <cell r="BK15">
            <v>-1637</v>
          </cell>
          <cell r="BL15">
            <v>-1750</v>
          </cell>
          <cell r="BM15">
            <v>-1948</v>
          </cell>
          <cell r="BN15">
            <v>-7121</v>
          </cell>
          <cell r="BO15">
            <v>-1837</v>
          </cell>
          <cell r="BP15">
            <v>-1885</v>
          </cell>
          <cell r="BQ15">
            <v>-2035</v>
          </cell>
          <cell r="BR15">
            <v>-2407</v>
          </cell>
          <cell r="BS15">
            <v>-8164</v>
          </cell>
          <cell r="BT15">
            <v>-2283</v>
          </cell>
          <cell r="BU15">
            <v>-2290</v>
          </cell>
          <cell r="BV15">
            <v>-2212</v>
          </cell>
          <cell r="BW15">
            <v>-2225</v>
          </cell>
          <cell r="BX15">
            <v>-9010</v>
          </cell>
          <cell r="BY15">
            <v>-2065</v>
          </cell>
          <cell r="BZ15">
            <v>-2079</v>
          </cell>
          <cell r="CA15">
            <v>-2220</v>
          </cell>
          <cell r="CB15">
            <v>-2350</v>
          </cell>
          <cell r="CC15">
            <v>-8714</v>
          </cell>
          <cell r="CD15">
            <v>-2196</v>
          </cell>
          <cell r="CE15">
            <v>-2185</v>
          </cell>
          <cell r="CF15">
            <v>-2269</v>
          </cell>
          <cell r="CG15">
            <v>-2393</v>
          </cell>
          <cell r="CH15">
            <v>-9043</v>
          </cell>
          <cell r="CI15">
            <v>-2329</v>
          </cell>
          <cell r="CJ15">
            <v>-2371</v>
          </cell>
          <cell r="CK15">
            <v>-2517</v>
          </cell>
          <cell r="CL15">
            <v>-2594</v>
          </cell>
          <cell r="CM15">
            <v>-9811</v>
          </cell>
          <cell r="CN15">
            <v>-2460</v>
          </cell>
          <cell r="CO15">
            <v>-2528</v>
          </cell>
          <cell r="CP15">
            <v>-2640</v>
          </cell>
          <cell r="CQ15">
            <v>-2783</v>
          </cell>
          <cell r="CR15">
            <v>-10411</v>
          </cell>
          <cell r="CS15">
            <v>-2767</v>
          </cell>
          <cell r="CT15">
            <v>-2748</v>
          </cell>
          <cell r="CU15">
            <v>-2743</v>
          </cell>
          <cell r="CV15">
            <v>-3123</v>
          </cell>
          <cell r="CW15">
            <v>-11381</v>
          </cell>
          <cell r="CX15">
            <v>-3065</v>
          </cell>
          <cell r="CY15">
            <v>-2903</v>
          </cell>
          <cell r="CZ15">
            <v>-2984</v>
          </cell>
          <cell r="DA15">
            <v>-3094</v>
          </cell>
          <cell r="DB15">
            <v>-12046</v>
          </cell>
          <cell r="DC15">
            <v>-2962</v>
          </cell>
          <cell r="DD15">
            <v>-2900</v>
          </cell>
          <cell r="DE15">
            <v>-2980</v>
          </cell>
          <cell r="DF15">
            <v>-3146</v>
          </cell>
          <cell r="DG15">
            <v>-11988</v>
          </cell>
          <cell r="DH15">
            <v>-3106</v>
          </cell>
          <cell r="DI15">
            <v>-3062</v>
          </cell>
          <cell r="DJ15">
            <v>-3355</v>
          </cell>
          <cell r="DK15">
            <v>-3514</v>
          </cell>
          <cell r="DL15">
            <v>-13037</v>
          </cell>
          <cell r="DM15">
            <v>-3574</v>
          </cell>
          <cell r="DN15">
            <v>-3504</v>
          </cell>
          <cell r="DO15">
            <v>-3715</v>
          </cell>
          <cell r="DP15">
            <v>-3933</v>
          </cell>
          <cell r="DQ15">
            <v>-14726</v>
          </cell>
          <cell r="DR15">
            <v>-3977</v>
          </cell>
          <cell r="DS15">
            <v>-4070</v>
          </cell>
          <cell r="DT15">
            <v>-4316</v>
          </cell>
          <cell r="DU15">
            <v>-4513</v>
          </cell>
          <cell r="DV15">
            <v>-16876</v>
          </cell>
          <cell r="DW15">
            <v>-4565</v>
          </cell>
          <cell r="DX15">
            <v>-4603</v>
          </cell>
          <cell r="DY15">
            <v>-4887</v>
          </cell>
          <cell r="DZ15">
            <v>-5214</v>
          </cell>
          <cell r="EA15">
            <v>-19269</v>
          </cell>
          <cell r="EB15">
            <v>-4926</v>
          </cell>
          <cell r="EC15">
            <v>-4899</v>
          </cell>
          <cell r="ED15">
            <v>-5204</v>
          </cell>
          <cell r="EE15">
            <v>-5687</v>
          </cell>
          <cell r="EF15">
            <v>-20716</v>
          </cell>
          <cell r="EG15">
            <v>-5599</v>
          </cell>
          <cell r="EH15">
            <v>-5758</v>
          </cell>
          <cell r="EI15">
            <v>-6306</v>
          </cell>
          <cell r="EJ15">
            <v>-6849</v>
          </cell>
          <cell r="EK15">
            <v>-24512</v>
          </cell>
          <cell r="EL15">
            <v>-6628</v>
          </cell>
          <cell r="EM15">
            <v>-6844</v>
          </cell>
          <cell r="EN15">
            <v>-6984</v>
          </cell>
          <cell r="EO15">
            <v>-6739</v>
          </cell>
          <cell r="EP15">
            <v>-27195</v>
          </cell>
          <cell r="EQ15">
            <v>-6659</v>
          </cell>
          <cell r="ER15">
            <v>-7142</v>
          </cell>
          <cell r="ES15">
            <v>-7653</v>
          </cell>
          <cell r="ET15">
            <v>-7983.2825857735597</v>
          </cell>
          <cell r="EU15">
            <v>-29437.282585773599</v>
          </cell>
          <cell r="EV15">
            <v>-7541.8784340780003</v>
          </cell>
          <cell r="EW15">
            <v>-8093.4262928918497</v>
          </cell>
          <cell r="EX15">
            <v>-8442.6998375924395</v>
          </cell>
          <cell r="EY15">
            <v>-8729.7438360554006</v>
          </cell>
          <cell r="EZ15">
            <v>-32807.748400617696</v>
          </cell>
          <cell r="FA15">
            <v>-8226.1333559394807</v>
          </cell>
          <cell r="FB15">
            <v>-8830.5263815558101</v>
          </cell>
          <cell r="FC15">
            <v>-9244.1509415996406</v>
          </cell>
          <cell r="FD15">
            <v>-9576.8455860878403</v>
          </cell>
          <cell r="FE15">
            <v>-35877.656265182799</v>
          </cell>
        </row>
        <row r="16">
          <cell r="B16" t="str">
            <v>ESO expense (pre-tax)</v>
          </cell>
          <cell r="C16" t="str">
            <v>ESO_PRE_TAX</v>
          </cell>
          <cell r="D16" t="str">
            <v>USD</v>
          </cell>
        </row>
        <row r="17">
          <cell r="B17" t="str">
            <v>Other operating income/(expense) (incl. leases)</v>
          </cell>
          <cell r="C17" t="str">
            <v>OTH_OP_INC_EXP</v>
          </cell>
          <cell r="D17" t="str">
            <v>USD</v>
          </cell>
          <cell r="F17">
            <v>0</v>
          </cell>
          <cell r="K17">
            <v>0</v>
          </cell>
          <cell r="P17">
            <v>0</v>
          </cell>
          <cell r="U17">
            <v>0</v>
          </cell>
          <cell r="Z17">
            <v>0</v>
          </cell>
          <cell r="AE17">
            <v>0</v>
          </cell>
          <cell r="BV17">
            <v>-290</v>
          </cell>
          <cell r="BW17">
            <v>-40</v>
          </cell>
          <cell r="BX17">
            <v>-330</v>
          </cell>
          <cell r="BZ17">
            <v>-59</v>
          </cell>
          <cell r="CC17">
            <v>-59</v>
          </cell>
        </row>
        <row r="18">
          <cell r="B18" t="str">
            <v>Total operating expense (incl. D&amp;A)</v>
          </cell>
          <cell r="C18" t="str">
            <v>TOT_OPS_EXP_DDA</v>
          </cell>
          <cell r="D18" t="str">
            <v>USD</v>
          </cell>
          <cell r="F18">
            <v>3899</v>
          </cell>
          <cell r="G18">
            <v>1308</v>
          </cell>
          <cell r="H18">
            <v>1409</v>
          </cell>
          <cell r="I18">
            <v>1431</v>
          </cell>
          <cell r="J18">
            <v>1445</v>
          </cell>
          <cell r="K18">
            <v>5593</v>
          </cell>
          <cell r="L18">
            <v>1393</v>
          </cell>
          <cell r="M18">
            <v>1599</v>
          </cell>
          <cell r="N18">
            <v>1640</v>
          </cell>
          <cell r="O18">
            <v>1596</v>
          </cell>
          <cell r="P18">
            <v>6228</v>
          </cell>
          <cell r="Q18">
            <v>1999</v>
          </cell>
          <cell r="R18">
            <v>1922</v>
          </cell>
          <cell r="S18">
            <v>1847</v>
          </cell>
          <cell r="T18">
            <v>2072</v>
          </cell>
          <cell r="U18">
            <v>7840</v>
          </cell>
          <cell r="V18">
            <v>2111</v>
          </cell>
          <cell r="W18">
            <v>2481</v>
          </cell>
          <cell r="X18">
            <v>2366</v>
          </cell>
          <cell r="Y18">
            <v>2861</v>
          </cell>
          <cell r="Z18">
            <v>9819</v>
          </cell>
          <cell r="AA18">
            <v>2617</v>
          </cell>
          <cell r="AB18">
            <v>3194</v>
          </cell>
          <cell r="AC18">
            <v>2928</v>
          </cell>
          <cell r="AD18">
            <v>3280</v>
          </cell>
          <cell r="AE18">
            <v>12019</v>
          </cell>
          <cell r="AF18">
            <v>2989</v>
          </cell>
          <cell r="AG18">
            <v>3356</v>
          </cell>
          <cell r="AH18">
            <v>3405</v>
          </cell>
          <cell r="AI18">
            <v>3826</v>
          </cell>
          <cell r="AJ18">
            <v>13576</v>
          </cell>
          <cell r="AK18">
            <v>3229</v>
          </cell>
          <cell r="AL18">
            <v>4900</v>
          </cell>
          <cell r="AM18">
            <v>3947</v>
          </cell>
          <cell r="AN18">
            <v>4379</v>
          </cell>
          <cell r="AO18">
            <v>16455</v>
          </cell>
          <cell r="AP18">
            <v>4718</v>
          </cell>
          <cell r="AQ18">
            <v>6308</v>
          </cell>
          <cell r="AR18">
            <v>5091</v>
          </cell>
          <cell r="AS18">
            <v>6525</v>
          </cell>
          <cell r="AT18">
            <v>22642</v>
          </cell>
          <cell r="AU18">
            <v>5067</v>
          </cell>
          <cell r="AV18">
            <v>8678</v>
          </cell>
          <cell r="AW18">
            <v>7897</v>
          </cell>
          <cell r="AX18">
            <v>6159</v>
          </cell>
          <cell r="AY18">
            <v>27801</v>
          </cell>
          <cell r="AZ18">
            <v>5695</v>
          </cell>
          <cell r="BA18">
            <v>6069</v>
          </cell>
          <cell r="BB18">
            <v>6291</v>
          </cell>
          <cell r="BC18">
            <v>7172</v>
          </cell>
          <cell r="BD18">
            <v>25227</v>
          </cell>
          <cell r="BE18">
            <v>5695</v>
          </cell>
          <cell r="BF18">
            <v>7180</v>
          </cell>
          <cell r="BG18">
            <v>7012</v>
          </cell>
          <cell r="BH18">
            <v>7923</v>
          </cell>
          <cell r="BI18">
            <v>27810</v>
          </cell>
          <cell r="BJ18">
            <v>6337</v>
          </cell>
          <cell r="BK18">
            <v>9070</v>
          </cell>
          <cell r="BL18">
            <v>7809</v>
          </cell>
          <cell r="BM18">
            <v>9382</v>
          </cell>
          <cell r="BN18">
            <v>32598</v>
          </cell>
          <cell r="BO18">
            <v>7844</v>
          </cell>
          <cell r="BP18">
            <v>9886</v>
          </cell>
          <cell r="BQ18">
            <v>10045</v>
          </cell>
          <cell r="BR18">
            <v>10153</v>
          </cell>
          <cell r="BS18">
            <v>37928</v>
          </cell>
          <cell r="BT18">
            <v>9062</v>
          </cell>
          <cell r="BU18">
            <v>10690</v>
          </cell>
          <cell r="BV18">
            <v>9210</v>
          </cell>
          <cell r="BW18">
            <v>9112</v>
          </cell>
          <cell r="BX18">
            <v>38074</v>
          </cell>
          <cell r="BY18">
            <v>8438</v>
          </cell>
          <cell r="BZ18">
            <v>10509</v>
          </cell>
          <cell r="CA18">
            <v>9330</v>
          </cell>
          <cell r="CB18">
            <v>10109</v>
          </cell>
          <cell r="CC18">
            <v>38386</v>
          </cell>
          <cell r="CD18">
            <v>9079</v>
          </cell>
          <cell r="CE18">
            <v>11788</v>
          </cell>
          <cell r="CF18">
            <v>10719</v>
          </cell>
          <cell r="CG18">
            <v>11196</v>
          </cell>
          <cell r="CH18">
            <v>42782</v>
          </cell>
          <cell r="CI18">
            <v>10169</v>
          </cell>
          <cell r="CJ18">
            <v>12891</v>
          </cell>
          <cell r="CK18">
            <v>11033</v>
          </cell>
          <cell r="CL18">
            <v>17867</v>
          </cell>
          <cell r="CM18">
            <v>51960</v>
          </cell>
          <cell r="CN18">
            <v>10700</v>
          </cell>
          <cell r="CO18">
            <v>13685</v>
          </cell>
          <cell r="CP18">
            <v>12877</v>
          </cell>
          <cell r="CQ18">
            <v>13823</v>
          </cell>
          <cell r="CR18">
            <v>51085</v>
          </cell>
          <cell r="CS18">
            <v>12195</v>
          </cell>
          <cell r="CT18">
            <v>16550</v>
          </cell>
          <cell r="CU18">
            <v>13429</v>
          </cell>
          <cell r="CV18">
            <v>16900</v>
          </cell>
          <cell r="CW18">
            <v>59074</v>
          </cell>
          <cell r="CX18">
            <v>17357</v>
          </cell>
          <cell r="CY18">
            <v>18694</v>
          </cell>
          <cell r="CZ18">
            <v>15135</v>
          </cell>
          <cell r="DA18">
            <v>24233</v>
          </cell>
          <cell r="DB18">
            <v>75419</v>
          </cell>
          <cell r="DC18">
            <v>14586</v>
          </cell>
          <cell r="DD18">
            <v>17770</v>
          </cell>
          <cell r="DE18">
            <v>15248</v>
          </cell>
          <cell r="DF18">
            <v>17534</v>
          </cell>
          <cell r="DG18">
            <v>65138</v>
          </cell>
          <cell r="DH18">
            <v>15213</v>
          </cell>
          <cell r="DI18">
            <v>17921</v>
          </cell>
          <cell r="DJ18">
            <v>16489</v>
          </cell>
          <cell r="DK18">
            <v>17923</v>
          </cell>
          <cell r="DL18">
            <v>67546</v>
          </cell>
          <cell r="DM18">
            <v>16830</v>
          </cell>
          <cell r="DN18">
            <v>20239</v>
          </cell>
          <cell r="DO18">
            <v>18527</v>
          </cell>
          <cell r="DP18">
            <v>19706</v>
          </cell>
          <cell r="DQ18">
            <v>75302</v>
          </cell>
          <cell r="DR18">
            <v>19129</v>
          </cell>
          <cell r="DS18">
            <v>22213</v>
          </cell>
          <cell r="DT18">
            <v>20230</v>
          </cell>
          <cell r="DU18">
            <v>21312</v>
          </cell>
          <cell r="DV18">
            <v>82884</v>
          </cell>
          <cell r="DW18">
            <v>20369</v>
          </cell>
          <cell r="DX18">
            <v>23015</v>
          </cell>
          <cell r="DY18">
            <v>22046</v>
          </cell>
          <cell r="DZ18">
            <v>24626</v>
          </cell>
          <cell r="EA18">
            <v>90056</v>
          </cell>
          <cell r="EB18">
            <v>21278</v>
          </cell>
          <cell r="EC18">
            <v>25179</v>
          </cell>
          <cell r="ED18">
            <v>24658</v>
          </cell>
          <cell r="EE18">
            <v>27057</v>
          </cell>
          <cell r="EF18">
            <v>98172</v>
          </cell>
          <cell r="EG18">
            <v>25079</v>
          </cell>
          <cell r="EH18">
            <v>29481</v>
          </cell>
          <cell r="EI18">
            <v>28996</v>
          </cell>
          <cell r="EJ18">
            <v>31331</v>
          </cell>
          <cell r="EK18">
            <v>114887</v>
          </cell>
          <cell r="EL18">
            <v>28604</v>
          </cell>
          <cell r="EM18">
            <v>32348</v>
          </cell>
          <cell r="EN18">
            <v>30505</v>
          </cell>
          <cell r="EO18">
            <v>31935</v>
          </cell>
          <cell r="EP18">
            <v>123392</v>
          </cell>
          <cell r="EQ18">
            <v>29622</v>
          </cell>
          <cell r="ER18">
            <v>34988</v>
          </cell>
          <cell r="ES18">
            <v>34277</v>
          </cell>
          <cell r="ET18">
            <v>36425.106822922498</v>
          </cell>
          <cell r="EU18">
            <v>135312.10682292201</v>
          </cell>
          <cell r="EV18">
            <v>35772.525420493002</v>
          </cell>
          <cell r="EW18">
            <v>38683.925500342302</v>
          </cell>
          <cell r="EX18">
            <v>38836.700667211197</v>
          </cell>
          <cell r="EY18">
            <v>40346.2880212858</v>
          </cell>
          <cell r="EZ18">
            <v>153639.43960933201</v>
          </cell>
          <cell r="FA18">
            <v>39752.878446196999</v>
          </cell>
          <cell r="FB18">
            <v>43006.915604791</v>
          </cell>
          <cell r="FC18">
            <v>43249.586364699397</v>
          </cell>
          <cell r="FD18">
            <v>45027.836365895098</v>
          </cell>
          <cell r="FE18">
            <v>171037.216781583</v>
          </cell>
        </row>
        <row r="19">
          <cell r="B19" t="str">
            <v>Total operating expense (excl. D&amp;A)</v>
          </cell>
          <cell r="C19" t="str">
            <v>TOT_OPS_EXP</v>
          </cell>
          <cell r="D19" t="str">
            <v>USD</v>
          </cell>
          <cell r="F19">
            <v>4168</v>
          </cell>
          <cell r="G19">
            <v>1377</v>
          </cell>
          <cell r="H19">
            <v>1487</v>
          </cell>
          <cell r="I19">
            <v>1620</v>
          </cell>
          <cell r="J19">
            <v>1589</v>
          </cell>
          <cell r="K19">
            <v>6073</v>
          </cell>
          <cell r="L19">
            <v>1393</v>
          </cell>
          <cell r="M19">
            <v>1599</v>
          </cell>
          <cell r="N19">
            <v>1640</v>
          </cell>
          <cell r="O19">
            <v>1596</v>
          </cell>
          <cell r="P19">
            <v>6228</v>
          </cell>
          <cell r="Q19">
            <v>1999</v>
          </cell>
          <cell r="R19">
            <v>1922</v>
          </cell>
          <cell r="S19">
            <v>1847</v>
          </cell>
          <cell r="T19">
            <v>2072</v>
          </cell>
          <cell r="U19">
            <v>7840</v>
          </cell>
          <cell r="V19">
            <v>2290</v>
          </cell>
          <cell r="W19">
            <v>2658</v>
          </cell>
          <cell r="X19">
            <v>2524</v>
          </cell>
          <cell r="Y19">
            <v>3273</v>
          </cell>
          <cell r="Z19">
            <v>10745</v>
          </cell>
          <cell r="AA19">
            <v>3057</v>
          </cell>
          <cell r="AB19">
            <v>3519</v>
          </cell>
          <cell r="AC19">
            <v>3203</v>
          </cell>
          <cell r="AD19">
            <v>2988</v>
          </cell>
          <cell r="AE19">
            <v>12767</v>
          </cell>
          <cell r="AF19">
            <v>3239</v>
          </cell>
          <cell r="AG19">
            <v>3595</v>
          </cell>
          <cell r="AH19">
            <v>3888</v>
          </cell>
          <cell r="AI19">
            <v>4390</v>
          </cell>
          <cell r="AJ19">
            <v>15112</v>
          </cell>
          <cell r="AK19">
            <v>3511</v>
          </cell>
          <cell r="AL19">
            <v>5195</v>
          </cell>
          <cell r="AM19">
            <v>4095</v>
          </cell>
          <cell r="AN19">
            <v>4738</v>
          </cell>
          <cell r="AO19">
            <v>17539</v>
          </cell>
          <cell r="AP19">
            <v>4991</v>
          </cell>
          <cell r="AQ19">
            <v>6583</v>
          </cell>
          <cell r="AR19">
            <v>5474</v>
          </cell>
          <cell r="AS19">
            <v>6987</v>
          </cell>
          <cell r="AT19">
            <v>24035</v>
          </cell>
          <cell r="AU19">
            <v>5395</v>
          </cell>
          <cell r="AV19">
            <v>8978</v>
          </cell>
          <cell r="AW19">
            <v>8146</v>
          </cell>
          <cell r="AX19">
            <v>6468</v>
          </cell>
          <cell r="AY19">
            <v>28987</v>
          </cell>
          <cell r="AZ19">
            <v>5878</v>
          </cell>
          <cell r="BA19">
            <v>6177</v>
          </cell>
          <cell r="BB19">
            <v>6573</v>
          </cell>
          <cell r="BC19">
            <v>7454</v>
          </cell>
          <cell r="BD19">
            <v>26082</v>
          </cell>
          <cell r="BE19">
            <v>5929</v>
          </cell>
          <cell r="BF19">
            <v>7411</v>
          </cell>
          <cell r="BG19">
            <v>7189</v>
          </cell>
          <cell r="BH19">
            <v>8184</v>
          </cell>
          <cell r="BI19">
            <v>28713</v>
          </cell>
          <cell r="BJ19">
            <v>6586</v>
          </cell>
          <cell r="BK19">
            <v>9435</v>
          </cell>
          <cell r="BL19">
            <v>8254</v>
          </cell>
          <cell r="BM19">
            <v>9763</v>
          </cell>
          <cell r="BN19">
            <v>34038</v>
          </cell>
          <cell r="BO19">
            <v>8279</v>
          </cell>
          <cell r="BP19">
            <v>10367</v>
          </cell>
          <cell r="BQ19">
            <v>10577</v>
          </cell>
          <cell r="BR19">
            <v>10761</v>
          </cell>
          <cell r="BS19">
            <v>39984</v>
          </cell>
          <cell r="BT19">
            <v>9647</v>
          </cell>
          <cell r="BU19">
            <v>11322</v>
          </cell>
          <cell r="BV19">
            <v>9874</v>
          </cell>
          <cell r="BW19">
            <v>9793</v>
          </cell>
          <cell r="BX19">
            <v>40636</v>
          </cell>
          <cell r="BY19">
            <v>9084</v>
          </cell>
          <cell r="BZ19">
            <v>11124</v>
          </cell>
          <cell r="CA19">
            <v>10024</v>
          </cell>
          <cell r="CB19">
            <v>10827</v>
          </cell>
          <cell r="CC19">
            <v>41059</v>
          </cell>
          <cell r="CD19">
            <v>9773</v>
          </cell>
          <cell r="CE19">
            <v>12451</v>
          </cell>
          <cell r="CF19">
            <v>11439</v>
          </cell>
          <cell r="CG19">
            <v>11885</v>
          </cell>
          <cell r="CH19">
            <v>45548</v>
          </cell>
          <cell r="CI19">
            <v>10895</v>
          </cell>
          <cell r="CJ19">
            <v>13569</v>
          </cell>
          <cell r="CK19">
            <v>11799</v>
          </cell>
          <cell r="CL19">
            <v>18664</v>
          </cell>
          <cell r="CM19">
            <v>54927</v>
          </cell>
          <cell r="CN19">
            <v>11410</v>
          </cell>
          <cell r="CO19">
            <v>14694</v>
          </cell>
          <cell r="CP19">
            <v>13930</v>
          </cell>
          <cell r="CQ19">
            <v>14806</v>
          </cell>
          <cell r="CR19">
            <v>54840</v>
          </cell>
          <cell r="CS19">
            <v>13149</v>
          </cell>
          <cell r="CT19">
            <v>17811</v>
          </cell>
          <cell r="CU19">
            <v>14684</v>
          </cell>
          <cell r="CV19">
            <v>18642</v>
          </cell>
          <cell r="CW19">
            <v>64286</v>
          </cell>
          <cell r="CX19">
            <v>18785</v>
          </cell>
          <cell r="CY19">
            <v>20215</v>
          </cell>
          <cell r="CZ19">
            <v>16650</v>
          </cell>
          <cell r="DA19">
            <v>25726</v>
          </cell>
          <cell r="DB19">
            <v>81376</v>
          </cell>
          <cell r="DC19">
            <v>16047</v>
          </cell>
          <cell r="DD19">
            <v>19314</v>
          </cell>
          <cell r="DE19">
            <v>16955</v>
          </cell>
          <cell r="DF19">
            <v>19444</v>
          </cell>
          <cell r="DG19">
            <v>71760</v>
          </cell>
          <cell r="DH19">
            <v>17029</v>
          </cell>
          <cell r="DI19">
            <v>20087</v>
          </cell>
          <cell r="DJ19">
            <v>18942</v>
          </cell>
          <cell r="DK19">
            <v>20266</v>
          </cell>
          <cell r="DL19">
            <v>76324</v>
          </cell>
          <cell r="DM19">
            <v>19329</v>
          </cell>
          <cell r="DN19">
            <v>22775</v>
          </cell>
          <cell r="DO19">
            <v>21237</v>
          </cell>
          <cell r="DP19">
            <v>22222</v>
          </cell>
          <cell r="DQ19">
            <v>85563</v>
          </cell>
          <cell r="DR19">
            <v>21966</v>
          </cell>
          <cell r="DS19">
            <v>25208</v>
          </cell>
          <cell r="DT19">
            <v>23156</v>
          </cell>
          <cell r="DU19">
            <v>24236</v>
          </cell>
          <cell r="DV19">
            <v>94566</v>
          </cell>
          <cell r="DW19">
            <v>23340</v>
          </cell>
          <cell r="DX19">
            <v>26218</v>
          </cell>
          <cell r="DY19">
            <v>25164</v>
          </cell>
          <cell r="DZ19">
            <v>28130</v>
          </cell>
          <cell r="EA19">
            <v>102852</v>
          </cell>
          <cell r="EB19">
            <v>23923</v>
          </cell>
          <cell r="EC19">
            <v>27940</v>
          </cell>
          <cell r="ED19">
            <v>27594</v>
          </cell>
          <cell r="EE19">
            <v>30401</v>
          </cell>
          <cell r="EF19">
            <v>109858</v>
          </cell>
          <cell r="EG19">
            <v>28291</v>
          </cell>
          <cell r="EH19">
            <v>32977</v>
          </cell>
          <cell r="EI19">
            <v>32769</v>
          </cell>
          <cell r="EJ19">
            <v>35310</v>
          </cell>
          <cell r="EK19">
            <v>129347</v>
          </cell>
          <cell r="EL19">
            <v>31394</v>
          </cell>
          <cell r="EM19">
            <v>35996</v>
          </cell>
          <cell r="EN19">
            <v>34054</v>
          </cell>
          <cell r="EO19">
            <v>35809</v>
          </cell>
          <cell r="EP19">
            <v>137253</v>
          </cell>
          <cell r="EQ19">
            <v>33543</v>
          </cell>
          <cell r="ER19">
            <v>40947</v>
          </cell>
          <cell r="ES19">
            <v>40304</v>
          </cell>
          <cell r="ET19">
            <v>41520.356822922498</v>
          </cell>
          <cell r="EU19">
            <v>156314.35682292201</v>
          </cell>
          <cell r="EV19">
            <v>41447.491091442098</v>
          </cell>
          <cell r="EW19">
            <v>45991.892712131099</v>
          </cell>
          <cell r="EX19">
            <v>45971.473452607199</v>
          </cell>
          <cell r="EY19">
            <v>46512.533113934704</v>
          </cell>
          <cell r="EZ19">
            <v>179923.390370115</v>
          </cell>
          <cell r="FA19">
            <v>45851.774005924599</v>
          </cell>
          <cell r="FB19">
            <v>49384.379710813198</v>
          </cell>
          <cell r="FC19">
            <v>49864.595189466098</v>
          </cell>
          <cell r="FD19">
            <v>51873.8703497725</v>
          </cell>
          <cell r="FE19">
            <v>196974.61925597599</v>
          </cell>
        </row>
        <row r="20">
          <cell r="B20" t="str">
            <v>EBITDA</v>
          </cell>
          <cell r="C20" t="str">
            <v>EBITDA_CALC</v>
          </cell>
          <cell r="D20" t="str">
            <v>USD</v>
          </cell>
          <cell r="F20">
            <v>2307</v>
          </cell>
          <cell r="G20">
            <v>777</v>
          </cell>
          <cell r="H20">
            <v>864</v>
          </cell>
          <cell r="I20">
            <v>963</v>
          </cell>
          <cell r="J20">
            <v>954</v>
          </cell>
          <cell r="K20">
            <v>3558</v>
          </cell>
          <cell r="L20">
            <v>902</v>
          </cell>
          <cell r="M20">
            <v>1081</v>
          </cell>
          <cell r="N20">
            <v>1568</v>
          </cell>
          <cell r="O20">
            <v>1579</v>
          </cell>
          <cell r="P20">
            <v>5130</v>
          </cell>
          <cell r="Q20">
            <v>1131</v>
          </cell>
          <cell r="R20">
            <v>1663</v>
          </cell>
          <cell r="S20">
            <v>1927</v>
          </cell>
          <cell r="T20">
            <v>1923</v>
          </cell>
          <cell r="U20">
            <v>6644</v>
          </cell>
          <cell r="V20">
            <v>2261</v>
          </cell>
          <cell r="W20">
            <v>2891</v>
          </cell>
          <cell r="X20">
            <v>2387</v>
          </cell>
          <cell r="Y20">
            <v>3315</v>
          </cell>
          <cell r="Z20">
            <v>10854</v>
          </cell>
          <cell r="AA20">
            <v>3207</v>
          </cell>
          <cell r="AB20">
            <v>3243</v>
          </cell>
          <cell r="AC20">
            <v>3003</v>
          </cell>
          <cell r="AD20">
            <v>2232</v>
          </cell>
          <cell r="AE20">
            <v>11685</v>
          </cell>
          <cell r="AF20">
            <v>3027</v>
          </cell>
          <cell r="AG20">
            <v>3433</v>
          </cell>
          <cell r="AH20">
            <v>3481</v>
          </cell>
          <cell r="AI20">
            <v>3315</v>
          </cell>
          <cell r="AJ20">
            <v>13256</v>
          </cell>
          <cell r="AK20">
            <v>3179</v>
          </cell>
          <cell r="AL20">
            <v>3136</v>
          </cell>
          <cell r="AM20">
            <v>3446</v>
          </cell>
          <cell r="AN20">
            <v>3233</v>
          </cell>
          <cell r="AO20">
            <v>12994</v>
          </cell>
          <cell r="AP20">
            <v>3301</v>
          </cell>
          <cell r="AQ20">
            <v>2508</v>
          </cell>
          <cell r="AR20">
            <v>3127</v>
          </cell>
          <cell r="AS20">
            <v>2002</v>
          </cell>
          <cell r="AT20">
            <v>10938</v>
          </cell>
          <cell r="AU20">
            <v>3476</v>
          </cell>
          <cell r="AV20">
            <v>1775</v>
          </cell>
          <cell r="AW20">
            <v>1527</v>
          </cell>
          <cell r="AX20">
            <v>3442</v>
          </cell>
          <cell r="AY20">
            <v>10220</v>
          </cell>
          <cell r="AZ20">
            <v>3677</v>
          </cell>
          <cell r="BA20">
            <v>4857</v>
          </cell>
          <cell r="BB20">
            <v>3611</v>
          </cell>
          <cell r="BC20">
            <v>3271</v>
          </cell>
          <cell r="BD20">
            <v>15416</v>
          </cell>
          <cell r="BE20">
            <v>4280</v>
          </cell>
          <cell r="BF20">
            <v>4888</v>
          </cell>
          <cell r="BG20">
            <v>4065</v>
          </cell>
          <cell r="BH20">
            <v>4142</v>
          </cell>
          <cell r="BI20">
            <v>17375</v>
          </cell>
          <cell r="BJ20">
            <v>4723</v>
          </cell>
          <cell r="BK20">
            <v>3837</v>
          </cell>
          <cell r="BL20">
            <v>7034</v>
          </cell>
          <cell r="BM20">
            <v>4370</v>
          </cell>
          <cell r="BN20">
            <v>19964</v>
          </cell>
          <cell r="BO20">
            <v>6353</v>
          </cell>
          <cell r="BP20">
            <v>6962</v>
          </cell>
          <cell r="BQ20">
            <v>4941</v>
          </cell>
          <cell r="BR20">
            <v>6292</v>
          </cell>
          <cell r="BS20">
            <v>24548</v>
          </cell>
          <cell r="BT20">
            <v>6584</v>
          </cell>
          <cell r="BU20">
            <v>6571</v>
          </cell>
          <cell r="BV20">
            <v>5102</v>
          </cell>
          <cell r="BW20">
            <v>4668</v>
          </cell>
          <cell r="BX20">
            <v>22925</v>
          </cell>
          <cell r="BY20">
            <v>5128</v>
          </cell>
          <cell r="BZ20">
            <v>9128</v>
          </cell>
          <cell r="CA20">
            <v>5867</v>
          </cell>
          <cell r="CB20">
            <v>6648</v>
          </cell>
          <cell r="CC20">
            <v>26771</v>
          </cell>
          <cell r="CD20">
            <v>7810</v>
          </cell>
          <cell r="CE20">
            <v>8828</v>
          </cell>
          <cell r="CF20">
            <v>6429</v>
          </cell>
          <cell r="CG20">
            <v>6860</v>
          </cell>
          <cell r="CH20">
            <v>29927</v>
          </cell>
          <cell r="CI20">
            <v>7929</v>
          </cell>
          <cell r="CJ20">
            <v>8672</v>
          </cell>
          <cell r="CK20">
            <v>7140</v>
          </cell>
          <cell r="CL20">
            <v>989</v>
          </cell>
          <cell r="CM20">
            <v>24730</v>
          </cell>
          <cell r="CN20">
            <v>6018</v>
          </cell>
          <cell r="CO20">
            <v>8780</v>
          </cell>
          <cell r="CP20">
            <v>8665</v>
          </cell>
          <cell r="CQ20">
            <v>7056</v>
          </cell>
          <cell r="CR20">
            <v>30519</v>
          </cell>
          <cell r="CS20">
            <v>7288</v>
          </cell>
          <cell r="CT20">
            <v>9230</v>
          </cell>
          <cell r="CU20">
            <v>8229</v>
          </cell>
          <cell r="CV20">
            <v>8224</v>
          </cell>
          <cell r="CW20">
            <v>32971</v>
          </cell>
          <cell r="CX20">
            <v>7272</v>
          </cell>
          <cell r="CY20">
            <v>9297</v>
          </cell>
          <cell r="CZ20">
            <v>8109</v>
          </cell>
          <cell r="DA20">
            <v>-560</v>
          </cell>
          <cell r="DB20">
            <v>24118</v>
          </cell>
          <cell r="DC20">
            <v>7254</v>
          </cell>
          <cell r="DD20">
            <v>7570</v>
          </cell>
          <cell r="DE20">
            <v>6990</v>
          </cell>
          <cell r="DF20">
            <v>4990</v>
          </cell>
          <cell r="DG20">
            <v>26804</v>
          </cell>
          <cell r="DH20">
            <v>8531</v>
          </cell>
          <cell r="DI20">
            <v>10071</v>
          </cell>
          <cell r="DJ20">
            <v>9176</v>
          </cell>
          <cell r="DK20">
            <v>10025</v>
          </cell>
          <cell r="DL20">
            <v>37803</v>
          </cell>
          <cell r="DM20">
            <v>10207</v>
          </cell>
          <cell r="DN20">
            <v>11215</v>
          </cell>
          <cell r="DO20">
            <v>11002</v>
          </cell>
          <cell r="DP20">
            <v>12895</v>
          </cell>
          <cell r="DQ20">
            <v>45319</v>
          </cell>
          <cell r="DR20">
            <v>12792</v>
          </cell>
          <cell r="DS20">
            <v>13253</v>
          </cell>
          <cell r="DT20">
            <v>13267</v>
          </cell>
          <cell r="DU20">
            <v>15329</v>
          </cell>
          <cell r="DV20">
            <v>54641</v>
          </cell>
          <cell r="DW20">
            <v>15657</v>
          </cell>
          <cell r="DX20">
            <v>17094</v>
          </cell>
          <cell r="DY20">
            <v>16093</v>
          </cell>
          <cell r="DZ20">
            <v>16911</v>
          </cell>
          <cell r="EA20">
            <v>65755</v>
          </cell>
          <cell r="EB20">
            <v>18521</v>
          </cell>
          <cell r="EC20">
            <v>20658</v>
          </cell>
          <cell r="ED20">
            <v>19984</v>
          </cell>
          <cell r="EE20">
            <v>22439</v>
          </cell>
          <cell r="EF20">
            <v>81602</v>
          </cell>
          <cell r="EG20">
            <v>23450</v>
          </cell>
          <cell r="EH20">
            <v>25743</v>
          </cell>
          <cell r="EI20">
            <v>24137</v>
          </cell>
          <cell r="EJ20">
            <v>24513</v>
          </cell>
          <cell r="EK20">
            <v>97843</v>
          </cell>
          <cell r="EL20">
            <v>24308</v>
          </cell>
          <cell r="EM20">
            <v>24047</v>
          </cell>
          <cell r="EN20">
            <v>25901</v>
          </cell>
          <cell r="EO20">
            <v>28128</v>
          </cell>
          <cell r="EP20">
            <v>102384</v>
          </cell>
          <cell r="EQ20">
            <v>30816</v>
          </cell>
          <cell r="ER20">
            <v>32991</v>
          </cell>
          <cell r="ES20">
            <v>33608</v>
          </cell>
          <cell r="ET20">
            <v>33574.879646781199</v>
          </cell>
          <cell r="EU20">
            <v>130989.879646781</v>
          </cell>
          <cell r="EV20">
            <v>36059.268619561299</v>
          </cell>
          <cell r="EW20">
            <v>39001.661649636502</v>
          </cell>
          <cell r="EX20">
            <v>38653.904098121799</v>
          </cell>
          <cell r="EY20">
            <v>39800.837037934303</v>
          </cell>
          <cell r="EZ20">
            <v>153515.67140525399</v>
          </cell>
          <cell r="FA20">
            <v>41401.978390350698</v>
          </cell>
          <cell r="FB20">
            <v>43212.559184375903</v>
          </cell>
          <cell r="FC20">
            <v>43332.126107122996</v>
          </cell>
          <cell r="FD20">
            <v>46121.415805375203</v>
          </cell>
          <cell r="FE20">
            <v>174068.07948722501</v>
          </cell>
        </row>
        <row r="21">
          <cell r="B21" t="str">
            <v>Depreciation</v>
          </cell>
          <cell r="C21" t="str">
            <v>DEPREC</v>
          </cell>
          <cell r="D21" t="str">
            <v>USD</v>
          </cell>
          <cell r="DH21">
            <v>-1602</v>
          </cell>
          <cell r="DI21">
            <v>-1851</v>
          </cell>
          <cell r="DJ21">
            <v>-1893</v>
          </cell>
          <cell r="DK21">
            <v>-1732</v>
          </cell>
          <cell r="DL21">
            <v>-7078</v>
          </cell>
          <cell r="DM21">
            <v>-1936</v>
          </cell>
          <cell r="DN21">
            <v>-1974</v>
          </cell>
          <cell r="DO21">
            <v>-2150</v>
          </cell>
          <cell r="DP21">
            <v>-2001</v>
          </cell>
          <cell r="DQ21">
            <v>-8061</v>
          </cell>
          <cell r="DR21">
            <v>-2281</v>
          </cell>
          <cell r="DS21">
            <v>-2465</v>
          </cell>
          <cell r="DT21">
            <v>-2495</v>
          </cell>
          <cell r="DU21">
            <v>-2541</v>
          </cell>
          <cell r="DV21">
            <v>-9782</v>
          </cell>
          <cell r="DW21">
            <v>-2537</v>
          </cell>
          <cell r="DX21">
            <v>-2792</v>
          </cell>
          <cell r="DY21">
            <v>-2762</v>
          </cell>
          <cell r="DZ21">
            <v>-3105</v>
          </cell>
          <cell r="EA21">
            <v>-11196</v>
          </cell>
          <cell r="EB21">
            <v>-2262</v>
          </cell>
          <cell r="EC21">
            <v>-2383</v>
          </cell>
          <cell r="ED21">
            <v>-2531</v>
          </cell>
          <cell r="EE21">
            <v>-2910</v>
          </cell>
          <cell r="EF21">
            <v>-10086</v>
          </cell>
          <cell r="EG21">
            <v>-2773</v>
          </cell>
          <cell r="EH21">
            <v>-3050</v>
          </cell>
          <cell r="EI21">
            <v>-3271</v>
          </cell>
          <cell r="EJ21">
            <v>-3366</v>
          </cell>
          <cell r="EK21">
            <v>-12460</v>
          </cell>
          <cell r="EL21">
            <v>-2157</v>
          </cell>
          <cell r="EM21">
            <v>-3016</v>
          </cell>
          <cell r="EN21">
            <v>-2937</v>
          </cell>
          <cell r="EO21">
            <v>-3251</v>
          </cell>
          <cell r="EP21">
            <v>-11361</v>
          </cell>
          <cell r="EQ21">
            <v>-3285</v>
          </cell>
          <cell r="ER21">
            <v>-4659</v>
          </cell>
          <cell r="ES21">
            <v>-4627</v>
          </cell>
          <cell r="ET21">
            <v>-3641.25</v>
          </cell>
          <cell r="EU21">
            <v>-16212.25</v>
          </cell>
          <cell r="EV21">
            <v>-4209.9656709491001</v>
          </cell>
          <cell r="EW21">
            <v>-5842.9672117887903</v>
          </cell>
          <cell r="EX21">
            <v>-5669.7727853959796</v>
          </cell>
          <cell r="EY21">
            <v>-4701.24509264891</v>
          </cell>
          <cell r="EZ21">
            <v>-20423.950760782802</v>
          </cell>
          <cell r="FA21">
            <v>-4989.8955597276099</v>
          </cell>
          <cell r="FB21">
            <v>-5268.4641060221702</v>
          </cell>
          <cell r="FC21">
            <v>-5506.00882476674</v>
          </cell>
          <cell r="FD21">
            <v>-5737.0339838774198</v>
          </cell>
          <cell r="FE21">
            <v>-21501.402474393901</v>
          </cell>
        </row>
        <row r="22">
          <cell r="B22" t="str">
            <v>Amortization</v>
          </cell>
          <cell r="C22" t="str">
            <v>GOODWILL_AMORT</v>
          </cell>
          <cell r="D22" t="str">
            <v>USD</v>
          </cell>
          <cell r="DH22">
            <v>-214</v>
          </cell>
          <cell r="DI22">
            <v>-315</v>
          </cell>
          <cell r="DJ22">
            <v>-560</v>
          </cell>
          <cell r="DK22">
            <v>-611</v>
          </cell>
          <cell r="DL22">
            <v>-1700</v>
          </cell>
          <cell r="DM22">
            <v>-563</v>
          </cell>
          <cell r="DN22">
            <v>-562</v>
          </cell>
          <cell r="DO22">
            <v>-560</v>
          </cell>
          <cell r="DP22">
            <v>-515</v>
          </cell>
          <cell r="DQ22">
            <v>-2200</v>
          </cell>
          <cell r="DR22">
            <v>-556</v>
          </cell>
          <cell r="DS22">
            <v>-530</v>
          </cell>
          <cell r="DT22">
            <v>-431</v>
          </cell>
          <cell r="DU22">
            <v>-383</v>
          </cell>
          <cell r="DV22">
            <v>-1900</v>
          </cell>
          <cell r="DW22">
            <v>-434</v>
          </cell>
          <cell r="DX22">
            <v>-411</v>
          </cell>
          <cell r="DY22">
            <v>-356</v>
          </cell>
          <cell r="DZ22">
            <v>-399</v>
          </cell>
          <cell r="EA22">
            <v>-1600</v>
          </cell>
          <cell r="EB22">
            <v>-383</v>
          </cell>
          <cell r="EC22">
            <v>-378</v>
          </cell>
          <cell r="ED22">
            <v>-405</v>
          </cell>
          <cell r="EE22">
            <v>-434</v>
          </cell>
          <cell r="EF22">
            <v>-1600</v>
          </cell>
          <cell r="EG22">
            <v>-439</v>
          </cell>
          <cell r="EH22">
            <v>-446</v>
          </cell>
          <cell r="EI22">
            <v>-502</v>
          </cell>
          <cell r="EJ22">
            <v>-613</v>
          </cell>
          <cell r="EK22">
            <v>-2000</v>
          </cell>
          <cell r="EL22">
            <v>-633</v>
          </cell>
          <cell r="EM22">
            <v>-632</v>
          </cell>
          <cell r="EN22">
            <v>-612</v>
          </cell>
          <cell r="EO22">
            <v>-623</v>
          </cell>
          <cell r="EP22">
            <v>-2500</v>
          </cell>
          <cell r="EQ22">
            <v>-636</v>
          </cell>
          <cell r="ER22">
            <v>-1300</v>
          </cell>
          <cell r="ES22">
            <v>-1400</v>
          </cell>
          <cell r="ET22">
            <v>-1454</v>
          </cell>
          <cell r="EU22">
            <v>-4790</v>
          </cell>
          <cell r="EV22">
            <v>-1465</v>
          </cell>
          <cell r="EW22">
            <v>-1465</v>
          </cell>
          <cell r="EX22">
            <v>-1465</v>
          </cell>
          <cell r="EY22">
            <v>-1465</v>
          </cell>
          <cell r="EZ22">
            <v>-5860</v>
          </cell>
          <cell r="FA22">
            <v>-1109</v>
          </cell>
          <cell r="FB22">
            <v>-1109</v>
          </cell>
          <cell r="FC22">
            <v>-1109</v>
          </cell>
          <cell r="FD22">
            <v>-1109</v>
          </cell>
          <cell r="FE22">
            <v>-4436</v>
          </cell>
        </row>
        <row r="23">
          <cell r="B23" t="str">
            <v>EBIT, operating profit</v>
          </cell>
          <cell r="C23" t="str">
            <v>EBIT</v>
          </cell>
          <cell r="D23" t="str">
            <v>USD</v>
          </cell>
          <cell r="F23">
            <v>2038</v>
          </cell>
          <cell r="G23">
            <v>708</v>
          </cell>
          <cell r="H23">
            <v>786</v>
          </cell>
          <cell r="I23">
            <v>774</v>
          </cell>
          <cell r="J23">
            <v>810</v>
          </cell>
          <cell r="K23">
            <v>3078</v>
          </cell>
          <cell r="L23">
            <v>902</v>
          </cell>
          <cell r="M23">
            <v>1081</v>
          </cell>
          <cell r="N23">
            <v>1568</v>
          </cell>
          <cell r="O23">
            <v>1579</v>
          </cell>
          <cell r="P23">
            <v>5130</v>
          </cell>
          <cell r="Q23">
            <v>1131</v>
          </cell>
          <cell r="R23">
            <v>1663</v>
          </cell>
          <cell r="S23">
            <v>1927</v>
          </cell>
          <cell r="T23">
            <v>1923</v>
          </cell>
          <cell r="U23">
            <v>6644</v>
          </cell>
          <cell r="V23">
            <v>2082</v>
          </cell>
          <cell r="W23">
            <v>2714</v>
          </cell>
          <cell r="X23">
            <v>2229</v>
          </cell>
          <cell r="Y23">
            <v>2903</v>
          </cell>
          <cell r="Z23">
            <v>9928</v>
          </cell>
          <cell r="AA23">
            <v>2767</v>
          </cell>
          <cell r="AB23">
            <v>2918</v>
          </cell>
          <cell r="AC23">
            <v>2728</v>
          </cell>
          <cell r="AD23">
            <v>2524</v>
          </cell>
          <cell r="AE23">
            <v>10937</v>
          </cell>
          <cell r="AF23">
            <v>2777</v>
          </cell>
          <cell r="AG23">
            <v>3194</v>
          </cell>
          <cell r="AH23">
            <v>2998</v>
          </cell>
          <cell r="AI23">
            <v>2751</v>
          </cell>
          <cell r="AJ23">
            <v>11720</v>
          </cell>
          <cell r="AK23">
            <v>2897</v>
          </cell>
          <cell r="AL23">
            <v>2841</v>
          </cell>
          <cell r="AM23">
            <v>3298</v>
          </cell>
          <cell r="AN23">
            <v>2874</v>
          </cell>
          <cell r="AO23">
            <v>11910</v>
          </cell>
          <cell r="AP23">
            <v>3028</v>
          </cell>
          <cell r="AQ23">
            <v>2233</v>
          </cell>
          <cell r="AR23">
            <v>2744</v>
          </cell>
          <cell r="AS23">
            <v>1540</v>
          </cell>
          <cell r="AT23">
            <v>9545</v>
          </cell>
          <cell r="AU23">
            <v>3148</v>
          </cell>
          <cell r="AV23">
            <v>1475</v>
          </cell>
          <cell r="AW23">
            <v>1278</v>
          </cell>
          <cell r="AX23">
            <v>3133</v>
          </cell>
          <cell r="AY23">
            <v>9034</v>
          </cell>
          <cell r="AZ23">
            <v>3494</v>
          </cell>
          <cell r="BA23">
            <v>4749</v>
          </cell>
          <cell r="BB23">
            <v>3329</v>
          </cell>
          <cell r="BC23">
            <v>2989</v>
          </cell>
          <cell r="BD23">
            <v>14561</v>
          </cell>
          <cell r="BE23">
            <v>4046</v>
          </cell>
          <cell r="BF23">
            <v>4657</v>
          </cell>
          <cell r="BG23">
            <v>3888</v>
          </cell>
          <cell r="BH23">
            <v>3881</v>
          </cell>
          <cell r="BI23">
            <v>16472</v>
          </cell>
          <cell r="BJ23">
            <v>4474</v>
          </cell>
          <cell r="BK23">
            <v>3472</v>
          </cell>
          <cell r="BL23">
            <v>6589</v>
          </cell>
          <cell r="BM23">
            <v>3989</v>
          </cell>
          <cell r="BN23">
            <v>18524</v>
          </cell>
          <cell r="BO23">
            <v>5918</v>
          </cell>
          <cell r="BP23">
            <v>6481</v>
          </cell>
          <cell r="BQ23">
            <v>4409</v>
          </cell>
          <cell r="BR23">
            <v>5684</v>
          </cell>
          <cell r="BS23">
            <v>22492</v>
          </cell>
          <cell r="BT23">
            <v>5999</v>
          </cell>
          <cell r="BU23">
            <v>5939</v>
          </cell>
          <cell r="BV23">
            <v>4438</v>
          </cell>
          <cell r="BW23">
            <v>3987</v>
          </cell>
          <cell r="BX23">
            <v>20363</v>
          </cell>
          <cell r="BY23">
            <v>4482</v>
          </cell>
          <cell r="BZ23">
            <v>8513</v>
          </cell>
          <cell r="CA23">
            <v>5173</v>
          </cell>
          <cell r="CB23">
            <v>5930</v>
          </cell>
          <cell r="CC23">
            <v>24098</v>
          </cell>
          <cell r="CD23">
            <v>7116</v>
          </cell>
          <cell r="CE23">
            <v>8165</v>
          </cell>
          <cell r="CF23">
            <v>5709</v>
          </cell>
          <cell r="CG23">
            <v>6171</v>
          </cell>
          <cell r="CH23">
            <v>27161</v>
          </cell>
          <cell r="CI23">
            <v>7203</v>
          </cell>
          <cell r="CJ23">
            <v>7994</v>
          </cell>
          <cell r="CK23">
            <v>6374</v>
          </cell>
          <cell r="CL23">
            <v>192</v>
          </cell>
          <cell r="CM23">
            <v>21763</v>
          </cell>
          <cell r="CN23">
            <v>5308</v>
          </cell>
          <cell r="CO23">
            <v>7771</v>
          </cell>
          <cell r="CP23">
            <v>7612</v>
          </cell>
          <cell r="CQ23">
            <v>6073</v>
          </cell>
          <cell r="CR23">
            <v>26764</v>
          </cell>
          <cell r="CS23">
            <v>6334</v>
          </cell>
          <cell r="CT23">
            <v>7969</v>
          </cell>
          <cell r="CU23">
            <v>6974</v>
          </cell>
          <cell r="CV23">
            <v>6482</v>
          </cell>
          <cell r="CW23">
            <v>27759</v>
          </cell>
          <cell r="CX23">
            <v>5844</v>
          </cell>
          <cell r="CY23">
            <v>7776</v>
          </cell>
          <cell r="CZ23">
            <v>6594</v>
          </cell>
          <cell r="DA23">
            <v>-2053</v>
          </cell>
          <cell r="DB23">
            <v>18161</v>
          </cell>
          <cell r="DC23">
            <v>5793</v>
          </cell>
          <cell r="DD23">
            <v>6026</v>
          </cell>
          <cell r="DE23">
            <v>5283</v>
          </cell>
          <cell r="DF23">
            <v>3080</v>
          </cell>
          <cell r="DG23">
            <v>20182</v>
          </cell>
          <cell r="DH23">
            <v>6715</v>
          </cell>
          <cell r="DI23">
            <v>7905</v>
          </cell>
          <cell r="DJ23">
            <v>6723</v>
          </cell>
          <cell r="DK23">
            <v>7682</v>
          </cell>
          <cell r="DL23">
            <v>29025</v>
          </cell>
          <cell r="DM23">
            <v>7708</v>
          </cell>
          <cell r="DN23">
            <v>8679</v>
          </cell>
          <cell r="DO23">
            <v>8292</v>
          </cell>
          <cell r="DP23">
            <v>10379</v>
          </cell>
          <cell r="DQ23">
            <v>35058</v>
          </cell>
          <cell r="DR23">
            <v>9955</v>
          </cell>
          <cell r="DS23">
            <v>10258</v>
          </cell>
          <cell r="DT23">
            <v>10341</v>
          </cell>
          <cell r="DU23">
            <v>12405</v>
          </cell>
          <cell r="DV23">
            <v>42959</v>
          </cell>
          <cell r="DW23">
            <v>12686</v>
          </cell>
          <cell r="DX23">
            <v>13891</v>
          </cell>
          <cell r="DY23">
            <v>12975</v>
          </cell>
          <cell r="DZ23">
            <v>13407</v>
          </cell>
          <cell r="EA23">
            <v>52959</v>
          </cell>
          <cell r="EB23">
            <v>15876</v>
          </cell>
          <cell r="EC23">
            <v>17897</v>
          </cell>
          <cell r="ED23">
            <v>17048</v>
          </cell>
          <cell r="EE23">
            <v>19095</v>
          </cell>
          <cell r="EF23">
            <v>69916</v>
          </cell>
          <cell r="EG23">
            <v>20238</v>
          </cell>
          <cell r="EH23">
            <v>22247</v>
          </cell>
          <cell r="EI23">
            <v>20364</v>
          </cell>
          <cell r="EJ23">
            <v>20534</v>
          </cell>
          <cell r="EK23">
            <v>83383</v>
          </cell>
          <cell r="EL23">
            <v>21518</v>
          </cell>
          <cell r="EM23">
            <v>20399</v>
          </cell>
          <cell r="EN23">
            <v>22352</v>
          </cell>
          <cell r="EO23">
            <v>24254</v>
          </cell>
          <cell r="EP23">
            <v>88523</v>
          </cell>
          <cell r="EQ23">
            <v>26895</v>
          </cell>
          <cell r="ER23">
            <v>27032</v>
          </cell>
          <cell r="ES23">
            <v>27581</v>
          </cell>
          <cell r="ET23">
            <v>28479.629646781199</v>
          </cell>
          <cell r="EU23">
            <v>109987.629646781</v>
          </cell>
          <cell r="EV23">
            <v>30384.3029486122</v>
          </cell>
          <cell r="EW23">
            <v>31693.694437847698</v>
          </cell>
          <cell r="EX23">
            <v>31519.1313127258</v>
          </cell>
          <cell r="EY23">
            <v>33634.5919452854</v>
          </cell>
          <cell r="EZ23">
            <v>127231.720644471</v>
          </cell>
          <cell r="FA23">
            <v>35303.082830623098</v>
          </cell>
          <cell r="FB23">
            <v>36835.095078353697</v>
          </cell>
          <cell r="FC23">
            <v>36717.117282356303</v>
          </cell>
          <cell r="FD23">
            <v>39275.381821497802</v>
          </cell>
          <cell r="FE23">
            <v>148130.677012831</v>
          </cell>
        </row>
        <row r="24">
          <cell r="B24" t="str">
            <v>Interest income</v>
          </cell>
          <cell r="C24" t="str">
            <v>INT_INC_IND</v>
          </cell>
          <cell r="D24" t="str">
            <v>USD</v>
          </cell>
        </row>
        <row r="25">
          <cell r="B25" t="str">
            <v>Interest expense</v>
          </cell>
          <cell r="C25" t="str">
            <v>INT_EXP_IND</v>
          </cell>
          <cell r="D25" t="str">
            <v>USD</v>
          </cell>
        </row>
        <row r="26">
          <cell r="B26" t="str">
            <v>Net interest income/(expense)</v>
          </cell>
          <cell r="C26" t="str">
            <v>NET_INT_EXP</v>
          </cell>
          <cell r="D26" t="str">
            <v>USD</v>
          </cell>
          <cell r="BT26">
            <v>0</v>
          </cell>
          <cell r="BU26">
            <v>0</v>
          </cell>
          <cell r="BV26">
            <v>0</v>
          </cell>
          <cell r="BX26">
            <v>0</v>
          </cell>
          <cell r="DW26">
            <v>0</v>
          </cell>
        </row>
        <row r="27">
          <cell r="B27" t="str">
            <v>Income/(loss) from unconsolidated subs &amp; associates</v>
          </cell>
          <cell r="C27" t="str">
            <v>ASSOCIATE</v>
          </cell>
          <cell r="D27" t="str">
            <v>USD</v>
          </cell>
        </row>
        <row r="28">
          <cell r="B28" t="str">
            <v>Profit/(loss) on disposals of assets, pre-tax</v>
          </cell>
          <cell r="C28" t="str">
            <v>PROFIT_ON_DISP</v>
          </cell>
          <cell r="D28" t="str">
            <v>USD</v>
          </cell>
        </row>
        <row r="29">
          <cell r="B29" t="str">
            <v>Other non-ops income/(expense)</v>
          </cell>
          <cell r="C29" t="str">
            <v>OTH_COST_INC</v>
          </cell>
          <cell r="D29" t="str">
            <v>USD</v>
          </cell>
          <cell r="F29">
            <v>129</v>
          </cell>
          <cell r="G29">
            <v>62</v>
          </cell>
          <cell r="H29">
            <v>99</v>
          </cell>
          <cell r="I29">
            <v>90</v>
          </cell>
          <cell r="J29">
            <v>50</v>
          </cell>
          <cell r="K29">
            <v>301</v>
          </cell>
          <cell r="L29">
            <v>43</v>
          </cell>
          <cell r="M29">
            <v>59</v>
          </cell>
          <cell r="N29">
            <v>35</v>
          </cell>
          <cell r="O29">
            <v>47</v>
          </cell>
          <cell r="P29">
            <v>184</v>
          </cell>
          <cell r="Q29">
            <v>71</v>
          </cell>
          <cell r="R29">
            <v>107</v>
          </cell>
          <cell r="S29">
            <v>130</v>
          </cell>
          <cell r="T29">
            <v>165</v>
          </cell>
          <cell r="U29">
            <v>473</v>
          </cell>
          <cell r="V29">
            <v>421</v>
          </cell>
          <cell r="W29">
            <v>337</v>
          </cell>
          <cell r="X29">
            <v>720</v>
          </cell>
          <cell r="Y29">
            <v>485</v>
          </cell>
          <cell r="Z29">
            <v>1963</v>
          </cell>
          <cell r="AA29">
            <v>553</v>
          </cell>
          <cell r="AB29">
            <v>773</v>
          </cell>
          <cell r="AC29">
            <v>885</v>
          </cell>
          <cell r="AD29">
            <v>1127</v>
          </cell>
          <cell r="AE29">
            <v>3338</v>
          </cell>
          <cell r="AF29">
            <v>1075</v>
          </cell>
          <cell r="AG29">
            <v>723</v>
          </cell>
          <cell r="AH29">
            <v>660</v>
          </cell>
          <cell r="AI29">
            <v>-2653</v>
          </cell>
          <cell r="AJ29">
            <v>-195</v>
          </cell>
          <cell r="AK29">
            <v>-1010</v>
          </cell>
          <cell r="AL29">
            <v>516</v>
          </cell>
          <cell r="AM29">
            <v>728</v>
          </cell>
          <cell r="AN29">
            <v>-631</v>
          </cell>
          <cell r="AO29">
            <v>-397</v>
          </cell>
          <cell r="AP29">
            <v>19</v>
          </cell>
          <cell r="AQ29">
            <v>363</v>
          </cell>
          <cell r="AR29">
            <v>453</v>
          </cell>
          <cell r="AS29">
            <v>674</v>
          </cell>
          <cell r="AT29">
            <v>1509</v>
          </cell>
          <cell r="AU29">
            <v>753</v>
          </cell>
          <cell r="AV29">
            <v>837</v>
          </cell>
          <cell r="AW29">
            <v>1001</v>
          </cell>
          <cell r="AX29">
            <v>571</v>
          </cell>
          <cell r="AY29">
            <v>3162</v>
          </cell>
          <cell r="AZ29">
            <v>279</v>
          </cell>
          <cell r="BA29">
            <v>420</v>
          </cell>
          <cell r="BB29">
            <v>496</v>
          </cell>
          <cell r="BC29">
            <v>872</v>
          </cell>
          <cell r="BD29">
            <v>2067</v>
          </cell>
          <cell r="BE29">
            <v>506</v>
          </cell>
          <cell r="BF29">
            <v>480</v>
          </cell>
          <cell r="BG29">
            <v>427</v>
          </cell>
          <cell r="BH29">
            <v>377</v>
          </cell>
          <cell r="BI29">
            <v>1790</v>
          </cell>
          <cell r="BJ29">
            <v>567</v>
          </cell>
          <cell r="BK29">
            <v>333</v>
          </cell>
          <cell r="BL29">
            <v>382</v>
          </cell>
          <cell r="BM29">
            <v>295</v>
          </cell>
          <cell r="BN29">
            <v>1577</v>
          </cell>
          <cell r="BO29">
            <v>298</v>
          </cell>
          <cell r="BP29">
            <v>339</v>
          </cell>
          <cell r="BQ29">
            <v>401</v>
          </cell>
          <cell r="BR29">
            <v>284</v>
          </cell>
          <cell r="BS29">
            <v>1322</v>
          </cell>
          <cell r="BT29">
            <v>-8</v>
          </cell>
          <cell r="BU29">
            <v>-301</v>
          </cell>
          <cell r="BV29">
            <v>-388</v>
          </cell>
          <cell r="BW29">
            <v>155</v>
          </cell>
          <cell r="BX29">
            <v>-542</v>
          </cell>
          <cell r="BY29">
            <v>283</v>
          </cell>
          <cell r="BZ29">
            <v>370</v>
          </cell>
          <cell r="CA29">
            <v>168</v>
          </cell>
          <cell r="CB29">
            <v>94</v>
          </cell>
          <cell r="CC29">
            <v>915</v>
          </cell>
          <cell r="CD29">
            <v>114</v>
          </cell>
          <cell r="CE29">
            <v>332</v>
          </cell>
          <cell r="CF29">
            <v>316</v>
          </cell>
          <cell r="CG29">
            <v>148</v>
          </cell>
          <cell r="CH29">
            <v>910</v>
          </cell>
          <cell r="CI29">
            <v>103</v>
          </cell>
          <cell r="CJ29">
            <v>245</v>
          </cell>
          <cell r="CK29">
            <v>-11</v>
          </cell>
          <cell r="CL29">
            <v>167</v>
          </cell>
          <cell r="CM29">
            <v>504</v>
          </cell>
          <cell r="CN29">
            <v>226</v>
          </cell>
          <cell r="CO29">
            <v>-1</v>
          </cell>
          <cell r="CP29">
            <v>-9</v>
          </cell>
          <cell r="CQ29">
            <v>72</v>
          </cell>
          <cell r="CR29">
            <v>288</v>
          </cell>
          <cell r="CS29">
            <v>74</v>
          </cell>
          <cell r="CT29">
            <v>-91</v>
          </cell>
          <cell r="CU29">
            <v>-17</v>
          </cell>
          <cell r="CV29">
            <v>95</v>
          </cell>
          <cell r="CW29">
            <v>61</v>
          </cell>
          <cell r="CX29">
            <v>52</v>
          </cell>
          <cell r="CY29">
            <v>74</v>
          </cell>
          <cell r="CZ29">
            <v>-77</v>
          </cell>
          <cell r="DA29">
            <v>297</v>
          </cell>
          <cell r="DB29">
            <v>346</v>
          </cell>
          <cell r="DC29">
            <v>-280</v>
          </cell>
          <cell r="DD29">
            <v>-171</v>
          </cell>
          <cell r="DE29">
            <v>-247</v>
          </cell>
          <cell r="DF29">
            <v>267</v>
          </cell>
          <cell r="DG29">
            <v>-431</v>
          </cell>
          <cell r="DH29">
            <v>112</v>
          </cell>
          <cell r="DI29">
            <v>117</v>
          </cell>
          <cell r="DJ29">
            <v>371</v>
          </cell>
          <cell r="DK29">
            <v>276</v>
          </cell>
          <cell r="DL29">
            <v>876</v>
          </cell>
          <cell r="DM29">
            <v>276</v>
          </cell>
          <cell r="DN29">
            <v>490</v>
          </cell>
          <cell r="DO29">
            <v>349</v>
          </cell>
          <cell r="DP29">
            <v>301</v>
          </cell>
          <cell r="DQ29">
            <v>1416</v>
          </cell>
          <cell r="DR29">
            <v>266</v>
          </cell>
          <cell r="DS29">
            <v>127</v>
          </cell>
          <cell r="DT29">
            <v>145</v>
          </cell>
          <cell r="DU29">
            <v>191</v>
          </cell>
          <cell r="DV29">
            <v>729</v>
          </cell>
          <cell r="DX29">
            <v>194</v>
          </cell>
          <cell r="DY29">
            <v>-132</v>
          </cell>
          <cell r="DZ29">
            <v>15</v>
          </cell>
          <cell r="EA29">
            <v>77</v>
          </cell>
          <cell r="EB29">
            <v>248</v>
          </cell>
          <cell r="EC29">
            <v>440</v>
          </cell>
          <cell r="ED29">
            <v>188</v>
          </cell>
          <cell r="EE29">
            <v>310</v>
          </cell>
          <cell r="EF29">
            <v>1186</v>
          </cell>
          <cell r="EG29">
            <v>286</v>
          </cell>
          <cell r="EH29">
            <v>268</v>
          </cell>
          <cell r="EI29">
            <v>-174</v>
          </cell>
          <cell r="EJ29">
            <v>-47</v>
          </cell>
          <cell r="EK29">
            <v>333</v>
          </cell>
          <cell r="EL29">
            <v>54</v>
          </cell>
          <cell r="EM29">
            <v>-60</v>
          </cell>
          <cell r="EN29">
            <v>321</v>
          </cell>
          <cell r="EO29">
            <v>473</v>
          </cell>
          <cell r="EP29">
            <v>788</v>
          </cell>
          <cell r="EQ29">
            <v>389</v>
          </cell>
          <cell r="ER29">
            <v>-506</v>
          </cell>
          <cell r="ES29">
            <v>-854</v>
          </cell>
          <cell r="ET29">
            <v>-850</v>
          </cell>
          <cell r="EU29">
            <v>-1821</v>
          </cell>
          <cell r="FA29">
            <v>500</v>
          </cell>
          <cell r="FB29">
            <v>500</v>
          </cell>
          <cell r="FC29">
            <v>500</v>
          </cell>
          <cell r="FD29">
            <v>500</v>
          </cell>
          <cell r="FE29">
            <v>2000</v>
          </cell>
        </row>
        <row r="30">
          <cell r="B30" t="str">
            <v>Pre-tax profit</v>
          </cell>
          <cell r="C30" t="str">
            <v>PT_PROF</v>
          </cell>
          <cell r="D30" t="str">
            <v>USD</v>
          </cell>
          <cell r="F30">
            <v>2167</v>
          </cell>
          <cell r="G30">
            <v>770</v>
          </cell>
          <cell r="H30">
            <v>885</v>
          </cell>
          <cell r="I30">
            <v>864</v>
          </cell>
          <cell r="J30">
            <v>860</v>
          </cell>
          <cell r="K30">
            <v>3379</v>
          </cell>
          <cell r="L30">
            <v>945</v>
          </cell>
          <cell r="M30">
            <v>1140</v>
          </cell>
          <cell r="N30">
            <v>1603</v>
          </cell>
          <cell r="O30">
            <v>1626</v>
          </cell>
          <cell r="P30">
            <v>5314</v>
          </cell>
          <cell r="Q30">
            <v>1202</v>
          </cell>
          <cell r="R30">
            <v>1770</v>
          </cell>
          <cell r="S30">
            <v>2057</v>
          </cell>
          <cell r="T30">
            <v>2088</v>
          </cell>
          <cell r="U30">
            <v>7117</v>
          </cell>
          <cell r="V30">
            <v>2503</v>
          </cell>
          <cell r="W30">
            <v>3051</v>
          </cell>
          <cell r="X30">
            <v>2949</v>
          </cell>
          <cell r="Y30">
            <v>3388</v>
          </cell>
          <cell r="Z30">
            <v>11891</v>
          </cell>
          <cell r="AA30">
            <v>3320</v>
          </cell>
          <cell r="AB30">
            <v>3691</v>
          </cell>
          <cell r="AC30">
            <v>3613</v>
          </cell>
          <cell r="AD30">
            <v>3651</v>
          </cell>
          <cell r="AE30">
            <v>14275</v>
          </cell>
          <cell r="AF30">
            <v>3852</v>
          </cell>
          <cell r="AG30">
            <v>3917</v>
          </cell>
          <cell r="AH30">
            <v>3658</v>
          </cell>
          <cell r="AI30">
            <v>98</v>
          </cell>
          <cell r="AJ30">
            <v>11525</v>
          </cell>
          <cell r="AK30">
            <v>1887</v>
          </cell>
          <cell r="AL30">
            <v>3357</v>
          </cell>
          <cell r="AM30">
            <v>4026</v>
          </cell>
          <cell r="AN30">
            <v>2243</v>
          </cell>
          <cell r="AO30">
            <v>11513</v>
          </cell>
          <cell r="AP30">
            <v>3047</v>
          </cell>
          <cell r="AQ30">
            <v>2596</v>
          </cell>
          <cell r="AR30">
            <v>3197</v>
          </cell>
          <cell r="AS30">
            <v>2214</v>
          </cell>
          <cell r="AT30">
            <v>11054</v>
          </cell>
          <cell r="AU30">
            <v>3901</v>
          </cell>
          <cell r="AV30">
            <v>2312</v>
          </cell>
          <cell r="AW30">
            <v>2279</v>
          </cell>
          <cell r="AX30">
            <v>3704</v>
          </cell>
          <cell r="AY30">
            <v>12196</v>
          </cell>
          <cell r="AZ30">
            <v>3773</v>
          </cell>
          <cell r="BA30">
            <v>5169</v>
          </cell>
          <cell r="BB30">
            <v>3825</v>
          </cell>
          <cell r="BC30">
            <v>3861</v>
          </cell>
          <cell r="BD30">
            <v>16628</v>
          </cell>
          <cell r="BE30">
            <v>4552</v>
          </cell>
          <cell r="BF30">
            <v>5137</v>
          </cell>
          <cell r="BG30">
            <v>4315</v>
          </cell>
          <cell r="BH30">
            <v>4258</v>
          </cell>
          <cell r="BI30">
            <v>18262</v>
          </cell>
          <cell r="BJ30">
            <v>5041</v>
          </cell>
          <cell r="BK30">
            <v>3805</v>
          </cell>
          <cell r="BL30">
            <v>6971</v>
          </cell>
          <cell r="BM30">
            <v>4284</v>
          </cell>
          <cell r="BN30">
            <v>20101</v>
          </cell>
          <cell r="BO30">
            <v>6216</v>
          </cell>
          <cell r="BP30">
            <v>6820</v>
          </cell>
          <cell r="BQ30">
            <v>4810</v>
          </cell>
          <cell r="BR30">
            <v>5968</v>
          </cell>
          <cell r="BS30">
            <v>23814</v>
          </cell>
          <cell r="BT30">
            <v>5991</v>
          </cell>
          <cell r="BU30">
            <v>5638</v>
          </cell>
          <cell r="BV30">
            <v>4050</v>
          </cell>
          <cell r="BW30">
            <v>4142</v>
          </cell>
          <cell r="BX30">
            <v>19821</v>
          </cell>
          <cell r="BY30">
            <v>4765</v>
          </cell>
          <cell r="BZ30">
            <v>8883</v>
          </cell>
          <cell r="CA30">
            <v>5341</v>
          </cell>
          <cell r="CB30">
            <v>6024</v>
          </cell>
          <cell r="CC30">
            <v>25013</v>
          </cell>
          <cell r="CD30">
            <v>7230</v>
          </cell>
          <cell r="CE30">
            <v>8497</v>
          </cell>
          <cell r="CF30">
            <v>6025</v>
          </cell>
          <cell r="CG30">
            <v>6319</v>
          </cell>
          <cell r="CH30">
            <v>28071</v>
          </cell>
          <cell r="CI30">
            <v>7306</v>
          </cell>
          <cell r="CJ30">
            <v>8239</v>
          </cell>
          <cell r="CK30">
            <v>6363</v>
          </cell>
          <cell r="CL30">
            <v>359</v>
          </cell>
          <cell r="CM30">
            <v>22267</v>
          </cell>
          <cell r="CN30">
            <v>5534</v>
          </cell>
          <cell r="CO30">
            <v>7770</v>
          </cell>
          <cell r="CP30">
            <v>7603</v>
          </cell>
          <cell r="CQ30">
            <v>6145</v>
          </cell>
          <cell r="CR30">
            <v>27052</v>
          </cell>
          <cell r="CS30">
            <v>6408</v>
          </cell>
          <cell r="CT30">
            <v>7878</v>
          </cell>
          <cell r="CU30">
            <v>6957</v>
          </cell>
          <cell r="CV30">
            <v>6577</v>
          </cell>
          <cell r="CW30">
            <v>27820</v>
          </cell>
          <cell r="CX30">
            <v>5896</v>
          </cell>
          <cell r="CY30">
            <v>7850</v>
          </cell>
          <cell r="CZ30">
            <v>6517</v>
          </cell>
          <cell r="DA30">
            <v>-1756</v>
          </cell>
          <cell r="DB30">
            <v>18507</v>
          </cell>
          <cell r="DC30">
            <v>5513</v>
          </cell>
          <cell r="DD30">
            <v>5855</v>
          </cell>
          <cell r="DE30">
            <v>5036</v>
          </cell>
          <cell r="DF30">
            <v>3347</v>
          </cell>
          <cell r="DG30">
            <v>19751</v>
          </cell>
          <cell r="DH30">
            <v>6827</v>
          </cell>
          <cell r="DI30">
            <v>8022</v>
          </cell>
          <cell r="DJ30">
            <v>7094</v>
          </cell>
          <cell r="DK30">
            <v>7958</v>
          </cell>
          <cell r="DL30">
            <v>29901</v>
          </cell>
          <cell r="DM30">
            <v>7984</v>
          </cell>
          <cell r="DN30">
            <v>9169</v>
          </cell>
          <cell r="DO30">
            <v>8641</v>
          </cell>
          <cell r="DP30">
            <v>10680</v>
          </cell>
          <cell r="DQ30">
            <v>36474</v>
          </cell>
          <cell r="DR30">
            <v>10221</v>
          </cell>
          <cell r="DS30">
            <v>10385</v>
          </cell>
          <cell r="DT30">
            <v>10486</v>
          </cell>
          <cell r="DU30">
            <v>12596</v>
          </cell>
          <cell r="DV30">
            <v>43688</v>
          </cell>
          <cell r="DW30">
            <v>12686</v>
          </cell>
          <cell r="DX30">
            <v>14085</v>
          </cell>
          <cell r="DY30">
            <v>12843</v>
          </cell>
          <cell r="DZ30">
            <v>13422</v>
          </cell>
          <cell r="EA30">
            <v>53036</v>
          </cell>
          <cell r="EB30">
            <v>16124</v>
          </cell>
          <cell r="EC30">
            <v>18337</v>
          </cell>
          <cell r="ED30">
            <v>17236</v>
          </cell>
          <cell r="EE30">
            <v>19405</v>
          </cell>
          <cell r="EF30">
            <v>71102</v>
          </cell>
          <cell r="EG30">
            <v>20524</v>
          </cell>
          <cell r="EH30">
            <v>22515</v>
          </cell>
          <cell r="EI30">
            <v>20190</v>
          </cell>
          <cell r="EJ30">
            <v>20487</v>
          </cell>
          <cell r="EK30">
            <v>83716</v>
          </cell>
          <cell r="EL30">
            <v>21572</v>
          </cell>
          <cell r="EM30">
            <v>20339</v>
          </cell>
          <cell r="EN30">
            <v>22673</v>
          </cell>
          <cell r="EO30">
            <v>24727</v>
          </cell>
          <cell r="EP30">
            <v>89311</v>
          </cell>
          <cell r="EQ30">
            <v>27284</v>
          </cell>
          <cell r="ER30">
            <v>26526</v>
          </cell>
          <cell r="ES30">
            <v>26727</v>
          </cell>
          <cell r="ET30">
            <v>27629.629646781199</v>
          </cell>
          <cell r="EU30">
            <v>108166.629646781</v>
          </cell>
          <cell r="EV30">
            <v>30384.3029486122</v>
          </cell>
          <cell r="EW30">
            <v>31693.694437847698</v>
          </cell>
          <cell r="EX30">
            <v>31519.1313127258</v>
          </cell>
          <cell r="EY30">
            <v>33634.5919452854</v>
          </cell>
          <cell r="EZ30">
            <v>127231.720644471</v>
          </cell>
          <cell r="FA30">
            <v>35803.082830623098</v>
          </cell>
          <cell r="FB30">
            <v>37335.095078353697</v>
          </cell>
          <cell r="FC30">
            <v>37217.117282356303</v>
          </cell>
          <cell r="FD30">
            <v>39775.381821497802</v>
          </cell>
          <cell r="FE30">
            <v>150130.677012831</v>
          </cell>
        </row>
        <row r="31">
          <cell r="A31" t="str">
            <v>Additional Income Statement Items</v>
          </cell>
        </row>
        <row r="32">
          <cell r="B32" t="str">
            <v>Operating lease cost</v>
          </cell>
          <cell r="C32" t="str">
            <v>LEASE_PAY</v>
          </cell>
          <cell r="D32" t="str">
            <v>USD</v>
          </cell>
        </row>
        <row r="33">
          <cell r="B33" t="str">
            <v>Lease payments (deemed interest portion)</v>
          </cell>
          <cell r="C33" t="str">
            <v>LEASE_DEEM_INT</v>
          </cell>
          <cell r="D33" t="str">
            <v>USD</v>
          </cell>
        </row>
        <row r="34">
          <cell r="B34" t="str">
            <v>Lease payments (deemed depreciation portion)</v>
          </cell>
          <cell r="C34" t="str">
            <v>LEASE_DEEM_DEPR</v>
          </cell>
          <cell r="D34" t="str">
            <v>USD</v>
          </cell>
        </row>
        <row r="35">
          <cell r="B35" t="str">
            <v>Gross interest charge</v>
          </cell>
          <cell r="C35" t="str">
            <v>NET_INT_CH</v>
          </cell>
          <cell r="D35" t="str">
            <v>USD</v>
          </cell>
        </row>
        <row r="36">
          <cell r="B36" t="str">
            <v>Income from associates (operating)</v>
          </cell>
          <cell r="C36" t="str">
            <v>ASSOCIATE_OP</v>
          </cell>
          <cell r="D36" t="str">
            <v>USD</v>
          </cell>
        </row>
        <row r="37">
          <cell r="B37" t="str">
            <v>Depreciation ROU assets   (applicable to IFRS cos.)</v>
          </cell>
          <cell r="C37" t="str">
            <v>DEPR_ROU_ASSETS</v>
          </cell>
          <cell r="D37" t="str">
            <v>USD</v>
          </cell>
        </row>
        <row r="38">
          <cell r="B38" t="str">
            <v>Lease interest charge  (applicable to IFRS cos.)</v>
          </cell>
          <cell r="C38" t="str">
            <v>LEASE_INT_CHG</v>
          </cell>
          <cell r="D38" t="str">
            <v>USD</v>
          </cell>
        </row>
        <row r="39">
          <cell r="B39" t="str">
            <v>Lease standard adopted (US GAAP ASC 842/ IFRS 16)</v>
          </cell>
          <cell r="C39" t="str">
            <v>LEASE_ADOPT</v>
          </cell>
          <cell r="E39" t="str">
            <v>Y</v>
          </cell>
        </row>
        <row r="40">
          <cell r="B40" t="str">
            <v>Stock-based compensation related to cost of goods sold (Americas software)</v>
          </cell>
          <cell r="C40" t="str">
            <v>SBC_COST_OF_GOODS_SOLD</v>
          </cell>
          <cell r="D40" t="str">
            <v>USD</v>
          </cell>
        </row>
        <row r="41">
          <cell r="B41" t="str">
            <v>Stock-based compensation related to sales &amp; marketing (Americas software)</v>
          </cell>
          <cell r="C41" t="str">
            <v>SBC_SALES_MARKETING</v>
          </cell>
          <cell r="D41" t="str">
            <v>USD</v>
          </cell>
        </row>
        <row r="42">
          <cell r="B42" t="str">
            <v>Stock-based compensation related to research &amp; development (Americas software)</v>
          </cell>
          <cell r="C42" t="str">
            <v>SBC_RESEARCH_DEVELOPMENT</v>
          </cell>
          <cell r="D42" t="str">
            <v>USD</v>
          </cell>
        </row>
        <row r="43">
          <cell r="B43" t="str">
            <v>Stock-based compensation related to general &amp; administrative (Americas software)</v>
          </cell>
          <cell r="C43" t="str">
            <v>SBC_GEN_ADMINISTRATIVE</v>
          </cell>
          <cell r="D43" t="str">
            <v>USD</v>
          </cell>
        </row>
        <row r="44">
          <cell r="B44" t="str">
            <v>Total stock-based compensation (Americas software)</v>
          </cell>
          <cell r="C44" t="str">
            <v>SBC_TOTAL</v>
          </cell>
          <cell r="D44" t="str">
            <v>USD</v>
          </cell>
        </row>
        <row r="45">
          <cell r="B45" t="str">
            <v>Non-GAAP cost of goods sold</v>
          </cell>
          <cell r="C45" t="str">
            <v>COGS_N_GAAP</v>
          </cell>
          <cell r="D45" t="str">
            <v>USD</v>
          </cell>
        </row>
        <row r="46">
          <cell r="B46" t="str">
            <v>Non-GAAP gross profit</v>
          </cell>
          <cell r="C46" t="str">
            <v>GROSS_PROFIT_N_GAAP</v>
          </cell>
          <cell r="D46" t="str">
            <v>USD</v>
          </cell>
        </row>
        <row r="47">
          <cell r="B47" t="str">
            <v>Non-GAAP general and administrative expenses</v>
          </cell>
          <cell r="C47" t="str">
            <v>GEN_ADMIN_N_GAAP</v>
          </cell>
          <cell r="D47" t="str">
            <v>USD</v>
          </cell>
        </row>
        <row r="48">
          <cell r="B48" t="str">
            <v>Non-GAAP sales &amp; marketing</v>
          </cell>
          <cell r="C48" t="str">
            <v>SALES_MARKETING_N_GAAP</v>
          </cell>
          <cell r="D48" t="str">
            <v>USD</v>
          </cell>
        </row>
        <row r="49">
          <cell r="B49" t="str">
            <v>Non-GAAP research &amp; development</v>
          </cell>
          <cell r="C49" t="str">
            <v>RD_N_GAAP</v>
          </cell>
          <cell r="D49" t="str">
            <v>USD</v>
          </cell>
        </row>
        <row r="50">
          <cell r="B50" t="str">
            <v>Non-GAAP operating expenses</v>
          </cell>
          <cell r="C50" t="str">
            <v>OPS_EXP_N_GAAP</v>
          </cell>
          <cell r="D50" t="str">
            <v>USD</v>
          </cell>
        </row>
        <row r="51">
          <cell r="B51" t="str">
            <v>Non-GAAP operating income</v>
          </cell>
          <cell r="C51" t="str">
            <v>OP_INC_N_GAAP</v>
          </cell>
          <cell r="D51" t="str">
            <v>USD</v>
          </cell>
        </row>
        <row r="52">
          <cell r="B52" t="str">
            <v>Non-GAAP net income</v>
          </cell>
          <cell r="C52" t="str">
            <v>NET_INC_N_GAAP</v>
          </cell>
          <cell r="D52" t="str">
            <v>USD</v>
          </cell>
        </row>
        <row r="53">
          <cell r="A53" t="str">
            <v>Balance Sheet</v>
          </cell>
        </row>
        <row r="54">
          <cell r="B54" t="str">
            <v>Cash &amp; cash equivalents</v>
          </cell>
          <cell r="C54" t="str">
            <v>CASH_EQ</v>
          </cell>
          <cell r="D54" t="str">
            <v>USD</v>
          </cell>
          <cell r="F54">
            <v>1962</v>
          </cell>
          <cell r="G54">
            <v>1906</v>
          </cell>
          <cell r="H54">
            <v>2323</v>
          </cell>
          <cell r="I54">
            <v>2937</v>
          </cell>
          <cell r="J54">
            <v>2601</v>
          </cell>
          <cell r="K54">
            <v>2601</v>
          </cell>
          <cell r="L54">
            <v>3018</v>
          </cell>
          <cell r="M54">
            <v>3096</v>
          </cell>
          <cell r="N54">
            <v>3852</v>
          </cell>
          <cell r="O54">
            <v>3706</v>
          </cell>
          <cell r="P54">
            <v>3706</v>
          </cell>
          <cell r="Q54">
            <v>3945</v>
          </cell>
          <cell r="R54">
            <v>2582</v>
          </cell>
          <cell r="S54">
            <v>4110</v>
          </cell>
          <cell r="T54">
            <v>3839</v>
          </cell>
          <cell r="U54">
            <v>3839</v>
          </cell>
          <cell r="V54">
            <v>5191</v>
          </cell>
          <cell r="W54">
            <v>6113</v>
          </cell>
          <cell r="X54">
            <v>6203</v>
          </cell>
          <cell r="Y54">
            <v>4975</v>
          </cell>
          <cell r="Z54">
            <v>4975</v>
          </cell>
          <cell r="AA54">
            <v>4789</v>
          </cell>
          <cell r="AB54">
            <v>5032</v>
          </cell>
          <cell r="AC54">
            <v>5192</v>
          </cell>
          <cell r="AD54">
            <v>4846</v>
          </cell>
          <cell r="AE54">
            <v>4846</v>
          </cell>
          <cell r="AF54">
            <v>2641</v>
          </cell>
          <cell r="AG54">
            <v>3531</v>
          </cell>
          <cell r="AH54">
            <v>4149</v>
          </cell>
          <cell r="AI54">
            <v>3922</v>
          </cell>
          <cell r="AJ54">
            <v>3922</v>
          </cell>
          <cell r="AK54">
            <v>3113</v>
          </cell>
          <cell r="AL54">
            <v>5256</v>
          </cell>
          <cell r="AM54">
            <v>5116</v>
          </cell>
          <cell r="AN54">
            <v>3016</v>
          </cell>
          <cell r="AO54">
            <v>3016</v>
          </cell>
          <cell r="AP54">
            <v>5338</v>
          </cell>
          <cell r="AQ54">
            <v>5552</v>
          </cell>
          <cell r="AR54">
            <v>4300</v>
          </cell>
          <cell r="AS54">
            <v>6438</v>
          </cell>
          <cell r="AT54">
            <v>6438</v>
          </cell>
          <cell r="AU54">
            <v>5768</v>
          </cell>
          <cell r="AV54">
            <v>6149</v>
          </cell>
          <cell r="AW54">
            <v>9348</v>
          </cell>
          <cell r="AX54">
            <v>15982</v>
          </cell>
          <cell r="AY54">
            <v>15982</v>
          </cell>
          <cell r="AZ54">
            <v>11141</v>
          </cell>
          <cell r="BA54">
            <v>4556</v>
          </cell>
          <cell r="BB54">
            <v>3782</v>
          </cell>
          <cell r="BC54">
            <v>4851</v>
          </cell>
          <cell r="BD54">
            <v>4851</v>
          </cell>
          <cell r="BE54">
            <v>2974</v>
          </cell>
          <cell r="BF54">
            <v>4083</v>
          </cell>
          <cell r="BG54">
            <v>4351</v>
          </cell>
          <cell r="BH54">
            <v>6714</v>
          </cell>
          <cell r="BI54">
            <v>6714</v>
          </cell>
          <cell r="BJ54">
            <v>9076</v>
          </cell>
          <cell r="BK54">
            <v>6859</v>
          </cell>
          <cell r="BL54">
            <v>7611</v>
          </cell>
          <cell r="BM54">
            <v>6111</v>
          </cell>
          <cell r="BN54">
            <v>6111</v>
          </cell>
          <cell r="BO54">
            <v>6637</v>
          </cell>
          <cell r="BP54">
            <v>7460</v>
          </cell>
          <cell r="BQ54">
            <v>11820</v>
          </cell>
          <cell r="BR54">
            <v>10339</v>
          </cell>
          <cell r="BS54">
            <v>10339</v>
          </cell>
          <cell r="BT54">
            <v>9004</v>
          </cell>
          <cell r="BU54">
            <v>8346</v>
          </cell>
          <cell r="BV54">
            <v>7285</v>
          </cell>
          <cell r="BW54">
            <v>6076</v>
          </cell>
          <cell r="BX54">
            <v>6076</v>
          </cell>
          <cell r="BY54">
            <v>8823</v>
          </cell>
          <cell r="BZ54">
            <v>9422</v>
          </cell>
          <cell r="CA54">
            <v>8155</v>
          </cell>
          <cell r="CB54">
            <v>5505</v>
          </cell>
          <cell r="CC54">
            <v>5505</v>
          </cell>
          <cell r="CD54">
            <v>8161</v>
          </cell>
          <cell r="CE54">
            <v>4023</v>
          </cell>
          <cell r="CF54">
            <v>7021</v>
          </cell>
          <cell r="CG54">
            <v>9610</v>
          </cell>
          <cell r="CH54">
            <v>9610</v>
          </cell>
          <cell r="CI54">
            <v>12881</v>
          </cell>
          <cell r="CJ54">
            <v>10610</v>
          </cell>
          <cell r="CK54">
            <v>6388</v>
          </cell>
          <cell r="CL54">
            <v>6938</v>
          </cell>
          <cell r="CM54">
            <v>6938</v>
          </cell>
          <cell r="CN54">
            <v>5036</v>
          </cell>
          <cell r="CO54">
            <v>6017</v>
          </cell>
          <cell r="CP54">
            <v>5240</v>
          </cell>
          <cell r="CQ54">
            <v>3804</v>
          </cell>
          <cell r="CR54">
            <v>3804</v>
          </cell>
          <cell r="CS54">
            <v>4023</v>
          </cell>
          <cell r="CT54">
            <v>10059</v>
          </cell>
          <cell r="CU54">
            <v>11572</v>
          </cell>
          <cell r="CV54">
            <v>8669</v>
          </cell>
          <cell r="CW54">
            <v>8669</v>
          </cell>
          <cell r="CX54">
            <v>6302</v>
          </cell>
          <cell r="CY54">
            <v>6426</v>
          </cell>
          <cell r="CZ54">
            <v>7414</v>
          </cell>
          <cell r="DA54">
            <v>5595</v>
          </cell>
          <cell r="DB54">
            <v>5595</v>
          </cell>
          <cell r="DC54">
            <v>5431</v>
          </cell>
          <cell r="DD54">
            <v>7185</v>
          </cell>
          <cell r="DE54">
            <v>7170</v>
          </cell>
          <cell r="DF54">
            <v>6510</v>
          </cell>
          <cell r="DG54">
            <v>6510</v>
          </cell>
          <cell r="DH54">
            <v>13928</v>
          </cell>
          <cell r="DI54">
            <v>8468</v>
          </cell>
          <cell r="DJ54">
            <v>6713</v>
          </cell>
          <cell r="DK54">
            <v>7663</v>
          </cell>
          <cell r="DL54">
            <v>7663</v>
          </cell>
          <cell r="DM54">
            <v>6884</v>
          </cell>
          <cell r="DN54">
            <v>12859</v>
          </cell>
          <cell r="DO54">
            <v>9221</v>
          </cell>
          <cell r="DP54">
            <v>11946</v>
          </cell>
          <cell r="DQ54">
            <v>11946</v>
          </cell>
          <cell r="DR54">
            <v>15137</v>
          </cell>
          <cell r="DS54">
            <v>6638</v>
          </cell>
          <cell r="DT54">
            <v>11212</v>
          </cell>
          <cell r="DU54">
            <v>11356</v>
          </cell>
          <cell r="DV54">
            <v>11356</v>
          </cell>
          <cell r="DW54">
            <v>13117</v>
          </cell>
          <cell r="DX54">
            <v>8864</v>
          </cell>
          <cell r="DY54">
            <v>11710</v>
          </cell>
          <cell r="DZ54">
            <v>13576</v>
          </cell>
          <cell r="EA54">
            <v>13576</v>
          </cell>
          <cell r="EB54">
            <v>17205</v>
          </cell>
          <cell r="EC54">
            <v>14432</v>
          </cell>
          <cell r="ED54">
            <v>13702</v>
          </cell>
          <cell r="EE54">
            <v>14224</v>
          </cell>
          <cell r="EF54">
            <v>14224</v>
          </cell>
          <cell r="EG54">
            <v>19165</v>
          </cell>
          <cell r="EH54">
            <v>20604</v>
          </cell>
          <cell r="EI54">
            <v>12498</v>
          </cell>
          <cell r="EJ54">
            <v>13931</v>
          </cell>
          <cell r="EK54">
            <v>13931</v>
          </cell>
          <cell r="EL54">
            <v>22884</v>
          </cell>
          <cell r="EM54">
            <v>15646</v>
          </cell>
          <cell r="EN54">
            <v>26562</v>
          </cell>
          <cell r="EO54">
            <v>34704</v>
          </cell>
          <cell r="EP54">
            <v>34704</v>
          </cell>
          <cell r="EQ54">
            <v>80452</v>
          </cell>
          <cell r="ER54">
            <v>17305</v>
          </cell>
          <cell r="ES54">
            <v>19634</v>
          </cell>
          <cell r="ET54">
            <v>44699.735657951198</v>
          </cell>
          <cell r="EU54">
            <v>44699.735657951198</v>
          </cell>
          <cell r="EV54">
            <v>60604.706481614798</v>
          </cell>
          <cell r="EW54">
            <v>65300.888504219402</v>
          </cell>
          <cell r="EX54">
            <v>82752.066479660105</v>
          </cell>
          <cell r="EY54">
            <v>103152.596967208</v>
          </cell>
          <cell r="EZ54">
            <v>103152.596967208</v>
          </cell>
          <cell r="FA54">
            <v>130493.633575546</v>
          </cell>
          <cell r="FB54">
            <v>133394.91006710799</v>
          </cell>
          <cell r="FC54">
            <v>162527.750009754</v>
          </cell>
          <cell r="FD54">
            <v>186899.08823530501</v>
          </cell>
          <cell r="FE54">
            <v>186899.08823530501</v>
          </cell>
        </row>
        <row r="55">
          <cell r="B55" t="str">
            <v>Accounts receivable</v>
          </cell>
          <cell r="C55" t="str">
            <v>DEBTORS</v>
          </cell>
          <cell r="D55" t="str">
            <v>USD</v>
          </cell>
          <cell r="F55">
            <v>581</v>
          </cell>
          <cell r="G55">
            <v>1052</v>
          </cell>
          <cell r="H55">
            <v>771</v>
          </cell>
          <cell r="I55">
            <v>681</v>
          </cell>
          <cell r="J55">
            <v>639</v>
          </cell>
          <cell r="K55">
            <v>639</v>
          </cell>
          <cell r="L55">
            <v>855</v>
          </cell>
          <cell r="M55">
            <v>975</v>
          </cell>
          <cell r="N55">
            <v>866</v>
          </cell>
          <cell r="O55">
            <v>980</v>
          </cell>
          <cell r="P55">
            <v>980</v>
          </cell>
          <cell r="Q55">
            <v>788</v>
          </cell>
          <cell r="R55">
            <v>1081</v>
          </cell>
          <cell r="S55">
            <v>1055</v>
          </cell>
          <cell r="T55">
            <v>1460</v>
          </cell>
          <cell r="U55">
            <v>1460</v>
          </cell>
          <cell r="V55">
            <v>1153</v>
          </cell>
          <cell r="W55">
            <v>2029</v>
          </cell>
          <cell r="X55">
            <v>1689</v>
          </cell>
          <cell r="Y55">
            <v>2245</v>
          </cell>
          <cell r="Z55">
            <v>2245</v>
          </cell>
          <cell r="AA55">
            <v>2207</v>
          </cell>
          <cell r="AB55">
            <v>3284</v>
          </cell>
          <cell r="AC55">
            <v>2902</v>
          </cell>
          <cell r="AD55">
            <v>3250</v>
          </cell>
          <cell r="AE55">
            <v>3250</v>
          </cell>
          <cell r="AF55">
            <v>3172</v>
          </cell>
          <cell r="AG55">
            <v>4143</v>
          </cell>
          <cell r="AH55">
            <v>3532</v>
          </cell>
          <cell r="AI55">
            <v>3671</v>
          </cell>
          <cell r="AJ55">
            <v>3671</v>
          </cell>
          <cell r="AK55">
            <v>3615</v>
          </cell>
          <cell r="AL55">
            <v>5095</v>
          </cell>
          <cell r="AM55">
            <v>4230</v>
          </cell>
          <cell r="AN55">
            <v>5129</v>
          </cell>
          <cell r="AO55">
            <v>5129</v>
          </cell>
          <cell r="AP55">
            <v>4450</v>
          </cell>
          <cell r="AQ55">
            <v>4894</v>
          </cell>
          <cell r="AR55">
            <v>4075</v>
          </cell>
          <cell r="AS55">
            <v>5196</v>
          </cell>
          <cell r="AT55">
            <v>5196</v>
          </cell>
          <cell r="AU55">
            <v>4533</v>
          </cell>
          <cell r="AV55">
            <v>5608</v>
          </cell>
          <cell r="AW55">
            <v>4937</v>
          </cell>
          <cell r="AX55">
            <v>5890</v>
          </cell>
          <cell r="AY55">
            <v>5890</v>
          </cell>
          <cell r="AZ55">
            <v>5106</v>
          </cell>
          <cell r="BA55">
            <v>6646</v>
          </cell>
          <cell r="BB55">
            <v>5610</v>
          </cell>
          <cell r="BC55">
            <v>7180</v>
          </cell>
          <cell r="BD55">
            <v>7180</v>
          </cell>
          <cell r="BE55">
            <v>5799</v>
          </cell>
          <cell r="BF55">
            <v>7758</v>
          </cell>
          <cell r="BG55">
            <v>6818</v>
          </cell>
          <cell r="BH55">
            <v>9316</v>
          </cell>
          <cell r="BI55">
            <v>9316</v>
          </cell>
          <cell r="BJ55">
            <v>6879</v>
          </cell>
          <cell r="BK55">
            <v>9895</v>
          </cell>
          <cell r="BL55">
            <v>8454</v>
          </cell>
          <cell r="BM55">
            <v>11338</v>
          </cell>
          <cell r="BN55">
            <v>11338</v>
          </cell>
          <cell r="BO55">
            <v>8982</v>
          </cell>
          <cell r="BP55">
            <v>11621</v>
          </cell>
          <cell r="BQ55">
            <v>9871</v>
          </cell>
          <cell r="BR55">
            <v>13589</v>
          </cell>
          <cell r="BS55">
            <v>13589</v>
          </cell>
          <cell r="BT55">
            <v>9535</v>
          </cell>
          <cell r="BU55">
            <v>10953</v>
          </cell>
          <cell r="BV55">
            <v>9182</v>
          </cell>
          <cell r="BW55">
            <v>11192</v>
          </cell>
          <cell r="BX55">
            <v>11192</v>
          </cell>
          <cell r="BY55">
            <v>8587</v>
          </cell>
          <cell r="BZ55">
            <v>11196</v>
          </cell>
          <cell r="CA55">
            <v>9137</v>
          </cell>
          <cell r="CB55">
            <v>13014</v>
          </cell>
          <cell r="CC55">
            <v>13014</v>
          </cell>
          <cell r="CD55">
            <v>9646</v>
          </cell>
          <cell r="CE55">
            <v>12874</v>
          </cell>
          <cell r="CF55">
            <v>10033</v>
          </cell>
          <cell r="CG55">
            <v>14987</v>
          </cell>
          <cell r="CH55">
            <v>14987</v>
          </cell>
          <cell r="CI55">
            <v>10153</v>
          </cell>
          <cell r="CJ55">
            <v>13643</v>
          </cell>
          <cell r="CK55">
            <v>10961</v>
          </cell>
          <cell r="CL55">
            <v>15780</v>
          </cell>
          <cell r="CM55">
            <v>15780</v>
          </cell>
          <cell r="CN55">
            <v>9871</v>
          </cell>
          <cell r="CO55">
            <v>14317</v>
          </cell>
          <cell r="CP55">
            <v>11991</v>
          </cell>
          <cell r="CQ55">
            <v>17486</v>
          </cell>
          <cell r="CR55">
            <v>17486</v>
          </cell>
          <cell r="CS55">
            <v>11007</v>
          </cell>
          <cell r="CT55">
            <v>15986</v>
          </cell>
          <cell r="CU55">
            <v>13497</v>
          </cell>
          <cell r="CV55">
            <v>19544</v>
          </cell>
          <cell r="CW55">
            <v>19544</v>
          </cell>
          <cell r="CX55">
            <v>12887</v>
          </cell>
          <cell r="CY55">
            <v>16186</v>
          </cell>
          <cell r="CZ55">
            <v>12427</v>
          </cell>
          <cell r="DA55">
            <v>17908</v>
          </cell>
          <cell r="DB55">
            <v>17908</v>
          </cell>
          <cell r="DC55">
            <v>11444</v>
          </cell>
          <cell r="DD55">
            <v>14507</v>
          </cell>
          <cell r="DE55">
            <v>12247</v>
          </cell>
          <cell r="DF55">
            <v>18277</v>
          </cell>
          <cell r="DG55">
            <v>18277</v>
          </cell>
          <cell r="DH55">
            <v>13479</v>
          </cell>
          <cell r="DI55">
            <v>16737</v>
          </cell>
          <cell r="DJ55">
            <v>15364</v>
          </cell>
          <cell r="DK55">
            <v>22431</v>
          </cell>
          <cell r="DL55">
            <v>22431</v>
          </cell>
          <cell r="DM55">
            <v>14561</v>
          </cell>
          <cell r="DN55">
            <v>18428</v>
          </cell>
          <cell r="DO55">
            <v>17208</v>
          </cell>
          <cell r="DP55">
            <v>26481</v>
          </cell>
          <cell r="DQ55">
            <v>26481</v>
          </cell>
          <cell r="DR55">
            <v>17390</v>
          </cell>
          <cell r="DS55">
            <v>19680</v>
          </cell>
          <cell r="DT55">
            <v>19269</v>
          </cell>
          <cell r="DU55">
            <v>29524</v>
          </cell>
          <cell r="DV55">
            <v>29524</v>
          </cell>
          <cell r="DW55">
            <v>19087</v>
          </cell>
          <cell r="DX55">
            <v>23525</v>
          </cell>
          <cell r="DY55">
            <v>22699</v>
          </cell>
          <cell r="DZ55">
            <v>32011</v>
          </cell>
          <cell r="EA55">
            <v>32011</v>
          </cell>
          <cell r="EB55">
            <v>22851</v>
          </cell>
          <cell r="EC55">
            <v>27312</v>
          </cell>
          <cell r="ED55">
            <v>26322</v>
          </cell>
          <cell r="EE55">
            <v>38043</v>
          </cell>
          <cell r="EF55">
            <v>38043</v>
          </cell>
          <cell r="EG55">
            <v>27349</v>
          </cell>
          <cell r="EH55">
            <v>33520</v>
          </cell>
          <cell r="EI55">
            <v>32613</v>
          </cell>
          <cell r="EJ55">
            <v>44261</v>
          </cell>
          <cell r="EK55">
            <v>44261</v>
          </cell>
          <cell r="EL55">
            <v>31279</v>
          </cell>
          <cell r="EM55">
            <v>35833</v>
          </cell>
          <cell r="EN55">
            <v>37420</v>
          </cell>
          <cell r="EO55">
            <v>48688</v>
          </cell>
          <cell r="EP55">
            <v>48688</v>
          </cell>
          <cell r="EQ55">
            <v>36953</v>
          </cell>
          <cell r="ER55">
            <v>42831</v>
          </cell>
          <cell r="ES55">
            <v>44029</v>
          </cell>
          <cell r="ET55">
            <v>54457.124404276197</v>
          </cell>
          <cell r="EU55">
            <v>54457.124404276197</v>
          </cell>
          <cell r="EV55">
            <v>42536.796580180497</v>
          </cell>
          <cell r="EW55">
            <v>48602.770712231802</v>
          </cell>
          <cell r="EX55">
            <v>49852.233113411698</v>
          </cell>
          <cell r="EY55">
            <v>61259.318833744597</v>
          </cell>
          <cell r="EZ55">
            <v>61259.318833744597</v>
          </cell>
          <cell r="FA55">
            <v>47442.838415446102</v>
          </cell>
          <cell r="FB55">
            <v>55138.877129470697</v>
          </cell>
          <cell r="FC55">
            <v>55773.717012321496</v>
          </cell>
          <cell r="FD55">
            <v>68880.245430799201</v>
          </cell>
          <cell r="FE55">
            <v>68880.245430799201</v>
          </cell>
        </row>
        <row r="56">
          <cell r="B56" t="str">
            <v>Inventory</v>
          </cell>
          <cell r="C56" t="str">
            <v>STOCKS</v>
          </cell>
          <cell r="D56" t="str">
            <v>USD</v>
          </cell>
          <cell r="F56">
            <v>88</v>
          </cell>
          <cell r="G56">
            <v>125</v>
          </cell>
          <cell r="H56">
            <v>108</v>
          </cell>
          <cell r="I56">
            <v>33</v>
          </cell>
          <cell r="AJ56">
            <v>0</v>
          </cell>
          <cell r="AN56">
            <v>673</v>
          </cell>
          <cell r="AO56">
            <v>673</v>
          </cell>
          <cell r="AP56">
            <v>959</v>
          </cell>
          <cell r="AQ56">
            <v>650</v>
          </cell>
          <cell r="AR56">
            <v>604</v>
          </cell>
          <cell r="AS56">
            <v>640</v>
          </cell>
          <cell r="AT56">
            <v>640</v>
          </cell>
          <cell r="AU56">
            <v>1099</v>
          </cell>
          <cell r="AV56">
            <v>621</v>
          </cell>
          <cell r="AW56">
            <v>542</v>
          </cell>
          <cell r="AX56">
            <v>421</v>
          </cell>
          <cell r="AY56">
            <v>421</v>
          </cell>
          <cell r="AZ56">
            <v>608</v>
          </cell>
          <cell r="BA56">
            <v>304</v>
          </cell>
          <cell r="BB56">
            <v>340</v>
          </cell>
          <cell r="BC56">
            <v>491</v>
          </cell>
          <cell r="BD56">
            <v>491</v>
          </cell>
          <cell r="BE56">
            <v>726</v>
          </cell>
          <cell r="BF56">
            <v>1003</v>
          </cell>
          <cell r="BG56">
            <v>1113</v>
          </cell>
          <cell r="BH56">
            <v>1478</v>
          </cell>
          <cell r="BI56">
            <v>1478</v>
          </cell>
          <cell r="BJ56">
            <v>2521</v>
          </cell>
          <cell r="BK56">
            <v>1725</v>
          </cell>
          <cell r="BL56">
            <v>1750</v>
          </cell>
          <cell r="BM56">
            <v>1127</v>
          </cell>
          <cell r="BN56">
            <v>1127</v>
          </cell>
          <cell r="BO56">
            <v>1178</v>
          </cell>
          <cell r="BP56">
            <v>755</v>
          </cell>
          <cell r="BQ56">
            <v>774</v>
          </cell>
          <cell r="BR56">
            <v>985</v>
          </cell>
          <cell r="BS56">
            <v>985</v>
          </cell>
          <cell r="BT56">
            <v>1640</v>
          </cell>
          <cell r="BU56">
            <v>968</v>
          </cell>
          <cell r="BV56">
            <v>657</v>
          </cell>
          <cell r="BW56">
            <v>717</v>
          </cell>
          <cell r="BX56">
            <v>717</v>
          </cell>
          <cell r="BY56">
            <v>1150</v>
          </cell>
          <cell r="BZ56">
            <v>589</v>
          </cell>
          <cell r="CA56">
            <v>501</v>
          </cell>
          <cell r="CB56">
            <v>740</v>
          </cell>
          <cell r="CC56">
            <v>740</v>
          </cell>
          <cell r="CD56">
            <v>1242</v>
          </cell>
          <cell r="CE56">
            <v>861</v>
          </cell>
          <cell r="CF56">
            <v>1056</v>
          </cell>
          <cell r="CG56">
            <v>1372</v>
          </cell>
          <cell r="CH56">
            <v>1372</v>
          </cell>
          <cell r="CI56">
            <v>2270</v>
          </cell>
          <cell r="CJ56">
            <v>1351</v>
          </cell>
          <cell r="CK56">
            <v>1412</v>
          </cell>
          <cell r="CL56">
            <v>1137</v>
          </cell>
          <cell r="CM56">
            <v>1137</v>
          </cell>
          <cell r="CN56">
            <v>1624</v>
          </cell>
          <cell r="CO56">
            <v>1661</v>
          </cell>
          <cell r="CP56">
            <v>2133</v>
          </cell>
          <cell r="CQ56">
            <v>1938</v>
          </cell>
          <cell r="CR56">
            <v>1938</v>
          </cell>
          <cell r="CS56">
            <v>2613</v>
          </cell>
          <cell r="CT56">
            <v>1594</v>
          </cell>
          <cell r="CU56">
            <v>1920</v>
          </cell>
          <cell r="CV56">
            <v>2660</v>
          </cell>
          <cell r="CW56">
            <v>2660</v>
          </cell>
          <cell r="CX56">
            <v>3141</v>
          </cell>
          <cell r="CY56">
            <v>2053</v>
          </cell>
          <cell r="CZ56">
            <v>2469</v>
          </cell>
          <cell r="DA56">
            <v>2902</v>
          </cell>
          <cell r="DB56">
            <v>2902</v>
          </cell>
          <cell r="DC56">
            <v>3816</v>
          </cell>
          <cell r="DD56">
            <v>2702</v>
          </cell>
          <cell r="DE56">
            <v>2450</v>
          </cell>
          <cell r="DF56">
            <v>2251</v>
          </cell>
          <cell r="DG56">
            <v>2251</v>
          </cell>
          <cell r="DH56">
            <v>3122</v>
          </cell>
          <cell r="DI56">
            <v>1961</v>
          </cell>
          <cell r="DJ56">
            <v>1979</v>
          </cell>
          <cell r="DK56">
            <v>2181</v>
          </cell>
          <cell r="DL56">
            <v>2181</v>
          </cell>
          <cell r="DM56">
            <v>3211</v>
          </cell>
          <cell r="DN56">
            <v>2003</v>
          </cell>
          <cell r="DO56">
            <v>2084</v>
          </cell>
          <cell r="DP56">
            <v>2662</v>
          </cell>
          <cell r="DQ56">
            <v>2662</v>
          </cell>
          <cell r="DR56">
            <v>3614</v>
          </cell>
          <cell r="DS56">
            <v>1961</v>
          </cell>
          <cell r="DT56">
            <v>1951</v>
          </cell>
          <cell r="DU56">
            <v>2063</v>
          </cell>
          <cell r="DV56">
            <v>2063</v>
          </cell>
          <cell r="DW56">
            <v>2622</v>
          </cell>
          <cell r="DX56">
            <v>1823</v>
          </cell>
          <cell r="DY56">
            <v>1644</v>
          </cell>
          <cell r="DZ56">
            <v>1895</v>
          </cell>
          <cell r="EA56">
            <v>1895</v>
          </cell>
          <cell r="EB56">
            <v>2705</v>
          </cell>
          <cell r="EC56">
            <v>1924</v>
          </cell>
          <cell r="ED56">
            <v>2245</v>
          </cell>
          <cell r="EE56">
            <v>2636</v>
          </cell>
          <cell r="EF56">
            <v>2636</v>
          </cell>
          <cell r="EG56">
            <v>3411</v>
          </cell>
          <cell r="EH56">
            <v>3019</v>
          </cell>
          <cell r="EI56">
            <v>3296</v>
          </cell>
          <cell r="EJ56">
            <v>3742</v>
          </cell>
          <cell r="EK56">
            <v>3742</v>
          </cell>
          <cell r="EL56">
            <v>4268</v>
          </cell>
          <cell r="EM56">
            <v>2980</v>
          </cell>
          <cell r="EN56">
            <v>2877</v>
          </cell>
          <cell r="EO56">
            <v>2500</v>
          </cell>
          <cell r="EP56">
            <v>2500</v>
          </cell>
          <cell r="EQ56">
            <v>3000</v>
          </cell>
          <cell r="ER56">
            <v>1615</v>
          </cell>
          <cell r="ES56">
            <v>1304</v>
          </cell>
          <cell r="ET56">
            <v>1589.69186894829</v>
          </cell>
          <cell r="EU56">
            <v>1589.69186894829</v>
          </cell>
          <cell r="EV56">
            <v>1526.9904814341501</v>
          </cell>
          <cell r="EW56">
            <v>1128.8561160030899</v>
          </cell>
          <cell r="EX56">
            <v>1483.13888101519</v>
          </cell>
          <cell r="EY56">
            <v>1811.9910770363299</v>
          </cell>
          <cell r="EZ56">
            <v>1811.9910770363299</v>
          </cell>
          <cell r="FA56">
            <v>1732.39469409203</v>
          </cell>
          <cell r="FB56">
            <v>1280.66482147037</v>
          </cell>
          <cell r="FC56">
            <v>1685.74123889813</v>
          </cell>
          <cell r="FD56">
            <v>2064.8129515359601</v>
          </cell>
          <cell r="FE56">
            <v>2064.8129515359601</v>
          </cell>
        </row>
        <row r="57">
          <cell r="B57" t="str">
            <v>Other current assets</v>
          </cell>
          <cell r="C57" t="str">
            <v>OTH_CUR_ASS</v>
          </cell>
          <cell r="D57" t="str">
            <v>USD</v>
          </cell>
          <cell r="F57">
            <v>2989</v>
          </cell>
          <cell r="G57">
            <v>3334</v>
          </cell>
          <cell r="H57">
            <v>3901</v>
          </cell>
          <cell r="I57">
            <v>4045</v>
          </cell>
          <cell r="J57">
            <v>4599</v>
          </cell>
          <cell r="K57">
            <v>4599</v>
          </cell>
          <cell r="L57">
            <v>4359</v>
          </cell>
          <cell r="M57">
            <v>6371</v>
          </cell>
          <cell r="N57">
            <v>5506</v>
          </cell>
          <cell r="O57">
            <v>5687</v>
          </cell>
          <cell r="P57">
            <v>5687</v>
          </cell>
          <cell r="Q57">
            <v>6105</v>
          </cell>
          <cell r="R57">
            <v>7973</v>
          </cell>
          <cell r="S57">
            <v>8570</v>
          </cell>
          <cell r="T57">
            <v>10590</v>
          </cell>
          <cell r="U57">
            <v>10590</v>
          </cell>
          <cell r="V57">
            <v>12620</v>
          </cell>
          <cell r="W57">
            <v>13667</v>
          </cell>
          <cell r="X57">
            <v>16166</v>
          </cell>
          <cell r="Y57">
            <v>13013</v>
          </cell>
          <cell r="Z57">
            <v>13013</v>
          </cell>
          <cell r="AA57">
            <v>14967</v>
          </cell>
          <cell r="AB57">
            <v>13704</v>
          </cell>
          <cell r="AC57">
            <v>17123</v>
          </cell>
          <cell r="AD57">
            <v>20504</v>
          </cell>
          <cell r="AE57">
            <v>20504</v>
          </cell>
          <cell r="AF57">
            <v>25580</v>
          </cell>
          <cell r="AG57">
            <v>27342</v>
          </cell>
          <cell r="AH57">
            <v>30108</v>
          </cell>
          <cell r="AI57">
            <v>32044</v>
          </cell>
          <cell r="AJ57">
            <v>32044</v>
          </cell>
          <cell r="AK57">
            <v>37604</v>
          </cell>
          <cell r="AL57">
            <v>37637</v>
          </cell>
          <cell r="AM57">
            <v>38481</v>
          </cell>
          <cell r="AN57">
            <v>39758</v>
          </cell>
          <cell r="AO57">
            <v>39758</v>
          </cell>
          <cell r="AP57">
            <v>39296</v>
          </cell>
          <cell r="AQ57">
            <v>41835</v>
          </cell>
          <cell r="AR57">
            <v>45693</v>
          </cell>
          <cell r="AS57">
            <v>46699</v>
          </cell>
          <cell r="AT57">
            <v>46699</v>
          </cell>
          <cell r="AU57">
            <v>49510</v>
          </cell>
          <cell r="AV57">
            <v>50022</v>
          </cell>
          <cell r="AW57">
            <v>50443</v>
          </cell>
          <cell r="AX57">
            <v>48273</v>
          </cell>
          <cell r="AY57">
            <v>48273</v>
          </cell>
          <cell r="AZ57">
            <v>56041</v>
          </cell>
          <cell r="BA57">
            <v>32893</v>
          </cell>
          <cell r="BB57">
            <v>36861</v>
          </cell>
          <cell r="BC57">
            <v>36215</v>
          </cell>
          <cell r="BD57">
            <v>36215</v>
          </cell>
          <cell r="BE57">
            <v>40332</v>
          </cell>
          <cell r="BF57">
            <v>33850</v>
          </cell>
          <cell r="BG57">
            <v>34346</v>
          </cell>
          <cell r="BH57">
            <v>31502</v>
          </cell>
          <cell r="BI57">
            <v>31502</v>
          </cell>
          <cell r="BJ57">
            <v>26882</v>
          </cell>
          <cell r="BK57">
            <v>26701</v>
          </cell>
          <cell r="BL57">
            <v>24968</v>
          </cell>
          <cell r="BM57">
            <v>21592</v>
          </cell>
          <cell r="BN57">
            <v>21592</v>
          </cell>
          <cell r="BO57">
            <v>19056</v>
          </cell>
          <cell r="BP57">
            <v>17939</v>
          </cell>
          <cell r="BQ57">
            <v>19024</v>
          </cell>
          <cell r="BR57">
            <v>18329</v>
          </cell>
          <cell r="BS57">
            <v>18329</v>
          </cell>
          <cell r="BT57">
            <v>17023</v>
          </cell>
          <cell r="BU57">
            <v>17463</v>
          </cell>
          <cell r="BV57">
            <v>23600</v>
          </cell>
          <cell r="BW57">
            <v>31295</v>
          </cell>
          <cell r="BX57">
            <v>31295</v>
          </cell>
          <cell r="BY57">
            <v>33671</v>
          </cell>
          <cell r="BZ57">
            <v>31280</v>
          </cell>
          <cell r="CA57">
            <v>36725</v>
          </cell>
          <cell r="CB57">
            <v>36417</v>
          </cell>
          <cell r="CC57">
            <v>36417</v>
          </cell>
          <cell r="CD57">
            <v>40532</v>
          </cell>
          <cell r="CE57">
            <v>41926</v>
          </cell>
          <cell r="CF57">
            <v>48153</v>
          </cell>
          <cell r="CG57">
            <v>48949</v>
          </cell>
          <cell r="CH57">
            <v>48949</v>
          </cell>
          <cell r="CI57">
            <v>49967</v>
          </cell>
          <cell r="CJ57">
            <v>46909</v>
          </cell>
          <cell r="CK57">
            <v>58099</v>
          </cell>
          <cell r="CL57">
            <v>61229</v>
          </cell>
          <cell r="CM57">
            <v>61229</v>
          </cell>
          <cell r="CN57">
            <v>67520</v>
          </cell>
          <cell r="CO57">
            <v>67579</v>
          </cell>
          <cell r="CP57">
            <v>74160</v>
          </cell>
          <cell r="CQ57">
            <v>78238</v>
          </cell>
          <cell r="CR57">
            <v>78238</v>
          </cell>
          <cell r="CS57">
            <v>81807</v>
          </cell>
          <cell r="CT57">
            <v>79231</v>
          </cell>
          <cell r="CU57">
            <v>82017</v>
          </cell>
          <cell r="CV57">
            <v>83373</v>
          </cell>
          <cell r="CW57">
            <v>83373</v>
          </cell>
          <cell r="CX57">
            <v>90109</v>
          </cell>
          <cell r="CY57">
            <v>91697</v>
          </cell>
          <cell r="CZ57">
            <v>96088</v>
          </cell>
          <cell r="DA57">
            <v>98307</v>
          </cell>
          <cell r="DB57">
            <v>98307</v>
          </cell>
          <cell r="DC57">
            <v>100965</v>
          </cell>
          <cell r="DD57">
            <v>103418</v>
          </cell>
          <cell r="DE57">
            <v>106554</v>
          </cell>
          <cell r="DF57">
            <v>112622</v>
          </cell>
          <cell r="DG57">
            <v>112622</v>
          </cell>
          <cell r="DH57">
            <v>129897</v>
          </cell>
          <cell r="DI57">
            <v>120353</v>
          </cell>
          <cell r="DJ57">
            <v>124921</v>
          </cell>
          <cell r="DK57">
            <v>130421</v>
          </cell>
          <cell r="DL57">
            <v>130421</v>
          </cell>
          <cell r="DM57">
            <v>136375</v>
          </cell>
          <cell r="DN57">
            <v>134343</v>
          </cell>
          <cell r="DO57">
            <v>128146</v>
          </cell>
          <cell r="DP57">
            <v>128573</v>
          </cell>
          <cell r="DQ57">
            <v>128573</v>
          </cell>
          <cell r="DR57">
            <v>128054</v>
          </cell>
          <cell r="DS57">
            <v>128595</v>
          </cell>
          <cell r="DT57">
            <v>127455</v>
          </cell>
          <cell r="DU57">
            <v>132609</v>
          </cell>
          <cell r="DV57">
            <v>132609</v>
          </cell>
          <cell r="DW57">
            <v>131070</v>
          </cell>
          <cell r="DX57">
            <v>132862</v>
          </cell>
          <cell r="DY57">
            <v>134452</v>
          </cell>
          <cell r="DZ57">
            <v>134433</v>
          </cell>
          <cell r="EA57">
            <v>134433</v>
          </cell>
          <cell r="EB57">
            <v>134316</v>
          </cell>
          <cell r="EC57">
            <v>130305</v>
          </cell>
          <cell r="ED57">
            <v>123345</v>
          </cell>
          <cell r="EE57">
            <v>129503</v>
          </cell>
          <cell r="EF57">
            <v>129503</v>
          </cell>
          <cell r="EG57">
            <v>124401</v>
          </cell>
          <cell r="EH57">
            <v>117045</v>
          </cell>
          <cell r="EI57">
            <v>105515</v>
          </cell>
          <cell r="EJ57">
            <v>107750</v>
          </cell>
          <cell r="EK57">
            <v>107750</v>
          </cell>
          <cell r="EL57">
            <v>102381</v>
          </cell>
          <cell r="EM57">
            <v>103364</v>
          </cell>
          <cell r="EN57">
            <v>97030</v>
          </cell>
          <cell r="EO57">
            <v>98365</v>
          </cell>
          <cell r="EP57">
            <v>98365</v>
          </cell>
          <cell r="EQ57">
            <v>87181</v>
          </cell>
          <cell r="ER57">
            <v>85642</v>
          </cell>
          <cell r="ES57">
            <v>82213</v>
          </cell>
          <cell r="ET57">
            <v>82331.348116535606</v>
          </cell>
          <cell r="EU57">
            <v>82331.348116535606</v>
          </cell>
          <cell r="EV57">
            <v>84138.913252666403</v>
          </cell>
          <cell r="EW57">
            <v>83864.665357516496</v>
          </cell>
          <cell r="EX57">
            <v>83804.261594325799</v>
          </cell>
          <cell r="EY57">
            <v>86879.617763223505</v>
          </cell>
          <cell r="EZ57">
            <v>86879.617763223505</v>
          </cell>
          <cell r="FA57">
            <v>82830.561111520597</v>
          </cell>
          <cell r="FB57">
            <v>85425.104388562002</v>
          </cell>
          <cell r="FC57">
            <v>85403.813664079906</v>
          </cell>
          <cell r="FD57">
            <v>92262.120463883693</v>
          </cell>
          <cell r="FE57">
            <v>92262.120463883693</v>
          </cell>
        </row>
        <row r="58">
          <cell r="B58" t="str">
            <v>Total current assets</v>
          </cell>
          <cell r="C58" t="str">
            <v>CUR_ASS</v>
          </cell>
          <cell r="D58" t="str">
            <v>USD</v>
          </cell>
          <cell r="F58">
            <v>5620</v>
          </cell>
          <cell r="G58">
            <v>6417</v>
          </cell>
          <cell r="H58">
            <v>7103</v>
          </cell>
          <cell r="I58">
            <v>7696</v>
          </cell>
          <cell r="J58">
            <v>7839</v>
          </cell>
          <cell r="K58">
            <v>7839</v>
          </cell>
          <cell r="L58">
            <v>8232</v>
          </cell>
          <cell r="M58">
            <v>10442</v>
          </cell>
          <cell r="N58">
            <v>10224</v>
          </cell>
          <cell r="O58">
            <v>10373</v>
          </cell>
          <cell r="P58">
            <v>10373</v>
          </cell>
          <cell r="Q58">
            <v>10838</v>
          </cell>
          <cell r="R58">
            <v>11636</v>
          </cell>
          <cell r="S58">
            <v>13735</v>
          </cell>
          <cell r="T58">
            <v>15889</v>
          </cell>
          <cell r="U58">
            <v>15889</v>
          </cell>
          <cell r="V58">
            <v>18964</v>
          </cell>
          <cell r="W58">
            <v>21809</v>
          </cell>
          <cell r="X58">
            <v>24058</v>
          </cell>
          <cell r="Y58">
            <v>20233</v>
          </cell>
          <cell r="Z58">
            <v>20233</v>
          </cell>
          <cell r="AA58">
            <v>21963</v>
          </cell>
          <cell r="AB58">
            <v>22020</v>
          </cell>
          <cell r="AC58">
            <v>25217</v>
          </cell>
          <cell r="AD58">
            <v>28600</v>
          </cell>
          <cell r="AE58">
            <v>28600</v>
          </cell>
          <cell r="AF58">
            <v>31393</v>
          </cell>
          <cell r="AG58">
            <v>35016</v>
          </cell>
          <cell r="AH58">
            <v>37789</v>
          </cell>
          <cell r="AI58">
            <v>39637</v>
          </cell>
          <cell r="AJ58">
            <v>39637</v>
          </cell>
          <cell r="AK58">
            <v>44332</v>
          </cell>
          <cell r="AL58">
            <v>47988</v>
          </cell>
          <cell r="AM58">
            <v>47827</v>
          </cell>
          <cell r="AN58">
            <v>48576</v>
          </cell>
          <cell r="AO58">
            <v>48576</v>
          </cell>
          <cell r="AP58">
            <v>50043</v>
          </cell>
          <cell r="AQ58">
            <v>52931</v>
          </cell>
          <cell r="AR58">
            <v>54672</v>
          </cell>
          <cell r="AS58">
            <v>58973</v>
          </cell>
          <cell r="AT58">
            <v>58973</v>
          </cell>
          <cell r="AU58">
            <v>60910</v>
          </cell>
          <cell r="AV58">
            <v>62400</v>
          </cell>
          <cell r="AW58">
            <v>65270</v>
          </cell>
          <cell r="AX58">
            <v>70566</v>
          </cell>
          <cell r="AY58">
            <v>70566</v>
          </cell>
          <cell r="AZ58">
            <v>72896</v>
          </cell>
          <cell r="BA58">
            <v>44399</v>
          </cell>
          <cell r="BB58">
            <v>46593</v>
          </cell>
          <cell r="BC58">
            <v>48737</v>
          </cell>
          <cell r="BD58">
            <v>48737</v>
          </cell>
          <cell r="BE58">
            <v>49831</v>
          </cell>
          <cell r="BF58">
            <v>46694</v>
          </cell>
          <cell r="BG58">
            <v>46628</v>
          </cell>
          <cell r="BH58">
            <v>49010</v>
          </cell>
          <cell r="BI58">
            <v>49010</v>
          </cell>
          <cell r="BJ58">
            <v>45358</v>
          </cell>
          <cell r="BK58">
            <v>45180</v>
          </cell>
          <cell r="BL58">
            <v>42783</v>
          </cell>
          <cell r="BM58">
            <v>40168</v>
          </cell>
          <cell r="BN58">
            <v>40168</v>
          </cell>
          <cell r="BO58">
            <v>35853</v>
          </cell>
          <cell r="BP58">
            <v>37775</v>
          </cell>
          <cell r="BQ58">
            <v>41489</v>
          </cell>
          <cell r="BR58">
            <v>43242</v>
          </cell>
          <cell r="BS58">
            <v>43242</v>
          </cell>
          <cell r="BT58">
            <v>37202</v>
          </cell>
          <cell r="BU58">
            <v>37730</v>
          </cell>
          <cell r="BV58">
            <v>40724</v>
          </cell>
          <cell r="BW58">
            <v>49280</v>
          </cell>
          <cell r="BX58">
            <v>49280</v>
          </cell>
          <cell r="BY58">
            <v>52231</v>
          </cell>
          <cell r="BZ58">
            <v>52487</v>
          </cell>
          <cell r="CA58">
            <v>54518</v>
          </cell>
          <cell r="CB58">
            <v>55676</v>
          </cell>
          <cell r="CC58">
            <v>55676</v>
          </cell>
          <cell r="CD58">
            <v>59581</v>
          </cell>
          <cell r="CE58">
            <v>59684</v>
          </cell>
          <cell r="CF58">
            <v>66263</v>
          </cell>
          <cell r="CG58">
            <v>74918</v>
          </cell>
          <cell r="CH58">
            <v>74918</v>
          </cell>
          <cell r="CI58">
            <v>75271</v>
          </cell>
          <cell r="CJ58">
            <v>72513</v>
          </cell>
          <cell r="CK58">
            <v>76860</v>
          </cell>
          <cell r="CL58">
            <v>85084</v>
          </cell>
          <cell r="CM58">
            <v>85084</v>
          </cell>
          <cell r="CN58">
            <v>84051</v>
          </cell>
          <cell r="CO58">
            <v>89574</v>
          </cell>
          <cell r="CP58">
            <v>93524</v>
          </cell>
          <cell r="CQ58">
            <v>101466</v>
          </cell>
          <cell r="CR58">
            <v>101466</v>
          </cell>
          <cell r="CS58">
            <v>99450</v>
          </cell>
          <cell r="CT58">
            <v>106870</v>
          </cell>
          <cell r="CU58">
            <v>109006</v>
          </cell>
          <cell r="CV58">
            <v>114246</v>
          </cell>
          <cell r="CW58">
            <v>114246</v>
          </cell>
          <cell r="CX58">
            <v>112439</v>
          </cell>
          <cell r="CY58">
            <v>116362</v>
          </cell>
          <cell r="CZ58">
            <v>118398</v>
          </cell>
          <cell r="DA58">
            <v>124712</v>
          </cell>
          <cell r="DB58">
            <v>124712</v>
          </cell>
          <cell r="DC58">
            <v>121656</v>
          </cell>
          <cell r="DD58">
            <v>127812</v>
          </cell>
          <cell r="DE58">
            <v>128421</v>
          </cell>
          <cell r="DF58">
            <v>139660</v>
          </cell>
          <cell r="DG58">
            <v>139660</v>
          </cell>
          <cell r="DH58">
            <v>160426</v>
          </cell>
          <cell r="DI58">
            <v>147519</v>
          </cell>
          <cell r="DJ58">
            <v>148977</v>
          </cell>
          <cell r="DK58">
            <v>162696</v>
          </cell>
          <cell r="DL58">
            <v>162696</v>
          </cell>
          <cell r="DM58">
            <v>161031</v>
          </cell>
          <cell r="DN58">
            <v>167633</v>
          </cell>
          <cell r="DO58">
            <v>156659</v>
          </cell>
          <cell r="DP58">
            <v>169662</v>
          </cell>
          <cell r="DQ58">
            <v>169662</v>
          </cell>
          <cell r="DR58">
            <v>164195</v>
          </cell>
          <cell r="DS58">
            <v>156874</v>
          </cell>
          <cell r="DT58">
            <v>159887</v>
          </cell>
          <cell r="DU58">
            <v>175552</v>
          </cell>
          <cell r="DV58">
            <v>175552</v>
          </cell>
          <cell r="DW58">
            <v>165896</v>
          </cell>
          <cell r="DX58">
            <v>167074</v>
          </cell>
          <cell r="DY58">
            <v>170505</v>
          </cell>
          <cell r="DZ58">
            <v>181915</v>
          </cell>
          <cell r="EA58">
            <v>181915</v>
          </cell>
          <cell r="EB58">
            <v>177077</v>
          </cell>
          <cell r="EC58">
            <v>173973</v>
          </cell>
          <cell r="ED58">
            <v>165614</v>
          </cell>
          <cell r="EE58">
            <v>184406</v>
          </cell>
          <cell r="EF58">
            <v>184406</v>
          </cell>
          <cell r="EG58">
            <v>174326</v>
          </cell>
          <cell r="EH58">
            <v>174188</v>
          </cell>
          <cell r="EI58">
            <v>153922</v>
          </cell>
          <cell r="EJ58">
            <v>169684</v>
          </cell>
          <cell r="EK58">
            <v>169684</v>
          </cell>
          <cell r="EL58">
            <v>160812</v>
          </cell>
          <cell r="EM58">
            <v>157823</v>
          </cell>
          <cell r="EN58">
            <v>163889</v>
          </cell>
          <cell r="EO58">
            <v>184257</v>
          </cell>
          <cell r="EP58">
            <v>184257</v>
          </cell>
          <cell r="EQ58">
            <v>207586</v>
          </cell>
          <cell r="ER58">
            <v>147393</v>
          </cell>
          <cell r="ES58">
            <v>147180</v>
          </cell>
          <cell r="ET58">
            <v>183077.90004771101</v>
          </cell>
          <cell r="EU58">
            <v>183077.90004771101</v>
          </cell>
          <cell r="EV58">
            <v>188807.40679589601</v>
          </cell>
          <cell r="EW58">
            <v>198897.18068997099</v>
          </cell>
          <cell r="EX58">
            <v>217891.70006841299</v>
          </cell>
          <cell r="EY58">
            <v>253103.52464121301</v>
          </cell>
          <cell r="EZ58">
            <v>253103.52464121301</v>
          </cell>
          <cell r="FA58">
            <v>262499.42779660498</v>
          </cell>
          <cell r="FB58">
            <v>275239.55640661198</v>
          </cell>
          <cell r="FC58">
            <v>305391.02192505402</v>
          </cell>
          <cell r="FD58">
            <v>350106.26708152401</v>
          </cell>
          <cell r="FE58">
            <v>350106.26708152401</v>
          </cell>
        </row>
        <row r="59">
          <cell r="B59" t="str">
            <v>Gross fixed assets, PP&amp;E</v>
          </cell>
          <cell r="C59" t="str">
            <v>GR_FIX_ASS</v>
          </cell>
          <cell r="D59" t="str">
            <v>USD</v>
          </cell>
          <cell r="F59">
            <v>1192</v>
          </cell>
          <cell r="G59">
            <v>1265</v>
          </cell>
          <cell r="H59">
            <v>1297</v>
          </cell>
          <cell r="I59">
            <v>1281</v>
          </cell>
          <cell r="J59">
            <v>1326</v>
          </cell>
          <cell r="K59">
            <v>1326</v>
          </cell>
          <cell r="L59">
            <v>1304</v>
          </cell>
          <cell r="M59">
            <v>1322</v>
          </cell>
          <cell r="N59">
            <v>1371</v>
          </cell>
          <cell r="O59">
            <v>1465</v>
          </cell>
          <cell r="P59">
            <v>1465</v>
          </cell>
          <cell r="Q59">
            <v>1484</v>
          </cell>
          <cell r="R59">
            <v>1478</v>
          </cell>
          <cell r="S59">
            <v>1416</v>
          </cell>
          <cell r="T59">
            <v>1505</v>
          </cell>
          <cell r="U59">
            <v>1505</v>
          </cell>
          <cell r="V59">
            <v>1466</v>
          </cell>
          <cell r="W59">
            <v>1495</v>
          </cell>
          <cell r="X59">
            <v>1445</v>
          </cell>
          <cell r="Y59">
            <v>1611</v>
          </cell>
          <cell r="Z59">
            <v>1611</v>
          </cell>
          <cell r="AA59">
            <v>1657</v>
          </cell>
          <cell r="AB59">
            <v>1739</v>
          </cell>
          <cell r="AC59">
            <v>1835</v>
          </cell>
          <cell r="AD59">
            <v>1903</v>
          </cell>
          <cell r="AE59">
            <v>1903</v>
          </cell>
          <cell r="AF59">
            <v>1973</v>
          </cell>
          <cell r="AG59">
            <v>2098</v>
          </cell>
          <cell r="AH59">
            <v>2159</v>
          </cell>
          <cell r="AI59">
            <v>2309</v>
          </cell>
          <cell r="AJ59">
            <v>2309</v>
          </cell>
          <cell r="AK59">
            <v>2261</v>
          </cell>
          <cell r="AL59">
            <v>2240</v>
          </cell>
          <cell r="AM59">
            <v>2182</v>
          </cell>
          <cell r="AN59">
            <v>2268</v>
          </cell>
          <cell r="AO59">
            <v>2268</v>
          </cell>
          <cell r="AP59">
            <v>2189</v>
          </cell>
          <cell r="AQ59">
            <v>2257</v>
          </cell>
          <cell r="AR59">
            <v>2208</v>
          </cell>
          <cell r="AS59">
            <v>2223</v>
          </cell>
          <cell r="AT59">
            <v>2223</v>
          </cell>
          <cell r="AU59">
            <v>2193</v>
          </cell>
          <cell r="AV59">
            <v>2178</v>
          </cell>
          <cell r="AW59">
            <v>2258</v>
          </cell>
          <cell r="AX59">
            <v>2326</v>
          </cell>
          <cell r="AY59">
            <v>2326</v>
          </cell>
          <cell r="AZ59">
            <v>2317</v>
          </cell>
          <cell r="BA59">
            <v>2336</v>
          </cell>
          <cell r="BB59">
            <v>2321</v>
          </cell>
          <cell r="BC59">
            <v>2346</v>
          </cell>
          <cell r="BD59">
            <v>2346</v>
          </cell>
          <cell r="BE59">
            <v>2351</v>
          </cell>
          <cell r="BF59">
            <v>2452</v>
          </cell>
          <cell r="BG59">
            <v>2543</v>
          </cell>
          <cell r="BH59">
            <v>3044</v>
          </cell>
          <cell r="BI59">
            <v>3044</v>
          </cell>
          <cell r="BJ59">
            <v>3193</v>
          </cell>
          <cell r="BK59">
            <v>3686</v>
          </cell>
          <cell r="BL59">
            <v>3923</v>
          </cell>
          <cell r="BM59">
            <v>4350</v>
          </cell>
          <cell r="BN59">
            <v>4350</v>
          </cell>
          <cell r="BO59">
            <v>4615</v>
          </cell>
          <cell r="BP59">
            <v>4965</v>
          </cell>
          <cell r="BQ59">
            <v>5516</v>
          </cell>
          <cell r="BR59">
            <v>6242</v>
          </cell>
          <cell r="BS59">
            <v>6242</v>
          </cell>
          <cell r="BT59">
            <v>6552</v>
          </cell>
          <cell r="BU59">
            <v>6996</v>
          </cell>
          <cell r="BV59">
            <v>7112</v>
          </cell>
          <cell r="BW59">
            <v>7535</v>
          </cell>
          <cell r="BX59">
            <v>7535</v>
          </cell>
          <cell r="BY59">
            <v>7512</v>
          </cell>
          <cell r="BZ59">
            <v>7402</v>
          </cell>
          <cell r="CA59">
            <v>7372</v>
          </cell>
          <cell r="CB59">
            <v>7630</v>
          </cell>
          <cell r="CC59">
            <v>7630</v>
          </cell>
          <cell r="CD59">
            <v>7771</v>
          </cell>
          <cell r="CE59">
            <v>7799</v>
          </cell>
          <cell r="CF59">
            <v>7969</v>
          </cell>
          <cell r="CG59">
            <v>8162</v>
          </cell>
          <cell r="CH59">
            <v>8162</v>
          </cell>
          <cell r="CI59">
            <v>8033</v>
          </cell>
          <cell r="CJ59">
            <v>8010</v>
          </cell>
          <cell r="CK59">
            <v>8225</v>
          </cell>
          <cell r="CL59">
            <v>8269</v>
          </cell>
          <cell r="CM59">
            <v>8269</v>
          </cell>
          <cell r="CN59">
            <v>8329</v>
          </cell>
          <cell r="CO59">
            <v>8698</v>
          </cell>
          <cell r="CP59">
            <v>9204</v>
          </cell>
          <cell r="CQ59">
            <v>9991</v>
          </cell>
          <cell r="CR59">
            <v>9991</v>
          </cell>
          <cell r="CS59">
            <v>10774</v>
          </cell>
          <cell r="CT59">
            <v>11567</v>
          </cell>
          <cell r="CU59">
            <v>11771</v>
          </cell>
          <cell r="CV59">
            <v>13011</v>
          </cell>
          <cell r="CW59">
            <v>13011</v>
          </cell>
          <cell r="CX59">
            <v>13229</v>
          </cell>
          <cell r="CY59">
            <v>13607</v>
          </cell>
          <cell r="CZ59">
            <v>14375</v>
          </cell>
          <cell r="DA59">
            <v>14731</v>
          </cell>
          <cell r="DB59">
            <v>14731</v>
          </cell>
          <cell r="DC59">
            <v>15046</v>
          </cell>
          <cell r="DD59">
            <v>15789</v>
          </cell>
          <cell r="DE59">
            <v>16831</v>
          </cell>
          <cell r="DF59">
            <v>18356</v>
          </cell>
          <cell r="DG59">
            <v>18356</v>
          </cell>
          <cell r="DH59">
            <v>19224</v>
          </cell>
          <cell r="DI59">
            <v>21379</v>
          </cell>
          <cell r="DJ59">
            <v>21962</v>
          </cell>
          <cell r="DK59">
            <v>23734</v>
          </cell>
          <cell r="DL59">
            <v>23734</v>
          </cell>
          <cell r="DM59">
            <v>24809</v>
          </cell>
          <cell r="DN59">
            <v>26304</v>
          </cell>
          <cell r="DO59">
            <v>27929</v>
          </cell>
          <cell r="DP59">
            <v>29460</v>
          </cell>
          <cell r="DQ59">
            <v>29460</v>
          </cell>
          <cell r="DR59">
            <v>31430</v>
          </cell>
          <cell r="DS59">
            <v>32717</v>
          </cell>
          <cell r="DT59">
            <v>33648</v>
          </cell>
          <cell r="DU59">
            <v>36477</v>
          </cell>
          <cell r="DV59">
            <v>36477</v>
          </cell>
          <cell r="DW59">
            <v>38409</v>
          </cell>
          <cell r="DX59">
            <v>40522</v>
          </cell>
          <cell r="DY59">
            <v>41221</v>
          </cell>
          <cell r="DZ59">
            <v>44151</v>
          </cell>
          <cell r="EA59">
            <v>44151</v>
          </cell>
          <cell r="EB59">
            <v>93344</v>
          </cell>
          <cell r="EC59">
            <v>99452</v>
          </cell>
          <cell r="ED59">
            <v>104626</v>
          </cell>
          <cell r="EE59">
            <v>111066</v>
          </cell>
          <cell r="EF59">
            <v>111066</v>
          </cell>
          <cell r="EG59">
            <v>116241</v>
          </cell>
          <cell r="EH59">
            <v>122491</v>
          </cell>
          <cell r="EI59">
            <v>128351</v>
          </cell>
          <cell r="EJ59">
            <v>134058</v>
          </cell>
          <cell r="EK59">
            <v>134058</v>
          </cell>
          <cell r="EL59">
            <v>137675</v>
          </cell>
          <cell r="EM59">
            <v>146214</v>
          </cell>
          <cell r="EN59">
            <v>154130</v>
          </cell>
          <cell r="EO59">
            <v>163892</v>
          </cell>
          <cell r="EP59">
            <v>163892</v>
          </cell>
          <cell r="EQ59">
            <v>171988</v>
          </cell>
          <cell r="ER59">
            <v>185257</v>
          </cell>
          <cell r="ES59">
            <v>196320</v>
          </cell>
          <cell r="ET59">
            <v>209949.994658638</v>
          </cell>
          <cell r="EU59">
            <v>209949.994658638</v>
          </cell>
          <cell r="EV59">
            <v>223644.45813104301</v>
          </cell>
          <cell r="EW59">
            <v>237368.09401899</v>
          </cell>
          <cell r="EX59">
            <v>251017.12542309699</v>
          </cell>
          <cell r="EY59">
            <v>265073.49261674599</v>
          </cell>
          <cell r="EZ59">
            <v>265073.49261674599</v>
          </cell>
          <cell r="FA59">
            <v>279334.12525934202</v>
          </cell>
          <cell r="FB59">
            <v>292508.05702206102</v>
          </cell>
          <cell r="FC59">
            <v>305702.56312382501</v>
          </cell>
          <cell r="FD59">
            <v>319191.07803380798</v>
          </cell>
          <cell r="FE59">
            <v>319191.07803380798</v>
          </cell>
        </row>
        <row r="60">
          <cell r="B60" t="str">
            <v>Accumulated depreciation</v>
          </cell>
          <cell r="C60" t="str">
            <v>ACC_DDA</v>
          </cell>
          <cell r="D60" t="str">
            <v>USD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-45417</v>
          </cell>
          <cell r="EC60">
            <v>-47715</v>
          </cell>
          <cell r="ED60">
            <v>-49681</v>
          </cell>
          <cell r="EE60">
            <v>-51351</v>
          </cell>
          <cell r="EF60">
            <v>-51351</v>
          </cell>
          <cell r="EG60">
            <v>-52469</v>
          </cell>
          <cell r="EH60">
            <v>-55277</v>
          </cell>
          <cell r="EI60">
            <v>-58053</v>
          </cell>
          <cell r="EJ60">
            <v>-59660</v>
          </cell>
          <cell r="EK60">
            <v>-59660</v>
          </cell>
          <cell r="EL60">
            <v>-60638</v>
          </cell>
          <cell r="EM60">
            <v>-63459</v>
          </cell>
          <cell r="EN60">
            <v>-65998</v>
          </cell>
          <cell r="EO60">
            <v>-68251</v>
          </cell>
          <cell r="EP60">
            <v>-68251</v>
          </cell>
          <cell r="EQ60">
            <v>-69486</v>
          </cell>
          <cell r="ER60">
            <v>-72949</v>
          </cell>
          <cell r="ES60">
            <v>-74945</v>
          </cell>
          <cell r="ET60">
            <v>-78586.25</v>
          </cell>
          <cell r="EU60">
            <v>-78586.25</v>
          </cell>
          <cell r="EV60">
            <v>-82796.215670949096</v>
          </cell>
          <cell r="EW60">
            <v>-88639.182882737907</v>
          </cell>
          <cell r="EX60">
            <v>-94308.955668133902</v>
          </cell>
          <cell r="EY60">
            <v>-99010.200760782798</v>
          </cell>
          <cell r="EZ60">
            <v>-99010.200760782798</v>
          </cell>
          <cell r="FA60">
            <v>-104000.09632051</v>
          </cell>
          <cell r="FB60">
            <v>-109268.560426533</v>
          </cell>
          <cell r="FC60">
            <v>-114774.56925129901</v>
          </cell>
          <cell r="FD60">
            <v>-120511.603235177</v>
          </cell>
          <cell r="FE60">
            <v>-120511.603235177</v>
          </cell>
        </row>
        <row r="61">
          <cell r="B61" t="str">
            <v>Net PP&amp;E</v>
          </cell>
          <cell r="C61" t="str">
            <v>NET_FIX_ASS</v>
          </cell>
          <cell r="D61" t="str">
            <v>USD</v>
          </cell>
          <cell r="F61">
            <v>1192</v>
          </cell>
          <cell r="G61">
            <v>1265</v>
          </cell>
          <cell r="H61">
            <v>1297</v>
          </cell>
          <cell r="I61">
            <v>1281</v>
          </cell>
          <cell r="J61">
            <v>1326</v>
          </cell>
          <cell r="K61">
            <v>1326</v>
          </cell>
          <cell r="L61">
            <v>1304</v>
          </cell>
          <cell r="M61">
            <v>1322</v>
          </cell>
          <cell r="N61">
            <v>1371</v>
          </cell>
          <cell r="O61">
            <v>1465</v>
          </cell>
          <cell r="P61">
            <v>1465</v>
          </cell>
          <cell r="Q61">
            <v>1484</v>
          </cell>
          <cell r="R61">
            <v>1478</v>
          </cell>
          <cell r="S61">
            <v>1416</v>
          </cell>
          <cell r="T61">
            <v>1505</v>
          </cell>
          <cell r="U61">
            <v>1505</v>
          </cell>
          <cell r="V61">
            <v>1466</v>
          </cell>
          <cell r="W61">
            <v>1495</v>
          </cell>
          <cell r="X61">
            <v>1445</v>
          </cell>
          <cell r="Y61">
            <v>1611</v>
          </cell>
          <cell r="Z61">
            <v>1611</v>
          </cell>
          <cell r="AA61">
            <v>1657</v>
          </cell>
          <cell r="AB61">
            <v>1739</v>
          </cell>
          <cell r="AC61">
            <v>1835</v>
          </cell>
          <cell r="AD61">
            <v>1903</v>
          </cell>
          <cell r="AE61">
            <v>1903</v>
          </cell>
          <cell r="AF61">
            <v>1973</v>
          </cell>
          <cell r="AG61">
            <v>2098</v>
          </cell>
          <cell r="AH61">
            <v>2159</v>
          </cell>
          <cell r="AI61">
            <v>2309</v>
          </cell>
          <cell r="AJ61">
            <v>2309</v>
          </cell>
          <cell r="AK61">
            <v>2261</v>
          </cell>
          <cell r="AL61">
            <v>2240</v>
          </cell>
          <cell r="AM61">
            <v>2182</v>
          </cell>
          <cell r="AN61">
            <v>2268</v>
          </cell>
          <cell r="AO61">
            <v>2268</v>
          </cell>
          <cell r="AP61">
            <v>2189</v>
          </cell>
          <cell r="AQ61">
            <v>2257</v>
          </cell>
          <cell r="AR61">
            <v>2208</v>
          </cell>
          <cell r="AS61">
            <v>2223</v>
          </cell>
          <cell r="AT61">
            <v>2223</v>
          </cell>
          <cell r="AU61">
            <v>2193</v>
          </cell>
          <cell r="AV61">
            <v>2178</v>
          </cell>
          <cell r="AW61">
            <v>2258</v>
          </cell>
          <cell r="AX61">
            <v>2326</v>
          </cell>
          <cell r="AY61">
            <v>2326</v>
          </cell>
          <cell r="AZ61">
            <v>2317</v>
          </cell>
          <cell r="BA61">
            <v>2336</v>
          </cell>
          <cell r="BB61">
            <v>2321</v>
          </cell>
          <cell r="BC61">
            <v>2346</v>
          </cell>
          <cell r="BD61">
            <v>2346</v>
          </cell>
          <cell r="BE61">
            <v>2351</v>
          </cell>
          <cell r="BF61">
            <v>2452</v>
          </cell>
          <cell r="BG61">
            <v>2543</v>
          </cell>
          <cell r="BH61">
            <v>3044</v>
          </cell>
          <cell r="BI61">
            <v>3044</v>
          </cell>
          <cell r="BJ61">
            <v>3193</v>
          </cell>
          <cell r="BK61">
            <v>3686</v>
          </cell>
          <cell r="BL61">
            <v>3923</v>
          </cell>
          <cell r="BM61">
            <v>4350</v>
          </cell>
          <cell r="BN61">
            <v>4350</v>
          </cell>
          <cell r="BO61">
            <v>4615</v>
          </cell>
          <cell r="BP61">
            <v>4965</v>
          </cell>
          <cell r="BQ61">
            <v>5516</v>
          </cell>
          <cell r="BR61">
            <v>6242</v>
          </cell>
          <cell r="BS61">
            <v>6242</v>
          </cell>
          <cell r="BT61">
            <v>6552</v>
          </cell>
          <cell r="BU61">
            <v>6996</v>
          </cell>
          <cell r="BV61">
            <v>7112</v>
          </cell>
          <cell r="BW61">
            <v>7535</v>
          </cell>
          <cell r="BX61">
            <v>7535</v>
          </cell>
          <cell r="BY61">
            <v>7512</v>
          </cell>
          <cell r="BZ61">
            <v>7402</v>
          </cell>
          <cell r="CA61">
            <v>7372</v>
          </cell>
          <cell r="CB61">
            <v>7630</v>
          </cell>
          <cell r="CC61">
            <v>7630</v>
          </cell>
          <cell r="CD61">
            <v>7771</v>
          </cell>
          <cell r="CE61">
            <v>7799</v>
          </cell>
          <cell r="CF61">
            <v>7969</v>
          </cell>
          <cell r="CG61">
            <v>8162</v>
          </cell>
          <cell r="CH61">
            <v>8162</v>
          </cell>
          <cell r="CI61">
            <v>8033</v>
          </cell>
          <cell r="CJ61">
            <v>8010</v>
          </cell>
          <cell r="CK61">
            <v>8225</v>
          </cell>
          <cell r="CL61">
            <v>8269</v>
          </cell>
          <cell r="CM61">
            <v>8269</v>
          </cell>
          <cell r="CN61">
            <v>8329</v>
          </cell>
          <cell r="CO61">
            <v>8698</v>
          </cell>
          <cell r="CP61">
            <v>9204</v>
          </cell>
          <cell r="CQ61">
            <v>9991</v>
          </cell>
          <cell r="CR61">
            <v>9991</v>
          </cell>
          <cell r="CS61">
            <v>10774</v>
          </cell>
          <cell r="CT61">
            <v>11567</v>
          </cell>
          <cell r="CU61">
            <v>11771</v>
          </cell>
          <cell r="CV61">
            <v>13011</v>
          </cell>
          <cell r="CW61">
            <v>13011</v>
          </cell>
          <cell r="CX61">
            <v>13229</v>
          </cell>
          <cell r="CY61">
            <v>13607</v>
          </cell>
          <cell r="CZ61">
            <v>14375</v>
          </cell>
          <cell r="DA61">
            <v>14731</v>
          </cell>
          <cell r="DB61">
            <v>14731</v>
          </cell>
          <cell r="DC61">
            <v>15046</v>
          </cell>
          <cell r="DD61">
            <v>15789</v>
          </cell>
          <cell r="DE61">
            <v>16831</v>
          </cell>
          <cell r="DF61">
            <v>18356</v>
          </cell>
          <cell r="DG61">
            <v>18356</v>
          </cell>
          <cell r="DH61">
            <v>19224</v>
          </cell>
          <cell r="DI61">
            <v>21379</v>
          </cell>
          <cell r="DJ61">
            <v>21962</v>
          </cell>
          <cell r="DK61">
            <v>23734</v>
          </cell>
          <cell r="DL61">
            <v>23734</v>
          </cell>
          <cell r="DM61">
            <v>24809</v>
          </cell>
          <cell r="DN61">
            <v>26304</v>
          </cell>
          <cell r="DO61">
            <v>27929</v>
          </cell>
          <cell r="DP61">
            <v>29460</v>
          </cell>
          <cell r="DQ61">
            <v>29460</v>
          </cell>
          <cell r="DR61">
            <v>31430</v>
          </cell>
          <cell r="DS61">
            <v>32717</v>
          </cell>
          <cell r="DT61">
            <v>33648</v>
          </cell>
          <cell r="DU61">
            <v>36477</v>
          </cell>
          <cell r="DV61">
            <v>36477</v>
          </cell>
          <cell r="DW61">
            <v>38409</v>
          </cell>
          <cell r="DX61">
            <v>40522</v>
          </cell>
          <cell r="DY61">
            <v>41221</v>
          </cell>
          <cell r="DZ61">
            <v>44151</v>
          </cell>
          <cell r="EA61">
            <v>44151</v>
          </cell>
          <cell r="EB61">
            <v>47927</v>
          </cell>
          <cell r="EC61">
            <v>51737</v>
          </cell>
          <cell r="ED61">
            <v>54945</v>
          </cell>
          <cell r="EE61">
            <v>59715</v>
          </cell>
          <cell r="EF61">
            <v>59715</v>
          </cell>
          <cell r="EG61">
            <v>63772</v>
          </cell>
          <cell r="EH61">
            <v>67214</v>
          </cell>
          <cell r="EI61">
            <v>70298</v>
          </cell>
          <cell r="EJ61">
            <v>74398</v>
          </cell>
          <cell r="EK61">
            <v>74398</v>
          </cell>
          <cell r="EL61">
            <v>77037</v>
          </cell>
          <cell r="EM61">
            <v>82755</v>
          </cell>
          <cell r="EN61">
            <v>88132</v>
          </cell>
          <cell r="EO61">
            <v>95641</v>
          </cell>
          <cell r="EP61">
            <v>95641</v>
          </cell>
          <cell r="EQ61">
            <v>102502</v>
          </cell>
          <cell r="ER61">
            <v>112308</v>
          </cell>
          <cell r="ES61">
            <v>121375</v>
          </cell>
          <cell r="ET61">
            <v>131363.744658638</v>
          </cell>
          <cell r="EU61">
            <v>131363.744658638</v>
          </cell>
          <cell r="EV61">
            <v>140848.242460093</v>
          </cell>
          <cell r="EW61">
            <v>148728.91113625199</v>
          </cell>
          <cell r="EX61">
            <v>156708.16975496401</v>
          </cell>
          <cell r="EY61">
            <v>166063.29185596301</v>
          </cell>
          <cell r="EZ61">
            <v>166063.29185596301</v>
          </cell>
          <cell r="FA61">
            <v>175334.028938831</v>
          </cell>
          <cell r="FB61">
            <v>183239.49659552801</v>
          </cell>
          <cell r="FC61">
            <v>190927.99387252601</v>
          </cell>
          <cell r="FD61">
            <v>198679.47479863101</v>
          </cell>
          <cell r="FE61">
            <v>198679.47479863101</v>
          </cell>
        </row>
        <row r="62">
          <cell r="B62" t="str">
            <v>Gross intangibles</v>
          </cell>
          <cell r="C62" t="str">
            <v>GR_INTANG</v>
          </cell>
          <cell r="D62" t="str">
            <v>USD</v>
          </cell>
          <cell r="AK62">
            <v>1905</v>
          </cell>
          <cell r="AL62">
            <v>1855</v>
          </cell>
          <cell r="AM62">
            <v>1710</v>
          </cell>
          <cell r="AN62">
            <v>1669</v>
          </cell>
          <cell r="AO62">
            <v>1669</v>
          </cell>
          <cell r="AP62">
            <v>3497</v>
          </cell>
          <cell r="AQ62">
            <v>3364</v>
          </cell>
          <cell r="AR62">
            <v>3357</v>
          </cell>
          <cell r="AS62">
            <v>3512</v>
          </cell>
          <cell r="AT62">
            <v>3512</v>
          </cell>
          <cell r="AU62">
            <v>3506</v>
          </cell>
          <cell r="AV62">
            <v>3455</v>
          </cell>
          <cell r="AW62">
            <v>3709</v>
          </cell>
          <cell r="AX62">
            <v>3684</v>
          </cell>
          <cell r="AY62">
            <v>3684</v>
          </cell>
          <cell r="AZ62">
            <v>3649</v>
          </cell>
          <cell r="BA62">
            <v>3599</v>
          </cell>
          <cell r="BB62">
            <v>3579</v>
          </cell>
          <cell r="BC62">
            <v>3808</v>
          </cell>
          <cell r="BD62">
            <v>3808</v>
          </cell>
          <cell r="BE62">
            <v>4006</v>
          </cell>
          <cell r="BF62">
            <v>4019</v>
          </cell>
          <cell r="BG62">
            <v>4070</v>
          </cell>
          <cell r="BH62">
            <v>4405</v>
          </cell>
          <cell r="BI62">
            <v>4405</v>
          </cell>
          <cell r="BJ62">
            <v>4873</v>
          </cell>
          <cell r="BK62">
            <v>4934</v>
          </cell>
          <cell r="BL62">
            <v>4916</v>
          </cell>
          <cell r="BM62">
            <v>5638</v>
          </cell>
          <cell r="BN62">
            <v>5638</v>
          </cell>
          <cell r="BO62">
            <v>11869</v>
          </cell>
          <cell r="BP62">
            <v>12026</v>
          </cell>
          <cell r="BQ62">
            <v>11985</v>
          </cell>
          <cell r="BR62">
            <v>14081</v>
          </cell>
          <cell r="BS62">
            <v>14081</v>
          </cell>
          <cell r="BT62">
            <v>14190</v>
          </cell>
          <cell r="BU62">
            <v>14305</v>
          </cell>
          <cell r="BV62">
            <v>14310</v>
          </cell>
          <cell r="BW62">
            <v>14262</v>
          </cell>
          <cell r="BX62">
            <v>14262</v>
          </cell>
          <cell r="BY62">
            <v>14235</v>
          </cell>
          <cell r="BZ62">
            <v>13714</v>
          </cell>
          <cell r="CA62">
            <v>13745</v>
          </cell>
          <cell r="CB62">
            <v>13552</v>
          </cell>
          <cell r="CC62">
            <v>13552</v>
          </cell>
          <cell r="CD62">
            <v>13548</v>
          </cell>
          <cell r="CE62">
            <v>13494</v>
          </cell>
          <cell r="CF62">
            <v>13394</v>
          </cell>
          <cell r="CG62">
            <v>13325</v>
          </cell>
          <cell r="CH62">
            <v>13325</v>
          </cell>
          <cell r="CI62">
            <v>13563</v>
          </cell>
          <cell r="CJ62">
            <v>22251</v>
          </cell>
          <cell r="CK62">
            <v>22454</v>
          </cell>
          <cell r="CL62">
            <v>16622</v>
          </cell>
          <cell r="CM62">
            <v>16622</v>
          </cell>
          <cell r="CN62">
            <v>17889</v>
          </cell>
          <cell r="CO62">
            <v>18068</v>
          </cell>
          <cell r="CP62">
            <v>17922</v>
          </cell>
          <cell r="CQ62">
            <v>17738</v>
          </cell>
          <cell r="CR62">
            <v>17738</v>
          </cell>
          <cell r="CS62">
            <v>17649</v>
          </cell>
          <cell r="CT62">
            <v>17625</v>
          </cell>
          <cell r="CU62">
            <v>17652</v>
          </cell>
          <cell r="CV62">
            <v>27108</v>
          </cell>
          <cell r="CW62">
            <v>27108</v>
          </cell>
          <cell r="CX62">
            <v>26774</v>
          </cell>
          <cell r="CY62">
            <v>29154</v>
          </cell>
          <cell r="CZ62">
            <v>28691</v>
          </cell>
          <cell r="DA62">
            <v>21774</v>
          </cell>
          <cell r="DB62">
            <v>21774</v>
          </cell>
          <cell r="DC62">
            <v>16477</v>
          </cell>
          <cell r="DD62">
            <v>16434</v>
          </cell>
          <cell r="DE62">
            <v>17115</v>
          </cell>
          <cell r="DF62">
            <v>16238</v>
          </cell>
          <cell r="DG62">
            <v>16238</v>
          </cell>
          <cell r="DH62">
            <v>15803</v>
          </cell>
          <cell r="DI62">
            <v>40100</v>
          </cell>
          <cell r="DJ62">
            <v>39232</v>
          </cell>
          <cell r="DK62">
            <v>38667</v>
          </cell>
          <cell r="DL62">
            <v>38667</v>
          </cell>
          <cell r="DM62">
            <v>37844</v>
          </cell>
          <cell r="DN62">
            <v>37582</v>
          </cell>
          <cell r="DO62">
            <v>36754</v>
          </cell>
          <cell r="DP62">
            <v>35853</v>
          </cell>
          <cell r="DQ62">
            <v>35853</v>
          </cell>
          <cell r="DR62">
            <v>34987</v>
          </cell>
          <cell r="DS62">
            <v>41501</v>
          </cell>
          <cell r="DT62">
            <v>40990</v>
          </cell>
          <cell r="DU62">
            <v>40387</v>
          </cell>
          <cell r="DV62">
            <v>40387</v>
          </cell>
          <cell r="DW62">
            <v>39801</v>
          </cell>
          <cell r="DX62">
            <v>39374</v>
          </cell>
          <cell r="DY62">
            <v>38569</v>
          </cell>
          <cell r="DZ62">
            <v>39668</v>
          </cell>
          <cell r="EA62">
            <v>39668</v>
          </cell>
          <cell r="EB62">
            <v>39709</v>
          </cell>
          <cell r="EC62">
            <v>39422</v>
          </cell>
          <cell r="ED62">
            <v>46077</v>
          </cell>
          <cell r="EE62">
            <v>45336</v>
          </cell>
          <cell r="EF62">
            <v>45336</v>
          </cell>
          <cell r="EG62">
            <v>45636</v>
          </cell>
          <cell r="EH62">
            <v>45707</v>
          </cell>
          <cell r="EI62">
            <v>65543</v>
          </cell>
          <cell r="EJ62">
            <v>66543</v>
          </cell>
          <cell r="EK62">
            <v>66543</v>
          </cell>
          <cell r="EL62">
            <v>65361</v>
          </cell>
          <cell r="EM62">
            <v>65205</v>
          </cell>
          <cell r="EN62">
            <v>64210</v>
          </cell>
          <cell r="EO62">
            <v>63128</v>
          </cell>
          <cell r="EP62">
            <v>63128</v>
          </cell>
          <cell r="EQ62">
            <v>61925</v>
          </cell>
          <cell r="ER62">
            <v>132772</v>
          </cell>
          <cell r="ES62">
            <v>132450</v>
          </cell>
          <cell r="ET62">
            <v>129542</v>
          </cell>
          <cell r="EU62">
            <v>129542</v>
          </cell>
          <cell r="EV62">
            <v>126612</v>
          </cell>
          <cell r="EW62">
            <v>123682</v>
          </cell>
          <cell r="EX62">
            <v>120752</v>
          </cell>
          <cell r="EY62">
            <v>117822</v>
          </cell>
          <cell r="EZ62">
            <v>117822</v>
          </cell>
          <cell r="FA62">
            <v>115604</v>
          </cell>
          <cell r="FB62">
            <v>113386</v>
          </cell>
          <cell r="FC62">
            <v>111168</v>
          </cell>
          <cell r="FD62">
            <v>108950</v>
          </cell>
          <cell r="FE62">
            <v>108950</v>
          </cell>
        </row>
        <row r="63">
          <cell r="B63" t="str">
            <v>Accumulated amortization</v>
          </cell>
          <cell r="C63" t="str">
            <v>ACC_AMORT</v>
          </cell>
          <cell r="D63" t="str">
            <v>USD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-5410</v>
          </cell>
          <cell r="DD63">
            <v>-5621</v>
          </cell>
          <cell r="DE63">
            <v>-5292</v>
          </cell>
          <cell r="DF63">
            <v>-5367</v>
          </cell>
          <cell r="DG63">
            <v>-5367</v>
          </cell>
          <cell r="DH63">
            <v>-5626</v>
          </cell>
          <cell r="DI63">
            <v>-5425</v>
          </cell>
          <cell r="DJ63">
            <v>-5983</v>
          </cell>
          <cell r="DK63">
            <v>-6561</v>
          </cell>
          <cell r="DL63">
            <v>-6561</v>
          </cell>
          <cell r="DM63">
            <v>-7143</v>
          </cell>
          <cell r="DN63">
            <v>-6807</v>
          </cell>
          <cell r="DO63">
            <v>-7372</v>
          </cell>
          <cell r="DP63">
            <v>-7883</v>
          </cell>
          <cell r="DQ63">
            <v>-7883</v>
          </cell>
          <cell r="DR63">
            <v>-8447</v>
          </cell>
          <cell r="DS63">
            <v>-8558</v>
          </cell>
          <cell r="DT63">
            <v>-8974</v>
          </cell>
          <cell r="DU63">
            <v>-9389</v>
          </cell>
          <cell r="DV63">
            <v>-9389</v>
          </cell>
          <cell r="DW63">
            <v>-9820</v>
          </cell>
          <cell r="DX63">
            <v>-10000</v>
          </cell>
          <cell r="DY63">
            <v>-10350</v>
          </cell>
          <cell r="DZ63">
            <v>-10721</v>
          </cell>
          <cell r="EA63">
            <v>-10721</v>
          </cell>
          <cell r="EB63">
            <v>-11104</v>
          </cell>
          <cell r="EC63">
            <v>-11352</v>
          </cell>
          <cell r="ED63">
            <v>-11748</v>
          </cell>
          <cell r="EE63">
            <v>-12175</v>
          </cell>
          <cell r="EF63">
            <v>-12175</v>
          </cell>
          <cell r="EG63">
            <v>-12613</v>
          </cell>
          <cell r="EH63">
            <v>-12676</v>
          </cell>
          <cell r="EI63">
            <v>-13176</v>
          </cell>
          <cell r="EJ63">
            <v>-12279</v>
          </cell>
          <cell r="EK63">
            <v>-12279</v>
          </cell>
          <cell r="EL63">
            <v>-12906</v>
          </cell>
          <cell r="EM63">
            <v>-13054</v>
          </cell>
          <cell r="EN63">
            <v>-13609</v>
          </cell>
          <cell r="EO63">
            <v>-14124</v>
          </cell>
          <cell r="EP63">
            <v>-14124</v>
          </cell>
          <cell r="EQ63">
            <v>-14760</v>
          </cell>
          <cell r="ER63">
            <v>-16055</v>
          </cell>
          <cell r="ES63">
            <v>-15541</v>
          </cell>
          <cell r="ET63">
            <v>-16995</v>
          </cell>
          <cell r="EU63">
            <v>-16995</v>
          </cell>
          <cell r="EV63">
            <v>-18460</v>
          </cell>
          <cell r="EW63">
            <v>-19925</v>
          </cell>
          <cell r="EX63">
            <v>-21390</v>
          </cell>
          <cell r="EY63">
            <v>-22855</v>
          </cell>
          <cell r="EZ63">
            <v>-22855</v>
          </cell>
          <cell r="FA63">
            <v>-23964</v>
          </cell>
          <cell r="FB63">
            <v>-25073</v>
          </cell>
          <cell r="FC63">
            <v>-26182</v>
          </cell>
          <cell r="FD63">
            <v>-27291</v>
          </cell>
          <cell r="FE63">
            <v>-27291</v>
          </cell>
        </row>
        <row r="64">
          <cell r="B64" t="str">
            <v>Net intangible assets</v>
          </cell>
          <cell r="C64" t="str">
            <v>NET_INTANG</v>
          </cell>
          <cell r="D64" t="str">
            <v>USD</v>
          </cell>
          <cell r="AK64">
            <v>1905</v>
          </cell>
          <cell r="AL64">
            <v>1855</v>
          </cell>
          <cell r="AM64">
            <v>1710</v>
          </cell>
          <cell r="AN64">
            <v>1669</v>
          </cell>
          <cell r="AO64">
            <v>1669</v>
          </cell>
          <cell r="AP64">
            <v>3497</v>
          </cell>
          <cell r="AQ64">
            <v>3364</v>
          </cell>
          <cell r="AR64">
            <v>3357</v>
          </cell>
          <cell r="AS64">
            <v>3512</v>
          </cell>
          <cell r="AT64">
            <v>3512</v>
          </cell>
          <cell r="AU64">
            <v>3506</v>
          </cell>
          <cell r="AV64">
            <v>3455</v>
          </cell>
          <cell r="AW64">
            <v>3709</v>
          </cell>
          <cell r="AX64">
            <v>3684</v>
          </cell>
          <cell r="AY64">
            <v>3684</v>
          </cell>
          <cell r="AZ64">
            <v>3649</v>
          </cell>
          <cell r="BA64">
            <v>3599</v>
          </cell>
          <cell r="BB64">
            <v>3579</v>
          </cell>
          <cell r="BC64">
            <v>3808</v>
          </cell>
          <cell r="BD64">
            <v>3808</v>
          </cell>
          <cell r="BE64">
            <v>4006</v>
          </cell>
          <cell r="BF64">
            <v>4019</v>
          </cell>
          <cell r="BG64">
            <v>4070</v>
          </cell>
          <cell r="BH64">
            <v>4405</v>
          </cell>
          <cell r="BI64">
            <v>4405</v>
          </cell>
          <cell r="BJ64">
            <v>4873</v>
          </cell>
          <cell r="BK64">
            <v>4934</v>
          </cell>
          <cell r="BL64">
            <v>4916</v>
          </cell>
          <cell r="BM64">
            <v>5638</v>
          </cell>
          <cell r="BN64">
            <v>5638</v>
          </cell>
          <cell r="BO64">
            <v>11869</v>
          </cell>
          <cell r="BP64">
            <v>12026</v>
          </cell>
          <cell r="BQ64">
            <v>11985</v>
          </cell>
          <cell r="BR64">
            <v>14081</v>
          </cell>
          <cell r="BS64">
            <v>14081</v>
          </cell>
          <cell r="BT64">
            <v>14190</v>
          </cell>
          <cell r="BU64">
            <v>14305</v>
          </cell>
          <cell r="BV64">
            <v>14310</v>
          </cell>
          <cell r="BW64">
            <v>14262</v>
          </cell>
          <cell r="BX64">
            <v>14262</v>
          </cell>
          <cell r="BY64">
            <v>14235</v>
          </cell>
          <cell r="BZ64">
            <v>13714</v>
          </cell>
          <cell r="CA64">
            <v>13745</v>
          </cell>
          <cell r="CB64">
            <v>13552</v>
          </cell>
          <cell r="CC64">
            <v>13552</v>
          </cell>
          <cell r="CD64">
            <v>13548</v>
          </cell>
          <cell r="CE64">
            <v>13494</v>
          </cell>
          <cell r="CF64">
            <v>13394</v>
          </cell>
          <cell r="CG64">
            <v>13325</v>
          </cell>
          <cell r="CH64">
            <v>13325</v>
          </cell>
          <cell r="CI64">
            <v>13563</v>
          </cell>
          <cell r="CJ64">
            <v>22251</v>
          </cell>
          <cell r="CK64">
            <v>22454</v>
          </cell>
          <cell r="CL64">
            <v>16622</v>
          </cell>
          <cell r="CM64">
            <v>16622</v>
          </cell>
          <cell r="CN64">
            <v>17889</v>
          </cell>
          <cell r="CO64">
            <v>18068</v>
          </cell>
          <cell r="CP64">
            <v>17922</v>
          </cell>
          <cell r="CQ64">
            <v>17738</v>
          </cell>
          <cell r="CR64">
            <v>17738</v>
          </cell>
          <cell r="CS64">
            <v>17649</v>
          </cell>
          <cell r="CT64">
            <v>17625</v>
          </cell>
          <cell r="CU64">
            <v>17652</v>
          </cell>
          <cell r="CV64">
            <v>27108</v>
          </cell>
          <cell r="CW64">
            <v>27108</v>
          </cell>
          <cell r="CX64">
            <v>26774</v>
          </cell>
          <cell r="CY64">
            <v>29154</v>
          </cell>
          <cell r="CZ64">
            <v>28691</v>
          </cell>
          <cell r="DA64">
            <v>21774</v>
          </cell>
          <cell r="DB64">
            <v>21774</v>
          </cell>
          <cell r="DC64">
            <v>21887</v>
          </cell>
          <cell r="DD64">
            <v>22055</v>
          </cell>
          <cell r="DE64">
            <v>22407</v>
          </cell>
          <cell r="DF64">
            <v>21605</v>
          </cell>
          <cell r="DG64">
            <v>21605</v>
          </cell>
          <cell r="DH64">
            <v>21429</v>
          </cell>
          <cell r="DI64">
            <v>45525</v>
          </cell>
          <cell r="DJ64">
            <v>45215</v>
          </cell>
          <cell r="DK64">
            <v>45228</v>
          </cell>
          <cell r="DL64">
            <v>45228</v>
          </cell>
          <cell r="DM64">
            <v>44987</v>
          </cell>
          <cell r="DN64">
            <v>44389</v>
          </cell>
          <cell r="DO64">
            <v>44126</v>
          </cell>
          <cell r="DP64">
            <v>43736</v>
          </cell>
          <cell r="DQ64">
            <v>43736</v>
          </cell>
          <cell r="DR64">
            <v>43434</v>
          </cell>
          <cell r="DS64">
            <v>50059</v>
          </cell>
          <cell r="DT64">
            <v>49964</v>
          </cell>
          <cell r="DU64">
            <v>49776</v>
          </cell>
          <cell r="DV64">
            <v>49776</v>
          </cell>
          <cell r="DW64">
            <v>49621</v>
          </cell>
          <cell r="DX64">
            <v>49374</v>
          </cell>
          <cell r="DY64">
            <v>48919</v>
          </cell>
          <cell r="DZ64">
            <v>50389</v>
          </cell>
          <cell r="EA64">
            <v>50389</v>
          </cell>
          <cell r="EB64">
            <v>50813</v>
          </cell>
          <cell r="EC64">
            <v>50774</v>
          </cell>
          <cell r="ED64">
            <v>57825</v>
          </cell>
          <cell r="EE64">
            <v>57511</v>
          </cell>
          <cell r="EF64">
            <v>57511</v>
          </cell>
          <cell r="EG64">
            <v>58249</v>
          </cell>
          <cell r="EH64">
            <v>58383</v>
          </cell>
          <cell r="EI64">
            <v>78719</v>
          </cell>
          <cell r="EJ64">
            <v>78822</v>
          </cell>
          <cell r="EK64">
            <v>78822</v>
          </cell>
          <cell r="EL64">
            <v>78267</v>
          </cell>
          <cell r="EM64">
            <v>78259</v>
          </cell>
          <cell r="EN64">
            <v>77819</v>
          </cell>
          <cell r="EO64">
            <v>77252</v>
          </cell>
          <cell r="EP64">
            <v>77252</v>
          </cell>
          <cell r="EQ64">
            <v>76685</v>
          </cell>
          <cell r="ER64">
            <v>148827</v>
          </cell>
          <cell r="ES64">
            <v>147991</v>
          </cell>
          <cell r="ET64">
            <v>146537</v>
          </cell>
          <cell r="EU64">
            <v>146537</v>
          </cell>
          <cell r="EV64">
            <v>145072</v>
          </cell>
          <cell r="EW64">
            <v>143607</v>
          </cell>
          <cell r="EX64">
            <v>142142</v>
          </cell>
          <cell r="EY64">
            <v>140677</v>
          </cell>
          <cell r="EZ64">
            <v>140677</v>
          </cell>
          <cell r="FA64">
            <v>139568</v>
          </cell>
          <cell r="FB64">
            <v>138459</v>
          </cell>
          <cell r="FC64">
            <v>137350</v>
          </cell>
          <cell r="FD64">
            <v>136241</v>
          </cell>
          <cell r="FE64">
            <v>136241</v>
          </cell>
        </row>
        <row r="65">
          <cell r="B65" t="str">
            <v>Equity method investments</v>
          </cell>
          <cell r="C65" t="str">
            <v>FIX_ASS_INV</v>
          </cell>
          <cell r="D65" t="str">
            <v>USD</v>
          </cell>
          <cell r="L65">
            <v>896</v>
          </cell>
          <cell r="M65">
            <v>804</v>
          </cell>
          <cell r="N65">
            <v>819</v>
          </cell>
          <cell r="O65">
            <v>2346</v>
          </cell>
          <cell r="P65">
            <v>2346</v>
          </cell>
          <cell r="Q65">
            <v>2733</v>
          </cell>
          <cell r="R65">
            <v>3476</v>
          </cell>
          <cell r="S65">
            <v>4122</v>
          </cell>
          <cell r="T65">
            <v>4703</v>
          </cell>
          <cell r="U65">
            <v>4703</v>
          </cell>
          <cell r="V65">
            <v>4905</v>
          </cell>
          <cell r="W65">
            <v>6262</v>
          </cell>
          <cell r="X65">
            <v>7474</v>
          </cell>
          <cell r="Y65">
            <v>14372</v>
          </cell>
          <cell r="Z65">
            <v>14372</v>
          </cell>
          <cell r="AA65">
            <v>14910</v>
          </cell>
          <cell r="AB65">
            <v>19801</v>
          </cell>
          <cell r="AC65">
            <v>21322</v>
          </cell>
          <cell r="AD65">
            <v>17726</v>
          </cell>
          <cell r="AE65">
            <v>17726</v>
          </cell>
          <cell r="AF65">
            <v>20525</v>
          </cell>
          <cell r="AG65">
            <v>18281</v>
          </cell>
          <cell r="AH65">
            <v>17463</v>
          </cell>
          <cell r="AI65">
            <v>14141</v>
          </cell>
          <cell r="AJ65">
            <v>14141</v>
          </cell>
          <cell r="AK65">
            <v>12035</v>
          </cell>
          <cell r="AL65">
            <v>12212</v>
          </cell>
          <cell r="AM65">
            <v>15694</v>
          </cell>
          <cell r="AN65">
            <v>14191</v>
          </cell>
          <cell r="AO65">
            <v>14191</v>
          </cell>
          <cell r="AP65">
            <v>13580</v>
          </cell>
          <cell r="AQ65">
            <v>12647</v>
          </cell>
          <cell r="AR65">
            <v>13052</v>
          </cell>
          <cell r="AS65">
            <v>13692</v>
          </cell>
          <cell r="AT65">
            <v>13692</v>
          </cell>
          <cell r="AU65">
            <v>13962</v>
          </cell>
          <cell r="AV65">
            <v>14901</v>
          </cell>
          <cell r="AW65">
            <v>15155</v>
          </cell>
          <cell r="AX65">
            <v>12210</v>
          </cell>
          <cell r="AY65">
            <v>12210</v>
          </cell>
          <cell r="AZ65">
            <v>12185</v>
          </cell>
          <cell r="BA65">
            <v>12160</v>
          </cell>
          <cell r="BB65">
            <v>11772</v>
          </cell>
          <cell r="BC65">
            <v>11004</v>
          </cell>
          <cell r="BD65">
            <v>11004</v>
          </cell>
          <cell r="BE65">
            <v>10062</v>
          </cell>
          <cell r="BF65">
            <v>9095</v>
          </cell>
          <cell r="BG65">
            <v>8888</v>
          </cell>
          <cell r="BH65">
            <v>9232</v>
          </cell>
          <cell r="BI65">
            <v>9232</v>
          </cell>
          <cell r="BJ65">
            <v>8762</v>
          </cell>
          <cell r="BK65">
            <v>9631</v>
          </cell>
          <cell r="BL65">
            <v>9624</v>
          </cell>
          <cell r="BM65">
            <v>10117</v>
          </cell>
          <cell r="BN65">
            <v>10117</v>
          </cell>
          <cell r="BO65">
            <v>9707</v>
          </cell>
          <cell r="BP65">
            <v>9413</v>
          </cell>
          <cell r="BQ65">
            <v>8659</v>
          </cell>
          <cell r="BR65">
            <v>6588</v>
          </cell>
          <cell r="BS65">
            <v>6588</v>
          </cell>
          <cell r="BT65">
            <v>4381</v>
          </cell>
          <cell r="BU65">
            <v>3922</v>
          </cell>
          <cell r="BV65">
            <v>4112</v>
          </cell>
          <cell r="BW65">
            <v>4933</v>
          </cell>
          <cell r="BX65">
            <v>4933</v>
          </cell>
          <cell r="BY65">
            <v>6006</v>
          </cell>
          <cell r="BZ65">
            <v>6976</v>
          </cell>
          <cell r="CA65">
            <v>7797</v>
          </cell>
          <cell r="CB65">
            <v>7754</v>
          </cell>
          <cell r="CC65">
            <v>7754</v>
          </cell>
          <cell r="CD65">
            <v>9211</v>
          </cell>
          <cell r="CE65">
            <v>10022</v>
          </cell>
          <cell r="CF65">
            <v>10748</v>
          </cell>
          <cell r="CG65">
            <v>10865</v>
          </cell>
          <cell r="CH65">
            <v>10865</v>
          </cell>
          <cell r="CI65">
            <v>8576</v>
          </cell>
          <cell r="CJ65">
            <v>7550</v>
          </cell>
          <cell r="CK65">
            <v>9068</v>
          </cell>
          <cell r="CL65">
            <v>9776</v>
          </cell>
          <cell r="CM65">
            <v>9776</v>
          </cell>
          <cell r="CN65">
            <v>10038</v>
          </cell>
          <cell r="CO65">
            <v>10707</v>
          </cell>
          <cell r="CP65">
            <v>11193</v>
          </cell>
          <cell r="CQ65">
            <v>10844</v>
          </cell>
          <cell r="CR65">
            <v>10844</v>
          </cell>
          <cell r="CS65">
            <v>11995</v>
          </cell>
          <cell r="CT65">
            <v>14607</v>
          </cell>
          <cell r="CU65">
            <v>14792</v>
          </cell>
          <cell r="CV65">
            <v>14597</v>
          </cell>
          <cell r="CW65">
            <v>14597</v>
          </cell>
          <cell r="CX65">
            <v>13943</v>
          </cell>
          <cell r="CY65">
            <v>12665</v>
          </cell>
          <cell r="CZ65">
            <v>12019</v>
          </cell>
          <cell r="DA65">
            <v>12053</v>
          </cell>
          <cell r="DB65">
            <v>12053</v>
          </cell>
          <cell r="DC65">
            <v>11438</v>
          </cell>
          <cell r="DD65">
            <v>11514</v>
          </cell>
          <cell r="DE65">
            <v>11315</v>
          </cell>
          <cell r="DF65">
            <v>10431</v>
          </cell>
          <cell r="DG65">
            <v>10431</v>
          </cell>
          <cell r="DH65">
            <v>10486</v>
          </cell>
          <cell r="DI65">
            <v>8912</v>
          </cell>
          <cell r="DJ65">
            <v>7381</v>
          </cell>
          <cell r="DK65">
            <v>6023</v>
          </cell>
          <cell r="DL65">
            <v>6023</v>
          </cell>
          <cell r="DM65">
            <v>5343</v>
          </cell>
          <cell r="DN65">
            <v>3961</v>
          </cell>
          <cell r="DO65">
            <v>2818</v>
          </cell>
          <cell r="DP65">
            <v>1862</v>
          </cell>
          <cell r="DQ65">
            <v>1862</v>
          </cell>
          <cell r="DR65">
            <v>2034</v>
          </cell>
          <cell r="DS65">
            <v>2274</v>
          </cell>
          <cell r="DT65">
            <v>2403</v>
          </cell>
          <cell r="DU65">
            <v>2649</v>
          </cell>
          <cell r="DV65">
            <v>2649</v>
          </cell>
          <cell r="DW65">
            <v>2684</v>
          </cell>
          <cell r="DX65">
            <v>2755</v>
          </cell>
          <cell r="DY65">
            <v>2660</v>
          </cell>
          <cell r="DZ65">
            <v>2965</v>
          </cell>
          <cell r="EA65">
            <v>2965</v>
          </cell>
          <cell r="EB65">
            <v>3103</v>
          </cell>
          <cell r="EC65">
            <v>3794</v>
          </cell>
          <cell r="ED65">
            <v>5395</v>
          </cell>
          <cell r="EE65">
            <v>5984</v>
          </cell>
          <cell r="EF65">
            <v>5984</v>
          </cell>
          <cell r="EG65">
            <v>6393</v>
          </cell>
          <cell r="EH65">
            <v>6994</v>
          </cell>
          <cell r="EI65">
            <v>6907</v>
          </cell>
          <cell r="EJ65">
            <v>6891</v>
          </cell>
          <cell r="EK65">
            <v>6891</v>
          </cell>
          <cell r="EL65">
            <v>6839</v>
          </cell>
          <cell r="EM65">
            <v>7097</v>
          </cell>
          <cell r="EN65">
            <v>9415</v>
          </cell>
          <cell r="EO65">
            <v>9879</v>
          </cell>
          <cell r="EP65">
            <v>9879</v>
          </cell>
          <cell r="EQ65">
            <v>11423</v>
          </cell>
          <cell r="ER65">
            <v>13367</v>
          </cell>
          <cell r="ES65">
            <v>14807</v>
          </cell>
          <cell r="ET65">
            <v>14807</v>
          </cell>
          <cell r="EU65">
            <v>14807</v>
          </cell>
          <cell r="EV65">
            <v>14807</v>
          </cell>
          <cell r="EW65">
            <v>14807</v>
          </cell>
          <cell r="EX65">
            <v>14807</v>
          </cell>
          <cell r="EY65">
            <v>14807</v>
          </cell>
          <cell r="EZ65">
            <v>14807</v>
          </cell>
          <cell r="FA65">
            <v>14807</v>
          </cell>
          <cell r="FB65">
            <v>14807</v>
          </cell>
          <cell r="FC65">
            <v>14807</v>
          </cell>
          <cell r="FD65">
            <v>14807</v>
          </cell>
          <cell r="FE65">
            <v>14807</v>
          </cell>
        </row>
        <row r="66">
          <cell r="B66" t="str">
            <v>Investments in securities</v>
          </cell>
          <cell r="C66" t="str">
            <v>INV_SECUR</v>
          </cell>
          <cell r="D66" t="str">
            <v>USD</v>
          </cell>
        </row>
        <row r="67">
          <cell r="B67" t="str">
            <v>Other long-term assets</v>
          </cell>
          <cell r="C67" t="str">
            <v>OTH_LT_ASS</v>
          </cell>
          <cell r="D67" t="str">
            <v>USD</v>
          </cell>
          <cell r="F67">
            <v>398</v>
          </cell>
          <cell r="G67">
            <v>478</v>
          </cell>
          <cell r="H67">
            <v>706</v>
          </cell>
          <cell r="I67">
            <v>613</v>
          </cell>
          <cell r="J67">
            <v>928</v>
          </cell>
          <cell r="K67">
            <v>928</v>
          </cell>
          <cell r="L67">
            <v>308</v>
          </cell>
          <cell r="M67">
            <v>218</v>
          </cell>
          <cell r="N67">
            <v>199</v>
          </cell>
          <cell r="O67">
            <v>203</v>
          </cell>
          <cell r="P67">
            <v>203</v>
          </cell>
          <cell r="Q67">
            <v>311</v>
          </cell>
          <cell r="R67">
            <v>250</v>
          </cell>
          <cell r="S67">
            <v>272</v>
          </cell>
          <cell r="T67">
            <v>260</v>
          </cell>
          <cell r="U67">
            <v>260</v>
          </cell>
          <cell r="V67">
            <v>234</v>
          </cell>
          <cell r="W67">
            <v>483</v>
          </cell>
          <cell r="X67">
            <v>584</v>
          </cell>
          <cell r="Y67">
            <v>940</v>
          </cell>
          <cell r="Z67">
            <v>940</v>
          </cell>
          <cell r="AA67">
            <v>1142</v>
          </cell>
          <cell r="AB67">
            <v>1533</v>
          </cell>
          <cell r="AC67">
            <v>2521</v>
          </cell>
          <cell r="AD67">
            <v>2213</v>
          </cell>
          <cell r="AE67">
            <v>2213</v>
          </cell>
          <cell r="AF67">
            <v>2198</v>
          </cell>
          <cell r="AG67">
            <v>2296</v>
          </cell>
          <cell r="AH67">
            <v>2194</v>
          </cell>
          <cell r="AI67">
            <v>3170</v>
          </cell>
          <cell r="AJ67">
            <v>3170</v>
          </cell>
          <cell r="AK67">
            <v>834</v>
          </cell>
          <cell r="AL67">
            <v>1092</v>
          </cell>
          <cell r="AM67">
            <v>966</v>
          </cell>
          <cell r="AN67">
            <v>942</v>
          </cell>
          <cell r="AO67">
            <v>942</v>
          </cell>
          <cell r="AP67">
            <v>926</v>
          </cell>
          <cell r="AQ67">
            <v>1160</v>
          </cell>
          <cell r="AR67">
            <v>1193</v>
          </cell>
          <cell r="AS67">
            <v>1171</v>
          </cell>
          <cell r="AT67">
            <v>1171</v>
          </cell>
          <cell r="AU67">
            <v>3710</v>
          </cell>
          <cell r="AV67">
            <v>3003</v>
          </cell>
          <cell r="AW67">
            <v>3375</v>
          </cell>
          <cell r="AX67">
            <v>5582</v>
          </cell>
          <cell r="AY67">
            <v>5582</v>
          </cell>
          <cell r="AZ67">
            <v>3221</v>
          </cell>
          <cell r="BA67">
            <v>2447</v>
          </cell>
          <cell r="BB67">
            <v>2010</v>
          </cell>
          <cell r="BC67">
            <v>4920</v>
          </cell>
          <cell r="BD67">
            <v>4920</v>
          </cell>
          <cell r="BE67">
            <v>5212</v>
          </cell>
          <cell r="BF67">
            <v>4997</v>
          </cell>
          <cell r="BG67">
            <v>4725</v>
          </cell>
          <cell r="BH67">
            <v>3906</v>
          </cell>
          <cell r="BI67">
            <v>3906</v>
          </cell>
          <cell r="BJ67">
            <v>3168</v>
          </cell>
          <cell r="BK67">
            <v>2940</v>
          </cell>
          <cell r="BL67">
            <v>2645</v>
          </cell>
          <cell r="BM67">
            <v>2898</v>
          </cell>
          <cell r="BN67">
            <v>2898</v>
          </cell>
          <cell r="BO67">
            <v>3601</v>
          </cell>
          <cell r="BP67">
            <v>3160</v>
          </cell>
          <cell r="BQ67">
            <v>3098</v>
          </cell>
          <cell r="BR67">
            <v>2640</v>
          </cell>
          <cell r="BS67">
            <v>2640</v>
          </cell>
          <cell r="BT67">
            <v>2792</v>
          </cell>
          <cell r="BU67">
            <v>2833</v>
          </cell>
          <cell r="BV67">
            <v>2595</v>
          </cell>
          <cell r="BW67">
            <v>1878</v>
          </cell>
          <cell r="BX67">
            <v>1878</v>
          </cell>
          <cell r="BY67">
            <v>1628</v>
          </cell>
          <cell r="BZ67">
            <v>1517</v>
          </cell>
          <cell r="CA67">
            <v>1478</v>
          </cell>
          <cell r="CB67">
            <v>1501</v>
          </cell>
          <cell r="CC67">
            <v>1501</v>
          </cell>
          <cell r="CD67">
            <v>1429</v>
          </cell>
          <cell r="CE67">
            <v>1307</v>
          </cell>
          <cell r="CF67">
            <v>1353</v>
          </cell>
          <cell r="CG67">
            <v>1434</v>
          </cell>
          <cell r="CH67">
            <v>1434</v>
          </cell>
          <cell r="CI67">
            <v>1972</v>
          </cell>
          <cell r="CJ67">
            <v>1919</v>
          </cell>
          <cell r="CK67">
            <v>1403</v>
          </cell>
          <cell r="CL67">
            <v>1520</v>
          </cell>
          <cell r="CM67">
            <v>1520</v>
          </cell>
          <cell r="CN67">
            <v>1569</v>
          </cell>
          <cell r="CO67">
            <v>1636</v>
          </cell>
          <cell r="CP67">
            <v>2262</v>
          </cell>
          <cell r="CQ67">
            <v>2392</v>
          </cell>
          <cell r="CR67">
            <v>2392</v>
          </cell>
          <cell r="CS67">
            <v>2480</v>
          </cell>
          <cell r="CT67">
            <v>2874</v>
          </cell>
          <cell r="CU67">
            <v>2898</v>
          </cell>
          <cell r="CV67">
            <v>3422</v>
          </cell>
          <cell r="CW67">
            <v>3422</v>
          </cell>
          <cell r="CX67">
            <v>3271</v>
          </cell>
          <cell r="CY67">
            <v>3060</v>
          </cell>
          <cell r="CZ67">
            <v>3200</v>
          </cell>
          <cell r="DA67">
            <v>2953</v>
          </cell>
          <cell r="DB67">
            <v>2953</v>
          </cell>
          <cell r="DC67">
            <v>2869</v>
          </cell>
          <cell r="DD67">
            <v>2928</v>
          </cell>
          <cell r="DE67">
            <v>2895</v>
          </cell>
          <cell r="DF67">
            <v>3642</v>
          </cell>
          <cell r="DG67">
            <v>3642</v>
          </cell>
          <cell r="DH67">
            <v>5227</v>
          </cell>
          <cell r="DI67">
            <v>5592</v>
          </cell>
          <cell r="DJ67">
            <v>5767</v>
          </cell>
          <cell r="DK67">
            <v>6076</v>
          </cell>
          <cell r="DL67">
            <v>6076</v>
          </cell>
          <cell r="DM67">
            <v>6083</v>
          </cell>
          <cell r="DN67">
            <v>6967</v>
          </cell>
          <cell r="DO67">
            <v>7106</v>
          </cell>
          <cell r="DP67">
            <v>7442</v>
          </cell>
          <cell r="DQ67">
            <v>7442</v>
          </cell>
          <cell r="DR67">
            <v>9792</v>
          </cell>
          <cell r="DS67">
            <v>10129</v>
          </cell>
          <cell r="DT67">
            <v>10258</v>
          </cell>
          <cell r="DU67">
            <v>14723</v>
          </cell>
          <cell r="DV67">
            <v>14723</v>
          </cell>
          <cell r="DW67">
            <v>14455</v>
          </cell>
          <cell r="DX67">
            <v>14630</v>
          </cell>
          <cell r="DY67">
            <v>13696</v>
          </cell>
          <cell r="DZ67">
            <v>13138</v>
          </cell>
          <cell r="EA67">
            <v>13138</v>
          </cell>
          <cell r="EB67">
            <v>13034</v>
          </cell>
          <cell r="EC67">
            <v>13561</v>
          </cell>
          <cell r="ED67">
            <v>14427</v>
          </cell>
          <cell r="EE67">
            <v>15075</v>
          </cell>
          <cell r="EF67">
            <v>15075</v>
          </cell>
          <cell r="EG67">
            <v>21103</v>
          </cell>
          <cell r="EH67">
            <v>21256</v>
          </cell>
          <cell r="EI67">
            <v>21845</v>
          </cell>
          <cell r="EJ67">
            <v>21897</v>
          </cell>
          <cell r="EK67">
            <v>21897</v>
          </cell>
          <cell r="EL67">
            <v>23482</v>
          </cell>
          <cell r="EM67">
            <v>24994</v>
          </cell>
          <cell r="EN67">
            <v>26954</v>
          </cell>
          <cell r="EO67">
            <v>30601</v>
          </cell>
          <cell r="EP67">
            <v>30601</v>
          </cell>
          <cell r="EQ67">
            <v>32154</v>
          </cell>
          <cell r="ER67">
            <v>32265</v>
          </cell>
          <cell r="ES67">
            <v>35551</v>
          </cell>
          <cell r="ET67">
            <v>34698.6157136529</v>
          </cell>
          <cell r="EU67">
            <v>34698.6157136529</v>
          </cell>
          <cell r="EV67">
            <v>34992.077439049201</v>
          </cell>
          <cell r="EW67">
            <v>36612.929817892596</v>
          </cell>
          <cell r="EX67">
            <v>39027.753267587701</v>
          </cell>
          <cell r="EY67">
            <v>42140.128841376201</v>
          </cell>
          <cell r="EZ67">
            <v>42140.128841376201</v>
          </cell>
          <cell r="FA67">
            <v>40449.621281922497</v>
          </cell>
          <cell r="FB67">
            <v>43133.4812115936</v>
          </cell>
          <cell r="FC67">
            <v>44359.091374963398</v>
          </cell>
          <cell r="FD67">
            <v>48019.8191446848</v>
          </cell>
          <cell r="FE67">
            <v>48019.8191446848</v>
          </cell>
        </row>
        <row r="68">
          <cell r="B68" t="str">
            <v>Total assets</v>
          </cell>
          <cell r="C68" t="str">
            <v>TOT_ASSET</v>
          </cell>
          <cell r="D68" t="str">
            <v>USD</v>
          </cell>
          <cell r="F68">
            <v>7210</v>
          </cell>
          <cell r="G68">
            <v>8160</v>
          </cell>
          <cell r="H68">
            <v>9106</v>
          </cell>
          <cell r="I68">
            <v>9590</v>
          </cell>
          <cell r="J68">
            <v>10093</v>
          </cell>
          <cell r="K68">
            <v>10093</v>
          </cell>
          <cell r="L68">
            <v>10740</v>
          </cell>
          <cell r="M68">
            <v>12786</v>
          </cell>
          <cell r="N68">
            <v>12613</v>
          </cell>
          <cell r="O68">
            <v>14387</v>
          </cell>
          <cell r="P68">
            <v>14387</v>
          </cell>
          <cell r="Q68">
            <v>15366</v>
          </cell>
          <cell r="R68">
            <v>16840</v>
          </cell>
          <cell r="S68">
            <v>19545</v>
          </cell>
          <cell r="T68">
            <v>22357</v>
          </cell>
          <cell r="U68">
            <v>22357</v>
          </cell>
          <cell r="V68">
            <v>25569</v>
          </cell>
          <cell r="W68">
            <v>30049</v>
          </cell>
          <cell r="X68">
            <v>33561</v>
          </cell>
          <cell r="Y68">
            <v>37156</v>
          </cell>
          <cell r="Z68">
            <v>37156</v>
          </cell>
          <cell r="AA68">
            <v>39672</v>
          </cell>
          <cell r="AB68">
            <v>45093</v>
          </cell>
          <cell r="AC68">
            <v>50895</v>
          </cell>
          <cell r="AD68">
            <v>50442</v>
          </cell>
          <cell r="AE68">
            <v>50442</v>
          </cell>
          <cell r="AF68">
            <v>56089</v>
          </cell>
          <cell r="AG68">
            <v>57691</v>
          </cell>
          <cell r="AH68">
            <v>59605</v>
          </cell>
          <cell r="AI68">
            <v>59257</v>
          </cell>
          <cell r="AJ68">
            <v>59257</v>
          </cell>
          <cell r="AK68">
            <v>61367</v>
          </cell>
          <cell r="AL68">
            <v>65387</v>
          </cell>
          <cell r="AM68">
            <v>68379</v>
          </cell>
          <cell r="AN68">
            <v>67646</v>
          </cell>
          <cell r="AO68">
            <v>67646</v>
          </cell>
          <cell r="AP68">
            <v>70235</v>
          </cell>
          <cell r="AQ68">
            <v>72359</v>
          </cell>
          <cell r="AR68">
            <v>74482</v>
          </cell>
          <cell r="AS68">
            <v>79571</v>
          </cell>
          <cell r="AT68">
            <v>79571</v>
          </cell>
          <cell r="AU68">
            <v>84281</v>
          </cell>
          <cell r="AV68">
            <v>85937</v>
          </cell>
          <cell r="AW68">
            <v>89767</v>
          </cell>
          <cell r="AX68">
            <v>94368</v>
          </cell>
          <cell r="AY68">
            <v>94368</v>
          </cell>
          <cell r="AZ68">
            <v>94268</v>
          </cell>
          <cell r="BA68">
            <v>64941</v>
          </cell>
          <cell r="BB68">
            <v>66275</v>
          </cell>
          <cell r="BC68">
            <v>70815</v>
          </cell>
          <cell r="BD68">
            <v>70815</v>
          </cell>
          <cell r="BE68">
            <v>71462</v>
          </cell>
          <cell r="BF68">
            <v>67257</v>
          </cell>
          <cell r="BG68">
            <v>66854</v>
          </cell>
          <cell r="BH68">
            <v>69597</v>
          </cell>
          <cell r="BI68">
            <v>69597</v>
          </cell>
          <cell r="BJ68">
            <v>65354</v>
          </cell>
          <cell r="BK68">
            <v>66371</v>
          </cell>
          <cell r="BL68">
            <v>63891</v>
          </cell>
          <cell r="BM68">
            <v>63171</v>
          </cell>
          <cell r="BN68">
            <v>63171</v>
          </cell>
          <cell r="BO68">
            <v>65645</v>
          </cell>
          <cell r="BP68">
            <v>67339</v>
          </cell>
          <cell r="BQ68">
            <v>70747</v>
          </cell>
          <cell r="BR68">
            <v>72793</v>
          </cell>
          <cell r="BS68">
            <v>72793</v>
          </cell>
          <cell r="BT68">
            <v>65117</v>
          </cell>
          <cell r="BU68">
            <v>65786</v>
          </cell>
          <cell r="BV68">
            <v>68853</v>
          </cell>
          <cell r="BW68">
            <v>77888</v>
          </cell>
          <cell r="BX68">
            <v>77888</v>
          </cell>
          <cell r="BY68">
            <v>81612</v>
          </cell>
          <cell r="BZ68">
            <v>82096</v>
          </cell>
          <cell r="CA68">
            <v>84910</v>
          </cell>
          <cell r="CB68">
            <v>86113</v>
          </cell>
          <cell r="CC68">
            <v>86113</v>
          </cell>
          <cell r="CD68">
            <v>91540</v>
          </cell>
          <cell r="CE68">
            <v>92306</v>
          </cell>
          <cell r="CF68">
            <v>99727</v>
          </cell>
          <cell r="CG68">
            <v>108704</v>
          </cell>
          <cell r="CH68">
            <v>108704</v>
          </cell>
          <cell r="CI68">
            <v>107415</v>
          </cell>
          <cell r="CJ68">
            <v>112243</v>
          </cell>
          <cell r="CK68">
            <v>118010</v>
          </cell>
          <cell r="CL68">
            <v>121271</v>
          </cell>
          <cell r="CM68">
            <v>121271</v>
          </cell>
          <cell r="CN68">
            <v>121876</v>
          </cell>
          <cell r="CO68">
            <v>128683</v>
          </cell>
          <cell r="CP68">
            <v>134105</v>
          </cell>
          <cell r="CQ68">
            <v>142431</v>
          </cell>
          <cell r="CR68">
            <v>142431</v>
          </cell>
          <cell r="CS68">
            <v>142348</v>
          </cell>
          <cell r="CT68">
            <v>153543</v>
          </cell>
          <cell r="CU68">
            <v>156119</v>
          </cell>
          <cell r="CV68">
            <v>172384</v>
          </cell>
          <cell r="CW68">
            <v>172384</v>
          </cell>
          <cell r="CX68">
            <v>169656</v>
          </cell>
          <cell r="CY68">
            <v>174848</v>
          </cell>
          <cell r="CZ68">
            <v>176683</v>
          </cell>
          <cell r="DA68">
            <v>176223</v>
          </cell>
          <cell r="DB68">
            <v>176223</v>
          </cell>
          <cell r="DC68">
            <v>172896</v>
          </cell>
          <cell r="DD68">
            <v>180098</v>
          </cell>
          <cell r="DE68">
            <v>181869</v>
          </cell>
          <cell r="DF68">
            <v>193694</v>
          </cell>
          <cell r="DG68">
            <v>193694</v>
          </cell>
          <cell r="DH68">
            <v>222008</v>
          </cell>
          <cell r="DI68">
            <v>235298</v>
          </cell>
          <cell r="DJ68">
            <v>236016</v>
          </cell>
          <cell r="DK68">
            <v>250312</v>
          </cell>
          <cell r="DL68">
            <v>250312</v>
          </cell>
          <cell r="DM68">
            <v>249097</v>
          </cell>
          <cell r="DN68">
            <v>256003</v>
          </cell>
          <cell r="DO68">
            <v>245497</v>
          </cell>
          <cell r="DP68">
            <v>258848</v>
          </cell>
          <cell r="DQ68">
            <v>258848</v>
          </cell>
          <cell r="DR68">
            <v>257619</v>
          </cell>
          <cell r="DS68">
            <v>258859</v>
          </cell>
          <cell r="DT68">
            <v>263281</v>
          </cell>
          <cell r="DU68">
            <v>286556</v>
          </cell>
          <cell r="DV68">
            <v>286556</v>
          </cell>
          <cell r="DW68">
            <v>278955</v>
          </cell>
          <cell r="DX68">
            <v>282794</v>
          </cell>
          <cell r="DY68">
            <v>285449</v>
          </cell>
          <cell r="DZ68">
            <v>301311</v>
          </cell>
          <cell r="EA68">
            <v>301311</v>
          </cell>
          <cell r="EB68">
            <v>301001</v>
          </cell>
          <cell r="EC68">
            <v>304137</v>
          </cell>
          <cell r="ED68">
            <v>308879</v>
          </cell>
          <cell r="EE68">
            <v>333779</v>
          </cell>
          <cell r="EF68">
            <v>333779</v>
          </cell>
          <cell r="EG68">
            <v>335418</v>
          </cell>
          <cell r="EH68">
            <v>340389</v>
          </cell>
          <cell r="EI68">
            <v>344607</v>
          </cell>
          <cell r="EJ68">
            <v>364840</v>
          </cell>
          <cell r="EK68">
            <v>364840</v>
          </cell>
          <cell r="EL68">
            <v>359784</v>
          </cell>
          <cell r="EM68">
            <v>364552</v>
          </cell>
          <cell r="EN68">
            <v>380088</v>
          </cell>
          <cell r="EO68">
            <v>411976</v>
          </cell>
          <cell r="EP68">
            <v>411976</v>
          </cell>
          <cell r="EQ68">
            <v>445785</v>
          </cell>
          <cell r="ER68">
            <v>470558</v>
          </cell>
          <cell r="ES68">
            <v>484275</v>
          </cell>
          <cell r="ET68">
            <v>527855.26042000204</v>
          </cell>
          <cell r="EU68">
            <v>527855.26042000204</v>
          </cell>
          <cell r="EV68">
            <v>541897.72669503803</v>
          </cell>
          <cell r="EW68">
            <v>560024.02164411498</v>
          </cell>
          <cell r="EX68">
            <v>587947.62309096404</v>
          </cell>
          <cell r="EY68">
            <v>634161.945338552</v>
          </cell>
          <cell r="EZ68">
            <v>634161.945338552</v>
          </cell>
          <cell r="FA68">
            <v>650029.07801735902</v>
          </cell>
          <cell r="FB68">
            <v>672249.53421373304</v>
          </cell>
          <cell r="FC68">
            <v>710206.10717254295</v>
          </cell>
          <cell r="FD68">
            <v>765224.56102483999</v>
          </cell>
          <cell r="FE68">
            <v>765224.56102483999</v>
          </cell>
        </row>
        <row r="69">
          <cell r="B69" t="str">
            <v>Accounts payable</v>
          </cell>
          <cell r="C69" t="str">
            <v>ACC_PAY_GQ</v>
          </cell>
          <cell r="D69" t="str">
            <v>USD</v>
          </cell>
          <cell r="F69">
            <v>563</v>
          </cell>
          <cell r="G69">
            <v>621</v>
          </cell>
          <cell r="H69">
            <v>651</v>
          </cell>
          <cell r="I69">
            <v>652</v>
          </cell>
          <cell r="J69">
            <v>808</v>
          </cell>
          <cell r="K69">
            <v>808</v>
          </cell>
          <cell r="L69">
            <v>887</v>
          </cell>
          <cell r="M69">
            <v>848</v>
          </cell>
          <cell r="N69">
            <v>864</v>
          </cell>
          <cell r="O69">
            <v>721</v>
          </cell>
          <cell r="P69">
            <v>721</v>
          </cell>
          <cell r="Q69">
            <v>761</v>
          </cell>
          <cell r="R69">
            <v>867</v>
          </cell>
          <cell r="S69">
            <v>908</v>
          </cell>
          <cell r="T69">
            <v>759</v>
          </cell>
          <cell r="U69">
            <v>759</v>
          </cell>
          <cell r="V69">
            <v>845</v>
          </cell>
          <cell r="W69">
            <v>989</v>
          </cell>
          <cell r="X69">
            <v>1016</v>
          </cell>
          <cell r="Y69">
            <v>874</v>
          </cell>
          <cell r="Z69">
            <v>874</v>
          </cell>
          <cell r="AA69">
            <v>997</v>
          </cell>
          <cell r="AB69">
            <v>1233</v>
          </cell>
          <cell r="AC69">
            <v>1073</v>
          </cell>
          <cell r="AD69">
            <v>1083</v>
          </cell>
          <cell r="AE69">
            <v>1083</v>
          </cell>
          <cell r="AF69">
            <v>1101</v>
          </cell>
          <cell r="AG69">
            <v>1262</v>
          </cell>
          <cell r="AH69">
            <v>1246</v>
          </cell>
          <cell r="AI69">
            <v>1188</v>
          </cell>
          <cell r="AJ69">
            <v>1188</v>
          </cell>
          <cell r="AK69">
            <v>1143</v>
          </cell>
          <cell r="AL69">
            <v>1229</v>
          </cell>
          <cell r="AM69">
            <v>1136</v>
          </cell>
          <cell r="AN69">
            <v>1208</v>
          </cell>
          <cell r="AO69">
            <v>1208</v>
          </cell>
          <cell r="AP69">
            <v>1189</v>
          </cell>
          <cell r="AQ69">
            <v>1342</v>
          </cell>
          <cell r="AR69">
            <v>1310</v>
          </cell>
          <cell r="AS69">
            <v>1573</v>
          </cell>
          <cell r="AT69">
            <v>1573</v>
          </cell>
          <cell r="AU69">
            <v>1341</v>
          </cell>
          <cell r="AV69">
            <v>1360</v>
          </cell>
          <cell r="AW69">
            <v>1412</v>
          </cell>
          <cell r="AX69">
            <v>1717</v>
          </cell>
          <cell r="AY69">
            <v>1717</v>
          </cell>
          <cell r="AZ69">
            <v>1439</v>
          </cell>
          <cell r="BA69">
            <v>1573</v>
          </cell>
          <cell r="BB69">
            <v>1636</v>
          </cell>
          <cell r="BC69">
            <v>2086</v>
          </cell>
          <cell r="BD69">
            <v>2086</v>
          </cell>
          <cell r="BE69">
            <v>1852</v>
          </cell>
          <cell r="BF69">
            <v>2477</v>
          </cell>
          <cell r="BG69">
            <v>2354</v>
          </cell>
          <cell r="BH69">
            <v>2909</v>
          </cell>
          <cell r="BI69">
            <v>2909</v>
          </cell>
          <cell r="BJ69">
            <v>2406</v>
          </cell>
          <cell r="BK69">
            <v>2944</v>
          </cell>
          <cell r="BL69">
            <v>2843</v>
          </cell>
          <cell r="BM69">
            <v>3247</v>
          </cell>
          <cell r="BN69">
            <v>3247</v>
          </cell>
          <cell r="BO69">
            <v>3206</v>
          </cell>
          <cell r="BP69">
            <v>3612</v>
          </cell>
          <cell r="BQ69">
            <v>3600</v>
          </cell>
          <cell r="BR69">
            <v>4034</v>
          </cell>
          <cell r="BS69">
            <v>4034</v>
          </cell>
          <cell r="BT69">
            <v>3351</v>
          </cell>
          <cell r="BU69">
            <v>3533</v>
          </cell>
          <cell r="BV69">
            <v>3017</v>
          </cell>
          <cell r="BW69">
            <v>3324</v>
          </cell>
          <cell r="BX69">
            <v>3324</v>
          </cell>
          <cell r="BY69">
            <v>3287</v>
          </cell>
          <cell r="BZ69">
            <v>3171</v>
          </cell>
          <cell r="CA69">
            <v>3279</v>
          </cell>
          <cell r="CB69">
            <v>4025</v>
          </cell>
          <cell r="CC69">
            <v>4025</v>
          </cell>
          <cell r="CD69">
            <v>3654</v>
          </cell>
          <cell r="CE69">
            <v>3863</v>
          </cell>
          <cell r="CF69">
            <v>3829</v>
          </cell>
          <cell r="CG69">
            <v>4197</v>
          </cell>
          <cell r="CH69">
            <v>4197</v>
          </cell>
          <cell r="CI69">
            <v>3719</v>
          </cell>
          <cell r="CJ69">
            <v>3884</v>
          </cell>
          <cell r="CK69">
            <v>3790</v>
          </cell>
          <cell r="CL69">
            <v>4175</v>
          </cell>
          <cell r="CM69">
            <v>4175</v>
          </cell>
          <cell r="CN69">
            <v>3631</v>
          </cell>
          <cell r="CO69">
            <v>4356</v>
          </cell>
          <cell r="CP69">
            <v>4532</v>
          </cell>
          <cell r="CQ69">
            <v>4828</v>
          </cell>
          <cell r="CR69">
            <v>4828</v>
          </cell>
          <cell r="CS69">
            <v>4841</v>
          </cell>
          <cell r="CT69">
            <v>5398</v>
          </cell>
          <cell r="CU69">
            <v>4583</v>
          </cell>
          <cell r="CV69">
            <v>7432</v>
          </cell>
          <cell r="CW69">
            <v>7432</v>
          </cell>
          <cell r="CX69">
            <v>6769</v>
          </cell>
          <cell r="CY69">
            <v>6932</v>
          </cell>
          <cell r="CZ69">
            <v>6690</v>
          </cell>
          <cell r="DA69">
            <v>6591</v>
          </cell>
          <cell r="DB69">
            <v>6591</v>
          </cell>
          <cell r="DC69">
            <v>6630</v>
          </cell>
          <cell r="DD69">
            <v>6936</v>
          </cell>
          <cell r="DE69">
            <v>6759</v>
          </cell>
          <cell r="DF69">
            <v>6898</v>
          </cell>
          <cell r="DG69">
            <v>6898</v>
          </cell>
          <cell r="DH69">
            <v>6296</v>
          </cell>
          <cell r="DI69">
            <v>6580</v>
          </cell>
          <cell r="DJ69">
            <v>6217</v>
          </cell>
          <cell r="DK69">
            <v>7390</v>
          </cell>
          <cell r="DL69">
            <v>7390</v>
          </cell>
          <cell r="DM69">
            <v>6866</v>
          </cell>
          <cell r="DN69">
            <v>7850</v>
          </cell>
          <cell r="DO69">
            <v>7623</v>
          </cell>
          <cell r="DP69">
            <v>8617</v>
          </cell>
          <cell r="DQ69">
            <v>8617</v>
          </cell>
          <cell r="DR69">
            <v>8511</v>
          </cell>
          <cell r="DS69">
            <v>7563</v>
          </cell>
          <cell r="DT69">
            <v>7544</v>
          </cell>
          <cell r="DU69">
            <v>9382</v>
          </cell>
          <cell r="DV69">
            <v>9382</v>
          </cell>
          <cell r="DW69">
            <v>8574</v>
          </cell>
          <cell r="DX69">
            <v>8811</v>
          </cell>
          <cell r="DY69">
            <v>9246</v>
          </cell>
          <cell r="DZ69">
            <v>12530</v>
          </cell>
          <cell r="EA69">
            <v>12530</v>
          </cell>
          <cell r="EB69">
            <v>12509</v>
          </cell>
          <cell r="EC69">
            <v>12770</v>
          </cell>
          <cell r="ED69">
            <v>13412</v>
          </cell>
          <cell r="EE69">
            <v>15163</v>
          </cell>
          <cell r="EF69">
            <v>15163</v>
          </cell>
          <cell r="EG69">
            <v>14832</v>
          </cell>
          <cell r="EH69">
            <v>15314</v>
          </cell>
          <cell r="EI69">
            <v>16085</v>
          </cell>
          <cell r="EJ69">
            <v>19000</v>
          </cell>
          <cell r="EK69">
            <v>19000</v>
          </cell>
          <cell r="EL69">
            <v>16609</v>
          </cell>
          <cell r="EM69">
            <v>15354</v>
          </cell>
          <cell r="EN69">
            <v>15305</v>
          </cell>
          <cell r="EO69">
            <v>18095</v>
          </cell>
          <cell r="EP69">
            <v>18095</v>
          </cell>
          <cell r="EQ69">
            <v>19307</v>
          </cell>
          <cell r="ER69">
            <v>17695</v>
          </cell>
          <cell r="ES69">
            <v>18087</v>
          </cell>
          <cell r="ET69">
            <v>21692.471280115598</v>
          </cell>
          <cell r="EU69">
            <v>21692.471280115598</v>
          </cell>
          <cell r="EV69">
            <v>24252.848653554898</v>
          </cell>
          <cell r="EW69">
            <v>20060.835108487601</v>
          </cell>
          <cell r="EX69">
            <v>21213.425839231299</v>
          </cell>
          <cell r="EY69">
            <v>24180.0862268741</v>
          </cell>
          <cell r="EZ69">
            <v>24180.0862268741</v>
          </cell>
          <cell r="FA69">
            <v>26954.888842041699</v>
          </cell>
          <cell r="FB69">
            <v>22178.804556925901</v>
          </cell>
          <cell r="FC69">
            <v>23510.4558635022</v>
          </cell>
          <cell r="FD69">
            <v>26916.7511746083</v>
          </cell>
          <cell r="FE69">
            <v>26916.7511746083</v>
          </cell>
        </row>
        <row r="70">
          <cell r="B70" t="str">
            <v>Short-term debt</v>
          </cell>
          <cell r="C70" t="str">
            <v>SHORT_T_DEBT</v>
          </cell>
          <cell r="D70" t="str">
            <v>USD</v>
          </cell>
          <cell r="BT70">
            <v>1975</v>
          </cell>
          <cell r="BU70">
            <v>2000</v>
          </cell>
          <cell r="BV70">
            <v>1999</v>
          </cell>
          <cell r="BW70">
            <v>2000</v>
          </cell>
          <cell r="BX70">
            <v>2000</v>
          </cell>
          <cell r="BY70">
            <v>2250</v>
          </cell>
          <cell r="BZ70">
            <v>2249</v>
          </cell>
          <cell r="CA70">
            <v>2249</v>
          </cell>
          <cell r="CB70">
            <v>1000</v>
          </cell>
          <cell r="CC70">
            <v>1000</v>
          </cell>
          <cell r="CD70">
            <v>1000</v>
          </cell>
          <cell r="CL70">
            <v>1231</v>
          </cell>
          <cell r="CM70">
            <v>1231</v>
          </cell>
          <cell r="CN70">
            <v>2236</v>
          </cell>
          <cell r="CO70">
            <v>2241</v>
          </cell>
          <cell r="CP70">
            <v>2246</v>
          </cell>
          <cell r="CQ70">
            <v>2999</v>
          </cell>
          <cell r="CR70">
            <v>2999</v>
          </cell>
          <cell r="CS70">
            <v>3300</v>
          </cell>
          <cell r="CT70">
            <v>2300</v>
          </cell>
          <cell r="CU70">
            <v>2000</v>
          </cell>
          <cell r="CV70">
            <v>2000</v>
          </cell>
          <cell r="CW70">
            <v>2000</v>
          </cell>
          <cell r="CX70">
            <v>5248</v>
          </cell>
          <cell r="CY70">
            <v>10048</v>
          </cell>
          <cell r="CZ70">
            <v>4224</v>
          </cell>
          <cell r="DA70">
            <v>7484</v>
          </cell>
          <cell r="DB70">
            <v>7484</v>
          </cell>
          <cell r="DC70">
            <v>10748</v>
          </cell>
          <cell r="DD70">
            <v>3750</v>
          </cell>
          <cell r="DE70">
            <v>5498</v>
          </cell>
          <cell r="DF70">
            <v>12904</v>
          </cell>
          <cell r="DG70">
            <v>12904</v>
          </cell>
          <cell r="DH70">
            <v>14536</v>
          </cell>
          <cell r="DI70">
            <v>25664</v>
          </cell>
          <cell r="DJ70">
            <v>7786</v>
          </cell>
          <cell r="DK70">
            <v>10121</v>
          </cell>
          <cell r="DL70">
            <v>10121</v>
          </cell>
          <cell r="DM70">
            <v>9220</v>
          </cell>
          <cell r="DN70">
            <v>15912</v>
          </cell>
          <cell r="DO70">
            <v>3677</v>
          </cell>
          <cell r="DP70">
            <v>3998</v>
          </cell>
          <cell r="DQ70">
            <v>3998</v>
          </cell>
          <cell r="DR70">
            <v>6497</v>
          </cell>
          <cell r="DS70">
            <v>3516</v>
          </cell>
          <cell r="DT70">
            <v>6515</v>
          </cell>
          <cell r="DU70">
            <v>5516</v>
          </cell>
          <cell r="DV70">
            <v>5516</v>
          </cell>
          <cell r="DW70">
            <v>3017</v>
          </cell>
          <cell r="DX70">
            <v>6247</v>
          </cell>
          <cell r="DY70">
            <v>3748</v>
          </cell>
          <cell r="DZ70">
            <v>3749</v>
          </cell>
          <cell r="EA70">
            <v>3749</v>
          </cell>
          <cell r="EB70">
            <v>6497</v>
          </cell>
          <cell r="EC70">
            <v>5387</v>
          </cell>
          <cell r="ED70">
            <v>8051</v>
          </cell>
          <cell r="EE70">
            <v>8072</v>
          </cell>
          <cell r="EF70">
            <v>8072</v>
          </cell>
          <cell r="EG70">
            <v>3249</v>
          </cell>
          <cell r="EH70">
            <v>4998</v>
          </cell>
          <cell r="EI70">
            <v>1749</v>
          </cell>
          <cell r="EJ70">
            <v>2749</v>
          </cell>
          <cell r="EK70">
            <v>2749</v>
          </cell>
          <cell r="EL70">
            <v>3248</v>
          </cell>
          <cell r="EM70">
            <v>3997</v>
          </cell>
          <cell r="EN70">
            <v>6245</v>
          </cell>
          <cell r="EO70">
            <v>5247</v>
          </cell>
          <cell r="EP70">
            <v>5247</v>
          </cell>
          <cell r="EQ70">
            <v>29556</v>
          </cell>
          <cell r="ER70">
            <v>29291</v>
          </cell>
          <cell r="ES70">
            <v>22784</v>
          </cell>
          <cell r="ET70">
            <v>22784</v>
          </cell>
          <cell r="EU70">
            <v>22784</v>
          </cell>
          <cell r="EV70">
            <v>22784</v>
          </cell>
          <cell r="EW70">
            <v>22784</v>
          </cell>
          <cell r="EX70">
            <v>22784</v>
          </cell>
          <cell r="EY70">
            <v>22784</v>
          </cell>
          <cell r="EZ70">
            <v>22784</v>
          </cell>
          <cell r="FA70">
            <v>22784</v>
          </cell>
          <cell r="FB70">
            <v>22784</v>
          </cell>
          <cell r="FC70">
            <v>22784</v>
          </cell>
          <cell r="FD70">
            <v>22784</v>
          </cell>
          <cell r="FE70">
            <v>22784</v>
          </cell>
        </row>
        <row r="71">
          <cell r="B71" t="str">
            <v>Current lease liabilities (op lease: US GAAP)</v>
          </cell>
          <cell r="C71" t="str">
            <v>ST_LEASE_LIAB</v>
          </cell>
          <cell r="D71" t="str">
            <v>USD</v>
          </cell>
        </row>
        <row r="72">
          <cell r="B72" t="str">
            <v>Other current liabilities</v>
          </cell>
          <cell r="C72" t="str">
            <v>OTH_CUR_LIABS</v>
          </cell>
          <cell r="D72" t="str">
            <v>USD</v>
          </cell>
          <cell r="F72">
            <v>784</v>
          </cell>
          <cell r="G72">
            <v>1138</v>
          </cell>
          <cell r="H72">
            <v>1590</v>
          </cell>
          <cell r="I72">
            <v>1612</v>
          </cell>
          <cell r="J72">
            <v>1617</v>
          </cell>
          <cell r="K72">
            <v>1617</v>
          </cell>
          <cell r="L72">
            <v>1776</v>
          </cell>
          <cell r="M72">
            <v>2296</v>
          </cell>
          <cell r="N72">
            <v>2615</v>
          </cell>
          <cell r="O72">
            <v>2889</v>
          </cell>
          <cell r="P72">
            <v>2889</v>
          </cell>
          <cell r="Q72">
            <v>3141</v>
          </cell>
          <cell r="R72">
            <v>3629</v>
          </cell>
          <cell r="S72">
            <v>3961</v>
          </cell>
          <cell r="T72">
            <v>4971</v>
          </cell>
          <cell r="U72">
            <v>4971</v>
          </cell>
          <cell r="V72">
            <v>5600</v>
          </cell>
          <cell r="W72">
            <v>6482</v>
          </cell>
          <cell r="X72">
            <v>6823</v>
          </cell>
          <cell r="Y72">
            <v>7844</v>
          </cell>
          <cell r="Z72">
            <v>7844</v>
          </cell>
          <cell r="AA72">
            <v>7335</v>
          </cell>
          <cell r="AB72">
            <v>9271</v>
          </cell>
          <cell r="AC72">
            <v>10030</v>
          </cell>
          <cell r="AD72">
            <v>8670</v>
          </cell>
          <cell r="AE72">
            <v>8670</v>
          </cell>
          <cell r="AF72">
            <v>8205</v>
          </cell>
          <cell r="AG72">
            <v>8363</v>
          </cell>
          <cell r="AH72">
            <v>8494</v>
          </cell>
          <cell r="AI72">
            <v>9944</v>
          </cell>
          <cell r="AJ72">
            <v>9944</v>
          </cell>
          <cell r="AK72">
            <v>11719</v>
          </cell>
          <cell r="AL72">
            <v>10338</v>
          </cell>
          <cell r="AM72">
            <v>10706</v>
          </cell>
          <cell r="AN72">
            <v>11536</v>
          </cell>
          <cell r="AO72">
            <v>11536</v>
          </cell>
          <cell r="AP72">
            <v>12568</v>
          </cell>
          <cell r="AQ72">
            <v>12275</v>
          </cell>
          <cell r="AR72">
            <v>11851</v>
          </cell>
          <cell r="AS72">
            <v>12401</v>
          </cell>
          <cell r="AT72">
            <v>12401</v>
          </cell>
          <cell r="AU72">
            <v>13757</v>
          </cell>
          <cell r="AV72">
            <v>12567</v>
          </cell>
          <cell r="AW72">
            <v>14572</v>
          </cell>
          <cell r="AX72">
            <v>13252</v>
          </cell>
          <cell r="AY72">
            <v>13252</v>
          </cell>
          <cell r="AZ72">
            <v>13999</v>
          </cell>
          <cell r="BA72">
            <v>13472</v>
          </cell>
          <cell r="BB72">
            <v>14503</v>
          </cell>
          <cell r="BC72">
            <v>14791</v>
          </cell>
          <cell r="BD72">
            <v>14791</v>
          </cell>
          <cell r="BE72">
            <v>15170</v>
          </cell>
          <cell r="BF72">
            <v>14270</v>
          </cell>
          <cell r="BG72">
            <v>16013</v>
          </cell>
          <cell r="BH72">
            <v>19533</v>
          </cell>
          <cell r="BI72">
            <v>19533</v>
          </cell>
          <cell r="BJ72">
            <v>19566</v>
          </cell>
          <cell r="BK72">
            <v>19271</v>
          </cell>
          <cell r="BL72">
            <v>18784</v>
          </cell>
          <cell r="BM72">
            <v>20507</v>
          </cell>
          <cell r="BN72">
            <v>20507</v>
          </cell>
          <cell r="BO72">
            <v>19538</v>
          </cell>
          <cell r="BP72">
            <v>18446</v>
          </cell>
          <cell r="BQ72">
            <v>23428</v>
          </cell>
          <cell r="BR72">
            <v>25852</v>
          </cell>
          <cell r="BS72">
            <v>25852</v>
          </cell>
          <cell r="BT72">
            <v>19057</v>
          </cell>
          <cell r="BU72">
            <v>18177</v>
          </cell>
          <cell r="BV72">
            <v>18807</v>
          </cell>
          <cell r="BW72">
            <v>21710</v>
          </cell>
          <cell r="BX72">
            <v>21710</v>
          </cell>
          <cell r="BY72">
            <v>23224</v>
          </cell>
          <cell r="BZ72">
            <v>20295</v>
          </cell>
          <cell r="CA72">
            <v>20896</v>
          </cell>
          <cell r="CB72">
            <v>21122</v>
          </cell>
          <cell r="CC72">
            <v>21122</v>
          </cell>
          <cell r="CD72">
            <v>21203</v>
          </cell>
          <cell r="CE72">
            <v>20449</v>
          </cell>
          <cell r="CF72">
            <v>20213</v>
          </cell>
          <cell r="CG72">
            <v>24577</v>
          </cell>
          <cell r="CH72">
            <v>24577</v>
          </cell>
          <cell r="CI72">
            <v>21824</v>
          </cell>
          <cell r="CJ72">
            <v>21489</v>
          </cell>
          <cell r="CK72">
            <v>22380</v>
          </cell>
          <cell r="CL72">
            <v>27282</v>
          </cell>
          <cell r="CM72">
            <v>27282</v>
          </cell>
          <cell r="CN72">
            <v>25535</v>
          </cell>
          <cell r="CO72">
            <v>25313</v>
          </cell>
          <cell r="CP72">
            <v>25151</v>
          </cell>
          <cell r="CQ72">
            <v>29590</v>
          </cell>
          <cell r="CR72">
            <v>29590</v>
          </cell>
          <cell r="CS72">
            <v>26482</v>
          </cell>
          <cell r="CT72">
            <v>26044</v>
          </cell>
          <cell r="CU72">
            <v>27320</v>
          </cell>
          <cell r="CV72">
            <v>36193</v>
          </cell>
          <cell r="CW72">
            <v>36193</v>
          </cell>
          <cell r="CX72">
            <v>32677</v>
          </cell>
          <cell r="CY72">
            <v>30435</v>
          </cell>
          <cell r="CZ72">
            <v>29834</v>
          </cell>
          <cell r="DA72">
            <v>35783</v>
          </cell>
          <cell r="DB72">
            <v>35783</v>
          </cell>
          <cell r="DC72">
            <v>32021</v>
          </cell>
          <cell r="DD72">
            <v>31957</v>
          </cell>
          <cell r="DE72">
            <v>32097</v>
          </cell>
          <cell r="DF72">
            <v>39555</v>
          </cell>
          <cell r="DG72">
            <v>39555</v>
          </cell>
          <cell r="DH72">
            <v>31403</v>
          </cell>
          <cell r="DI72">
            <v>31815</v>
          </cell>
          <cell r="DJ72">
            <v>30985</v>
          </cell>
          <cell r="DK72">
            <v>38234</v>
          </cell>
          <cell r="DL72">
            <v>38234</v>
          </cell>
          <cell r="DM72">
            <v>35529</v>
          </cell>
          <cell r="DN72">
            <v>34337</v>
          </cell>
          <cell r="DO72">
            <v>34833</v>
          </cell>
          <cell r="DP72">
            <v>45873</v>
          </cell>
          <cell r="DQ72">
            <v>45873</v>
          </cell>
          <cell r="DR72">
            <v>41269</v>
          </cell>
          <cell r="DS72">
            <v>39239</v>
          </cell>
          <cell r="DT72">
            <v>39802</v>
          </cell>
          <cell r="DU72">
            <v>54522</v>
          </cell>
          <cell r="DV72">
            <v>54522</v>
          </cell>
          <cell r="DW72">
            <v>46527</v>
          </cell>
          <cell r="DX72">
            <v>44582</v>
          </cell>
          <cell r="DY72">
            <v>45713</v>
          </cell>
          <cell r="DZ72">
            <v>56031</v>
          </cell>
          <cell r="EA72">
            <v>56031</v>
          </cell>
          <cell r="EB72">
            <v>51050</v>
          </cell>
          <cell r="EC72">
            <v>49329</v>
          </cell>
          <cell r="ED72">
            <v>50730</v>
          </cell>
          <cell r="EE72">
            <v>65422</v>
          </cell>
          <cell r="EF72">
            <v>65422</v>
          </cell>
          <cell r="EG72">
            <v>62447</v>
          </cell>
          <cell r="EH72">
            <v>57198</v>
          </cell>
          <cell r="EI72">
            <v>59605</v>
          </cell>
          <cell r="EJ72">
            <v>73333</v>
          </cell>
          <cell r="EK72">
            <v>73333</v>
          </cell>
          <cell r="EL72">
            <v>67532</v>
          </cell>
          <cell r="EM72">
            <v>62367</v>
          </cell>
          <cell r="EN72">
            <v>64141</v>
          </cell>
          <cell r="EO72">
            <v>80807</v>
          </cell>
          <cell r="EP72">
            <v>80807</v>
          </cell>
          <cell r="EQ72">
            <v>75929</v>
          </cell>
          <cell r="ER72">
            <v>74030</v>
          </cell>
          <cell r="ES72">
            <v>77654</v>
          </cell>
          <cell r="ET72">
            <v>91268.999336638299</v>
          </cell>
          <cell r="EU72">
            <v>91268.999336638299</v>
          </cell>
          <cell r="EV72">
            <v>85713.015519218505</v>
          </cell>
          <cell r="EW72">
            <v>79610.082770073495</v>
          </cell>
          <cell r="EX72">
            <v>82018.213061482602</v>
          </cell>
          <cell r="EY72">
            <v>97699.510199923301</v>
          </cell>
          <cell r="EZ72">
            <v>97699.510199923301</v>
          </cell>
          <cell r="FA72">
            <v>89623.706388104794</v>
          </cell>
          <cell r="FB72">
            <v>85004.681698526503</v>
          </cell>
          <cell r="FC72">
            <v>89445.421591015504</v>
          </cell>
          <cell r="FD72">
            <v>106880.51798229601</v>
          </cell>
          <cell r="FE72">
            <v>106880.51798229601</v>
          </cell>
        </row>
        <row r="73">
          <cell r="B73" t="str">
            <v>Total current liabilities</v>
          </cell>
          <cell r="C73" t="str">
            <v>SHORT_TERM_LIABS</v>
          </cell>
          <cell r="D73" t="str">
            <v>USD</v>
          </cell>
          <cell r="F73">
            <v>1347</v>
          </cell>
          <cell r="G73">
            <v>1759</v>
          </cell>
          <cell r="H73">
            <v>2241</v>
          </cell>
          <cell r="I73">
            <v>2264</v>
          </cell>
          <cell r="J73">
            <v>2425</v>
          </cell>
          <cell r="K73">
            <v>2425</v>
          </cell>
          <cell r="L73">
            <v>2663</v>
          </cell>
          <cell r="M73">
            <v>3144</v>
          </cell>
          <cell r="N73">
            <v>3479</v>
          </cell>
          <cell r="O73">
            <v>3610</v>
          </cell>
          <cell r="P73">
            <v>3610</v>
          </cell>
          <cell r="Q73">
            <v>3902</v>
          </cell>
          <cell r="R73">
            <v>4496</v>
          </cell>
          <cell r="S73">
            <v>4869</v>
          </cell>
          <cell r="T73">
            <v>5730</v>
          </cell>
          <cell r="U73">
            <v>5730</v>
          </cell>
          <cell r="V73">
            <v>6445</v>
          </cell>
          <cell r="W73">
            <v>7471</v>
          </cell>
          <cell r="X73">
            <v>7839</v>
          </cell>
          <cell r="Y73">
            <v>8718</v>
          </cell>
          <cell r="Z73">
            <v>8718</v>
          </cell>
          <cell r="AA73">
            <v>8332</v>
          </cell>
          <cell r="AB73">
            <v>10504</v>
          </cell>
          <cell r="AC73">
            <v>11103</v>
          </cell>
          <cell r="AD73">
            <v>9753</v>
          </cell>
          <cell r="AE73">
            <v>9753</v>
          </cell>
          <cell r="AF73">
            <v>9306</v>
          </cell>
          <cell r="AG73">
            <v>9625</v>
          </cell>
          <cell r="AH73">
            <v>9740</v>
          </cell>
          <cell r="AI73">
            <v>11132</v>
          </cell>
          <cell r="AJ73">
            <v>11132</v>
          </cell>
          <cell r="AK73">
            <v>12862</v>
          </cell>
          <cell r="AL73">
            <v>11567</v>
          </cell>
          <cell r="AM73">
            <v>11842</v>
          </cell>
          <cell r="AN73">
            <v>12744</v>
          </cell>
          <cell r="AO73">
            <v>12744</v>
          </cell>
          <cell r="AP73">
            <v>13757</v>
          </cell>
          <cell r="AQ73">
            <v>13617</v>
          </cell>
          <cell r="AR73">
            <v>13161</v>
          </cell>
          <cell r="AS73">
            <v>13974</v>
          </cell>
          <cell r="AT73">
            <v>13974</v>
          </cell>
          <cell r="AU73">
            <v>15098</v>
          </cell>
          <cell r="AV73">
            <v>13927</v>
          </cell>
          <cell r="AW73">
            <v>15984</v>
          </cell>
          <cell r="AX73">
            <v>14969</v>
          </cell>
          <cell r="AY73">
            <v>14969</v>
          </cell>
          <cell r="AZ73">
            <v>15438</v>
          </cell>
          <cell r="BA73">
            <v>15045</v>
          </cell>
          <cell r="BB73">
            <v>16139</v>
          </cell>
          <cell r="BC73">
            <v>16877</v>
          </cell>
          <cell r="BD73">
            <v>16877</v>
          </cell>
          <cell r="BE73">
            <v>17022</v>
          </cell>
          <cell r="BF73">
            <v>16747</v>
          </cell>
          <cell r="BG73">
            <v>18367</v>
          </cell>
          <cell r="BH73">
            <v>22442</v>
          </cell>
          <cell r="BI73">
            <v>22442</v>
          </cell>
          <cell r="BJ73">
            <v>21972</v>
          </cell>
          <cell r="BK73">
            <v>22215</v>
          </cell>
          <cell r="BL73">
            <v>21627</v>
          </cell>
          <cell r="BM73">
            <v>23754</v>
          </cell>
          <cell r="BN73">
            <v>23754</v>
          </cell>
          <cell r="BO73">
            <v>22744</v>
          </cell>
          <cell r="BP73">
            <v>22058</v>
          </cell>
          <cell r="BQ73">
            <v>27028</v>
          </cell>
          <cell r="BR73">
            <v>29886</v>
          </cell>
          <cell r="BS73">
            <v>29886</v>
          </cell>
          <cell r="BT73">
            <v>24383</v>
          </cell>
          <cell r="BU73">
            <v>23710</v>
          </cell>
          <cell r="BV73">
            <v>23823</v>
          </cell>
          <cell r="BW73">
            <v>27034</v>
          </cell>
          <cell r="BX73">
            <v>27034</v>
          </cell>
          <cell r="BY73">
            <v>28761</v>
          </cell>
          <cell r="BZ73">
            <v>25715</v>
          </cell>
          <cell r="CA73">
            <v>26424</v>
          </cell>
          <cell r="CB73">
            <v>26147</v>
          </cell>
          <cell r="CC73">
            <v>26147</v>
          </cell>
          <cell r="CD73">
            <v>25857</v>
          </cell>
          <cell r="CE73">
            <v>24312</v>
          </cell>
          <cell r="CF73">
            <v>24042</v>
          </cell>
          <cell r="CG73">
            <v>28774</v>
          </cell>
          <cell r="CH73">
            <v>28774</v>
          </cell>
          <cell r="CI73">
            <v>25543</v>
          </cell>
          <cell r="CJ73">
            <v>25373</v>
          </cell>
          <cell r="CK73">
            <v>26170</v>
          </cell>
          <cell r="CL73">
            <v>32688</v>
          </cell>
          <cell r="CM73">
            <v>32688</v>
          </cell>
          <cell r="CN73">
            <v>31402</v>
          </cell>
          <cell r="CO73">
            <v>31910</v>
          </cell>
          <cell r="CP73">
            <v>31929</v>
          </cell>
          <cell r="CQ73">
            <v>37417</v>
          </cell>
          <cell r="CR73">
            <v>37417</v>
          </cell>
          <cell r="CS73">
            <v>34623</v>
          </cell>
          <cell r="CT73">
            <v>33742</v>
          </cell>
          <cell r="CU73">
            <v>33903</v>
          </cell>
          <cell r="CV73">
            <v>45625</v>
          </cell>
          <cell r="CW73">
            <v>45625</v>
          </cell>
          <cell r="CX73">
            <v>44694</v>
          </cell>
          <cell r="CY73">
            <v>47415</v>
          </cell>
          <cell r="CZ73">
            <v>40748</v>
          </cell>
          <cell r="DA73">
            <v>49858</v>
          </cell>
          <cell r="DB73">
            <v>49858</v>
          </cell>
          <cell r="DC73">
            <v>49399</v>
          </cell>
          <cell r="DD73">
            <v>42643</v>
          </cell>
          <cell r="DE73">
            <v>44354</v>
          </cell>
          <cell r="DF73">
            <v>59357</v>
          </cell>
          <cell r="DG73">
            <v>59357</v>
          </cell>
          <cell r="DH73">
            <v>52235</v>
          </cell>
          <cell r="DI73">
            <v>64059</v>
          </cell>
          <cell r="DJ73">
            <v>44988</v>
          </cell>
          <cell r="DK73">
            <v>55745</v>
          </cell>
          <cell r="DL73">
            <v>55745</v>
          </cell>
          <cell r="DM73">
            <v>51615</v>
          </cell>
          <cell r="DN73">
            <v>58099</v>
          </cell>
          <cell r="DO73">
            <v>46133</v>
          </cell>
          <cell r="DP73">
            <v>58488</v>
          </cell>
          <cell r="DQ73">
            <v>58488</v>
          </cell>
          <cell r="DR73">
            <v>56277</v>
          </cell>
          <cell r="DS73">
            <v>50318</v>
          </cell>
          <cell r="DT73">
            <v>53861</v>
          </cell>
          <cell r="DU73">
            <v>69420</v>
          </cell>
          <cell r="DV73">
            <v>69420</v>
          </cell>
          <cell r="DW73">
            <v>58118</v>
          </cell>
          <cell r="DX73">
            <v>59640</v>
          </cell>
          <cell r="DY73">
            <v>58707</v>
          </cell>
          <cell r="DZ73">
            <v>72310</v>
          </cell>
          <cell r="EA73">
            <v>72310</v>
          </cell>
          <cell r="EB73">
            <v>70056</v>
          </cell>
          <cell r="EC73">
            <v>67486</v>
          </cell>
          <cell r="ED73">
            <v>72193</v>
          </cell>
          <cell r="EE73">
            <v>88657</v>
          </cell>
          <cell r="EF73">
            <v>88657</v>
          </cell>
          <cell r="EG73">
            <v>80528</v>
          </cell>
          <cell r="EH73">
            <v>77510</v>
          </cell>
          <cell r="EI73">
            <v>77439</v>
          </cell>
          <cell r="EJ73">
            <v>95082</v>
          </cell>
          <cell r="EK73">
            <v>95082</v>
          </cell>
          <cell r="EL73">
            <v>87389</v>
          </cell>
          <cell r="EM73">
            <v>81718</v>
          </cell>
          <cell r="EN73">
            <v>85691</v>
          </cell>
          <cell r="EO73">
            <v>104149</v>
          </cell>
          <cell r="EP73">
            <v>104149</v>
          </cell>
          <cell r="EQ73">
            <v>124792</v>
          </cell>
          <cell r="ER73">
            <v>121016</v>
          </cell>
          <cell r="ES73">
            <v>118525</v>
          </cell>
          <cell r="ET73">
            <v>135745.470616754</v>
          </cell>
          <cell r="EU73">
            <v>135745.470616754</v>
          </cell>
          <cell r="EV73">
            <v>132749.864172773</v>
          </cell>
          <cell r="EW73">
            <v>122454.917878561</v>
          </cell>
          <cell r="EX73">
            <v>126015.638900714</v>
          </cell>
          <cell r="EY73">
            <v>144663.59642679701</v>
          </cell>
          <cell r="EZ73">
            <v>144663.59642679701</v>
          </cell>
          <cell r="FA73">
            <v>139362.59523014701</v>
          </cell>
          <cell r="FB73">
            <v>129967.48625545199</v>
          </cell>
          <cell r="FC73">
            <v>135739.87745451799</v>
          </cell>
          <cell r="FD73">
            <v>156581.26915690399</v>
          </cell>
          <cell r="FE73">
            <v>156581.26915690399</v>
          </cell>
        </row>
        <row r="74">
          <cell r="B74" t="str">
            <v>Deferred revenue</v>
          </cell>
          <cell r="C74" t="str">
            <v>TOT_DEF_REV</v>
          </cell>
          <cell r="D74" t="str">
            <v>USD</v>
          </cell>
        </row>
        <row r="75">
          <cell r="B75" t="str">
            <v>Long-term  debt</v>
          </cell>
          <cell r="C75" t="str">
            <v>LT_DEBT</v>
          </cell>
          <cell r="D75" t="str">
            <v>USD</v>
          </cell>
          <cell r="Z75">
            <v>0</v>
          </cell>
          <cell r="AE75">
            <v>0</v>
          </cell>
          <cell r="AJ75">
            <v>0</v>
          </cell>
          <cell r="AO75">
            <v>0</v>
          </cell>
          <cell r="AP75">
            <v>0</v>
          </cell>
          <cell r="AR75">
            <v>0</v>
          </cell>
          <cell r="BW75">
            <v>3746</v>
          </cell>
          <cell r="BX75">
            <v>3746</v>
          </cell>
          <cell r="BY75">
            <v>3746</v>
          </cell>
          <cell r="BZ75">
            <v>3746</v>
          </cell>
          <cell r="CA75">
            <v>3746</v>
          </cell>
          <cell r="CB75">
            <v>4939</v>
          </cell>
          <cell r="CC75">
            <v>4939</v>
          </cell>
          <cell r="CD75">
            <v>9665</v>
          </cell>
          <cell r="CE75">
            <v>9671</v>
          </cell>
          <cell r="CF75">
            <v>11915</v>
          </cell>
          <cell r="CG75">
            <v>11921</v>
          </cell>
          <cell r="CH75">
            <v>11921</v>
          </cell>
          <cell r="CI75">
            <v>11927</v>
          </cell>
          <cell r="CJ75">
            <v>11932</v>
          </cell>
          <cell r="CK75">
            <v>11938</v>
          </cell>
          <cell r="CL75">
            <v>10713</v>
          </cell>
          <cell r="CM75">
            <v>10713</v>
          </cell>
          <cell r="CN75">
            <v>9714</v>
          </cell>
          <cell r="CO75">
            <v>11947</v>
          </cell>
          <cell r="CP75">
            <v>11949</v>
          </cell>
          <cell r="CQ75">
            <v>12601</v>
          </cell>
          <cell r="CR75">
            <v>12601</v>
          </cell>
          <cell r="CS75">
            <v>12632</v>
          </cell>
          <cell r="CT75">
            <v>20676</v>
          </cell>
          <cell r="CU75">
            <v>20679</v>
          </cell>
          <cell r="CV75">
            <v>20645</v>
          </cell>
          <cell r="CW75">
            <v>20645</v>
          </cell>
          <cell r="CX75">
            <v>18472</v>
          </cell>
          <cell r="CY75">
            <v>18260</v>
          </cell>
          <cell r="CZ75">
            <v>27644</v>
          </cell>
          <cell r="DA75">
            <v>27808</v>
          </cell>
          <cell r="DB75">
            <v>27808</v>
          </cell>
          <cell r="DC75">
            <v>27819</v>
          </cell>
          <cell r="DD75">
            <v>40679</v>
          </cell>
          <cell r="DE75">
            <v>40896</v>
          </cell>
          <cell r="DF75">
            <v>40783</v>
          </cell>
          <cell r="DG75">
            <v>40783</v>
          </cell>
          <cell r="DH75">
            <v>60154</v>
          </cell>
          <cell r="DI75">
            <v>59306</v>
          </cell>
          <cell r="DJ75">
            <v>76222</v>
          </cell>
          <cell r="DK75">
            <v>76073</v>
          </cell>
          <cell r="DL75">
            <v>76073</v>
          </cell>
          <cell r="DM75">
            <v>76255</v>
          </cell>
          <cell r="DN75">
            <v>73348</v>
          </cell>
          <cell r="DO75">
            <v>73480</v>
          </cell>
          <cell r="DP75">
            <v>72242</v>
          </cell>
          <cell r="DQ75">
            <v>72242</v>
          </cell>
          <cell r="DR75">
            <v>69733</v>
          </cell>
          <cell r="DS75">
            <v>69653</v>
          </cell>
          <cell r="DT75">
            <v>66585</v>
          </cell>
          <cell r="DU75">
            <v>66662</v>
          </cell>
          <cell r="DV75">
            <v>66662</v>
          </cell>
          <cell r="DW75">
            <v>66478</v>
          </cell>
          <cell r="DX75">
            <v>63361</v>
          </cell>
          <cell r="DY75">
            <v>62862</v>
          </cell>
          <cell r="DZ75">
            <v>59578</v>
          </cell>
          <cell r="EA75">
            <v>59578</v>
          </cell>
          <cell r="EB75">
            <v>57055</v>
          </cell>
          <cell r="EC75">
            <v>55136</v>
          </cell>
          <cell r="ED75">
            <v>50007</v>
          </cell>
          <cell r="EE75">
            <v>50074</v>
          </cell>
          <cell r="EF75">
            <v>50074</v>
          </cell>
          <cell r="EG75">
            <v>50039</v>
          </cell>
          <cell r="EH75">
            <v>48260</v>
          </cell>
          <cell r="EI75">
            <v>48177</v>
          </cell>
          <cell r="EJ75">
            <v>47032</v>
          </cell>
          <cell r="EK75">
            <v>47032</v>
          </cell>
          <cell r="EL75">
            <v>45374</v>
          </cell>
          <cell r="EM75">
            <v>44119</v>
          </cell>
          <cell r="EN75">
            <v>41965</v>
          </cell>
          <cell r="EO75">
            <v>41990</v>
          </cell>
          <cell r="EP75">
            <v>41990</v>
          </cell>
          <cell r="EQ75">
            <v>41946</v>
          </cell>
          <cell r="ER75">
            <v>44928</v>
          </cell>
          <cell r="ES75">
            <v>42658</v>
          </cell>
          <cell r="ET75">
            <v>42658</v>
          </cell>
          <cell r="EU75">
            <v>42658</v>
          </cell>
          <cell r="EV75">
            <v>42658</v>
          </cell>
          <cell r="EW75">
            <v>42658</v>
          </cell>
          <cell r="EX75">
            <v>42658</v>
          </cell>
          <cell r="EY75">
            <v>42658</v>
          </cell>
          <cell r="EZ75">
            <v>42658</v>
          </cell>
          <cell r="FA75">
            <v>42658</v>
          </cell>
          <cell r="FB75">
            <v>42658</v>
          </cell>
          <cell r="FC75">
            <v>42658</v>
          </cell>
          <cell r="FD75">
            <v>42658</v>
          </cell>
          <cell r="FE75">
            <v>42658</v>
          </cell>
        </row>
        <row r="76">
          <cell r="B76" t="str">
            <v>Non-current lease liabilities (op lease: US GAAP)</v>
          </cell>
          <cell r="C76" t="str">
            <v>LT_LEASE_LIAB</v>
          </cell>
          <cell r="D76" t="str">
            <v>USD</v>
          </cell>
          <cell r="DF76">
            <v>0</v>
          </cell>
          <cell r="DG76">
            <v>0</v>
          </cell>
          <cell r="DH76">
            <v>4249</v>
          </cell>
          <cell r="DI76">
            <v>5242</v>
          </cell>
          <cell r="DJ76">
            <v>5532</v>
          </cell>
          <cell r="DK76">
            <v>5372</v>
          </cell>
          <cell r="DL76">
            <v>5372</v>
          </cell>
          <cell r="DM76">
            <v>5768</v>
          </cell>
          <cell r="DN76">
            <v>5640</v>
          </cell>
          <cell r="DO76">
            <v>5751</v>
          </cell>
          <cell r="DP76">
            <v>5568</v>
          </cell>
          <cell r="DQ76">
            <v>5568</v>
          </cell>
          <cell r="DR76">
            <v>5652</v>
          </cell>
          <cell r="DS76">
            <v>5683</v>
          </cell>
          <cell r="DT76">
            <v>5972</v>
          </cell>
          <cell r="DU76">
            <v>6188</v>
          </cell>
          <cell r="DV76">
            <v>6188</v>
          </cell>
          <cell r="DW76">
            <v>6659</v>
          </cell>
          <cell r="DX76">
            <v>7172</v>
          </cell>
          <cell r="DY76">
            <v>7248</v>
          </cell>
          <cell r="DZ76">
            <v>7671</v>
          </cell>
          <cell r="EA76">
            <v>7671</v>
          </cell>
          <cell r="EB76">
            <v>7753</v>
          </cell>
          <cell r="EC76">
            <v>8875</v>
          </cell>
          <cell r="ED76">
            <v>9272</v>
          </cell>
          <cell r="EE76">
            <v>9629</v>
          </cell>
          <cell r="EF76">
            <v>9629</v>
          </cell>
          <cell r="EG76">
            <v>10050</v>
          </cell>
          <cell r="EH76">
            <v>10774</v>
          </cell>
          <cell r="EI76">
            <v>11357</v>
          </cell>
          <cell r="EJ76">
            <v>11489</v>
          </cell>
          <cell r="EK76">
            <v>11489</v>
          </cell>
          <cell r="EL76">
            <v>11660</v>
          </cell>
          <cell r="EM76">
            <v>11998</v>
          </cell>
          <cell r="EN76">
            <v>12312</v>
          </cell>
          <cell r="EO76">
            <v>12728</v>
          </cell>
          <cell r="EP76">
            <v>12728</v>
          </cell>
          <cell r="EQ76">
            <v>13487</v>
          </cell>
          <cell r="ER76">
            <v>14155</v>
          </cell>
          <cell r="ES76">
            <v>14469</v>
          </cell>
          <cell r="ET76">
            <v>14469</v>
          </cell>
          <cell r="EU76">
            <v>14469</v>
          </cell>
          <cell r="EV76">
            <v>14469</v>
          </cell>
          <cell r="EW76">
            <v>14469</v>
          </cell>
          <cell r="EX76">
            <v>14469</v>
          </cell>
          <cell r="EY76">
            <v>14469</v>
          </cell>
          <cell r="EZ76">
            <v>14469</v>
          </cell>
          <cell r="FA76">
            <v>14469</v>
          </cell>
          <cell r="FB76">
            <v>14469</v>
          </cell>
          <cell r="FC76">
            <v>14469</v>
          </cell>
          <cell r="FD76">
            <v>14469</v>
          </cell>
          <cell r="FE76">
            <v>14469</v>
          </cell>
        </row>
        <row r="77">
          <cell r="B77" t="str">
            <v>Other long-term liabilities</v>
          </cell>
          <cell r="C77" t="str">
            <v>OTH_LT_CRED_GQ</v>
          </cell>
          <cell r="D77" t="str">
            <v>USD</v>
          </cell>
          <cell r="AF77">
            <v>1440</v>
          </cell>
          <cell r="AG77">
            <v>1644</v>
          </cell>
          <cell r="AH77">
            <v>1775</v>
          </cell>
          <cell r="AI77">
            <v>836</v>
          </cell>
          <cell r="AJ77">
            <v>836</v>
          </cell>
          <cell r="AL77">
            <v>2272</v>
          </cell>
          <cell r="AM77">
            <v>2237</v>
          </cell>
          <cell r="AN77">
            <v>2722</v>
          </cell>
          <cell r="AO77">
            <v>2722</v>
          </cell>
          <cell r="AP77">
            <v>2962</v>
          </cell>
          <cell r="AQ77">
            <v>2930</v>
          </cell>
          <cell r="AR77">
            <v>3039</v>
          </cell>
          <cell r="AS77">
            <v>4577</v>
          </cell>
          <cell r="AT77">
            <v>4577</v>
          </cell>
          <cell r="AU77">
            <v>2503</v>
          </cell>
          <cell r="AV77">
            <v>2667</v>
          </cell>
          <cell r="AW77">
            <v>3203</v>
          </cell>
          <cell r="AX77">
            <v>4574</v>
          </cell>
          <cell r="AY77">
            <v>4574</v>
          </cell>
          <cell r="AZ77">
            <v>2511</v>
          </cell>
          <cell r="BA77">
            <v>2664</v>
          </cell>
          <cell r="BB77">
            <v>2763</v>
          </cell>
          <cell r="BC77">
            <v>5823</v>
          </cell>
          <cell r="BD77">
            <v>5823</v>
          </cell>
          <cell r="BE77">
            <v>6113</v>
          </cell>
          <cell r="BF77">
            <v>6302</v>
          </cell>
          <cell r="BG77">
            <v>6449</v>
          </cell>
          <cell r="BH77">
            <v>7051</v>
          </cell>
          <cell r="BI77">
            <v>7051</v>
          </cell>
          <cell r="BJ77">
            <v>7281</v>
          </cell>
          <cell r="BK77">
            <v>7522</v>
          </cell>
          <cell r="BL77">
            <v>7291</v>
          </cell>
          <cell r="BM77">
            <v>8320</v>
          </cell>
          <cell r="BN77">
            <v>8320</v>
          </cell>
          <cell r="BO77">
            <v>10766</v>
          </cell>
          <cell r="BP77">
            <v>10850</v>
          </cell>
          <cell r="BQ77">
            <v>6165</v>
          </cell>
          <cell r="BR77">
            <v>6621</v>
          </cell>
          <cell r="BS77">
            <v>6621</v>
          </cell>
          <cell r="BT77">
            <v>7140</v>
          </cell>
          <cell r="BU77">
            <v>7598</v>
          </cell>
          <cell r="BV77">
            <v>8087</v>
          </cell>
          <cell r="BW77">
            <v>7550</v>
          </cell>
          <cell r="BX77">
            <v>7550</v>
          </cell>
          <cell r="BY77">
            <v>7893</v>
          </cell>
          <cell r="BZ77">
            <v>8352</v>
          </cell>
          <cell r="CA77">
            <v>9030</v>
          </cell>
          <cell r="CB77">
            <v>8852</v>
          </cell>
          <cell r="CC77">
            <v>8852</v>
          </cell>
          <cell r="CD77">
            <v>9076</v>
          </cell>
          <cell r="CE77">
            <v>9842</v>
          </cell>
          <cell r="CF77">
            <v>10318</v>
          </cell>
          <cell r="CG77">
            <v>10926</v>
          </cell>
          <cell r="CH77">
            <v>10926</v>
          </cell>
          <cell r="CI77">
            <v>10554</v>
          </cell>
          <cell r="CJ77">
            <v>10817</v>
          </cell>
          <cell r="CK77">
            <v>11243</v>
          </cell>
          <cell r="CL77">
            <v>11507</v>
          </cell>
          <cell r="CM77">
            <v>11507</v>
          </cell>
          <cell r="CN77">
            <v>11924</v>
          </cell>
          <cell r="CO77">
            <v>12250</v>
          </cell>
          <cell r="CP77">
            <v>13539</v>
          </cell>
          <cell r="CQ77">
            <v>13469</v>
          </cell>
          <cell r="CR77">
            <v>13469</v>
          </cell>
          <cell r="CS77">
            <v>13452</v>
          </cell>
          <cell r="CT77">
            <v>14025</v>
          </cell>
          <cell r="CU77">
            <v>14113</v>
          </cell>
          <cell r="CV77">
            <v>16330</v>
          </cell>
          <cell r="CW77">
            <v>16330</v>
          </cell>
          <cell r="CX77">
            <v>16320</v>
          </cell>
          <cell r="CY77">
            <v>17294</v>
          </cell>
          <cell r="CZ77">
            <v>18159</v>
          </cell>
          <cell r="DA77">
            <v>18474</v>
          </cell>
          <cell r="DB77">
            <v>18474</v>
          </cell>
          <cell r="DC77">
            <v>18233</v>
          </cell>
          <cell r="DD77">
            <v>19996</v>
          </cell>
          <cell r="DE77">
            <v>21813</v>
          </cell>
          <cell r="DF77">
            <v>21557</v>
          </cell>
          <cell r="DG77">
            <v>21557</v>
          </cell>
          <cell r="DH77">
            <v>22908</v>
          </cell>
          <cell r="DI77">
            <v>24862</v>
          </cell>
          <cell r="DJ77">
            <v>25783</v>
          </cell>
          <cell r="DK77">
            <v>25411</v>
          </cell>
          <cell r="DL77">
            <v>25411</v>
          </cell>
          <cell r="DM77">
            <v>25812</v>
          </cell>
          <cell r="DN77">
            <v>40556</v>
          </cell>
          <cell r="DO77">
            <v>40894</v>
          </cell>
          <cell r="DP77">
            <v>39832</v>
          </cell>
          <cell r="DQ77">
            <v>39832</v>
          </cell>
          <cell r="DR77">
            <v>39990</v>
          </cell>
          <cell r="DS77">
            <v>41077</v>
          </cell>
          <cell r="DT77">
            <v>41999</v>
          </cell>
          <cell r="DU77">
            <v>41956</v>
          </cell>
          <cell r="DV77">
            <v>41956</v>
          </cell>
          <cell r="DW77">
            <v>41639</v>
          </cell>
          <cell r="DX77">
            <v>42512</v>
          </cell>
          <cell r="DY77">
            <v>42131</v>
          </cell>
          <cell r="DZ77">
            <v>43448</v>
          </cell>
          <cell r="EA77">
            <v>43448</v>
          </cell>
          <cell r="EB77">
            <v>42745</v>
          </cell>
          <cell r="EC77">
            <v>42404</v>
          </cell>
          <cell r="ED77">
            <v>42902</v>
          </cell>
          <cell r="EE77">
            <v>43431</v>
          </cell>
          <cell r="EF77">
            <v>43431</v>
          </cell>
          <cell r="EG77">
            <v>42823</v>
          </cell>
          <cell r="EH77">
            <v>43835</v>
          </cell>
          <cell r="EI77">
            <v>44710</v>
          </cell>
          <cell r="EJ77">
            <v>44695</v>
          </cell>
          <cell r="EK77">
            <v>44695</v>
          </cell>
          <cell r="EL77">
            <v>41795</v>
          </cell>
          <cell r="EM77">
            <v>43581</v>
          </cell>
          <cell r="EN77">
            <v>45437</v>
          </cell>
          <cell r="EO77">
            <v>46886</v>
          </cell>
          <cell r="EP77">
            <v>46886</v>
          </cell>
          <cell r="EQ77">
            <v>44846</v>
          </cell>
          <cell r="ER77">
            <v>52191</v>
          </cell>
          <cell r="ES77">
            <v>55471</v>
          </cell>
          <cell r="ET77">
            <v>61822.405302389001</v>
          </cell>
          <cell r="EU77">
            <v>61822.405302389001</v>
          </cell>
          <cell r="EV77">
            <v>56529.301627038003</v>
          </cell>
          <cell r="EW77">
            <v>61920.6404000119</v>
          </cell>
          <cell r="EX77">
            <v>63388.0293553589</v>
          </cell>
          <cell r="EY77">
            <v>66154.057311923898</v>
          </cell>
          <cell r="EZ77">
            <v>66154.057311923898</v>
          </cell>
          <cell r="FA77">
            <v>60875.307313749101</v>
          </cell>
          <cell r="FB77">
            <v>65204.939541290798</v>
          </cell>
          <cell r="FC77">
            <v>70184.770512650895</v>
          </cell>
          <cell r="FD77">
            <v>74868.497901561102</v>
          </cell>
          <cell r="FE77">
            <v>74868.497901561102</v>
          </cell>
        </row>
        <row r="78">
          <cell r="B78" t="str">
            <v>Total long-term liabilities</v>
          </cell>
          <cell r="C78" t="str">
            <v>TOT_LT_LIAB</v>
          </cell>
          <cell r="D78" t="str">
            <v>USD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1440</v>
          </cell>
          <cell r="AG78">
            <v>1644</v>
          </cell>
          <cell r="AH78">
            <v>1775</v>
          </cell>
          <cell r="AI78">
            <v>836</v>
          </cell>
          <cell r="AJ78">
            <v>836</v>
          </cell>
          <cell r="AK78">
            <v>0</v>
          </cell>
          <cell r="AL78">
            <v>2272</v>
          </cell>
          <cell r="AM78">
            <v>2237</v>
          </cell>
          <cell r="AN78">
            <v>2722</v>
          </cell>
          <cell r="AO78">
            <v>2722</v>
          </cell>
          <cell r="AP78">
            <v>2962</v>
          </cell>
          <cell r="AQ78">
            <v>2930</v>
          </cell>
          <cell r="AR78">
            <v>3039</v>
          </cell>
          <cell r="AS78">
            <v>4577</v>
          </cell>
          <cell r="AT78">
            <v>4577</v>
          </cell>
          <cell r="AU78">
            <v>2503</v>
          </cell>
          <cell r="AV78">
            <v>2667</v>
          </cell>
          <cell r="AW78">
            <v>3203</v>
          </cell>
          <cell r="AX78">
            <v>4574</v>
          </cell>
          <cell r="AY78">
            <v>4574</v>
          </cell>
          <cell r="AZ78">
            <v>2511</v>
          </cell>
          <cell r="BA78">
            <v>2664</v>
          </cell>
          <cell r="BB78">
            <v>2763</v>
          </cell>
          <cell r="BC78">
            <v>5823</v>
          </cell>
          <cell r="BD78">
            <v>5823</v>
          </cell>
          <cell r="BE78">
            <v>6113</v>
          </cell>
          <cell r="BF78">
            <v>6302</v>
          </cell>
          <cell r="BG78">
            <v>6449</v>
          </cell>
          <cell r="BH78">
            <v>7051</v>
          </cell>
          <cell r="BI78">
            <v>7051</v>
          </cell>
          <cell r="BJ78">
            <v>7281</v>
          </cell>
          <cell r="BK78">
            <v>7522</v>
          </cell>
          <cell r="BL78">
            <v>7291</v>
          </cell>
          <cell r="BM78">
            <v>8320</v>
          </cell>
          <cell r="BN78">
            <v>8320</v>
          </cell>
          <cell r="BO78">
            <v>10766</v>
          </cell>
          <cell r="BP78">
            <v>10850</v>
          </cell>
          <cell r="BQ78">
            <v>6165</v>
          </cell>
          <cell r="BR78">
            <v>6621</v>
          </cell>
          <cell r="BS78">
            <v>6621</v>
          </cell>
          <cell r="BT78">
            <v>7140</v>
          </cell>
          <cell r="BU78">
            <v>7598</v>
          </cell>
          <cell r="BV78">
            <v>8087</v>
          </cell>
          <cell r="BW78">
            <v>11296</v>
          </cell>
          <cell r="BX78">
            <v>11296</v>
          </cell>
          <cell r="BY78">
            <v>11639</v>
          </cell>
          <cell r="BZ78">
            <v>12098</v>
          </cell>
          <cell r="CA78">
            <v>12776</v>
          </cell>
          <cell r="CB78">
            <v>13791</v>
          </cell>
          <cell r="CC78">
            <v>13791</v>
          </cell>
          <cell r="CD78">
            <v>18741</v>
          </cell>
          <cell r="CE78">
            <v>19513</v>
          </cell>
          <cell r="CF78">
            <v>22233</v>
          </cell>
          <cell r="CG78">
            <v>22847</v>
          </cell>
          <cell r="CH78">
            <v>22847</v>
          </cell>
          <cell r="CI78">
            <v>22481</v>
          </cell>
          <cell r="CJ78">
            <v>22749</v>
          </cell>
          <cell r="CK78">
            <v>23181</v>
          </cell>
          <cell r="CL78">
            <v>22220</v>
          </cell>
          <cell r="CM78">
            <v>22220</v>
          </cell>
          <cell r="CN78">
            <v>21638</v>
          </cell>
          <cell r="CO78">
            <v>24197</v>
          </cell>
          <cell r="CP78">
            <v>25488</v>
          </cell>
          <cell r="CQ78">
            <v>26070</v>
          </cell>
          <cell r="CR78">
            <v>26070</v>
          </cell>
          <cell r="CS78">
            <v>26084</v>
          </cell>
          <cell r="CT78">
            <v>34701</v>
          </cell>
          <cell r="CU78">
            <v>34792</v>
          </cell>
          <cell r="CV78">
            <v>36975</v>
          </cell>
          <cell r="CW78">
            <v>36975</v>
          </cell>
          <cell r="CX78">
            <v>34792</v>
          </cell>
          <cell r="CY78">
            <v>35554</v>
          </cell>
          <cell r="CZ78">
            <v>45803</v>
          </cell>
          <cell r="DA78">
            <v>46282</v>
          </cell>
          <cell r="DB78">
            <v>46282</v>
          </cell>
          <cell r="DC78">
            <v>46052</v>
          </cell>
          <cell r="DD78">
            <v>60675</v>
          </cell>
          <cell r="DE78">
            <v>62709</v>
          </cell>
          <cell r="DF78">
            <v>62340</v>
          </cell>
          <cell r="DG78">
            <v>62340</v>
          </cell>
          <cell r="DH78">
            <v>87311</v>
          </cell>
          <cell r="DI78">
            <v>89410</v>
          </cell>
          <cell r="DJ78">
            <v>107537</v>
          </cell>
          <cell r="DK78">
            <v>106856</v>
          </cell>
          <cell r="DL78">
            <v>106856</v>
          </cell>
          <cell r="DM78">
            <v>107835</v>
          </cell>
          <cell r="DN78">
            <v>119544</v>
          </cell>
          <cell r="DO78">
            <v>120125</v>
          </cell>
          <cell r="DP78">
            <v>117642</v>
          </cell>
          <cell r="DQ78">
            <v>117642</v>
          </cell>
          <cell r="DR78">
            <v>115375</v>
          </cell>
          <cell r="DS78">
            <v>116413</v>
          </cell>
          <cell r="DT78">
            <v>114556</v>
          </cell>
          <cell r="DU78">
            <v>114806</v>
          </cell>
          <cell r="DV78">
            <v>114806</v>
          </cell>
          <cell r="DW78">
            <v>114776</v>
          </cell>
          <cell r="DX78">
            <v>113045</v>
          </cell>
          <cell r="DY78">
            <v>112241</v>
          </cell>
          <cell r="DZ78">
            <v>110697</v>
          </cell>
          <cell r="EA78">
            <v>110697</v>
          </cell>
          <cell r="EB78">
            <v>107553</v>
          </cell>
          <cell r="EC78">
            <v>106415</v>
          </cell>
          <cell r="ED78">
            <v>102181</v>
          </cell>
          <cell r="EE78">
            <v>103134</v>
          </cell>
          <cell r="EF78">
            <v>103134</v>
          </cell>
          <cell r="EG78">
            <v>102912</v>
          </cell>
          <cell r="EH78">
            <v>102869</v>
          </cell>
          <cell r="EI78">
            <v>104244</v>
          </cell>
          <cell r="EJ78">
            <v>103216</v>
          </cell>
          <cell r="EK78">
            <v>103216</v>
          </cell>
          <cell r="EL78">
            <v>98829</v>
          </cell>
          <cell r="EM78">
            <v>99698</v>
          </cell>
          <cell r="EN78">
            <v>99714</v>
          </cell>
          <cell r="EO78">
            <v>101604</v>
          </cell>
          <cell r="EP78">
            <v>101604</v>
          </cell>
          <cell r="EQ78">
            <v>100279</v>
          </cell>
          <cell r="ER78">
            <v>111274</v>
          </cell>
          <cell r="ES78">
            <v>112598</v>
          </cell>
          <cell r="ET78">
            <v>118949.405302389</v>
          </cell>
          <cell r="EU78">
            <v>118949.405302389</v>
          </cell>
          <cell r="EV78">
            <v>113656.301627038</v>
          </cell>
          <cell r="EW78">
            <v>119047.64040001199</v>
          </cell>
          <cell r="EX78">
            <v>120515.029355359</v>
          </cell>
          <cell r="EY78">
            <v>123281.057311924</v>
          </cell>
          <cell r="EZ78">
            <v>123281.057311924</v>
          </cell>
          <cell r="FA78">
            <v>118002.307313749</v>
          </cell>
          <cell r="FB78">
            <v>122331.93954129099</v>
          </cell>
          <cell r="FC78">
            <v>127311.770512651</v>
          </cell>
          <cell r="FD78">
            <v>131995.497901561</v>
          </cell>
          <cell r="FE78">
            <v>131995.497901561</v>
          </cell>
        </row>
        <row r="79">
          <cell r="B79" t="str">
            <v>Total liabilities</v>
          </cell>
          <cell r="C79" t="str">
            <v>TOT_LIAB</v>
          </cell>
          <cell r="D79" t="str">
            <v>USD</v>
          </cell>
          <cell r="F79">
            <v>1347</v>
          </cell>
          <cell r="G79">
            <v>1759</v>
          </cell>
          <cell r="H79">
            <v>2241</v>
          </cell>
          <cell r="I79">
            <v>2264</v>
          </cell>
          <cell r="J79">
            <v>2425</v>
          </cell>
          <cell r="K79">
            <v>2425</v>
          </cell>
          <cell r="L79">
            <v>2663</v>
          </cell>
          <cell r="M79">
            <v>3144</v>
          </cell>
          <cell r="N79">
            <v>3479</v>
          </cell>
          <cell r="O79">
            <v>3610</v>
          </cell>
          <cell r="P79">
            <v>3610</v>
          </cell>
          <cell r="Q79">
            <v>3902</v>
          </cell>
          <cell r="R79">
            <v>4496</v>
          </cell>
          <cell r="S79">
            <v>4869</v>
          </cell>
          <cell r="T79">
            <v>5730</v>
          </cell>
          <cell r="U79">
            <v>5730</v>
          </cell>
          <cell r="V79">
            <v>6445</v>
          </cell>
          <cell r="W79">
            <v>7471</v>
          </cell>
          <cell r="X79">
            <v>7839</v>
          </cell>
          <cell r="Y79">
            <v>8718</v>
          </cell>
          <cell r="Z79">
            <v>8718</v>
          </cell>
          <cell r="AA79">
            <v>8332</v>
          </cell>
          <cell r="AB79">
            <v>10504</v>
          </cell>
          <cell r="AC79">
            <v>11103</v>
          </cell>
          <cell r="AD79">
            <v>9753</v>
          </cell>
          <cell r="AE79">
            <v>9753</v>
          </cell>
          <cell r="AF79">
            <v>10746</v>
          </cell>
          <cell r="AG79">
            <v>11269</v>
          </cell>
          <cell r="AH79">
            <v>11515</v>
          </cell>
          <cell r="AI79">
            <v>11968</v>
          </cell>
          <cell r="AJ79">
            <v>11968</v>
          </cell>
          <cell r="AK79">
            <v>12862</v>
          </cell>
          <cell r="AL79">
            <v>13839</v>
          </cell>
          <cell r="AM79">
            <v>14079</v>
          </cell>
          <cell r="AN79">
            <v>15466</v>
          </cell>
          <cell r="AO79">
            <v>15466</v>
          </cell>
          <cell r="AP79">
            <v>16719</v>
          </cell>
          <cell r="AQ79">
            <v>16547</v>
          </cell>
          <cell r="AR79">
            <v>16200</v>
          </cell>
          <cell r="AS79">
            <v>18551</v>
          </cell>
          <cell r="AT79">
            <v>18551</v>
          </cell>
          <cell r="AU79">
            <v>17601</v>
          </cell>
          <cell r="AV79">
            <v>16594</v>
          </cell>
          <cell r="AW79">
            <v>19187</v>
          </cell>
          <cell r="AX79">
            <v>19543</v>
          </cell>
          <cell r="AY79">
            <v>19543</v>
          </cell>
          <cell r="AZ79">
            <v>17949</v>
          </cell>
          <cell r="BA79">
            <v>17709</v>
          </cell>
          <cell r="BB79">
            <v>18902</v>
          </cell>
          <cell r="BC79">
            <v>22700</v>
          </cell>
          <cell r="BD79">
            <v>22700</v>
          </cell>
          <cell r="BE79">
            <v>23135</v>
          </cell>
          <cell r="BF79">
            <v>23049</v>
          </cell>
          <cell r="BG79">
            <v>24816</v>
          </cell>
          <cell r="BH79">
            <v>29493</v>
          </cell>
          <cell r="BI79">
            <v>29493</v>
          </cell>
          <cell r="BJ79">
            <v>29253</v>
          </cell>
          <cell r="BK79">
            <v>29737</v>
          </cell>
          <cell r="BL79">
            <v>28918</v>
          </cell>
          <cell r="BM79">
            <v>32074</v>
          </cell>
          <cell r="BN79">
            <v>32074</v>
          </cell>
          <cell r="BO79">
            <v>33510</v>
          </cell>
          <cell r="BP79">
            <v>32908</v>
          </cell>
          <cell r="BQ79">
            <v>33193</v>
          </cell>
          <cell r="BR79">
            <v>36507</v>
          </cell>
          <cell r="BS79">
            <v>36507</v>
          </cell>
          <cell r="BT79">
            <v>31523</v>
          </cell>
          <cell r="BU79">
            <v>31308</v>
          </cell>
          <cell r="BV79">
            <v>31910</v>
          </cell>
          <cell r="BW79">
            <v>38330</v>
          </cell>
          <cell r="BX79">
            <v>38330</v>
          </cell>
          <cell r="BY79">
            <v>40400</v>
          </cell>
          <cell r="BZ79">
            <v>37813</v>
          </cell>
          <cell r="CA79">
            <v>39200</v>
          </cell>
          <cell r="CB79">
            <v>39938</v>
          </cell>
          <cell r="CC79">
            <v>39938</v>
          </cell>
          <cell r="CD79">
            <v>44598</v>
          </cell>
          <cell r="CE79">
            <v>43825</v>
          </cell>
          <cell r="CF79">
            <v>46275</v>
          </cell>
          <cell r="CG79">
            <v>51621</v>
          </cell>
          <cell r="CH79">
            <v>51621</v>
          </cell>
          <cell r="CI79">
            <v>48024</v>
          </cell>
          <cell r="CJ79">
            <v>48122</v>
          </cell>
          <cell r="CK79">
            <v>49351</v>
          </cell>
          <cell r="CL79">
            <v>54908</v>
          </cell>
          <cell r="CM79">
            <v>54908</v>
          </cell>
          <cell r="CN79">
            <v>53040</v>
          </cell>
          <cell r="CO79">
            <v>56107</v>
          </cell>
          <cell r="CP79">
            <v>57417</v>
          </cell>
          <cell r="CQ79">
            <v>63487</v>
          </cell>
          <cell r="CR79">
            <v>63487</v>
          </cell>
          <cell r="CS79">
            <v>60707</v>
          </cell>
          <cell r="CT79">
            <v>68443</v>
          </cell>
          <cell r="CU79">
            <v>68695</v>
          </cell>
          <cell r="CV79">
            <v>82600</v>
          </cell>
          <cell r="CW79">
            <v>82600</v>
          </cell>
          <cell r="CX79">
            <v>79486</v>
          </cell>
          <cell r="CY79">
            <v>82969</v>
          </cell>
          <cell r="CZ79">
            <v>86551</v>
          </cell>
          <cell r="DA79">
            <v>96140</v>
          </cell>
          <cell r="DB79">
            <v>96140</v>
          </cell>
          <cell r="DC79">
            <v>95451</v>
          </cell>
          <cell r="DD79">
            <v>103318</v>
          </cell>
          <cell r="DE79">
            <v>107063</v>
          </cell>
          <cell r="DF79">
            <v>121697</v>
          </cell>
          <cell r="DG79">
            <v>121697</v>
          </cell>
          <cell r="DH79">
            <v>139546</v>
          </cell>
          <cell r="DI79">
            <v>153469</v>
          </cell>
          <cell r="DJ79">
            <v>152525</v>
          </cell>
          <cell r="DK79">
            <v>162601</v>
          </cell>
          <cell r="DL79">
            <v>162601</v>
          </cell>
          <cell r="DM79">
            <v>159450</v>
          </cell>
          <cell r="DN79">
            <v>177643</v>
          </cell>
          <cell r="DO79">
            <v>166258</v>
          </cell>
          <cell r="DP79">
            <v>176130</v>
          </cell>
          <cell r="DQ79">
            <v>176130</v>
          </cell>
          <cell r="DR79">
            <v>171652</v>
          </cell>
          <cell r="DS79">
            <v>166731</v>
          </cell>
          <cell r="DT79">
            <v>168417</v>
          </cell>
          <cell r="DU79">
            <v>184226</v>
          </cell>
          <cell r="DV79">
            <v>184226</v>
          </cell>
          <cell r="DW79">
            <v>172894</v>
          </cell>
          <cell r="DX79">
            <v>172685</v>
          </cell>
          <cell r="DY79">
            <v>170948</v>
          </cell>
          <cell r="DZ79">
            <v>183007</v>
          </cell>
          <cell r="EA79">
            <v>183007</v>
          </cell>
          <cell r="EB79">
            <v>177609</v>
          </cell>
          <cell r="EC79">
            <v>173901</v>
          </cell>
          <cell r="ED79">
            <v>174374</v>
          </cell>
          <cell r="EE79">
            <v>191791</v>
          </cell>
          <cell r="EF79">
            <v>191791</v>
          </cell>
          <cell r="EG79">
            <v>183440</v>
          </cell>
          <cell r="EH79">
            <v>180379</v>
          </cell>
          <cell r="EI79">
            <v>181683</v>
          </cell>
          <cell r="EJ79">
            <v>198298</v>
          </cell>
          <cell r="EK79">
            <v>198298</v>
          </cell>
          <cell r="EL79">
            <v>186218</v>
          </cell>
          <cell r="EM79">
            <v>181416</v>
          </cell>
          <cell r="EN79">
            <v>185405</v>
          </cell>
          <cell r="EO79">
            <v>205753</v>
          </cell>
          <cell r="EP79">
            <v>205753</v>
          </cell>
          <cell r="EQ79">
            <v>225071</v>
          </cell>
          <cell r="ER79">
            <v>232290</v>
          </cell>
          <cell r="ES79">
            <v>231123</v>
          </cell>
          <cell r="ET79">
            <v>254694.875919143</v>
          </cell>
          <cell r="EU79">
            <v>254694.875919143</v>
          </cell>
          <cell r="EV79">
            <v>246406.16579981099</v>
          </cell>
          <cell r="EW79">
            <v>241502.55827857301</v>
          </cell>
          <cell r="EX79">
            <v>246530.668256073</v>
          </cell>
          <cell r="EY79">
            <v>267944.65373872098</v>
          </cell>
          <cell r="EZ79">
            <v>267944.65373872098</v>
          </cell>
          <cell r="FA79">
            <v>257364.90254389599</v>
          </cell>
          <cell r="FB79">
            <v>252299.42579674299</v>
          </cell>
          <cell r="FC79">
            <v>263051.647967169</v>
          </cell>
          <cell r="FD79">
            <v>288576.76705846499</v>
          </cell>
          <cell r="FE79">
            <v>288576.76705846499</v>
          </cell>
        </row>
        <row r="80">
          <cell r="B80" t="str">
            <v>Preferred shares</v>
          </cell>
          <cell r="C80" t="str">
            <v>PREF_SH</v>
          </cell>
          <cell r="D80" t="str">
            <v>USD</v>
          </cell>
        </row>
        <row r="81">
          <cell r="B81" t="str">
            <v>Total common equity</v>
          </cell>
          <cell r="C81" t="str">
            <v>ORD_SH_FUND</v>
          </cell>
          <cell r="D81" t="str">
            <v>USD</v>
          </cell>
          <cell r="F81">
            <v>5863</v>
          </cell>
          <cell r="G81">
            <v>6401</v>
          </cell>
          <cell r="H81">
            <v>6865</v>
          </cell>
          <cell r="I81">
            <v>7326</v>
          </cell>
          <cell r="J81">
            <v>7668</v>
          </cell>
          <cell r="K81">
            <v>7668</v>
          </cell>
          <cell r="L81">
            <v>8077</v>
          </cell>
          <cell r="M81">
            <v>9642</v>
          </cell>
          <cell r="N81">
            <v>9134</v>
          </cell>
          <cell r="O81">
            <v>10777</v>
          </cell>
          <cell r="P81">
            <v>10777</v>
          </cell>
          <cell r="Q81">
            <v>11464</v>
          </cell>
          <cell r="R81">
            <v>12344</v>
          </cell>
          <cell r="S81">
            <v>14676</v>
          </cell>
          <cell r="T81">
            <v>16627</v>
          </cell>
          <cell r="U81">
            <v>16627</v>
          </cell>
          <cell r="V81">
            <v>19124</v>
          </cell>
          <cell r="W81">
            <v>22578</v>
          </cell>
          <cell r="X81">
            <v>25722</v>
          </cell>
          <cell r="Y81">
            <v>28438</v>
          </cell>
          <cell r="Z81">
            <v>28438</v>
          </cell>
          <cell r="AA81">
            <v>31340</v>
          </cell>
          <cell r="AB81">
            <v>34589</v>
          </cell>
          <cell r="AC81">
            <v>39792</v>
          </cell>
          <cell r="AD81">
            <v>40689</v>
          </cell>
          <cell r="AE81">
            <v>40689</v>
          </cell>
          <cell r="AF81">
            <v>45343</v>
          </cell>
          <cell r="AG81">
            <v>46422</v>
          </cell>
          <cell r="AH81">
            <v>48090</v>
          </cell>
          <cell r="AI81">
            <v>47289</v>
          </cell>
          <cell r="AJ81">
            <v>47289</v>
          </cell>
          <cell r="AK81">
            <v>48505</v>
          </cell>
          <cell r="AL81">
            <v>51548</v>
          </cell>
          <cell r="AM81">
            <v>54300</v>
          </cell>
          <cell r="AN81">
            <v>52180</v>
          </cell>
          <cell r="AO81">
            <v>52180</v>
          </cell>
          <cell r="AP81">
            <v>53516</v>
          </cell>
          <cell r="AQ81">
            <v>55812</v>
          </cell>
          <cell r="AR81">
            <v>58282</v>
          </cell>
          <cell r="AS81">
            <v>61020</v>
          </cell>
          <cell r="AT81">
            <v>61020</v>
          </cell>
          <cell r="AU81">
            <v>66680</v>
          </cell>
          <cell r="AV81">
            <v>69343</v>
          </cell>
          <cell r="AW81">
            <v>70580</v>
          </cell>
          <cell r="AX81">
            <v>74825</v>
          </cell>
          <cell r="AY81">
            <v>74825</v>
          </cell>
          <cell r="AZ81">
            <v>76319</v>
          </cell>
          <cell r="BA81">
            <v>47232</v>
          </cell>
          <cell r="BB81">
            <v>47373</v>
          </cell>
          <cell r="BC81">
            <v>48115</v>
          </cell>
          <cell r="BD81">
            <v>48115</v>
          </cell>
          <cell r="BE81">
            <v>48327</v>
          </cell>
          <cell r="BF81">
            <v>44208</v>
          </cell>
          <cell r="BG81">
            <v>42038</v>
          </cell>
          <cell r="BH81">
            <v>40104</v>
          </cell>
          <cell r="BI81">
            <v>40104</v>
          </cell>
          <cell r="BJ81">
            <v>36101</v>
          </cell>
          <cell r="BK81">
            <v>36634</v>
          </cell>
          <cell r="BL81">
            <v>34973</v>
          </cell>
          <cell r="BM81">
            <v>31097</v>
          </cell>
          <cell r="BN81">
            <v>31097</v>
          </cell>
          <cell r="BO81">
            <v>32135</v>
          </cell>
          <cell r="BP81">
            <v>34431</v>
          </cell>
          <cell r="BQ81">
            <v>37554</v>
          </cell>
          <cell r="BR81">
            <v>36286</v>
          </cell>
          <cell r="BS81">
            <v>36286</v>
          </cell>
          <cell r="BT81">
            <v>33594</v>
          </cell>
          <cell r="BU81">
            <v>34478</v>
          </cell>
          <cell r="BV81">
            <v>36943</v>
          </cell>
          <cell r="BW81">
            <v>39558</v>
          </cell>
          <cell r="BX81">
            <v>39558</v>
          </cell>
          <cell r="BY81">
            <v>41212</v>
          </cell>
          <cell r="BZ81">
            <v>44283</v>
          </cell>
          <cell r="CA81">
            <v>45710</v>
          </cell>
          <cell r="CB81">
            <v>46175</v>
          </cell>
          <cell r="CC81">
            <v>46175</v>
          </cell>
          <cell r="CD81">
            <v>46942</v>
          </cell>
          <cell r="CE81">
            <v>48481</v>
          </cell>
          <cell r="CF81">
            <v>53452</v>
          </cell>
          <cell r="CG81">
            <v>57083</v>
          </cell>
          <cell r="CH81">
            <v>57083</v>
          </cell>
          <cell r="CI81">
            <v>59391</v>
          </cell>
          <cell r="CJ81">
            <v>64121</v>
          </cell>
          <cell r="CK81">
            <v>68659</v>
          </cell>
          <cell r="CL81">
            <v>66363</v>
          </cell>
          <cell r="CM81">
            <v>66363</v>
          </cell>
          <cell r="CN81">
            <v>68836</v>
          </cell>
          <cell r="CO81">
            <v>72576</v>
          </cell>
          <cell r="CP81">
            <v>76688</v>
          </cell>
          <cell r="CQ81">
            <v>78944</v>
          </cell>
          <cell r="CR81">
            <v>78944</v>
          </cell>
          <cell r="CS81">
            <v>81641</v>
          </cell>
          <cell r="CT81">
            <v>85100</v>
          </cell>
          <cell r="CU81">
            <v>87424</v>
          </cell>
          <cell r="CV81">
            <v>89784</v>
          </cell>
          <cell r="CW81">
            <v>89784</v>
          </cell>
          <cell r="CX81">
            <v>90170</v>
          </cell>
          <cell r="CY81">
            <v>91879</v>
          </cell>
          <cell r="CZ81">
            <v>90132</v>
          </cell>
          <cell r="DA81">
            <v>80083</v>
          </cell>
          <cell r="DB81">
            <v>80083</v>
          </cell>
          <cell r="DC81">
            <v>77445</v>
          </cell>
          <cell r="DD81">
            <v>76780</v>
          </cell>
          <cell r="DE81">
            <v>74806</v>
          </cell>
          <cell r="DF81">
            <v>71997</v>
          </cell>
          <cell r="DG81">
            <v>71997</v>
          </cell>
          <cell r="DH81">
            <v>82462</v>
          </cell>
          <cell r="DI81">
            <v>81829</v>
          </cell>
          <cell r="DJ81">
            <v>83491</v>
          </cell>
          <cell r="DK81">
            <v>87711</v>
          </cell>
          <cell r="DL81">
            <v>87711</v>
          </cell>
          <cell r="DM81">
            <v>89647</v>
          </cell>
          <cell r="DN81">
            <v>78360</v>
          </cell>
          <cell r="DO81">
            <v>79239</v>
          </cell>
          <cell r="DP81">
            <v>82718</v>
          </cell>
          <cell r="DQ81">
            <v>82718</v>
          </cell>
          <cell r="DR81">
            <v>85967</v>
          </cell>
          <cell r="DS81">
            <v>92128</v>
          </cell>
          <cell r="DT81">
            <v>94864</v>
          </cell>
          <cell r="DU81">
            <v>102330</v>
          </cell>
          <cell r="DV81">
            <v>102330</v>
          </cell>
          <cell r="DW81">
            <v>106061</v>
          </cell>
          <cell r="DX81">
            <v>110109</v>
          </cell>
          <cell r="DY81">
            <v>114501</v>
          </cell>
          <cell r="DZ81">
            <v>118304</v>
          </cell>
          <cell r="EA81">
            <v>118304</v>
          </cell>
          <cell r="EB81">
            <v>123392</v>
          </cell>
          <cell r="EC81">
            <v>130236</v>
          </cell>
          <cell r="ED81">
            <v>134505</v>
          </cell>
          <cell r="EE81">
            <v>141988</v>
          </cell>
          <cell r="EF81">
            <v>141988</v>
          </cell>
          <cell r="EG81">
            <v>151978</v>
          </cell>
          <cell r="EH81">
            <v>160010</v>
          </cell>
          <cell r="EI81">
            <v>162924</v>
          </cell>
          <cell r="EJ81">
            <v>166542</v>
          </cell>
          <cell r="EK81">
            <v>166542</v>
          </cell>
          <cell r="EL81">
            <v>173566</v>
          </cell>
          <cell r="EM81">
            <v>183136</v>
          </cell>
          <cell r="EN81">
            <v>194683</v>
          </cell>
          <cell r="EO81">
            <v>206223</v>
          </cell>
          <cell r="EP81">
            <v>206223</v>
          </cell>
          <cell r="EQ81">
            <v>220714</v>
          </cell>
          <cell r="ER81">
            <v>238268</v>
          </cell>
          <cell r="ES81">
            <v>253152</v>
          </cell>
          <cell r="ET81">
            <v>273160.38450085901</v>
          </cell>
          <cell r="EU81">
            <v>273160.38450085901</v>
          </cell>
          <cell r="EV81">
            <v>295491.56089522701</v>
          </cell>
          <cell r="EW81">
            <v>318521.463365542</v>
          </cell>
          <cell r="EX81">
            <v>341416.95483489102</v>
          </cell>
          <cell r="EY81">
            <v>366217.29159983102</v>
          </cell>
          <cell r="EZ81">
            <v>366217.29159983102</v>
          </cell>
          <cell r="FA81">
            <v>392664.17547346302</v>
          </cell>
          <cell r="FB81">
            <v>419950.10841699003</v>
          </cell>
          <cell r="FC81">
            <v>447154.45920537401</v>
          </cell>
          <cell r="FD81">
            <v>476647.79396637401</v>
          </cell>
          <cell r="FE81">
            <v>476647.79396637401</v>
          </cell>
        </row>
        <row r="82">
          <cell r="B82" t="str">
            <v>Minority interest</v>
          </cell>
          <cell r="C82" t="str">
            <v>MINORITIES</v>
          </cell>
          <cell r="D82" t="str">
            <v>USD</v>
          </cell>
        </row>
        <row r="83">
          <cell r="B83" t="str">
            <v>Total shareholders' equity</v>
          </cell>
          <cell r="C83" t="str">
            <v>EQ</v>
          </cell>
          <cell r="D83" t="str">
            <v>USD</v>
          </cell>
          <cell r="F83">
            <v>5863</v>
          </cell>
          <cell r="G83">
            <v>6401</v>
          </cell>
          <cell r="H83">
            <v>6865</v>
          </cell>
          <cell r="I83">
            <v>7326</v>
          </cell>
          <cell r="J83">
            <v>7668</v>
          </cell>
          <cell r="K83">
            <v>7668</v>
          </cell>
          <cell r="L83">
            <v>8077</v>
          </cell>
          <cell r="M83">
            <v>9642</v>
          </cell>
          <cell r="N83">
            <v>9134</v>
          </cell>
          <cell r="O83">
            <v>10777</v>
          </cell>
          <cell r="P83">
            <v>10777</v>
          </cell>
          <cell r="Q83">
            <v>11464</v>
          </cell>
          <cell r="R83">
            <v>12344</v>
          </cell>
          <cell r="S83">
            <v>14676</v>
          </cell>
          <cell r="T83">
            <v>16627</v>
          </cell>
          <cell r="U83">
            <v>16627</v>
          </cell>
          <cell r="V83">
            <v>19124</v>
          </cell>
          <cell r="W83">
            <v>22578</v>
          </cell>
          <cell r="X83">
            <v>25722</v>
          </cell>
          <cell r="Y83">
            <v>28438</v>
          </cell>
          <cell r="Z83">
            <v>28438</v>
          </cell>
          <cell r="AA83">
            <v>31340</v>
          </cell>
          <cell r="AB83">
            <v>34589</v>
          </cell>
          <cell r="AC83">
            <v>39792</v>
          </cell>
          <cell r="AD83">
            <v>40689</v>
          </cell>
          <cell r="AE83">
            <v>40689</v>
          </cell>
          <cell r="AF83">
            <v>45343</v>
          </cell>
          <cell r="AG83">
            <v>46422</v>
          </cell>
          <cell r="AH83">
            <v>48090</v>
          </cell>
          <cell r="AI83">
            <v>47289</v>
          </cell>
          <cell r="AJ83">
            <v>47289</v>
          </cell>
          <cell r="AK83">
            <v>48505</v>
          </cell>
          <cell r="AL83">
            <v>51548</v>
          </cell>
          <cell r="AM83">
            <v>54300</v>
          </cell>
          <cell r="AN83">
            <v>52180</v>
          </cell>
          <cell r="AO83">
            <v>52180</v>
          </cell>
          <cell r="AP83">
            <v>53516</v>
          </cell>
          <cell r="AQ83">
            <v>55812</v>
          </cell>
          <cell r="AR83">
            <v>58282</v>
          </cell>
          <cell r="AS83">
            <v>61020</v>
          </cell>
          <cell r="AT83">
            <v>61020</v>
          </cell>
          <cell r="AU83">
            <v>66680</v>
          </cell>
          <cell r="AV83">
            <v>69343</v>
          </cell>
          <cell r="AW83">
            <v>70580</v>
          </cell>
          <cell r="AX83">
            <v>74825</v>
          </cell>
          <cell r="AY83">
            <v>74825</v>
          </cell>
          <cell r="AZ83">
            <v>76319</v>
          </cell>
          <cell r="BA83">
            <v>47232</v>
          </cell>
          <cell r="BB83">
            <v>47373</v>
          </cell>
          <cell r="BC83">
            <v>48115</v>
          </cell>
          <cell r="BD83">
            <v>48115</v>
          </cell>
          <cell r="BE83">
            <v>48327</v>
          </cell>
          <cell r="BF83">
            <v>44208</v>
          </cell>
          <cell r="BG83">
            <v>42038</v>
          </cell>
          <cell r="BH83">
            <v>40104</v>
          </cell>
          <cell r="BI83">
            <v>40104</v>
          </cell>
          <cell r="BJ83">
            <v>36101</v>
          </cell>
          <cell r="BK83">
            <v>36634</v>
          </cell>
          <cell r="BL83">
            <v>34973</v>
          </cell>
          <cell r="BM83">
            <v>31097</v>
          </cell>
          <cell r="BN83">
            <v>31097</v>
          </cell>
          <cell r="BO83">
            <v>32135</v>
          </cell>
          <cell r="BP83">
            <v>34431</v>
          </cell>
          <cell r="BQ83">
            <v>37554</v>
          </cell>
          <cell r="BR83">
            <v>36286</v>
          </cell>
          <cell r="BS83">
            <v>36286</v>
          </cell>
          <cell r="BT83">
            <v>33594</v>
          </cell>
          <cell r="BU83">
            <v>34478</v>
          </cell>
          <cell r="BV83">
            <v>36943</v>
          </cell>
          <cell r="BW83">
            <v>39558</v>
          </cell>
          <cell r="BX83">
            <v>39558</v>
          </cell>
          <cell r="BY83">
            <v>41212</v>
          </cell>
          <cell r="BZ83">
            <v>44283</v>
          </cell>
          <cell r="CA83">
            <v>45710</v>
          </cell>
          <cell r="CB83">
            <v>46175</v>
          </cell>
          <cell r="CC83">
            <v>46175</v>
          </cell>
          <cell r="CD83">
            <v>46942</v>
          </cell>
          <cell r="CE83">
            <v>48481</v>
          </cell>
          <cell r="CF83">
            <v>53452</v>
          </cell>
          <cell r="CG83">
            <v>57083</v>
          </cell>
          <cell r="CH83">
            <v>57083</v>
          </cell>
          <cell r="CI83">
            <v>59391</v>
          </cell>
          <cell r="CJ83">
            <v>64121</v>
          </cell>
          <cell r="CK83">
            <v>68659</v>
          </cell>
          <cell r="CL83">
            <v>66363</v>
          </cell>
          <cell r="CM83">
            <v>66363</v>
          </cell>
          <cell r="CN83">
            <v>68836</v>
          </cell>
          <cell r="CO83">
            <v>72576</v>
          </cell>
          <cell r="CP83">
            <v>76688</v>
          </cell>
          <cell r="CQ83">
            <v>78944</v>
          </cell>
          <cell r="CR83">
            <v>78944</v>
          </cell>
          <cell r="CS83">
            <v>81641</v>
          </cell>
          <cell r="CT83">
            <v>85100</v>
          </cell>
          <cell r="CU83">
            <v>87424</v>
          </cell>
          <cell r="CV83">
            <v>89784</v>
          </cell>
          <cell r="CW83">
            <v>89784</v>
          </cell>
          <cell r="CX83">
            <v>90170</v>
          </cell>
          <cell r="CY83">
            <v>91879</v>
          </cell>
          <cell r="CZ83">
            <v>90132</v>
          </cell>
          <cell r="DA83">
            <v>80083</v>
          </cell>
          <cell r="DB83">
            <v>80083</v>
          </cell>
          <cell r="DC83">
            <v>77445</v>
          </cell>
          <cell r="DD83">
            <v>76780</v>
          </cell>
          <cell r="DE83">
            <v>74806</v>
          </cell>
          <cell r="DF83">
            <v>71997</v>
          </cell>
          <cell r="DG83">
            <v>71997</v>
          </cell>
          <cell r="DH83">
            <v>82462</v>
          </cell>
          <cell r="DI83">
            <v>81829</v>
          </cell>
          <cell r="DJ83">
            <v>83491</v>
          </cell>
          <cell r="DK83">
            <v>87711</v>
          </cell>
          <cell r="DL83">
            <v>87711</v>
          </cell>
          <cell r="DM83">
            <v>89647</v>
          </cell>
          <cell r="DN83">
            <v>78360</v>
          </cell>
          <cell r="DO83">
            <v>79239</v>
          </cell>
          <cell r="DP83">
            <v>82718</v>
          </cell>
          <cell r="DQ83">
            <v>82718</v>
          </cell>
          <cell r="DR83">
            <v>85967</v>
          </cell>
          <cell r="DS83">
            <v>92128</v>
          </cell>
          <cell r="DT83">
            <v>94864</v>
          </cell>
          <cell r="DU83">
            <v>102330</v>
          </cell>
          <cell r="DV83">
            <v>102330</v>
          </cell>
          <cell r="DW83">
            <v>106061</v>
          </cell>
          <cell r="DX83">
            <v>110109</v>
          </cell>
          <cell r="DY83">
            <v>114501</v>
          </cell>
          <cell r="DZ83">
            <v>118304</v>
          </cell>
          <cell r="EA83">
            <v>118304</v>
          </cell>
          <cell r="EB83">
            <v>123392</v>
          </cell>
          <cell r="EC83">
            <v>130236</v>
          </cell>
          <cell r="ED83">
            <v>134505</v>
          </cell>
          <cell r="EE83">
            <v>141988</v>
          </cell>
          <cell r="EF83">
            <v>141988</v>
          </cell>
          <cell r="EG83">
            <v>151978</v>
          </cell>
          <cell r="EH83">
            <v>160010</v>
          </cell>
          <cell r="EI83">
            <v>162924</v>
          </cell>
          <cell r="EJ83">
            <v>166542</v>
          </cell>
          <cell r="EK83">
            <v>166542</v>
          </cell>
          <cell r="EL83">
            <v>173566</v>
          </cell>
          <cell r="EM83">
            <v>183136</v>
          </cell>
          <cell r="EN83">
            <v>194683</v>
          </cell>
          <cell r="EO83">
            <v>206223</v>
          </cell>
          <cell r="EP83">
            <v>206223</v>
          </cell>
          <cell r="EQ83">
            <v>220714</v>
          </cell>
          <cell r="ER83">
            <v>238268</v>
          </cell>
          <cell r="ES83">
            <v>253152</v>
          </cell>
          <cell r="ET83">
            <v>273160.38450085901</v>
          </cell>
          <cell r="EU83">
            <v>273160.38450085901</v>
          </cell>
          <cell r="EV83">
            <v>295491.56089522701</v>
          </cell>
          <cell r="EW83">
            <v>318521.463365542</v>
          </cell>
          <cell r="EX83">
            <v>341416.95483489102</v>
          </cell>
          <cell r="EY83">
            <v>366217.29159983102</v>
          </cell>
          <cell r="EZ83">
            <v>366217.29159983102</v>
          </cell>
          <cell r="FA83">
            <v>392664.17547346302</v>
          </cell>
          <cell r="FB83">
            <v>419950.10841699003</v>
          </cell>
          <cell r="FC83">
            <v>447154.45920537401</v>
          </cell>
          <cell r="FD83">
            <v>476647.79396637401</v>
          </cell>
          <cell r="FE83">
            <v>476647.79396637401</v>
          </cell>
        </row>
        <row r="84">
          <cell r="B84" t="str">
            <v>Total liabilities and equity</v>
          </cell>
          <cell r="C84" t="str">
            <v>TOT_LIAB_EQ</v>
          </cell>
          <cell r="D84" t="str">
            <v>USD</v>
          </cell>
          <cell r="F84">
            <v>7210</v>
          </cell>
          <cell r="G84">
            <v>8160</v>
          </cell>
          <cell r="H84">
            <v>9106</v>
          </cell>
          <cell r="I84">
            <v>9590</v>
          </cell>
          <cell r="J84">
            <v>10093</v>
          </cell>
          <cell r="K84">
            <v>10093</v>
          </cell>
          <cell r="L84">
            <v>10740</v>
          </cell>
          <cell r="M84">
            <v>12786</v>
          </cell>
          <cell r="N84">
            <v>12613</v>
          </cell>
          <cell r="O84">
            <v>14387</v>
          </cell>
          <cell r="P84">
            <v>14387</v>
          </cell>
          <cell r="Q84">
            <v>15366</v>
          </cell>
          <cell r="R84">
            <v>16840</v>
          </cell>
          <cell r="S84">
            <v>19545</v>
          </cell>
          <cell r="T84">
            <v>22357</v>
          </cell>
          <cell r="U84">
            <v>22357</v>
          </cell>
          <cell r="V84">
            <v>25569</v>
          </cell>
          <cell r="W84">
            <v>30049</v>
          </cell>
          <cell r="X84">
            <v>33561</v>
          </cell>
          <cell r="Y84">
            <v>37156</v>
          </cell>
          <cell r="Z84">
            <v>37156</v>
          </cell>
          <cell r="AA84">
            <v>39672</v>
          </cell>
          <cell r="AB84">
            <v>45093</v>
          </cell>
          <cell r="AC84">
            <v>50895</v>
          </cell>
          <cell r="AD84">
            <v>50442</v>
          </cell>
          <cell r="AE84">
            <v>50442</v>
          </cell>
          <cell r="AF84">
            <v>56089</v>
          </cell>
          <cell r="AG84">
            <v>57691</v>
          </cell>
          <cell r="AH84">
            <v>59605</v>
          </cell>
          <cell r="AI84">
            <v>59257</v>
          </cell>
          <cell r="AJ84">
            <v>59257</v>
          </cell>
          <cell r="AK84">
            <v>61367</v>
          </cell>
          <cell r="AL84">
            <v>65387</v>
          </cell>
          <cell r="AM84">
            <v>68379</v>
          </cell>
          <cell r="AN84">
            <v>67646</v>
          </cell>
          <cell r="AO84">
            <v>67646</v>
          </cell>
          <cell r="AP84">
            <v>70235</v>
          </cell>
          <cell r="AQ84">
            <v>72359</v>
          </cell>
          <cell r="AR84">
            <v>74482</v>
          </cell>
          <cell r="AS84">
            <v>79571</v>
          </cell>
          <cell r="AT84">
            <v>79571</v>
          </cell>
          <cell r="AU84">
            <v>84281</v>
          </cell>
          <cell r="AV84">
            <v>85937</v>
          </cell>
          <cell r="AW84">
            <v>89767</v>
          </cell>
          <cell r="AX84">
            <v>94368</v>
          </cell>
          <cell r="AY84">
            <v>94368</v>
          </cell>
          <cell r="AZ84">
            <v>94268</v>
          </cell>
          <cell r="BA84">
            <v>64941</v>
          </cell>
          <cell r="BB84">
            <v>66275</v>
          </cell>
          <cell r="BC84">
            <v>70815</v>
          </cell>
          <cell r="BD84">
            <v>70815</v>
          </cell>
          <cell r="BE84">
            <v>71462</v>
          </cell>
          <cell r="BF84">
            <v>67257</v>
          </cell>
          <cell r="BG84">
            <v>66854</v>
          </cell>
          <cell r="BH84">
            <v>69597</v>
          </cell>
          <cell r="BI84">
            <v>69597</v>
          </cell>
          <cell r="BJ84">
            <v>65354</v>
          </cell>
          <cell r="BK84">
            <v>66371</v>
          </cell>
          <cell r="BL84">
            <v>63891</v>
          </cell>
          <cell r="BM84">
            <v>63171</v>
          </cell>
          <cell r="BN84">
            <v>63171</v>
          </cell>
          <cell r="BO84">
            <v>65645</v>
          </cell>
          <cell r="BP84">
            <v>67339</v>
          </cell>
          <cell r="BQ84">
            <v>70747</v>
          </cell>
          <cell r="BR84">
            <v>72793</v>
          </cell>
          <cell r="BS84">
            <v>72793</v>
          </cell>
          <cell r="BT84">
            <v>65117</v>
          </cell>
          <cell r="BU84">
            <v>65786</v>
          </cell>
          <cell r="BV84">
            <v>68853</v>
          </cell>
          <cell r="BW84">
            <v>77888</v>
          </cell>
          <cell r="BX84">
            <v>77888</v>
          </cell>
          <cell r="BY84">
            <v>81612</v>
          </cell>
          <cell r="BZ84">
            <v>82096</v>
          </cell>
          <cell r="CA84">
            <v>84910</v>
          </cell>
          <cell r="CB84">
            <v>86113</v>
          </cell>
          <cell r="CC84">
            <v>86113</v>
          </cell>
          <cell r="CD84">
            <v>91540</v>
          </cell>
          <cell r="CE84">
            <v>92306</v>
          </cell>
          <cell r="CF84">
            <v>99727</v>
          </cell>
          <cell r="CG84">
            <v>108704</v>
          </cell>
          <cell r="CH84">
            <v>108704</v>
          </cell>
          <cell r="CI84">
            <v>107415</v>
          </cell>
          <cell r="CJ84">
            <v>112243</v>
          </cell>
          <cell r="CK84">
            <v>118010</v>
          </cell>
          <cell r="CL84">
            <v>121271</v>
          </cell>
          <cell r="CM84">
            <v>121271</v>
          </cell>
          <cell r="CN84">
            <v>121876</v>
          </cell>
          <cell r="CO84">
            <v>128683</v>
          </cell>
          <cell r="CP84">
            <v>134105</v>
          </cell>
          <cell r="CQ84">
            <v>142431</v>
          </cell>
          <cell r="CR84">
            <v>142431</v>
          </cell>
          <cell r="CS84">
            <v>142348</v>
          </cell>
          <cell r="CT84">
            <v>153543</v>
          </cell>
          <cell r="CU84">
            <v>156119</v>
          </cell>
          <cell r="CV84">
            <v>172384</v>
          </cell>
          <cell r="CW84">
            <v>172384</v>
          </cell>
          <cell r="CX84">
            <v>169656</v>
          </cell>
          <cell r="CY84">
            <v>174848</v>
          </cell>
          <cell r="CZ84">
            <v>176683</v>
          </cell>
          <cell r="DA84">
            <v>176223</v>
          </cell>
          <cell r="DB84">
            <v>176223</v>
          </cell>
          <cell r="DC84">
            <v>172896</v>
          </cell>
          <cell r="DD84">
            <v>180098</v>
          </cell>
          <cell r="DE84">
            <v>181869</v>
          </cell>
          <cell r="DF84">
            <v>193694</v>
          </cell>
          <cell r="DG84">
            <v>193694</v>
          </cell>
          <cell r="DH84">
            <v>222008</v>
          </cell>
          <cell r="DI84">
            <v>235298</v>
          </cell>
          <cell r="DJ84">
            <v>236016</v>
          </cell>
          <cell r="DK84">
            <v>250312</v>
          </cell>
          <cell r="DL84">
            <v>250312</v>
          </cell>
          <cell r="DM84">
            <v>249097</v>
          </cell>
          <cell r="DN84">
            <v>256003</v>
          </cell>
          <cell r="DO84">
            <v>245497</v>
          </cell>
          <cell r="DP84">
            <v>258848</v>
          </cell>
          <cell r="DQ84">
            <v>258848</v>
          </cell>
          <cell r="DR84">
            <v>257619</v>
          </cell>
          <cell r="DS84">
            <v>258859</v>
          </cell>
          <cell r="DT84">
            <v>263281</v>
          </cell>
          <cell r="DU84">
            <v>286556</v>
          </cell>
          <cell r="DV84">
            <v>286556</v>
          </cell>
          <cell r="DW84">
            <v>278955</v>
          </cell>
          <cell r="DX84">
            <v>282794</v>
          </cell>
          <cell r="DY84">
            <v>285449</v>
          </cell>
          <cell r="DZ84">
            <v>301311</v>
          </cell>
          <cell r="EA84">
            <v>301311</v>
          </cell>
          <cell r="EB84">
            <v>301001</v>
          </cell>
          <cell r="EC84">
            <v>304137</v>
          </cell>
          <cell r="ED84">
            <v>308879</v>
          </cell>
          <cell r="EE84">
            <v>333779</v>
          </cell>
          <cell r="EF84">
            <v>333779</v>
          </cell>
          <cell r="EG84">
            <v>335418</v>
          </cell>
          <cell r="EH84">
            <v>340389</v>
          </cell>
          <cell r="EI84">
            <v>344607</v>
          </cell>
          <cell r="EJ84">
            <v>364840</v>
          </cell>
          <cell r="EK84">
            <v>364840</v>
          </cell>
          <cell r="EL84">
            <v>359784</v>
          </cell>
          <cell r="EM84">
            <v>364552</v>
          </cell>
          <cell r="EN84">
            <v>380088</v>
          </cell>
          <cell r="EO84">
            <v>411976</v>
          </cell>
          <cell r="EP84">
            <v>411976</v>
          </cell>
          <cell r="EQ84">
            <v>445785</v>
          </cell>
          <cell r="ER84">
            <v>470558</v>
          </cell>
          <cell r="ES84">
            <v>484275</v>
          </cell>
          <cell r="ET84">
            <v>527855.26042000204</v>
          </cell>
          <cell r="EU84">
            <v>527855.26042000204</v>
          </cell>
          <cell r="EV84">
            <v>541897.72669503803</v>
          </cell>
          <cell r="EW84">
            <v>560024.02164411498</v>
          </cell>
          <cell r="EX84">
            <v>587947.62309096404</v>
          </cell>
          <cell r="EY84">
            <v>634161.945338552</v>
          </cell>
          <cell r="EZ84">
            <v>634161.945338552</v>
          </cell>
          <cell r="FA84">
            <v>650029.07801735797</v>
          </cell>
          <cell r="FB84">
            <v>672249.53421373304</v>
          </cell>
          <cell r="FC84">
            <v>710206.10717254295</v>
          </cell>
          <cell r="FD84">
            <v>765224.56102483999</v>
          </cell>
          <cell r="FE84">
            <v>765224.56102483999</v>
          </cell>
        </row>
        <row r="85">
          <cell r="A85" t="str">
            <v>Additional Balance Sheet Items</v>
          </cell>
        </row>
        <row r="86">
          <cell r="B86" t="str">
            <v>Total US$ debt (in US$)</v>
          </cell>
          <cell r="C86" t="str">
            <v>TOT_USD_DEBT</v>
          </cell>
        </row>
        <row r="87">
          <cell r="B87" t="str">
            <v>% US$ debt hedged (principal)</v>
          </cell>
          <cell r="C87" t="str">
            <v>TOT_PCT_USD_DEBT_HEDGED</v>
          </cell>
        </row>
        <row r="88">
          <cell r="B88" t="str">
            <v>% Floating debt (local currency debt)</v>
          </cell>
          <cell r="C88" t="str">
            <v>FLOATING_PCT_LOCAL_DEBT</v>
          </cell>
        </row>
        <row r="89">
          <cell r="B89" t="str">
            <v>% floating debt hedged (rates)</v>
          </cell>
          <cell r="C89" t="str">
            <v>FLOATING_PCT_LOCAL_DEBT_HEDGED</v>
          </cell>
        </row>
        <row r="90">
          <cell r="B90" t="str">
            <v>Net debt</v>
          </cell>
          <cell r="C90" t="str">
            <v>NET_DEBT</v>
          </cell>
          <cell r="D90" t="str">
            <v>USD</v>
          </cell>
          <cell r="F90">
            <v>-4750</v>
          </cell>
          <cell r="G90">
            <v>-5064</v>
          </cell>
          <cell r="H90">
            <v>-6017</v>
          </cell>
          <cell r="I90">
            <v>-6770</v>
          </cell>
          <cell r="J90">
            <v>-6940</v>
          </cell>
          <cell r="K90">
            <v>-6940</v>
          </cell>
          <cell r="L90">
            <v>-7098</v>
          </cell>
          <cell r="M90">
            <v>-9160</v>
          </cell>
          <cell r="N90">
            <v>-9086</v>
          </cell>
          <cell r="O90">
            <v>-8966</v>
          </cell>
          <cell r="P90">
            <v>-8966</v>
          </cell>
          <cell r="Q90">
            <v>-9634</v>
          </cell>
          <cell r="R90">
            <v>-10105</v>
          </cell>
          <cell r="S90">
            <v>-12322</v>
          </cell>
          <cell r="T90">
            <v>-13927</v>
          </cell>
          <cell r="U90">
            <v>-13927</v>
          </cell>
          <cell r="V90">
            <v>-17242</v>
          </cell>
          <cell r="W90">
            <v>-19237</v>
          </cell>
          <cell r="X90">
            <v>-21761</v>
          </cell>
          <cell r="Y90">
            <v>-17236</v>
          </cell>
          <cell r="Z90">
            <v>-17236</v>
          </cell>
          <cell r="AA90">
            <v>-18902</v>
          </cell>
          <cell r="AB90">
            <v>-17843</v>
          </cell>
          <cell r="AC90">
            <v>-21205</v>
          </cell>
          <cell r="AD90">
            <v>-23798</v>
          </cell>
          <cell r="AE90">
            <v>-23798</v>
          </cell>
          <cell r="AF90">
            <v>-24711</v>
          </cell>
          <cell r="AG90">
            <v>-26889</v>
          </cell>
          <cell r="AH90">
            <v>-30018</v>
          </cell>
          <cell r="AI90">
            <v>-31600</v>
          </cell>
          <cell r="AJ90">
            <v>-31600</v>
          </cell>
          <cell r="AK90">
            <v>-36163</v>
          </cell>
          <cell r="AL90">
            <v>-38229</v>
          </cell>
          <cell r="AM90">
            <v>-38693</v>
          </cell>
          <cell r="AN90">
            <v>-38652</v>
          </cell>
          <cell r="AO90">
            <v>-38652</v>
          </cell>
          <cell r="AP90">
            <v>-40475</v>
          </cell>
          <cell r="AQ90">
            <v>-43424</v>
          </cell>
          <cell r="AR90">
            <v>-46178</v>
          </cell>
          <cell r="AS90">
            <v>-49048</v>
          </cell>
          <cell r="AT90">
            <v>-49048</v>
          </cell>
          <cell r="AU90">
            <v>-51622</v>
          </cell>
          <cell r="AV90">
            <v>-52777</v>
          </cell>
          <cell r="AW90">
            <v>-56407</v>
          </cell>
          <cell r="AX90">
            <v>-60592</v>
          </cell>
          <cell r="AY90">
            <v>-60592</v>
          </cell>
          <cell r="AZ90">
            <v>-64415</v>
          </cell>
          <cell r="BA90">
            <v>-34504</v>
          </cell>
          <cell r="BB90">
            <v>-37594</v>
          </cell>
          <cell r="BC90">
            <v>-37751</v>
          </cell>
          <cell r="BD90">
            <v>-37751</v>
          </cell>
          <cell r="BE90">
            <v>-40056</v>
          </cell>
          <cell r="BF90">
            <v>-34701</v>
          </cell>
          <cell r="BG90">
            <v>-34816</v>
          </cell>
          <cell r="BH90">
            <v>-34161</v>
          </cell>
          <cell r="BI90">
            <v>-34161</v>
          </cell>
          <cell r="BJ90">
            <v>-31832</v>
          </cell>
          <cell r="BK90">
            <v>-28873</v>
          </cell>
          <cell r="BL90">
            <v>-28236</v>
          </cell>
          <cell r="BM90">
            <v>-23411</v>
          </cell>
          <cell r="BN90">
            <v>-23411</v>
          </cell>
          <cell r="BO90">
            <v>-21574</v>
          </cell>
          <cell r="BP90">
            <v>-21076</v>
          </cell>
          <cell r="BQ90">
            <v>-26341</v>
          </cell>
          <cell r="BR90">
            <v>-23662</v>
          </cell>
          <cell r="BS90">
            <v>-23662</v>
          </cell>
          <cell r="BT90">
            <v>-18747</v>
          </cell>
          <cell r="BU90">
            <v>-18715</v>
          </cell>
          <cell r="BV90">
            <v>-23341</v>
          </cell>
          <cell r="BW90">
            <v>-25701</v>
          </cell>
          <cell r="BX90">
            <v>-25701</v>
          </cell>
          <cell r="BY90">
            <v>-30732</v>
          </cell>
          <cell r="BZ90">
            <v>-30104</v>
          </cell>
          <cell r="CA90">
            <v>-33671</v>
          </cell>
          <cell r="CB90">
            <v>-30849</v>
          </cell>
          <cell r="CC90">
            <v>-30849</v>
          </cell>
          <cell r="CD90">
            <v>-33508</v>
          </cell>
          <cell r="CE90">
            <v>-31581</v>
          </cell>
          <cell r="CF90">
            <v>-38235</v>
          </cell>
          <cell r="CG90">
            <v>-40851</v>
          </cell>
          <cell r="CH90">
            <v>-40851</v>
          </cell>
          <cell r="CI90">
            <v>-45476</v>
          </cell>
          <cell r="CJ90">
            <v>-39804</v>
          </cell>
          <cell r="CK90">
            <v>-47591</v>
          </cell>
          <cell r="CL90">
            <v>-51096</v>
          </cell>
          <cell r="CM90">
            <v>-51096</v>
          </cell>
          <cell r="CN90">
            <v>-54694</v>
          </cell>
          <cell r="CO90">
            <v>-54124</v>
          </cell>
          <cell r="CP90">
            <v>-60288</v>
          </cell>
          <cell r="CQ90">
            <v>-61422</v>
          </cell>
          <cell r="CR90">
            <v>-61422</v>
          </cell>
          <cell r="CS90">
            <v>-64740</v>
          </cell>
          <cell r="CT90">
            <v>-60968</v>
          </cell>
          <cell r="CU90">
            <v>-65746</v>
          </cell>
          <cell r="CV90">
            <v>-63064</v>
          </cell>
          <cell r="CW90">
            <v>-63064</v>
          </cell>
          <cell r="CX90">
            <v>-65473</v>
          </cell>
          <cell r="CY90">
            <v>-61941</v>
          </cell>
          <cell r="CZ90">
            <v>-63570</v>
          </cell>
          <cell r="DA90">
            <v>-61234</v>
          </cell>
          <cell r="DB90">
            <v>-61234</v>
          </cell>
          <cell r="DC90">
            <v>-60788</v>
          </cell>
          <cell r="DD90">
            <v>-58211</v>
          </cell>
          <cell r="DE90">
            <v>-59158</v>
          </cell>
          <cell r="DF90">
            <v>-59553</v>
          </cell>
          <cell r="DG90">
            <v>-59553</v>
          </cell>
          <cell r="DH90">
            <v>-62242</v>
          </cell>
          <cell r="DI90">
            <v>-37811</v>
          </cell>
          <cell r="DJ90">
            <v>-42010</v>
          </cell>
          <cell r="DK90">
            <v>-46787</v>
          </cell>
          <cell r="DL90">
            <v>-46787</v>
          </cell>
          <cell r="DM90">
            <v>-52996</v>
          </cell>
          <cell r="DN90">
            <v>-53520</v>
          </cell>
          <cell r="DO90">
            <v>-55113</v>
          </cell>
          <cell r="DP90">
            <v>-57528</v>
          </cell>
          <cell r="DQ90">
            <v>-57528</v>
          </cell>
          <cell r="DR90">
            <v>-59650</v>
          </cell>
          <cell r="DS90">
            <v>-54493</v>
          </cell>
          <cell r="DT90">
            <v>-58518</v>
          </cell>
          <cell r="DU90">
            <v>-61641</v>
          </cell>
          <cell r="DV90">
            <v>-61641</v>
          </cell>
          <cell r="DW90">
            <v>-67141</v>
          </cell>
          <cell r="DX90">
            <v>-64645</v>
          </cell>
          <cell r="DY90">
            <v>-71016</v>
          </cell>
          <cell r="DZ90">
            <v>-73200</v>
          </cell>
          <cell r="EA90">
            <v>-73200</v>
          </cell>
          <cell r="EB90">
            <v>-74425</v>
          </cell>
          <cell r="EC90">
            <v>-71445</v>
          </cell>
          <cell r="ED90">
            <v>-67349</v>
          </cell>
          <cell r="EE90">
            <v>-72188</v>
          </cell>
          <cell r="EF90">
            <v>-72188</v>
          </cell>
          <cell r="EG90">
            <v>-77327</v>
          </cell>
          <cell r="EH90">
            <v>-72111</v>
          </cell>
          <cell r="EI90">
            <v>-54767</v>
          </cell>
          <cell r="EJ90">
            <v>-54976</v>
          </cell>
          <cell r="EK90">
            <v>-54976</v>
          </cell>
          <cell r="EL90">
            <v>-58640</v>
          </cell>
          <cell r="EM90">
            <v>-51392</v>
          </cell>
          <cell r="EN90">
            <v>-56217</v>
          </cell>
          <cell r="EO90">
            <v>-64025</v>
          </cell>
          <cell r="EP90">
            <v>-64025</v>
          </cell>
          <cell r="EQ90">
            <v>-72449</v>
          </cell>
          <cell r="ER90">
            <v>-6798</v>
          </cell>
          <cell r="ES90">
            <v>-14579</v>
          </cell>
          <cell r="ET90">
            <v>-39644.735657951198</v>
          </cell>
          <cell r="EU90">
            <v>-39644.735657951198</v>
          </cell>
          <cell r="EV90">
            <v>-55549.706481614798</v>
          </cell>
          <cell r="EW90">
            <v>-60245.888504219402</v>
          </cell>
          <cell r="EX90">
            <v>-77697.066479660105</v>
          </cell>
          <cell r="EY90">
            <v>-98097.596967207995</v>
          </cell>
          <cell r="EZ90">
            <v>-98097.596967207995</v>
          </cell>
          <cell r="FA90">
            <v>-125438.633575546</v>
          </cell>
          <cell r="FB90">
            <v>-128339.91006710799</v>
          </cell>
          <cell r="FC90">
            <v>-157472.750009754</v>
          </cell>
          <cell r="FD90">
            <v>-181844.08823530501</v>
          </cell>
          <cell r="FE90">
            <v>-181844.08823530501</v>
          </cell>
        </row>
        <row r="91">
          <cell r="B91" t="str">
            <v>Capitalized operating leases (off-balance sheet)</v>
          </cell>
          <cell r="C91" t="str">
            <v>CAP_LEASES</v>
          </cell>
          <cell r="D91" t="str">
            <v>USD</v>
          </cell>
        </row>
        <row r="92">
          <cell r="B92" t="str">
            <v>Deferred income taxes</v>
          </cell>
          <cell r="C92" t="str">
            <v>DEF_INC_TAX</v>
          </cell>
          <cell r="D92" t="str">
            <v>USD</v>
          </cell>
          <cell r="F92">
            <v>0</v>
          </cell>
          <cell r="K92">
            <v>0</v>
          </cell>
          <cell r="P92">
            <v>0</v>
          </cell>
          <cell r="U92">
            <v>0</v>
          </cell>
          <cell r="Z92">
            <v>0</v>
          </cell>
          <cell r="AE92">
            <v>0</v>
          </cell>
          <cell r="AF92">
            <v>1440</v>
          </cell>
          <cell r="AG92">
            <v>1644</v>
          </cell>
          <cell r="AH92">
            <v>1775</v>
          </cell>
          <cell r="AI92">
            <v>836</v>
          </cell>
          <cell r="AJ92">
            <v>836</v>
          </cell>
          <cell r="AM92">
            <v>59</v>
          </cell>
          <cell r="AN92">
            <v>398</v>
          </cell>
          <cell r="AO92">
            <v>398</v>
          </cell>
          <cell r="AP92">
            <v>152</v>
          </cell>
          <cell r="AQ92">
            <v>0</v>
          </cell>
          <cell r="AR92">
            <v>369</v>
          </cell>
          <cell r="AS92">
            <v>1731</v>
          </cell>
          <cell r="AT92">
            <v>1731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155</v>
          </cell>
          <cell r="BZ92">
            <v>377</v>
          </cell>
          <cell r="CA92">
            <v>828</v>
          </cell>
          <cell r="CB92">
            <v>229</v>
          </cell>
          <cell r="CC92">
            <v>229</v>
          </cell>
          <cell r="CD92">
            <v>540</v>
          </cell>
          <cell r="CE92">
            <v>826</v>
          </cell>
          <cell r="CF92">
            <v>1185</v>
          </cell>
          <cell r="CG92">
            <v>1456</v>
          </cell>
          <cell r="CH92">
            <v>1456</v>
          </cell>
          <cell r="CI92">
            <v>1040</v>
          </cell>
          <cell r="CJ92">
            <v>1082</v>
          </cell>
          <cell r="CK92">
            <v>1456</v>
          </cell>
          <cell r="CL92">
            <v>1893</v>
          </cell>
          <cell r="CM92">
            <v>1893</v>
          </cell>
          <cell r="CN92">
            <v>2209</v>
          </cell>
          <cell r="CO92">
            <v>2394</v>
          </cell>
          <cell r="CP92">
            <v>2424</v>
          </cell>
          <cell r="CQ92">
            <v>1709</v>
          </cell>
          <cell r="CR92">
            <v>1709</v>
          </cell>
          <cell r="CS92">
            <v>2236</v>
          </cell>
          <cell r="CT92">
            <v>2377</v>
          </cell>
          <cell r="CU92">
            <v>2318</v>
          </cell>
          <cell r="CV92">
            <v>2728</v>
          </cell>
          <cell r="CW92">
            <v>2728</v>
          </cell>
          <cell r="CX92">
            <v>2714</v>
          </cell>
          <cell r="CY92">
            <v>2820</v>
          </cell>
          <cell r="CZ92">
            <v>2919</v>
          </cell>
          <cell r="DA92">
            <v>2835</v>
          </cell>
          <cell r="DB92">
            <v>2835</v>
          </cell>
          <cell r="DC92">
            <v>2169</v>
          </cell>
          <cell r="DD92">
            <v>2194</v>
          </cell>
          <cell r="DE92">
            <v>2674</v>
          </cell>
          <cell r="DF92">
            <v>1476</v>
          </cell>
          <cell r="DG92">
            <v>1476</v>
          </cell>
          <cell r="DH92">
            <v>6929</v>
          </cell>
          <cell r="DI92">
            <v>7080</v>
          </cell>
          <cell r="DJ92">
            <v>6761</v>
          </cell>
          <cell r="DK92">
            <v>5734</v>
          </cell>
          <cell r="DL92">
            <v>5734</v>
          </cell>
          <cell r="DM92">
            <v>5513</v>
          </cell>
          <cell r="DN92">
            <v>3186</v>
          </cell>
          <cell r="DO92">
            <v>2417</v>
          </cell>
          <cell r="DP92">
            <v>541</v>
          </cell>
          <cell r="DQ92">
            <v>541</v>
          </cell>
          <cell r="DR92">
            <v>1977</v>
          </cell>
          <cell r="DS92">
            <v>2062</v>
          </cell>
          <cell r="DT92">
            <v>1838</v>
          </cell>
          <cell r="DU92">
            <v>233</v>
          </cell>
          <cell r="DV92">
            <v>233</v>
          </cell>
          <cell r="DW92">
            <v>234</v>
          </cell>
          <cell r="DX92">
            <v>222</v>
          </cell>
          <cell r="DY92">
            <v>185</v>
          </cell>
          <cell r="DZ92">
            <v>204</v>
          </cell>
          <cell r="EA92">
            <v>204</v>
          </cell>
          <cell r="EB92">
            <v>187</v>
          </cell>
          <cell r="EC92">
            <v>174</v>
          </cell>
          <cell r="ED92">
            <v>173</v>
          </cell>
          <cell r="EE92">
            <v>198</v>
          </cell>
          <cell r="EF92">
            <v>198</v>
          </cell>
          <cell r="EG92">
            <v>212</v>
          </cell>
          <cell r="EH92">
            <v>199</v>
          </cell>
          <cell r="EI92">
            <v>304</v>
          </cell>
          <cell r="EJ92">
            <v>230</v>
          </cell>
          <cell r="EK92">
            <v>230</v>
          </cell>
          <cell r="EL92">
            <v>223</v>
          </cell>
          <cell r="EM92">
            <v>289</v>
          </cell>
          <cell r="EN92">
            <v>302</v>
          </cell>
          <cell r="EO92">
            <v>433</v>
          </cell>
          <cell r="EP92">
            <v>433</v>
          </cell>
          <cell r="EQ92">
            <v>470</v>
          </cell>
          <cell r="ER92">
            <v>2548</v>
          </cell>
          <cell r="ES92">
            <v>2469</v>
          </cell>
          <cell r="ET92">
            <v>2469</v>
          </cell>
          <cell r="EU92">
            <v>2469</v>
          </cell>
          <cell r="EV92">
            <v>2469</v>
          </cell>
          <cell r="EW92">
            <v>2469</v>
          </cell>
          <cell r="EX92">
            <v>2469</v>
          </cell>
          <cell r="EY92">
            <v>2469</v>
          </cell>
          <cell r="EZ92">
            <v>2469</v>
          </cell>
          <cell r="FA92">
            <v>2469</v>
          </cell>
          <cell r="FB92">
            <v>2469</v>
          </cell>
          <cell r="FC92">
            <v>2469</v>
          </cell>
          <cell r="FD92">
            <v>2469</v>
          </cell>
          <cell r="FE92">
            <v>2469</v>
          </cell>
        </row>
        <row r="93">
          <cell r="B93" t="str">
            <v>Net operating loss carryforwards (NOLs)</v>
          </cell>
          <cell r="C93" t="str">
            <v>NET_OP_LOSS_CFWD</v>
          </cell>
          <cell r="D93" t="str">
            <v>USD</v>
          </cell>
        </row>
        <row r="94">
          <cell r="B94" t="str">
            <v>Associates (mkt value) used in EV calculation</v>
          </cell>
          <cell r="C94" t="str">
            <v>MV_ASSOCIATES</v>
          </cell>
          <cell r="D94" t="str">
            <v>USD</v>
          </cell>
        </row>
        <row r="95">
          <cell r="B95" t="str">
            <v>Net debt adjustment</v>
          </cell>
          <cell r="C95" t="str">
            <v>NET_DEBT_ADJ</v>
          </cell>
          <cell r="D95" t="str">
            <v>USD</v>
          </cell>
          <cell r="F95">
            <v>-2788</v>
          </cell>
          <cell r="G95">
            <v>-3158</v>
          </cell>
          <cell r="H95">
            <v>-3694</v>
          </cell>
          <cell r="I95">
            <v>-3833</v>
          </cell>
          <cell r="J95">
            <v>-4339</v>
          </cell>
          <cell r="K95">
            <v>-4339</v>
          </cell>
          <cell r="L95">
            <v>-4080</v>
          </cell>
          <cell r="M95">
            <v>-6064</v>
          </cell>
          <cell r="N95">
            <v>-5234</v>
          </cell>
          <cell r="O95">
            <v>-5260</v>
          </cell>
          <cell r="P95">
            <v>-5260</v>
          </cell>
          <cell r="Q95">
            <v>-5689</v>
          </cell>
          <cell r="R95">
            <v>-7523</v>
          </cell>
          <cell r="S95">
            <v>-8212</v>
          </cell>
          <cell r="T95">
            <v>-10088</v>
          </cell>
          <cell r="U95">
            <v>-10088</v>
          </cell>
          <cell r="V95">
            <v>-12051</v>
          </cell>
          <cell r="W95">
            <v>-13124</v>
          </cell>
          <cell r="X95">
            <v>-15558</v>
          </cell>
          <cell r="Y95">
            <v>-12261</v>
          </cell>
          <cell r="Z95">
            <v>-12261</v>
          </cell>
          <cell r="AA95">
            <v>-14113</v>
          </cell>
          <cell r="AB95">
            <v>-12811</v>
          </cell>
          <cell r="AC95">
            <v>-16013</v>
          </cell>
          <cell r="AD95">
            <v>-18952</v>
          </cell>
          <cell r="AE95">
            <v>-18952</v>
          </cell>
          <cell r="AF95">
            <v>-22070</v>
          </cell>
          <cell r="AG95">
            <v>-23358</v>
          </cell>
          <cell r="AH95">
            <v>-25869</v>
          </cell>
          <cell r="AI95">
            <v>-27678</v>
          </cell>
          <cell r="AJ95">
            <v>-27678</v>
          </cell>
          <cell r="AK95">
            <v>-33050</v>
          </cell>
          <cell r="AL95">
            <v>-32973</v>
          </cell>
          <cell r="AM95">
            <v>-33577</v>
          </cell>
          <cell r="AN95">
            <v>-35636</v>
          </cell>
          <cell r="AO95">
            <v>-35636</v>
          </cell>
          <cell r="AP95">
            <v>-35137</v>
          </cell>
          <cell r="AQ95">
            <v>-37872</v>
          </cell>
          <cell r="AR95">
            <v>-41878</v>
          </cell>
          <cell r="AS95">
            <v>-42610</v>
          </cell>
          <cell r="AT95">
            <v>-42610</v>
          </cell>
          <cell r="AU95">
            <v>-45854</v>
          </cell>
          <cell r="AV95">
            <v>-46628</v>
          </cell>
          <cell r="AW95">
            <v>-47059</v>
          </cell>
          <cell r="AX95">
            <v>-44610</v>
          </cell>
          <cell r="AY95">
            <v>-44610</v>
          </cell>
          <cell r="AZ95">
            <v>-53274</v>
          </cell>
          <cell r="BA95">
            <v>-29948</v>
          </cell>
          <cell r="BB95">
            <v>-33812</v>
          </cell>
          <cell r="BC95">
            <v>-32900</v>
          </cell>
          <cell r="BD95">
            <v>-32900</v>
          </cell>
          <cell r="BE95">
            <v>-37082</v>
          </cell>
          <cell r="BF95">
            <v>-30618</v>
          </cell>
          <cell r="BG95">
            <v>-30465</v>
          </cell>
          <cell r="BH95">
            <v>-27447</v>
          </cell>
          <cell r="BI95">
            <v>-27447</v>
          </cell>
          <cell r="BJ95">
            <v>-22756</v>
          </cell>
          <cell r="BK95">
            <v>-22014</v>
          </cell>
          <cell r="BL95">
            <v>-20625</v>
          </cell>
          <cell r="BM95">
            <v>-17300</v>
          </cell>
          <cell r="BN95">
            <v>-17300</v>
          </cell>
          <cell r="BO95">
            <v>-14937</v>
          </cell>
          <cell r="BP95">
            <v>-13616</v>
          </cell>
          <cell r="BQ95">
            <v>-14521</v>
          </cell>
          <cell r="BR95">
            <v>-13323</v>
          </cell>
          <cell r="BS95">
            <v>-13323</v>
          </cell>
          <cell r="BT95">
            <v>-11718</v>
          </cell>
          <cell r="BU95">
            <v>-12369</v>
          </cell>
          <cell r="BV95">
            <v>-18055</v>
          </cell>
          <cell r="BW95">
            <v>-25371</v>
          </cell>
          <cell r="BX95">
            <v>-25371</v>
          </cell>
          <cell r="BY95">
            <v>-27905</v>
          </cell>
          <cell r="BZ95">
            <v>-26677</v>
          </cell>
          <cell r="CA95">
            <v>-31511</v>
          </cell>
          <cell r="CB95">
            <v>-31283</v>
          </cell>
          <cell r="CC95">
            <v>-31283</v>
          </cell>
          <cell r="CD95">
            <v>-36012</v>
          </cell>
          <cell r="CE95">
            <v>-37229</v>
          </cell>
          <cell r="CF95">
            <v>-43129</v>
          </cell>
          <cell r="CG95">
            <v>-43162</v>
          </cell>
          <cell r="CH95">
            <v>-43162</v>
          </cell>
          <cell r="CI95">
            <v>-44522</v>
          </cell>
          <cell r="CJ95">
            <v>-41126</v>
          </cell>
          <cell r="CK95">
            <v>-53141</v>
          </cell>
          <cell r="CL95">
            <v>-56102</v>
          </cell>
          <cell r="CM95">
            <v>-56102</v>
          </cell>
          <cell r="CN95">
            <v>-61608</v>
          </cell>
          <cell r="CO95">
            <v>-62295</v>
          </cell>
          <cell r="CP95">
            <v>-69243</v>
          </cell>
          <cell r="CQ95">
            <v>-73218</v>
          </cell>
          <cell r="CR95">
            <v>-73218</v>
          </cell>
          <cell r="CS95">
            <v>-76649</v>
          </cell>
          <cell r="CT95">
            <v>-73885</v>
          </cell>
          <cell r="CU95">
            <v>-76853</v>
          </cell>
          <cell r="CV95">
            <v>-77040</v>
          </cell>
          <cell r="CW95">
            <v>-77040</v>
          </cell>
          <cell r="CX95">
            <v>-82891</v>
          </cell>
          <cell r="CY95">
            <v>-83823</v>
          </cell>
          <cell r="CZ95">
            <v>-88024</v>
          </cell>
          <cell r="DA95">
            <v>-90931</v>
          </cell>
          <cell r="DB95">
            <v>-90931</v>
          </cell>
          <cell r="DC95">
            <v>-93924</v>
          </cell>
          <cell r="DD95">
            <v>-95455</v>
          </cell>
          <cell r="DE95">
            <v>-98382</v>
          </cell>
          <cell r="DF95">
            <v>-106730</v>
          </cell>
          <cell r="DG95">
            <v>-106730</v>
          </cell>
          <cell r="DH95">
            <v>-123004</v>
          </cell>
          <cell r="DI95">
            <v>-114313</v>
          </cell>
          <cell r="DJ95">
            <v>-119305</v>
          </cell>
          <cell r="DK95">
            <v>-125318</v>
          </cell>
          <cell r="DL95">
            <v>-125318</v>
          </cell>
          <cell r="DM95">
            <v>-131587</v>
          </cell>
          <cell r="DN95">
            <v>-129921</v>
          </cell>
          <cell r="DO95">
            <v>-123049</v>
          </cell>
          <cell r="DP95">
            <v>-121822</v>
          </cell>
          <cell r="DQ95">
            <v>-121822</v>
          </cell>
          <cell r="DR95">
            <v>-120743</v>
          </cell>
          <cell r="DS95">
            <v>-121024</v>
          </cell>
          <cell r="DT95">
            <v>-120406</v>
          </cell>
          <cell r="DU95">
            <v>-122463</v>
          </cell>
          <cell r="DV95">
            <v>-122463</v>
          </cell>
          <cell r="DW95">
            <v>-123519</v>
          </cell>
          <cell r="DX95">
            <v>-125389</v>
          </cell>
          <cell r="DY95">
            <v>-125916</v>
          </cell>
          <cell r="DZ95">
            <v>-122951</v>
          </cell>
          <cell r="EA95">
            <v>-122951</v>
          </cell>
          <cell r="EB95">
            <v>-120772</v>
          </cell>
          <cell r="EC95">
            <v>-117536</v>
          </cell>
          <cell r="ED95">
            <v>-111705</v>
          </cell>
          <cell r="EE95">
            <v>-116110</v>
          </cell>
          <cell r="EF95">
            <v>-116110</v>
          </cell>
          <cell r="EG95">
            <v>-111450</v>
          </cell>
          <cell r="EH95">
            <v>-104765</v>
          </cell>
          <cell r="EI95">
            <v>-92195</v>
          </cell>
          <cell r="EJ95">
            <v>-90826</v>
          </cell>
          <cell r="EK95">
            <v>-90826</v>
          </cell>
          <cell r="EL95">
            <v>-84378</v>
          </cell>
          <cell r="EM95">
            <v>-83862</v>
          </cell>
          <cell r="EN95">
            <v>-77865</v>
          </cell>
          <cell r="EO95">
            <v>-76558</v>
          </cell>
          <cell r="EP95">
            <v>-76558</v>
          </cell>
          <cell r="EQ95">
            <v>-63499</v>
          </cell>
          <cell r="ER95">
            <v>-63712</v>
          </cell>
          <cell r="ES95">
            <v>-60387</v>
          </cell>
          <cell r="ET95">
            <v>-60387</v>
          </cell>
          <cell r="EU95">
            <v>-60387</v>
          </cell>
          <cell r="EV95">
            <v>-60387</v>
          </cell>
          <cell r="EW95">
            <v>-60387</v>
          </cell>
          <cell r="EX95">
            <v>-60387</v>
          </cell>
          <cell r="EY95">
            <v>-60387</v>
          </cell>
          <cell r="EZ95">
            <v>-60387</v>
          </cell>
          <cell r="FA95">
            <v>-60387</v>
          </cell>
          <cell r="FB95">
            <v>-60387</v>
          </cell>
          <cell r="FC95">
            <v>-60387</v>
          </cell>
          <cell r="FD95">
            <v>-60387</v>
          </cell>
          <cell r="FE95">
            <v>-60387</v>
          </cell>
        </row>
        <row r="96">
          <cell r="B96" t="str">
            <v>Company borrowing margin</v>
          </cell>
          <cell r="C96" t="str">
            <v>CO_BOR_MARGIN</v>
          </cell>
        </row>
        <row r="97">
          <cell r="B97" t="str">
            <v>Unfunded pensions &amp; other provisions</v>
          </cell>
          <cell r="C97" t="str">
            <v>UNF_PENS</v>
          </cell>
          <cell r="D97" t="str">
            <v>USD</v>
          </cell>
        </row>
        <row r="98">
          <cell r="B98" t="str">
            <v>Unfunded pension liabilities (off balance sheet)</v>
          </cell>
          <cell r="C98" t="str">
            <v>UNF_PENS_OFF</v>
          </cell>
          <cell r="D98" t="str">
            <v>USD</v>
          </cell>
        </row>
        <row r="99">
          <cell r="B99" t="str">
            <v>Unfunded pension liabilities &amp; other, used in EV</v>
          </cell>
          <cell r="C99" t="str">
            <v>UNF_PENS_LIAB_OTH</v>
          </cell>
          <cell r="D99" t="str">
            <v>USD</v>
          </cell>
        </row>
        <row r="100">
          <cell r="B100" t="str">
            <v>Adjustment for unfunded pensions &amp; goodwill</v>
          </cell>
          <cell r="C100" t="str">
            <v>ADJ_UNF_PENS_GOOD</v>
          </cell>
          <cell r="D100" t="str">
            <v>USD</v>
          </cell>
        </row>
        <row r="101">
          <cell r="B101" t="str">
            <v>Other GCI adjustments</v>
          </cell>
          <cell r="C101" t="str">
            <v>OTH_GCI_ADJ</v>
          </cell>
          <cell r="D101" t="str">
            <v>USD</v>
          </cell>
        </row>
        <row r="102">
          <cell r="B102" t="str">
            <v>GCI inflator</v>
          </cell>
          <cell r="C102" t="str">
            <v>GCI_INFL</v>
          </cell>
        </row>
        <row r="103">
          <cell r="B103" t="str">
            <v>Minority interest</v>
          </cell>
          <cell r="C103" t="str">
            <v>BAL_MINO_INT</v>
          </cell>
          <cell r="D103" t="str">
            <v>USD</v>
          </cell>
        </row>
        <row r="104">
          <cell r="B104" t="str">
            <v>Right-of-use assets (op lease assets under US GAAP)</v>
          </cell>
          <cell r="C104" t="str">
            <v>ROU_ASSET</v>
          </cell>
          <cell r="D104" t="str">
            <v>USD</v>
          </cell>
          <cell r="DF104">
            <v>0</v>
          </cell>
          <cell r="DG104">
            <v>0</v>
          </cell>
          <cell r="DH104">
            <v>5216</v>
          </cell>
          <cell r="DI104">
            <v>6371</v>
          </cell>
          <cell r="DJ104">
            <v>6714</v>
          </cell>
          <cell r="DK104">
            <v>6555</v>
          </cell>
          <cell r="DL104">
            <v>6555</v>
          </cell>
          <cell r="DM104">
            <v>6844</v>
          </cell>
          <cell r="DN104">
            <v>6749</v>
          </cell>
          <cell r="DO104">
            <v>6859</v>
          </cell>
          <cell r="DP104">
            <v>6686</v>
          </cell>
          <cell r="DQ104">
            <v>6686</v>
          </cell>
          <cell r="DR104">
            <v>6734</v>
          </cell>
          <cell r="DS104">
            <v>6806</v>
          </cell>
          <cell r="DT104">
            <v>7121</v>
          </cell>
          <cell r="DU104">
            <v>7379</v>
          </cell>
          <cell r="DV104">
            <v>7379</v>
          </cell>
          <cell r="DW104">
            <v>7890</v>
          </cell>
          <cell r="DX104">
            <v>8439</v>
          </cell>
          <cell r="DY104">
            <v>8448</v>
          </cell>
          <cell r="DZ104">
            <v>8753</v>
          </cell>
          <cell r="EA104">
            <v>8753</v>
          </cell>
          <cell r="EB104">
            <v>9047</v>
          </cell>
          <cell r="EC104">
            <v>10298</v>
          </cell>
          <cell r="ED104">
            <v>10673</v>
          </cell>
          <cell r="EE104">
            <v>11088</v>
          </cell>
          <cell r="EF104">
            <v>11088</v>
          </cell>
          <cell r="EG104">
            <v>11575</v>
          </cell>
          <cell r="EH104">
            <v>12354</v>
          </cell>
          <cell r="EI104">
            <v>12916</v>
          </cell>
          <cell r="EJ104">
            <v>13148</v>
          </cell>
          <cell r="EK104">
            <v>13148</v>
          </cell>
          <cell r="EL104">
            <v>13347</v>
          </cell>
          <cell r="EM104">
            <v>13624</v>
          </cell>
          <cell r="EN104">
            <v>13879</v>
          </cell>
          <cell r="EO104">
            <v>14346</v>
          </cell>
          <cell r="EP104">
            <v>14346</v>
          </cell>
          <cell r="EQ104">
            <v>15435</v>
          </cell>
          <cell r="ER104">
            <v>16398</v>
          </cell>
          <cell r="ES104">
            <v>17371</v>
          </cell>
          <cell r="ET104">
            <v>17371</v>
          </cell>
          <cell r="EU104">
            <v>17371</v>
          </cell>
          <cell r="EV104">
            <v>17371</v>
          </cell>
          <cell r="EW104">
            <v>17371</v>
          </cell>
          <cell r="EX104">
            <v>17371</v>
          </cell>
          <cell r="EY104">
            <v>17371</v>
          </cell>
          <cell r="EZ104">
            <v>17371</v>
          </cell>
          <cell r="FA104">
            <v>17371</v>
          </cell>
          <cell r="FB104">
            <v>17371</v>
          </cell>
          <cell r="FC104">
            <v>17371</v>
          </cell>
          <cell r="FD104">
            <v>17371</v>
          </cell>
          <cell r="FE104">
            <v>17371</v>
          </cell>
        </row>
        <row r="105">
          <cell r="A105" t="str">
            <v>Cash Flow Statement</v>
          </cell>
        </row>
        <row r="106">
          <cell r="B106" t="str">
            <v>Minority interest add-back</v>
          </cell>
          <cell r="C106" t="str">
            <v>CF_INC_MINORITY</v>
          </cell>
          <cell r="D106" t="str">
            <v>USD</v>
          </cell>
        </row>
        <row r="107">
          <cell r="B107" t="str">
            <v>Depreciation &amp; amortization add-back</v>
          </cell>
          <cell r="C107" t="str">
            <v>DEPR_AMORT</v>
          </cell>
          <cell r="D107" t="str">
            <v>USD</v>
          </cell>
          <cell r="F107">
            <v>269</v>
          </cell>
          <cell r="G107">
            <v>69</v>
          </cell>
          <cell r="H107">
            <v>78</v>
          </cell>
          <cell r="I107">
            <v>189</v>
          </cell>
          <cell r="J107">
            <v>144</v>
          </cell>
          <cell r="K107">
            <v>480</v>
          </cell>
          <cell r="P107">
            <v>0</v>
          </cell>
          <cell r="U107">
            <v>0</v>
          </cell>
          <cell r="V107">
            <v>179</v>
          </cell>
          <cell r="W107">
            <v>177</v>
          </cell>
          <cell r="X107">
            <v>158</v>
          </cell>
          <cell r="Y107">
            <v>412</v>
          </cell>
          <cell r="Z107">
            <v>926</v>
          </cell>
          <cell r="AA107">
            <v>440</v>
          </cell>
          <cell r="AB107">
            <v>325</v>
          </cell>
          <cell r="AC107">
            <v>275</v>
          </cell>
          <cell r="AD107">
            <v>-292</v>
          </cell>
          <cell r="AE107">
            <v>748</v>
          </cell>
          <cell r="AF107">
            <v>250</v>
          </cell>
          <cell r="AG107">
            <v>239</v>
          </cell>
          <cell r="AH107">
            <v>483</v>
          </cell>
          <cell r="AI107">
            <v>564</v>
          </cell>
          <cell r="AJ107">
            <v>1536</v>
          </cell>
          <cell r="AK107">
            <v>282</v>
          </cell>
          <cell r="AL107">
            <v>295</v>
          </cell>
          <cell r="AM107">
            <v>148</v>
          </cell>
          <cell r="AN107">
            <v>359</v>
          </cell>
          <cell r="AO107">
            <v>1084</v>
          </cell>
          <cell r="AP107">
            <v>273</v>
          </cell>
          <cell r="AQ107">
            <v>275</v>
          </cell>
          <cell r="AR107">
            <v>383</v>
          </cell>
          <cell r="AS107">
            <v>462</v>
          </cell>
          <cell r="AT107">
            <v>1393</v>
          </cell>
          <cell r="AU107">
            <v>328</v>
          </cell>
          <cell r="AV107">
            <v>300</v>
          </cell>
          <cell r="AW107">
            <v>249</v>
          </cell>
          <cell r="AX107">
            <v>309</v>
          </cell>
          <cell r="AY107">
            <v>1186</v>
          </cell>
          <cell r="AZ107">
            <v>183</v>
          </cell>
          <cell r="BA107">
            <v>108</v>
          </cell>
          <cell r="BB107">
            <v>282</v>
          </cell>
          <cell r="BC107">
            <v>282</v>
          </cell>
          <cell r="BD107">
            <v>855</v>
          </cell>
          <cell r="BE107">
            <v>234</v>
          </cell>
          <cell r="BF107">
            <v>231</v>
          </cell>
          <cell r="BG107">
            <v>177</v>
          </cell>
          <cell r="BH107">
            <v>261</v>
          </cell>
          <cell r="BI107">
            <v>903</v>
          </cell>
          <cell r="BJ107">
            <v>249</v>
          </cell>
          <cell r="BK107">
            <v>365</v>
          </cell>
          <cell r="BL107">
            <v>445</v>
          </cell>
          <cell r="BM107">
            <v>381</v>
          </cell>
          <cell r="BN107">
            <v>1440</v>
          </cell>
          <cell r="BO107">
            <v>435</v>
          </cell>
          <cell r="BP107">
            <v>481</v>
          </cell>
          <cell r="BQ107">
            <v>532</v>
          </cell>
          <cell r="BR107">
            <v>608</v>
          </cell>
          <cell r="BS107">
            <v>2056</v>
          </cell>
          <cell r="BT107">
            <v>585</v>
          </cell>
          <cell r="BU107">
            <v>632</v>
          </cell>
          <cell r="BV107">
            <v>664</v>
          </cell>
          <cell r="BW107">
            <v>681</v>
          </cell>
          <cell r="BX107">
            <v>2562</v>
          </cell>
          <cell r="BY107">
            <v>646</v>
          </cell>
          <cell r="BZ107">
            <v>615</v>
          </cell>
          <cell r="CA107">
            <v>694</v>
          </cell>
          <cell r="CB107">
            <v>718</v>
          </cell>
          <cell r="CC107">
            <v>2673</v>
          </cell>
          <cell r="CD107">
            <v>694</v>
          </cell>
          <cell r="CE107">
            <v>663</v>
          </cell>
          <cell r="CF107">
            <v>720</v>
          </cell>
          <cell r="CG107">
            <v>689</v>
          </cell>
          <cell r="CH107">
            <v>2766</v>
          </cell>
          <cell r="CI107">
            <v>726</v>
          </cell>
          <cell r="CJ107">
            <v>678</v>
          </cell>
          <cell r="CK107">
            <v>766</v>
          </cell>
          <cell r="CL107">
            <v>797</v>
          </cell>
          <cell r="CM107">
            <v>2967</v>
          </cell>
          <cell r="CN107">
            <v>710</v>
          </cell>
          <cell r="CO107">
            <v>1009</v>
          </cell>
          <cell r="CP107">
            <v>1053</v>
          </cell>
          <cell r="CQ107">
            <v>983</v>
          </cell>
          <cell r="CR107">
            <v>3755</v>
          </cell>
          <cell r="CS107">
            <v>954</v>
          </cell>
          <cell r="CT107">
            <v>1261</v>
          </cell>
          <cell r="CU107">
            <v>1255</v>
          </cell>
          <cell r="CV107">
            <v>1742</v>
          </cell>
          <cell r="CW107">
            <v>5212</v>
          </cell>
          <cell r="CX107">
            <v>1428</v>
          </cell>
          <cell r="CY107">
            <v>1521</v>
          </cell>
          <cell r="CZ107">
            <v>1515</v>
          </cell>
          <cell r="DA107">
            <v>1493</v>
          </cell>
          <cell r="DB107">
            <v>5957</v>
          </cell>
          <cell r="DC107">
            <v>1461</v>
          </cell>
          <cell r="DD107">
            <v>1544</v>
          </cell>
          <cell r="DE107">
            <v>1707</v>
          </cell>
          <cell r="DF107">
            <v>1910</v>
          </cell>
          <cell r="DG107">
            <v>6622</v>
          </cell>
          <cell r="DH107">
            <v>1816</v>
          </cell>
          <cell r="DI107">
            <v>2166</v>
          </cell>
          <cell r="DJ107">
            <v>2453</v>
          </cell>
          <cell r="DK107">
            <v>2343</v>
          </cell>
          <cell r="DL107">
            <v>8778</v>
          </cell>
          <cell r="DM107">
            <v>2499</v>
          </cell>
          <cell r="DN107">
            <v>2536</v>
          </cell>
          <cell r="DO107">
            <v>2710</v>
          </cell>
          <cell r="DP107">
            <v>2516</v>
          </cell>
          <cell r="DQ107">
            <v>10261</v>
          </cell>
          <cell r="DR107">
            <v>2837</v>
          </cell>
          <cell r="DS107">
            <v>2995</v>
          </cell>
          <cell r="DT107">
            <v>2926</v>
          </cell>
          <cell r="DU107">
            <v>2924</v>
          </cell>
          <cell r="DV107">
            <v>11682</v>
          </cell>
          <cell r="DW107">
            <v>2971</v>
          </cell>
          <cell r="DX107">
            <v>3203</v>
          </cell>
          <cell r="DY107">
            <v>3118</v>
          </cell>
          <cell r="DZ107">
            <v>3504</v>
          </cell>
          <cell r="EA107">
            <v>12796</v>
          </cell>
          <cell r="EB107">
            <v>2645</v>
          </cell>
          <cell r="EC107">
            <v>2761</v>
          </cell>
          <cell r="ED107">
            <v>2936</v>
          </cell>
          <cell r="EE107">
            <v>3344</v>
          </cell>
          <cell r="EF107">
            <v>11686</v>
          </cell>
          <cell r="EG107">
            <v>3212</v>
          </cell>
          <cell r="EH107">
            <v>3496</v>
          </cell>
          <cell r="EI107">
            <v>3773</v>
          </cell>
          <cell r="EJ107">
            <v>3979</v>
          </cell>
          <cell r="EK107">
            <v>14460</v>
          </cell>
          <cell r="EL107">
            <v>2790</v>
          </cell>
          <cell r="EM107">
            <v>3648</v>
          </cell>
          <cell r="EN107">
            <v>3549</v>
          </cell>
          <cell r="EO107">
            <v>3874</v>
          </cell>
          <cell r="EP107">
            <v>13861</v>
          </cell>
          <cell r="EQ107">
            <v>3921</v>
          </cell>
          <cell r="ER107">
            <v>5959</v>
          </cell>
          <cell r="ES107">
            <v>6027</v>
          </cell>
          <cell r="ET107">
            <v>5095.25</v>
          </cell>
          <cell r="EU107">
            <v>21002.25</v>
          </cell>
          <cell r="EV107">
            <v>5674.9656709491001</v>
          </cell>
          <cell r="EW107">
            <v>7307.9672117887903</v>
          </cell>
          <cell r="EX107">
            <v>7134.7727853959796</v>
          </cell>
          <cell r="EY107">
            <v>6166.24509264891</v>
          </cell>
          <cell r="EZ107">
            <v>26283.950760782802</v>
          </cell>
          <cell r="FA107">
            <v>6098.8955597276099</v>
          </cell>
          <cell r="FB107">
            <v>6377.4641060221702</v>
          </cell>
          <cell r="FC107">
            <v>6615.00882476674</v>
          </cell>
          <cell r="FD107">
            <v>6846.0339838774198</v>
          </cell>
          <cell r="FE107">
            <v>25937.402474393901</v>
          </cell>
        </row>
        <row r="108">
          <cell r="B108" t="str">
            <v>(Increase)/decrease in working capital</v>
          </cell>
          <cell r="C108" t="str">
            <v>WORK_CAP</v>
          </cell>
          <cell r="D108" t="str">
            <v>USD</v>
          </cell>
          <cell r="F108">
            <v>268</v>
          </cell>
          <cell r="G108">
            <v>-68</v>
          </cell>
          <cell r="H108">
            <v>748</v>
          </cell>
          <cell r="I108">
            <v>154</v>
          </cell>
          <cell r="J108">
            <v>210</v>
          </cell>
          <cell r="K108">
            <v>1044</v>
          </cell>
          <cell r="L108">
            <v>-84</v>
          </cell>
          <cell r="M108">
            <v>-29</v>
          </cell>
          <cell r="N108">
            <v>220</v>
          </cell>
          <cell r="O108">
            <v>-287</v>
          </cell>
          <cell r="P108">
            <v>-180</v>
          </cell>
          <cell r="Q108">
            <v>240</v>
          </cell>
          <cell r="R108">
            <v>-105</v>
          </cell>
          <cell r="S108">
            <v>61</v>
          </cell>
          <cell r="T108">
            <v>-596</v>
          </cell>
          <cell r="U108">
            <v>-400</v>
          </cell>
          <cell r="V108">
            <v>637</v>
          </cell>
          <cell r="W108">
            <v>-428</v>
          </cell>
          <cell r="X108">
            <v>-34</v>
          </cell>
          <cell r="Y108">
            <v>-47</v>
          </cell>
          <cell r="Z108">
            <v>128</v>
          </cell>
          <cell r="AA108">
            <v>-375</v>
          </cell>
          <cell r="AB108">
            <v>-743</v>
          </cell>
          <cell r="AC108">
            <v>-591</v>
          </cell>
          <cell r="AD108">
            <v>-455</v>
          </cell>
          <cell r="AE108">
            <v>-2164</v>
          </cell>
          <cell r="AF108">
            <v>-409</v>
          </cell>
          <cell r="AG108">
            <v>-764</v>
          </cell>
          <cell r="AH108">
            <v>214</v>
          </cell>
          <cell r="AI108">
            <v>656</v>
          </cell>
          <cell r="AJ108">
            <v>-303</v>
          </cell>
          <cell r="AK108">
            <v>541</v>
          </cell>
          <cell r="AL108">
            <v>-44</v>
          </cell>
          <cell r="AM108">
            <v>523</v>
          </cell>
          <cell r="AN108">
            <v>-1251</v>
          </cell>
          <cell r="AO108">
            <v>-231</v>
          </cell>
          <cell r="AP108">
            <v>1559</v>
          </cell>
          <cell r="AQ108">
            <v>20</v>
          </cell>
          <cell r="AR108">
            <v>492</v>
          </cell>
          <cell r="AS108">
            <v>-1025</v>
          </cell>
          <cell r="AT108">
            <v>1046</v>
          </cell>
          <cell r="AU108">
            <v>20</v>
          </cell>
          <cell r="AV108">
            <v>1043</v>
          </cell>
          <cell r="AW108">
            <v>3307</v>
          </cell>
          <cell r="AX108">
            <v>-2407</v>
          </cell>
          <cell r="AY108">
            <v>1963</v>
          </cell>
          <cell r="AZ108">
            <v>428</v>
          </cell>
          <cell r="BA108">
            <v>-932</v>
          </cell>
          <cell r="BB108">
            <v>2048</v>
          </cell>
          <cell r="BC108">
            <v>-1370</v>
          </cell>
          <cell r="BD108">
            <v>174</v>
          </cell>
          <cell r="BE108">
            <v>1166</v>
          </cell>
          <cell r="BF108">
            <v>-2297</v>
          </cell>
          <cell r="BG108">
            <v>1333</v>
          </cell>
          <cell r="BH108">
            <v>-2599</v>
          </cell>
          <cell r="BI108">
            <v>-2397</v>
          </cell>
          <cell r="BJ108">
            <v>791</v>
          </cell>
          <cell r="BK108">
            <v>-2596</v>
          </cell>
          <cell r="BL108">
            <v>2256</v>
          </cell>
          <cell r="BM108">
            <v>-1412</v>
          </cell>
          <cell r="BN108">
            <v>-961</v>
          </cell>
          <cell r="BO108">
            <v>1864</v>
          </cell>
          <cell r="BP108">
            <v>-1764</v>
          </cell>
          <cell r="BQ108">
            <v>2014</v>
          </cell>
          <cell r="BR108">
            <v>-4549</v>
          </cell>
          <cell r="BS108">
            <v>-2435</v>
          </cell>
          <cell r="BT108">
            <v>-541</v>
          </cell>
          <cell r="BU108">
            <v>363</v>
          </cell>
          <cell r="BV108">
            <v>2605</v>
          </cell>
          <cell r="BW108">
            <v>-2605</v>
          </cell>
          <cell r="BX108">
            <v>-178</v>
          </cell>
          <cell r="BY108">
            <v>1123</v>
          </cell>
          <cell r="BZ108">
            <v>-940</v>
          </cell>
          <cell r="CA108">
            <v>2843</v>
          </cell>
          <cell r="CB108">
            <v>-2365</v>
          </cell>
          <cell r="CC108">
            <v>661</v>
          </cell>
          <cell r="CD108">
            <v>2725</v>
          </cell>
          <cell r="CE108">
            <v>-2850</v>
          </cell>
          <cell r="CF108">
            <v>2775</v>
          </cell>
          <cell r="CG108">
            <v>-5653</v>
          </cell>
          <cell r="CH108">
            <v>-3003</v>
          </cell>
          <cell r="CI108">
            <v>2683</v>
          </cell>
          <cell r="CJ108">
            <v>-1400</v>
          </cell>
          <cell r="CK108">
            <v>3346</v>
          </cell>
          <cell r="CL108">
            <v>-4803</v>
          </cell>
          <cell r="CM108">
            <v>-174</v>
          </cell>
          <cell r="CN108">
            <v>3394</v>
          </cell>
          <cell r="CO108">
            <v>-3616</v>
          </cell>
          <cell r="CP108">
            <v>3704</v>
          </cell>
          <cell r="CQ108">
            <v>-4857</v>
          </cell>
          <cell r="CR108">
            <v>-1375</v>
          </cell>
          <cell r="CS108">
            <v>3321</v>
          </cell>
          <cell r="CT108">
            <v>-3115</v>
          </cell>
          <cell r="CU108">
            <v>2798</v>
          </cell>
          <cell r="CV108">
            <v>-2380</v>
          </cell>
          <cell r="CW108">
            <v>624</v>
          </cell>
          <cell r="CX108">
            <v>4507</v>
          </cell>
          <cell r="CY108">
            <v>-2495</v>
          </cell>
          <cell r="CZ108">
            <v>3308</v>
          </cell>
          <cell r="DA108">
            <v>-3807</v>
          </cell>
          <cell r="DB108">
            <v>1513</v>
          </cell>
          <cell r="DC108">
            <v>2879</v>
          </cell>
          <cell r="DD108">
            <v>-2026</v>
          </cell>
          <cell r="DE108">
            <v>2953</v>
          </cell>
          <cell r="DF108">
            <v>-4800</v>
          </cell>
          <cell r="DG108">
            <v>-994</v>
          </cell>
          <cell r="DH108">
            <v>3134</v>
          </cell>
          <cell r="DI108">
            <v>-2260</v>
          </cell>
          <cell r="DJ108">
            <v>2712</v>
          </cell>
          <cell r="DK108">
            <v>1290</v>
          </cell>
          <cell r="DL108">
            <v>4876</v>
          </cell>
          <cell r="DM108">
            <v>2968</v>
          </cell>
          <cell r="DN108">
            <v>13644</v>
          </cell>
          <cell r="DO108">
            <v>1882</v>
          </cell>
          <cell r="DP108">
            <v>1973</v>
          </cell>
          <cell r="DQ108">
            <v>20467</v>
          </cell>
          <cell r="DR108">
            <v>1376</v>
          </cell>
          <cell r="DS108">
            <v>-3390</v>
          </cell>
          <cell r="DT108">
            <v>1028</v>
          </cell>
          <cell r="DU108">
            <v>4852</v>
          </cell>
          <cell r="DV108">
            <v>3866</v>
          </cell>
          <cell r="DW108">
            <v>-927</v>
          </cell>
          <cell r="DX108">
            <v>-5256</v>
          </cell>
          <cell r="DY108">
            <v>2450</v>
          </cell>
          <cell r="DZ108">
            <v>2250</v>
          </cell>
          <cell r="EA108">
            <v>-1483</v>
          </cell>
          <cell r="EB108">
            <v>1480</v>
          </cell>
          <cell r="EC108">
            <v>-6903</v>
          </cell>
          <cell r="ED108">
            <v>2700</v>
          </cell>
          <cell r="EE108">
            <v>1787</v>
          </cell>
          <cell r="EF108">
            <v>-936</v>
          </cell>
          <cell r="EG108">
            <v>5455</v>
          </cell>
          <cell r="EH108">
            <v>-9554</v>
          </cell>
          <cell r="EI108">
            <v>3072</v>
          </cell>
          <cell r="EJ108">
            <v>1473</v>
          </cell>
          <cell r="EK108">
            <v>446</v>
          </cell>
          <cell r="EL108">
            <v>1873</v>
          </cell>
          <cell r="EM108">
            <v>-10347</v>
          </cell>
          <cell r="EN108">
            <v>1843</v>
          </cell>
          <cell r="EO108">
            <v>4243</v>
          </cell>
          <cell r="EP108">
            <v>-2388</v>
          </cell>
          <cell r="EQ108">
            <v>2418</v>
          </cell>
          <cell r="ER108">
            <v>-10300</v>
          </cell>
          <cell r="ES108">
            <v>2522</v>
          </cell>
          <cell r="ET108">
            <v>13592.095815729899</v>
          </cell>
          <cell r="EU108">
            <v>8232.0958157299392</v>
          </cell>
          <cell r="EV108">
            <v>1593.2922307512799</v>
          </cell>
          <cell r="EW108">
            <v>-11918.0517715523</v>
          </cell>
          <cell r="EX108">
            <v>1069.94512480349</v>
          </cell>
          <cell r="EY108">
            <v>3490.3158236081299</v>
          </cell>
          <cell r="EZ108">
            <v>-5764.4985923893701</v>
          </cell>
          <cell r="FA108">
            <v>9055.8898175739596</v>
          </cell>
          <cell r="FB108">
            <v>-17588.188795268001</v>
          </cell>
          <cell r="FC108">
            <v>8507.9864312591508</v>
          </cell>
          <cell r="FD108">
            <v>1520.4843906557601</v>
          </cell>
          <cell r="FE108">
            <v>1496.1718442208901</v>
          </cell>
        </row>
        <row r="109">
          <cell r="B109" t="str">
            <v>Other operating cash flow items</v>
          </cell>
          <cell r="C109" t="str">
            <v>OTH_OP_CF</v>
          </cell>
          <cell r="D109" t="str">
            <v>USD</v>
          </cell>
          <cell r="F109">
            <v>0</v>
          </cell>
          <cell r="K109">
            <v>0</v>
          </cell>
          <cell r="L109">
            <v>253</v>
          </cell>
          <cell r="M109">
            <v>506</v>
          </cell>
          <cell r="N109">
            <v>356</v>
          </cell>
          <cell r="O109">
            <v>300</v>
          </cell>
          <cell r="P109">
            <v>1415</v>
          </cell>
          <cell r="Q109">
            <v>777</v>
          </cell>
          <cell r="R109">
            <v>636</v>
          </cell>
          <cell r="S109">
            <v>704</v>
          </cell>
          <cell r="T109">
            <v>673</v>
          </cell>
          <cell r="U109">
            <v>2790</v>
          </cell>
          <cell r="V109">
            <v>85</v>
          </cell>
          <cell r="W109">
            <v>419</v>
          </cell>
          <cell r="X109">
            <v>643</v>
          </cell>
          <cell r="Y109">
            <v>3151</v>
          </cell>
          <cell r="Z109">
            <v>4298</v>
          </cell>
          <cell r="AA109">
            <v>-266</v>
          </cell>
          <cell r="AB109">
            <v>130</v>
          </cell>
          <cell r="AC109">
            <v>200</v>
          </cell>
          <cell r="AD109">
            <v>5892</v>
          </cell>
          <cell r="AE109">
            <v>5956</v>
          </cell>
          <cell r="AF109">
            <v>913</v>
          </cell>
          <cell r="AG109">
            <v>820</v>
          </cell>
          <cell r="AH109">
            <v>816</v>
          </cell>
          <cell r="AI109">
            <v>2294</v>
          </cell>
          <cell r="AJ109">
            <v>4843</v>
          </cell>
          <cell r="AK109">
            <v>1283</v>
          </cell>
          <cell r="AL109">
            <v>1031</v>
          </cell>
          <cell r="AM109">
            <v>712</v>
          </cell>
          <cell r="AN109">
            <v>2801</v>
          </cell>
          <cell r="AO109">
            <v>5827</v>
          </cell>
          <cell r="AP109">
            <v>2299</v>
          </cell>
          <cell r="AQ109">
            <v>607</v>
          </cell>
          <cell r="AR109">
            <v>1152</v>
          </cell>
          <cell r="AS109">
            <v>1769</v>
          </cell>
          <cell r="AT109">
            <v>5827</v>
          </cell>
          <cell r="AU109">
            <v>462</v>
          </cell>
          <cell r="AV109">
            <v>1682</v>
          </cell>
          <cell r="AW109">
            <v>99</v>
          </cell>
          <cell r="AX109">
            <v>1066</v>
          </cell>
          <cell r="AY109">
            <v>3309</v>
          </cell>
          <cell r="AZ109">
            <v>868</v>
          </cell>
          <cell r="BA109">
            <v>980</v>
          </cell>
          <cell r="BB109">
            <v>110</v>
          </cell>
          <cell r="BC109">
            <v>1364</v>
          </cell>
          <cell r="BD109">
            <v>3322</v>
          </cell>
          <cell r="BE109">
            <v>-212</v>
          </cell>
          <cell r="BF109">
            <v>644</v>
          </cell>
          <cell r="BG109">
            <v>76</v>
          </cell>
          <cell r="BH109">
            <v>2791</v>
          </cell>
          <cell r="BI109">
            <v>3299</v>
          </cell>
          <cell r="BJ109">
            <v>-457</v>
          </cell>
          <cell r="BK109">
            <v>1647</v>
          </cell>
          <cell r="BL109">
            <v>-336</v>
          </cell>
          <cell r="BM109">
            <v>2398</v>
          </cell>
          <cell r="BN109">
            <v>3252</v>
          </cell>
          <cell r="BO109">
            <v>-710</v>
          </cell>
          <cell r="BP109">
            <v>1143</v>
          </cell>
          <cell r="BQ109">
            <v>148</v>
          </cell>
          <cell r="BR109">
            <v>3729</v>
          </cell>
          <cell r="BS109">
            <v>4310</v>
          </cell>
          <cell r="BT109">
            <v>-1047</v>
          </cell>
          <cell r="BU109">
            <v>613</v>
          </cell>
          <cell r="BV109">
            <v>-202</v>
          </cell>
          <cell r="BW109">
            <v>2720</v>
          </cell>
          <cell r="BX109">
            <v>2084</v>
          </cell>
          <cell r="BY109">
            <v>764</v>
          </cell>
          <cell r="BZ109">
            <v>-1368</v>
          </cell>
          <cell r="CA109">
            <v>-150</v>
          </cell>
          <cell r="CB109">
            <v>2733</v>
          </cell>
          <cell r="CC109">
            <v>1979</v>
          </cell>
          <cell r="CD109">
            <v>-635</v>
          </cell>
          <cell r="CE109">
            <v>-261</v>
          </cell>
          <cell r="CF109">
            <v>-55</v>
          </cell>
          <cell r="CG109">
            <v>5032</v>
          </cell>
          <cell r="CH109">
            <v>4081</v>
          </cell>
          <cell r="CI109">
            <v>-654</v>
          </cell>
          <cell r="CJ109">
            <v>-40</v>
          </cell>
          <cell r="CK109">
            <v>374</v>
          </cell>
          <cell r="CL109">
            <v>12175</v>
          </cell>
          <cell r="CM109">
            <v>11855</v>
          </cell>
          <cell r="CN109">
            <v>-86</v>
          </cell>
          <cell r="CO109">
            <v>1010</v>
          </cell>
          <cell r="CP109">
            <v>-1146</v>
          </cell>
          <cell r="CQ109">
            <v>4812</v>
          </cell>
          <cell r="CR109">
            <v>4590</v>
          </cell>
          <cell r="CS109">
            <v>-1314</v>
          </cell>
          <cell r="CT109">
            <v>-291</v>
          </cell>
          <cell r="CU109">
            <v>386</v>
          </cell>
          <cell r="CV109">
            <v>5540</v>
          </cell>
          <cell r="CW109">
            <v>4321</v>
          </cell>
          <cell r="CX109">
            <v>-2121</v>
          </cell>
          <cell r="CY109">
            <v>-549</v>
          </cell>
          <cell r="CZ109">
            <v>-238</v>
          </cell>
          <cell r="DA109">
            <v>12325</v>
          </cell>
          <cell r="DB109">
            <v>9417</v>
          </cell>
          <cell r="DC109">
            <v>-366</v>
          </cell>
          <cell r="DD109">
            <v>1082</v>
          </cell>
          <cell r="DE109">
            <v>1951</v>
          </cell>
          <cell r="DF109">
            <v>8232</v>
          </cell>
          <cell r="DG109">
            <v>10899</v>
          </cell>
          <cell r="DH109">
            <v>932</v>
          </cell>
          <cell r="DI109">
            <v>120</v>
          </cell>
          <cell r="DJ109">
            <v>9</v>
          </cell>
          <cell r="DK109">
            <v>-697</v>
          </cell>
          <cell r="DL109">
            <v>364</v>
          </cell>
          <cell r="DM109">
            <v>397</v>
          </cell>
          <cell r="DN109">
            <v>-2003</v>
          </cell>
          <cell r="DO109">
            <v>135</v>
          </cell>
          <cell r="DP109">
            <v>-1944</v>
          </cell>
          <cell r="DQ109">
            <v>-3415</v>
          </cell>
          <cell r="DR109">
            <v>620</v>
          </cell>
          <cell r="DS109">
            <v>875</v>
          </cell>
          <cell r="DT109">
            <v>757</v>
          </cell>
          <cell r="DU109">
            <v>-4855</v>
          </cell>
          <cell r="DV109">
            <v>-2603</v>
          </cell>
          <cell r="DW109">
            <v>1096</v>
          </cell>
          <cell r="DX109">
            <v>1084</v>
          </cell>
          <cell r="DY109">
            <v>1184</v>
          </cell>
          <cell r="DZ109">
            <v>1717</v>
          </cell>
          <cell r="EA109">
            <v>5081</v>
          </cell>
          <cell r="EB109">
            <v>1317</v>
          </cell>
          <cell r="EC109">
            <v>1195</v>
          </cell>
          <cell r="ED109">
            <v>1086</v>
          </cell>
          <cell r="EE109">
            <v>1121</v>
          </cell>
          <cell r="EF109">
            <v>4719</v>
          </cell>
          <cell r="EG109">
            <v>-4632</v>
          </cell>
          <cell r="EH109">
            <v>1773</v>
          </cell>
          <cell r="EI109">
            <v>1813</v>
          </cell>
          <cell r="EJ109">
            <v>2437</v>
          </cell>
          <cell r="EK109">
            <v>1391</v>
          </cell>
          <cell r="EL109">
            <v>979</v>
          </cell>
          <cell r="EM109">
            <v>1447</v>
          </cell>
          <cell r="EN109">
            <v>750</v>
          </cell>
          <cell r="EO109">
            <v>572</v>
          </cell>
          <cell r="EP109">
            <v>3748</v>
          </cell>
          <cell r="EQ109">
            <v>1953</v>
          </cell>
          <cell r="ER109">
            <v>1324</v>
          </cell>
          <cell r="ES109">
            <v>1429</v>
          </cell>
          <cell r="ET109">
            <v>2920.7131411366699</v>
          </cell>
          <cell r="EU109">
            <v>7626.7131411366699</v>
          </cell>
          <cell r="EV109">
            <v>2977.0572766097398</v>
          </cell>
          <cell r="EW109">
            <v>3166.9928972185498</v>
          </cell>
          <cell r="EX109">
            <v>3166.01243909716</v>
          </cell>
          <cell r="EY109">
            <v>3329.1395984956998</v>
          </cell>
          <cell r="EZ109">
            <v>12639.2022114212</v>
          </cell>
          <cell r="FA109">
            <v>3189.8783542648498</v>
          </cell>
          <cell r="FB109">
            <v>3393.2854540336498</v>
          </cell>
          <cell r="FC109">
            <v>3398.5849049998701</v>
          </cell>
          <cell r="FD109">
            <v>3582.8867729642002</v>
          </cell>
          <cell r="FE109">
            <v>13564.635486262599</v>
          </cell>
        </row>
        <row r="110">
          <cell r="B110" t="str">
            <v>Cash flow from operating activities</v>
          </cell>
          <cell r="C110" t="str">
            <v>CF_OPS</v>
          </cell>
          <cell r="D110" t="str">
            <v>USD</v>
          </cell>
          <cell r="F110">
            <v>1990</v>
          </cell>
          <cell r="G110">
            <v>500</v>
          </cell>
          <cell r="H110">
            <v>1401</v>
          </cell>
          <cell r="I110">
            <v>905</v>
          </cell>
          <cell r="J110">
            <v>913</v>
          </cell>
          <cell r="K110">
            <v>3719</v>
          </cell>
          <cell r="L110">
            <v>783</v>
          </cell>
          <cell r="M110">
            <v>1218</v>
          </cell>
          <cell r="N110">
            <v>1618</v>
          </cell>
          <cell r="O110">
            <v>1070</v>
          </cell>
          <cell r="P110">
            <v>4689</v>
          </cell>
          <cell r="Q110">
            <v>1680</v>
          </cell>
          <cell r="R110">
            <v>1664</v>
          </cell>
          <cell r="S110">
            <v>2102</v>
          </cell>
          <cell r="T110">
            <v>1434</v>
          </cell>
          <cell r="U110">
            <v>6880</v>
          </cell>
          <cell r="V110">
            <v>2584</v>
          </cell>
          <cell r="W110">
            <v>2151</v>
          </cell>
          <cell r="X110">
            <v>2684</v>
          </cell>
          <cell r="Y110">
            <v>5718</v>
          </cell>
          <cell r="Z110">
            <v>13137</v>
          </cell>
          <cell r="AA110">
            <v>1990</v>
          </cell>
          <cell r="AB110">
            <v>2148</v>
          </cell>
          <cell r="AC110">
            <v>2269</v>
          </cell>
          <cell r="AD110">
            <v>7554</v>
          </cell>
          <cell r="AE110">
            <v>13961</v>
          </cell>
          <cell r="AF110">
            <v>2960</v>
          </cell>
          <cell r="AG110">
            <v>2919</v>
          </cell>
          <cell r="AH110">
            <v>3964</v>
          </cell>
          <cell r="AI110">
            <v>3579</v>
          </cell>
          <cell r="AJ110">
            <v>13422</v>
          </cell>
          <cell r="AK110">
            <v>3389</v>
          </cell>
          <cell r="AL110">
            <v>3565</v>
          </cell>
          <cell r="AM110">
            <v>4121</v>
          </cell>
          <cell r="AN110">
            <v>3434</v>
          </cell>
          <cell r="AO110">
            <v>14509</v>
          </cell>
          <cell r="AP110">
            <v>6172</v>
          </cell>
          <cell r="AQ110">
            <v>2767</v>
          </cell>
          <cell r="AR110">
            <v>4169</v>
          </cell>
          <cell r="AS110">
            <v>2689</v>
          </cell>
          <cell r="AT110">
            <v>15797</v>
          </cell>
          <cell r="AU110">
            <v>3424</v>
          </cell>
          <cell r="AV110">
            <v>4574</v>
          </cell>
          <cell r="AW110">
            <v>4970</v>
          </cell>
          <cell r="AX110">
            <v>1658</v>
          </cell>
          <cell r="AY110">
            <v>14626</v>
          </cell>
          <cell r="AZ110">
            <v>4007</v>
          </cell>
          <cell r="BA110">
            <v>3619</v>
          </cell>
          <cell r="BB110">
            <v>5003</v>
          </cell>
          <cell r="BC110">
            <v>3976</v>
          </cell>
          <cell r="BD110">
            <v>16605</v>
          </cell>
          <cell r="BE110">
            <v>4329</v>
          </cell>
          <cell r="BF110">
            <v>2231</v>
          </cell>
          <cell r="BG110">
            <v>4563</v>
          </cell>
          <cell r="BH110">
            <v>3281</v>
          </cell>
          <cell r="BI110">
            <v>14404</v>
          </cell>
          <cell r="BJ110">
            <v>4061</v>
          </cell>
          <cell r="BK110">
            <v>2042</v>
          </cell>
          <cell r="BL110">
            <v>7291</v>
          </cell>
          <cell r="BM110">
            <v>4402</v>
          </cell>
          <cell r="BN110">
            <v>17796</v>
          </cell>
          <cell r="BO110">
            <v>5878</v>
          </cell>
          <cell r="BP110">
            <v>4567</v>
          </cell>
          <cell r="BQ110">
            <v>7082</v>
          </cell>
          <cell r="BR110">
            <v>4085</v>
          </cell>
          <cell r="BS110">
            <v>21612</v>
          </cell>
          <cell r="BT110">
            <v>3370</v>
          </cell>
          <cell r="BU110">
            <v>5782</v>
          </cell>
          <cell r="BV110">
            <v>6044</v>
          </cell>
          <cell r="BW110">
            <v>3841</v>
          </cell>
          <cell r="BX110">
            <v>19037</v>
          </cell>
          <cell r="BY110">
            <v>6107</v>
          </cell>
          <cell r="BZ110">
            <v>4969</v>
          </cell>
          <cell r="CA110">
            <v>7393</v>
          </cell>
          <cell r="CB110">
            <v>5604</v>
          </cell>
          <cell r="CC110">
            <v>24073</v>
          </cell>
          <cell r="CD110">
            <v>8194</v>
          </cell>
          <cell r="CE110">
            <v>4186</v>
          </cell>
          <cell r="CF110">
            <v>8672</v>
          </cell>
          <cell r="CG110">
            <v>5942</v>
          </cell>
          <cell r="CH110">
            <v>26994</v>
          </cell>
          <cell r="CI110">
            <v>8493</v>
          </cell>
          <cell r="CJ110">
            <v>5862</v>
          </cell>
          <cell r="CK110">
            <v>9594</v>
          </cell>
          <cell r="CL110">
            <v>7677</v>
          </cell>
          <cell r="CM110">
            <v>31626</v>
          </cell>
          <cell r="CN110">
            <v>8484</v>
          </cell>
          <cell r="CO110">
            <v>4780</v>
          </cell>
          <cell r="CP110">
            <v>9666</v>
          </cell>
          <cell r="CQ110">
            <v>5903</v>
          </cell>
          <cell r="CR110">
            <v>28833</v>
          </cell>
          <cell r="CS110">
            <v>8205</v>
          </cell>
          <cell r="CT110">
            <v>4413</v>
          </cell>
          <cell r="CU110">
            <v>10099</v>
          </cell>
          <cell r="CV110">
            <v>9514</v>
          </cell>
          <cell r="CW110">
            <v>32231</v>
          </cell>
          <cell r="CX110">
            <v>8354</v>
          </cell>
          <cell r="CY110">
            <v>4340</v>
          </cell>
          <cell r="CZ110">
            <v>9570</v>
          </cell>
          <cell r="DA110">
            <v>6816</v>
          </cell>
          <cell r="DB110">
            <v>29080</v>
          </cell>
          <cell r="DC110">
            <v>8594</v>
          </cell>
          <cell r="DD110">
            <v>5598</v>
          </cell>
          <cell r="DE110">
            <v>10367</v>
          </cell>
          <cell r="DF110">
            <v>8464</v>
          </cell>
          <cell r="DG110">
            <v>33023</v>
          </cell>
          <cell r="DH110">
            <v>11549</v>
          </cell>
          <cell r="DI110">
            <v>6293</v>
          </cell>
          <cell r="DJ110">
            <v>10660</v>
          </cell>
          <cell r="DK110">
            <v>11005</v>
          </cell>
          <cell r="DL110">
            <v>39507</v>
          </cell>
          <cell r="DM110">
            <v>12440</v>
          </cell>
          <cell r="DN110">
            <v>7875</v>
          </cell>
          <cell r="DO110">
            <v>12151</v>
          </cell>
          <cell r="DP110">
            <v>11418</v>
          </cell>
          <cell r="DQ110">
            <v>43884</v>
          </cell>
          <cell r="DR110">
            <v>13657</v>
          </cell>
          <cell r="DS110">
            <v>8900</v>
          </cell>
          <cell r="DT110">
            <v>13520</v>
          </cell>
          <cell r="DU110">
            <v>16108</v>
          </cell>
          <cell r="DV110">
            <v>52185</v>
          </cell>
          <cell r="DW110">
            <v>13818</v>
          </cell>
          <cell r="DX110">
            <v>10680</v>
          </cell>
          <cell r="DY110">
            <v>17504</v>
          </cell>
          <cell r="DZ110">
            <v>18673</v>
          </cell>
          <cell r="EA110">
            <v>60675</v>
          </cell>
          <cell r="EB110">
            <v>19335</v>
          </cell>
          <cell r="EC110">
            <v>12516</v>
          </cell>
          <cell r="ED110">
            <v>22179</v>
          </cell>
          <cell r="EE110">
            <v>22710</v>
          </cell>
          <cell r="EF110">
            <v>76740</v>
          </cell>
          <cell r="EG110">
            <v>24540</v>
          </cell>
          <cell r="EH110">
            <v>14480</v>
          </cell>
          <cell r="EI110">
            <v>25386</v>
          </cell>
          <cell r="EJ110">
            <v>24629</v>
          </cell>
          <cell r="EK110">
            <v>89035</v>
          </cell>
          <cell r="EL110">
            <v>23198</v>
          </cell>
          <cell r="EM110">
            <v>11173</v>
          </cell>
          <cell r="EN110">
            <v>24441</v>
          </cell>
          <cell r="EO110">
            <v>28770</v>
          </cell>
          <cell r="EP110">
            <v>87582</v>
          </cell>
          <cell r="EQ110">
            <v>30583</v>
          </cell>
          <cell r="ER110">
            <v>18853</v>
          </cell>
          <cell r="ES110">
            <v>31917</v>
          </cell>
          <cell r="ET110">
            <v>44264.355267227198</v>
          </cell>
          <cell r="EU110">
            <v>125617.355267227</v>
          </cell>
          <cell r="EV110">
            <v>35160.443596172197</v>
          </cell>
          <cell r="EW110">
            <v>24545.737776490201</v>
          </cell>
          <cell r="EX110">
            <v>37216.4180257318</v>
          </cell>
          <cell r="EY110">
            <v>40566.065909886798</v>
          </cell>
          <cell r="EZ110">
            <v>137488.66530828099</v>
          </cell>
          <cell r="FA110">
            <v>47703.1916526774</v>
          </cell>
          <cell r="FB110">
            <v>22797.3387290379</v>
          </cell>
          <cell r="FC110">
            <v>49039.616332557896</v>
          </cell>
          <cell r="FD110">
            <v>44565.2182411256</v>
          </cell>
          <cell r="FE110">
            <v>164105.36495539901</v>
          </cell>
        </row>
        <row r="111">
          <cell r="B111" t="str">
            <v>Capital expenditures, Capex</v>
          </cell>
          <cell r="C111" t="str">
            <v>CAPEX</v>
          </cell>
          <cell r="D111" t="str">
            <v>USD</v>
          </cell>
          <cell r="F111">
            <v>-495</v>
          </cell>
          <cell r="G111">
            <v>-116</v>
          </cell>
          <cell r="H111">
            <v>-88</v>
          </cell>
          <cell r="I111">
            <v>-132</v>
          </cell>
          <cell r="J111">
            <v>-158</v>
          </cell>
          <cell r="K111">
            <v>-494</v>
          </cell>
          <cell r="L111">
            <v>-99</v>
          </cell>
          <cell r="M111">
            <v>-117</v>
          </cell>
          <cell r="N111">
            <v>-110</v>
          </cell>
          <cell r="O111">
            <v>-173</v>
          </cell>
          <cell r="P111">
            <v>-499</v>
          </cell>
          <cell r="Q111">
            <v>-117</v>
          </cell>
          <cell r="R111">
            <v>-151</v>
          </cell>
          <cell r="S111">
            <v>-147</v>
          </cell>
          <cell r="T111">
            <v>-241</v>
          </cell>
          <cell r="U111">
            <v>-656</v>
          </cell>
          <cell r="V111">
            <v>-106</v>
          </cell>
          <cell r="W111">
            <v>-135</v>
          </cell>
          <cell r="X111">
            <v>-50</v>
          </cell>
          <cell r="Y111">
            <v>-292</v>
          </cell>
          <cell r="Z111">
            <v>-583</v>
          </cell>
          <cell r="AA111">
            <v>-139</v>
          </cell>
          <cell r="AB111">
            <v>-232</v>
          </cell>
          <cell r="AC111">
            <v>-246</v>
          </cell>
          <cell r="AD111">
            <v>-262</v>
          </cell>
          <cell r="AE111">
            <v>-879</v>
          </cell>
          <cell r="AF111">
            <v>-245</v>
          </cell>
          <cell r="AG111">
            <v>-272</v>
          </cell>
          <cell r="AH111">
            <v>-264</v>
          </cell>
          <cell r="AI111">
            <v>-322</v>
          </cell>
          <cell r="AJ111">
            <v>-1103</v>
          </cell>
          <cell r="AK111">
            <v>-150</v>
          </cell>
          <cell r="AL111">
            <v>-172</v>
          </cell>
          <cell r="AM111">
            <v>-166</v>
          </cell>
          <cell r="AN111">
            <v>-282</v>
          </cell>
          <cell r="AO111">
            <v>-770</v>
          </cell>
          <cell r="AP111">
            <v>-160</v>
          </cell>
          <cell r="AQ111">
            <v>-276</v>
          </cell>
          <cell r="AR111">
            <v>-182</v>
          </cell>
          <cell r="AS111">
            <v>-273</v>
          </cell>
          <cell r="AT111">
            <v>-891</v>
          </cell>
          <cell r="AU111">
            <v>-167</v>
          </cell>
          <cell r="AV111">
            <v>-172</v>
          </cell>
          <cell r="AW111">
            <v>-213</v>
          </cell>
          <cell r="AX111">
            <v>-557</v>
          </cell>
          <cell r="AY111">
            <v>-1109</v>
          </cell>
          <cell r="AZ111">
            <v>-173</v>
          </cell>
          <cell r="BA111">
            <v>-176</v>
          </cell>
          <cell r="BB111">
            <v>-203</v>
          </cell>
          <cell r="BC111">
            <v>-260</v>
          </cell>
          <cell r="BD111">
            <v>-812</v>
          </cell>
          <cell r="BE111">
            <v>-213</v>
          </cell>
          <cell r="BF111">
            <v>-318</v>
          </cell>
          <cell r="BG111">
            <v>-302</v>
          </cell>
          <cell r="BH111">
            <v>-745</v>
          </cell>
          <cell r="BI111">
            <v>-1578</v>
          </cell>
          <cell r="BJ111">
            <v>-411</v>
          </cell>
          <cell r="BK111">
            <v>-572</v>
          </cell>
          <cell r="BL111">
            <v>-461</v>
          </cell>
          <cell r="BM111">
            <v>-820</v>
          </cell>
          <cell r="BN111">
            <v>-2264</v>
          </cell>
          <cell r="BO111">
            <v>-510</v>
          </cell>
          <cell r="BP111">
            <v>-695</v>
          </cell>
          <cell r="BQ111">
            <v>-759</v>
          </cell>
          <cell r="BR111">
            <v>-1218</v>
          </cell>
          <cell r="BS111">
            <v>-3182</v>
          </cell>
          <cell r="BT111">
            <v>-778</v>
          </cell>
          <cell r="BU111">
            <v>-842</v>
          </cell>
          <cell r="BV111">
            <v>-632</v>
          </cell>
          <cell r="BW111">
            <v>-867</v>
          </cell>
          <cell r="BX111">
            <v>-3119</v>
          </cell>
          <cell r="BY111">
            <v>-435</v>
          </cell>
          <cell r="BZ111">
            <v>-376</v>
          </cell>
          <cell r="CA111">
            <v>-408</v>
          </cell>
          <cell r="CB111">
            <v>-758</v>
          </cell>
          <cell r="CC111">
            <v>-1977</v>
          </cell>
          <cell r="CD111">
            <v>-564</v>
          </cell>
          <cell r="CE111">
            <v>-491</v>
          </cell>
          <cell r="CF111">
            <v>-658</v>
          </cell>
          <cell r="CG111">
            <v>-642</v>
          </cell>
          <cell r="CH111">
            <v>-2355</v>
          </cell>
          <cell r="CI111">
            <v>-436</v>
          </cell>
          <cell r="CJ111">
            <v>-498</v>
          </cell>
          <cell r="CK111">
            <v>-749</v>
          </cell>
          <cell r="CL111">
            <v>-622</v>
          </cell>
          <cell r="CM111">
            <v>-2305</v>
          </cell>
          <cell r="CN111">
            <v>-603</v>
          </cell>
          <cell r="CO111">
            <v>-930</v>
          </cell>
          <cell r="CP111">
            <v>-930</v>
          </cell>
          <cell r="CQ111">
            <v>-1794</v>
          </cell>
          <cell r="CR111">
            <v>-4257</v>
          </cell>
          <cell r="CS111">
            <v>-1231</v>
          </cell>
          <cell r="CT111">
            <v>-1732</v>
          </cell>
          <cell r="CU111">
            <v>-1192</v>
          </cell>
          <cell r="CV111">
            <v>-1330</v>
          </cell>
          <cell r="CW111">
            <v>-5485</v>
          </cell>
          <cell r="CX111">
            <v>-1282</v>
          </cell>
          <cell r="CY111">
            <v>-1490</v>
          </cell>
          <cell r="CZ111">
            <v>-1391</v>
          </cell>
          <cell r="DA111">
            <v>-1781</v>
          </cell>
          <cell r="DB111">
            <v>-5944</v>
          </cell>
          <cell r="DC111">
            <v>-1356</v>
          </cell>
          <cell r="DD111">
            <v>-2024</v>
          </cell>
          <cell r="DE111">
            <v>-2308</v>
          </cell>
          <cell r="DF111">
            <v>-2655</v>
          </cell>
          <cell r="DG111">
            <v>-8343</v>
          </cell>
          <cell r="DH111">
            <v>-2163</v>
          </cell>
          <cell r="DI111">
            <v>-1988</v>
          </cell>
          <cell r="DJ111">
            <v>-1695</v>
          </cell>
          <cell r="DK111">
            <v>-2283</v>
          </cell>
          <cell r="DL111">
            <v>-8129</v>
          </cell>
          <cell r="DM111">
            <v>-2132</v>
          </cell>
          <cell r="DN111">
            <v>-2586</v>
          </cell>
          <cell r="DO111">
            <v>-2934</v>
          </cell>
          <cell r="DP111">
            <v>-3980</v>
          </cell>
          <cell r="DQ111">
            <v>-11632</v>
          </cell>
          <cell r="DR111">
            <v>-3602</v>
          </cell>
          <cell r="DS111">
            <v>-3707</v>
          </cell>
          <cell r="DT111">
            <v>-2565</v>
          </cell>
          <cell r="DU111">
            <v>-4051</v>
          </cell>
          <cell r="DV111">
            <v>-13925</v>
          </cell>
          <cell r="DW111">
            <v>-3385</v>
          </cell>
          <cell r="DX111">
            <v>-3545</v>
          </cell>
          <cell r="DY111">
            <v>-3767</v>
          </cell>
          <cell r="DZ111">
            <v>-4744</v>
          </cell>
          <cell r="EA111">
            <v>-15441</v>
          </cell>
          <cell r="EB111">
            <v>-4907</v>
          </cell>
          <cell r="EC111">
            <v>-4174</v>
          </cell>
          <cell r="ED111">
            <v>-5089</v>
          </cell>
          <cell r="EE111">
            <v>-6452</v>
          </cell>
          <cell r="EF111">
            <v>-20622</v>
          </cell>
          <cell r="EG111">
            <v>-5810</v>
          </cell>
          <cell r="EH111">
            <v>-5865</v>
          </cell>
          <cell r="EI111">
            <v>-5340</v>
          </cell>
          <cell r="EJ111">
            <v>-6871</v>
          </cell>
          <cell r="EK111">
            <v>-23886</v>
          </cell>
          <cell r="EL111">
            <v>-6283</v>
          </cell>
          <cell r="EM111">
            <v>-6274</v>
          </cell>
          <cell r="EN111">
            <v>-6607</v>
          </cell>
          <cell r="EO111">
            <v>-8943</v>
          </cell>
          <cell r="EP111">
            <v>-28107</v>
          </cell>
          <cell r="EQ111">
            <v>-9917</v>
          </cell>
          <cell r="ER111">
            <v>-9735</v>
          </cell>
          <cell r="ES111">
            <v>-10952</v>
          </cell>
          <cell r="ET111">
            <v>-13629.994658637799</v>
          </cell>
          <cell r="EU111">
            <v>-44233.994658637799</v>
          </cell>
          <cell r="EV111">
            <v>-13694.463472404799</v>
          </cell>
          <cell r="EW111">
            <v>-13723.635887947101</v>
          </cell>
          <cell r="EX111">
            <v>-13649.0314041078</v>
          </cell>
          <cell r="EY111">
            <v>-14056.367193648501</v>
          </cell>
          <cell r="EZ111">
            <v>-55123.497958108099</v>
          </cell>
          <cell r="FA111">
            <v>-14260.6326425958</v>
          </cell>
          <cell r="FB111">
            <v>-13173.931762718899</v>
          </cell>
          <cell r="FC111">
            <v>-13194.5061017642</v>
          </cell>
          <cell r="FD111">
            <v>-13488.5149099829</v>
          </cell>
          <cell r="FE111">
            <v>-54117.585417061797</v>
          </cell>
        </row>
        <row r="112">
          <cell r="B112" t="str">
            <v>Acquisitions</v>
          </cell>
          <cell r="C112" t="str">
            <v>ACQ</v>
          </cell>
          <cell r="D112" t="str">
            <v>USD</v>
          </cell>
          <cell r="Q112">
            <v>-190</v>
          </cell>
          <cell r="U112">
            <v>-190</v>
          </cell>
          <cell r="AP112">
            <v>-870</v>
          </cell>
          <cell r="AQ112">
            <v>-9</v>
          </cell>
          <cell r="AR112">
            <v>-12</v>
          </cell>
          <cell r="AS112">
            <v>-172</v>
          </cell>
          <cell r="AT112">
            <v>-1063</v>
          </cell>
          <cell r="AU112">
            <v>-4</v>
          </cell>
          <cell r="AY112">
            <v>-4</v>
          </cell>
          <cell r="BA112">
            <v>-1</v>
          </cell>
          <cell r="BB112">
            <v>-11</v>
          </cell>
          <cell r="BC112">
            <v>-195</v>
          </cell>
          <cell r="BD112">
            <v>-207</v>
          </cell>
          <cell r="BE112">
            <v>-187</v>
          </cell>
          <cell r="BF112">
            <v>-63</v>
          </cell>
          <cell r="BG112">
            <v>-83</v>
          </cell>
          <cell r="BH112">
            <v>-316</v>
          </cell>
          <cell r="BI112">
            <v>-649</v>
          </cell>
          <cell r="BJ112">
            <v>-336</v>
          </cell>
          <cell r="BK112">
            <v>-125</v>
          </cell>
          <cell r="BL112">
            <v>-41</v>
          </cell>
          <cell r="BM112">
            <v>-648</v>
          </cell>
          <cell r="BN112">
            <v>-1150</v>
          </cell>
          <cell r="BO112">
            <v>-5396</v>
          </cell>
          <cell r="BP112">
            <v>-433</v>
          </cell>
          <cell r="BQ112">
            <v>-138</v>
          </cell>
          <cell r="BR112">
            <v>-2086</v>
          </cell>
          <cell r="BS112">
            <v>-8053</v>
          </cell>
          <cell r="BT112">
            <v>-377</v>
          </cell>
          <cell r="BU112">
            <v>-450</v>
          </cell>
          <cell r="BW112">
            <v>-41</v>
          </cell>
          <cell r="BX112">
            <v>-868</v>
          </cell>
          <cell r="BY112">
            <v>-39</v>
          </cell>
          <cell r="BZ112">
            <v>-63</v>
          </cell>
          <cell r="CA112">
            <v>-143</v>
          </cell>
          <cell r="CC112">
            <v>-245</v>
          </cell>
          <cell r="CE112">
            <v>-69</v>
          </cell>
          <cell r="CG112">
            <v>-2</v>
          </cell>
          <cell r="CH112">
            <v>-71</v>
          </cell>
          <cell r="CI112">
            <v>-875</v>
          </cell>
          <cell r="CJ112">
            <v>-8627</v>
          </cell>
          <cell r="CK112">
            <v>-84</v>
          </cell>
          <cell r="CL112">
            <v>-526</v>
          </cell>
          <cell r="CM112">
            <v>-10112</v>
          </cell>
          <cell r="CN112">
            <v>-1145</v>
          </cell>
          <cell r="CO112">
            <v>-311</v>
          </cell>
          <cell r="CP112">
            <v>-108</v>
          </cell>
          <cell r="CQ112">
            <v>-20</v>
          </cell>
          <cell r="CR112">
            <v>-1584</v>
          </cell>
          <cell r="CS112">
            <v>-15</v>
          </cell>
          <cell r="CT112">
            <v>-139</v>
          </cell>
          <cell r="CU112">
            <v>-157</v>
          </cell>
          <cell r="CV112">
            <v>-5626</v>
          </cell>
          <cell r="CW112">
            <v>-5937</v>
          </cell>
          <cell r="CX112">
            <v>-141</v>
          </cell>
          <cell r="CY112">
            <v>-2794</v>
          </cell>
          <cell r="CZ112">
            <v>-162</v>
          </cell>
          <cell r="DA112">
            <v>-626</v>
          </cell>
          <cell r="DB112">
            <v>-3723</v>
          </cell>
          <cell r="DC112">
            <v>-390</v>
          </cell>
          <cell r="DD112">
            <v>-381</v>
          </cell>
          <cell r="DE112">
            <v>-559</v>
          </cell>
          <cell r="DF112">
            <v>-63</v>
          </cell>
          <cell r="DG112">
            <v>-1393</v>
          </cell>
          <cell r="DH112">
            <v>-24</v>
          </cell>
          <cell r="DI112">
            <v>-24760</v>
          </cell>
          <cell r="DJ112">
            <v>-802</v>
          </cell>
          <cell r="DK112">
            <v>-358</v>
          </cell>
          <cell r="DL112">
            <v>-25944</v>
          </cell>
          <cell r="DM112">
            <v>-179</v>
          </cell>
          <cell r="DN112">
            <v>-27</v>
          </cell>
          <cell r="DO112">
            <v>-248</v>
          </cell>
          <cell r="DP112">
            <v>-434</v>
          </cell>
          <cell r="DQ112">
            <v>-888</v>
          </cell>
          <cell r="DR112">
            <v>-245</v>
          </cell>
          <cell r="DS112">
            <v>-1593</v>
          </cell>
          <cell r="DT112">
            <v>-269</v>
          </cell>
          <cell r="DU112">
            <v>-281</v>
          </cell>
          <cell r="DV112">
            <v>-2388</v>
          </cell>
          <cell r="DW112">
            <v>-462</v>
          </cell>
          <cell r="DX112">
            <v>-80</v>
          </cell>
          <cell r="DY112">
            <v>-329</v>
          </cell>
          <cell r="DZ112">
            <v>-1650</v>
          </cell>
          <cell r="EA112">
            <v>-2521</v>
          </cell>
          <cell r="EB112">
            <v>-481</v>
          </cell>
          <cell r="EC112">
            <v>-415</v>
          </cell>
          <cell r="ED112">
            <v>-7512</v>
          </cell>
          <cell r="EE112">
            <v>-501</v>
          </cell>
          <cell r="EF112">
            <v>-8909</v>
          </cell>
          <cell r="EG112">
            <v>-1206</v>
          </cell>
          <cell r="EH112">
            <v>-850</v>
          </cell>
          <cell r="EI112">
            <v>-18719</v>
          </cell>
          <cell r="EJ112">
            <v>-1263</v>
          </cell>
          <cell r="EK112">
            <v>-22038</v>
          </cell>
          <cell r="EL112">
            <v>-349</v>
          </cell>
          <cell r="EM112">
            <v>-679</v>
          </cell>
          <cell r="EN112">
            <v>-301</v>
          </cell>
          <cell r="EO112">
            <v>-341</v>
          </cell>
          <cell r="EP112">
            <v>-1670</v>
          </cell>
          <cell r="EQ112">
            <v>-1186</v>
          </cell>
          <cell r="ER112">
            <v>-65029</v>
          </cell>
          <cell r="ES112">
            <v>-1575</v>
          </cell>
          <cell r="EU112">
            <v>-67790</v>
          </cell>
        </row>
        <row r="113">
          <cell r="B113" t="str">
            <v>Divestitures</v>
          </cell>
          <cell r="C113" t="str">
            <v>DIVEST</v>
          </cell>
          <cell r="D113" t="str">
            <v>USD</v>
          </cell>
        </row>
        <row r="114">
          <cell r="B114" t="str">
            <v>Other investing cash flow items</v>
          </cell>
          <cell r="C114" t="str">
            <v>OTH_INV_CF</v>
          </cell>
          <cell r="D114" t="str">
            <v>USD</v>
          </cell>
          <cell r="F114">
            <v>-881</v>
          </cell>
          <cell r="G114">
            <v>-468</v>
          </cell>
          <cell r="H114">
            <v>-641</v>
          </cell>
          <cell r="I114">
            <v>-193</v>
          </cell>
          <cell r="J114">
            <v>-874</v>
          </cell>
          <cell r="K114">
            <v>-2176</v>
          </cell>
          <cell r="L114">
            <v>103</v>
          </cell>
          <cell r="M114">
            <v>-1894</v>
          </cell>
          <cell r="N114">
            <v>741</v>
          </cell>
          <cell r="O114">
            <v>-1540</v>
          </cell>
          <cell r="P114">
            <v>-2590</v>
          </cell>
          <cell r="Q114">
            <v>-884</v>
          </cell>
          <cell r="R114">
            <v>-2543</v>
          </cell>
          <cell r="S114">
            <v>-1281</v>
          </cell>
          <cell r="T114">
            <v>-1718</v>
          </cell>
          <cell r="U114">
            <v>-6426</v>
          </cell>
          <cell r="V114">
            <v>-1766</v>
          </cell>
          <cell r="W114">
            <v>-1913</v>
          </cell>
          <cell r="X114">
            <v>-3673</v>
          </cell>
          <cell r="Y114">
            <v>-3256</v>
          </cell>
          <cell r="Z114">
            <v>-10608</v>
          </cell>
          <cell r="AA114">
            <v>-2981</v>
          </cell>
          <cell r="AB114">
            <v>95</v>
          </cell>
          <cell r="AC114">
            <v>-4090</v>
          </cell>
          <cell r="AD114">
            <v>-4072</v>
          </cell>
          <cell r="AE114">
            <v>-11048</v>
          </cell>
          <cell r="AF114">
            <v>-3691</v>
          </cell>
          <cell r="AG114">
            <v>-46</v>
          </cell>
          <cell r="AH114">
            <v>-2067</v>
          </cell>
          <cell r="AI114">
            <v>-1827</v>
          </cell>
          <cell r="AJ114">
            <v>-7631</v>
          </cell>
          <cell r="AK114">
            <v>-3319</v>
          </cell>
          <cell r="AL114">
            <v>-1508</v>
          </cell>
          <cell r="AM114">
            <v>-3830</v>
          </cell>
          <cell r="AN114">
            <v>-1418</v>
          </cell>
          <cell r="AO114">
            <v>-10075</v>
          </cell>
          <cell r="AP114">
            <v>133</v>
          </cell>
          <cell r="AQ114">
            <v>-1734</v>
          </cell>
          <cell r="AR114">
            <v>-4013</v>
          </cell>
          <cell r="AS114">
            <v>355</v>
          </cell>
          <cell r="AT114">
            <v>-5259</v>
          </cell>
          <cell r="AU114">
            <v>-3577</v>
          </cell>
          <cell r="AV114">
            <v>-1777</v>
          </cell>
          <cell r="AW114">
            <v>-525</v>
          </cell>
          <cell r="AX114">
            <v>4247</v>
          </cell>
          <cell r="AY114">
            <v>-1632</v>
          </cell>
          <cell r="AZ114">
            <v>-7940</v>
          </cell>
          <cell r="BA114">
            <v>23591</v>
          </cell>
          <cell r="BB114">
            <v>-1599</v>
          </cell>
          <cell r="BC114">
            <v>1314</v>
          </cell>
          <cell r="BD114">
            <v>15366</v>
          </cell>
          <cell r="BE114">
            <v>-2861</v>
          </cell>
          <cell r="BF114">
            <v>7073</v>
          </cell>
          <cell r="BG114">
            <v>1218</v>
          </cell>
          <cell r="BH114">
            <v>4800</v>
          </cell>
          <cell r="BI114">
            <v>10230</v>
          </cell>
          <cell r="BJ114">
            <v>7208</v>
          </cell>
          <cell r="BK114">
            <v>-1261</v>
          </cell>
          <cell r="BL114">
            <v>1013</v>
          </cell>
          <cell r="BM114">
            <v>2543</v>
          </cell>
          <cell r="BN114">
            <v>9503</v>
          </cell>
          <cell r="BO114">
            <v>3649</v>
          </cell>
          <cell r="BP114">
            <v>79</v>
          </cell>
          <cell r="BQ114">
            <v>119</v>
          </cell>
          <cell r="BR114">
            <v>2801</v>
          </cell>
          <cell r="BS114">
            <v>6648</v>
          </cell>
          <cell r="BT114">
            <v>1750</v>
          </cell>
          <cell r="BU114">
            <v>-1207</v>
          </cell>
          <cell r="BV114">
            <v>-5377</v>
          </cell>
          <cell r="BW114">
            <v>-6949</v>
          </cell>
          <cell r="BX114">
            <v>-11783</v>
          </cell>
          <cell r="BY114">
            <v>-725</v>
          </cell>
          <cell r="BZ114">
            <v>347</v>
          </cell>
          <cell r="CA114">
            <v>-5353</v>
          </cell>
          <cell r="CB114">
            <v>-3361</v>
          </cell>
          <cell r="CC114">
            <v>-9092</v>
          </cell>
          <cell r="CD114">
            <v>-4393</v>
          </cell>
          <cell r="CE114">
            <v>-1010</v>
          </cell>
          <cell r="CF114">
            <v>-6481</v>
          </cell>
          <cell r="CG114">
            <v>-306</v>
          </cell>
          <cell r="CH114">
            <v>-12190</v>
          </cell>
          <cell r="CI114">
            <v>-1004</v>
          </cell>
          <cell r="CJ114">
            <v>3557</v>
          </cell>
          <cell r="CK114">
            <v>-11408</v>
          </cell>
          <cell r="CL114">
            <v>-3514</v>
          </cell>
          <cell r="CM114">
            <v>-12369</v>
          </cell>
          <cell r="CN114">
            <v>-5971</v>
          </cell>
          <cell r="CO114">
            <v>-1352</v>
          </cell>
          <cell r="CP114">
            <v>-6622</v>
          </cell>
          <cell r="CQ114">
            <v>-4025</v>
          </cell>
          <cell r="CR114">
            <v>-17970</v>
          </cell>
          <cell r="CS114">
            <v>-3368</v>
          </cell>
          <cell r="CT114">
            <v>846</v>
          </cell>
          <cell r="CU114">
            <v>-2935</v>
          </cell>
          <cell r="CV114">
            <v>-1954</v>
          </cell>
          <cell r="CW114">
            <v>-7411</v>
          </cell>
          <cell r="CX114">
            <v>-6314</v>
          </cell>
          <cell r="CY114">
            <v>-432</v>
          </cell>
          <cell r="CZ114">
            <v>-3928</v>
          </cell>
          <cell r="DA114">
            <v>-2660</v>
          </cell>
          <cell r="DB114">
            <v>-13334</v>
          </cell>
          <cell r="DC114">
            <v>-3320</v>
          </cell>
          <cell r="DD114">
            <v>-923</v>
          </cell>
          <cell r="DE114">
            <v>-2616</v>
          </cell>
          <cell r="DF114">
            <v>-7355</v>
          </cell>
          <cell r="DG114">
            <v>-14214</v>
          </cell>
          <cell r="DH114">
            <v>-16283</v>
          </cell>
          <cell r="DI114">
            <v>11997</v>
          </cell>
          <cell r="DJ114">
            <v>-3694</v>
          </cell>
          <cell r="DK114">
            <v>-4728</v>
          </cell>
          <cell r="DL114">
            <v>-12708</v>
          </cell>
          <cell r="DM114">
            <v>-4593</v>
          </cell>
          <cell r="DN114">
            <v>2282</v>
          </cell>
          <cell r="DO114">
            <v>7026</v>
          </cell>
          <cell r="DP114">
            <v>1744</v>
          </cell>
          <cell r="DQ114">
            <v>6459</v>
          </cell>
          <cell r="DR114">
            <v>894</v>
          </cell>
          <cell r="DS114">
            <v>1100</v>
          </cell>
          <cell r="DT114">
            <v>1471</v>
          </cell>
          <cell r="DU114">
            <v>-2925</v>
          </cell>
          <cell r="DV114">
            <v>540</v>
          </cell>
          <cell r="DW114">
            <v>2071</v>
          </cell>
          <cell r="DX114">
            <v>-2411</v>
          </cell>
          <cell r="DY114">
            <v>4147</v>
          </cell>
          <cell r="DZ114">
            <v>1932</v>
          </cell>
          <cell r="EA114">
            <v>5739</v>
          </cell>
          <cell r="EB114">
            <v>17</v>
          </cell>
          <cell r="EC114">
            <v>2920</v>
          </cell>
          <cell r="ED114">
            <v>2917</v>
          </cell>
          <cell r="EE114">
            <v>-3900</v>
          </cell>
          <cell r="EF114">
            <v>1954</v>
          </cell>
          <cell r="EG114">
            <v>3766</v>
          </cell>
          <cell r="EH114">
            <v>5554</v>
          </cell>
          <cell r="EI114">
            <v>7888</v>
          </cell>
          <cell r="EJ114">
            <v>-1595</v>
          </cell>
          <cell r="EK114">
            <v>15613</v>
          </cell>
          <cell r="EL114">
            <v>3500</v>
          </cell>
          <cell r="EM114">
            <v>-197</v>
          </cell>
          <cell r="EN114">
            <v>3644</v>
          </cell>
          <cell r="EO114">
            <v>150</v>
          </cell>
          <cell r="EP114">
            <v>7097</v>
          </cell>
          <cell r="EQ114">
            <v>11606</v>
          </cell>
          <cell r="ER114">
            <v>2839</v>
          </cell>
          <cell r="ES114">
            <v>1827</v>
          </cell>
          <cell r="EU114">
            <v>16272</v>
          </cell>
        </row>
        <row r="115">
          <cell r="B115" t="str">
            <v>Cash flow from investing</v>
          </cell>
          <cell r="C115" t="str">
            <v>CF_INV</v>
          </cell>
          <cell r="D115" t="str">
            <v>USD</v>
          </cell>
          <cell r="F115">
            <v>-1376</v>
          </cell>
          <cell r="G115">
            <v>-584</v>
          </cell>
          <cell r="H115">
            <v>-729</v>
          </cell>
          <cell r="I115">
            <v>-325</v>
          </cell>
          <cell r="J115">
            <v>-1032</v>
          </cell>
          <cell r="K115">
            <v>-2670</v>
          </cell>
          <cell r="L115">
            <v>4</v>
          </cell>
          <cell r="M115">
            <v>-2011</v>
          </cell>
          <cell r="N115">
            <v>631</v>
          </cell>
          <cell r="O115">
            <v>-1713</v>
          </cell>
          <cell r="P115">
            <v>-3089</v>
          </cell>
          <cell r="Q115">
            <v>-1191</v>
          </cell>
          <cell r="R115">
            <v>-2694</v>
          </cell>
          <cell r="S115">
            <v>-1428</v>
          </cell>
          <cell r="T115">
            <v>-1959</v>
          </cell>
          <cell r="U115">
            <v>-7272</v>
          </cell>
          <cell r="V115">
            <v>-1872</v>
          </cell>
          <cell r="W115">
            <v>-2048</v>
          </cell>
          <cell r="X115">
            <v>-3723</v>
          </cell>
          <cell r="Y115">
            <v>-3548</v>
          </cell>
          <cell r="Z115">
            <v>-11191</v>
          </cell>
          <cell r="AA115">
            <v>-3120</v>
          </cell>
          <cell r="AB115">
            <v>-137</v>
          </cell>
          <cell r="AC115">
            <v>-4336</v>
          </cell>
          <cell r="AD115">
            <v>-4334</v>
          </cell>
          <cell r="AE115">
            <v>-11927</v>
          </cell>
          <cell r="AF115">
            <v>-3936</v>
          </cell>
          <cell r="AG115">
            <v>-318</v>
          </cell>
          <cell r="AH115">
            <v>-2331</v>
          </cell>
          <cell r="AI115">
            <v>-2149</v>
          </cell>
          <cell r="AJ115">
            <v>-8734</v>
          </cell>
          <cell r="AK115">
            <v>-3469</v>
          </cell>
          <cell r="AL115">
            <v>-1680</v>
          </cell>
          <cell r="AM115">
            <v>-3996</v>
          </cell>
          <cell r="AN115">
            <v>-1700</v>
          </cell>
          <cell r="AO115">
            <v>-10845</v>
          </cell>
          <cell r="AP115">
            <v>-897</v>
          </cell>
          <cell r="AQ115">
            <v>-2019</v>
          </cell>
          <cell r="AR115">
            <v>-4207</v>
          </cell>
          <cell r="AS115">
            <v>-90</v>
          </cell>
          <cell r="AT115">
            <v>-7213</v>
          </cell>
          <cell r="AU115">
            <v>-3748</v>
          </cell>
          <cell r="AV115">
            <v>-1949</v>
          </cell>
          <cell r="AW115">
            <v>-738</v>
          </cell>
          <cell r="AX115">
            <v>3690</v>
          </cell>
          <cell r="AY115">
            <v>-2745</v>
          </cell>
          <cell r="AZ115">
            <v>-8113</v>
          </cell>
          <cell r="BA115">
            <v>23414</v>
          </cell>
          <cell r="BB115">
            <v>-1813</v>
          </cell>
          <cell r="BC115">
            <v>859</v>
          </cell>
          <cell r="BD115">
            <v>14347</v>
          </cell>
          <cell r="BE115">
            <v>-3261</v>
          </cell>
          <cell r="BF115">
            <v>6692</v>
          </cell>
          <cell r="BG115">
            <v>833</v>
          </cell>
          <cell r="BH115">
            <v>3739</v>
          </cell>
          <cell r="BI115">
            <v>8003</v>
          </cell>
          <cell r="BJ115">
            <v>6461</v>
          </cell>
          <cell r="BK115">
            <v>-1958</v>
          </cell>
          <cell r="BL115">
            <v>511</v>
          </cell>
          <cell r="BM115">
            <v>1075</v>
          </cell>
          <cell r="BN115">
            <v>6089</v>
          </cell>
          <cell r="BO115">
            <v>-2257</v>
          </cell>
          <cell r="BP115">
            <v>-1049</v>
          </cell>
          <cell r="BQ115">
            <v>-778</v>
          </cell>
          <cell r="BR115">
            <v>-503</v>
          </cell>
          <cell r="BS115">
            <v>-4587</v>
          </cell>
          <cell r="BT115">
            <v>595</v>
          </cell>
          <cell r="BU115">
            <v>-2499</v>
          </cell>
          <cell r="BV115">
            <v>-6009</v>
          </cell>
          <cell r="BW115">
            <v>-7857</v>
          </cell>
          <cell r="BX115">
            <v>-15770</v>
          </cell>
          <cell r="BY115">
            <v>-1199</v>
          </cell>
          <cell r="BZ115">
            <v>-92</v>
          </cell>
          <cell r="CA115">
            <v>-5904</v>
          </cell>
          <cell r="CB115">
            <v>-4119</v>
          </cell>
          <cell r="CC115">
            <v>-11314</v>
          </cell>
          <cell r="CD115">
            <v>-4957</v>
          </cell>
          <cell r="CE115">
            <v>-1570</v>
          </cell>
          <cell r="CF115">
            <v>-7139</v>
          </cell>
          <cell r="CG115">
            <v>-950</v>
          </cell>
          <cell r="CH115">
            <v>-14616</v>
          </cell>
          <cell r="CI115">
            <v>-2315</v>
          </cell>
          <cell r="CJ115">
            <v>-5568</v>
          </cell>
          <cell r="CK115">
            <v>-12241</v>
          </cell>
          <cell r="CL115">
            <v>-4662</v>
          </cell>
          <cell r="CM115">
            <v>-24786</v>
          </cell>
          <cell r="CN115">
            <v>-7719</v>
          </cell>
          <cell r="CO115">
            <v>-2593</v>
          </cell>
          <cell r="CP115">
            <v>-7660</v>
          </cell>
          <cell r="CQ115">
            <v>-5839</v>
          </cell>
          <cell r="CR115">
            <v>-23811</v>
          </cell>
          <cell r="CS115">
            <v>-4614</v>
          </cell>
          <cell r="CT115">
            <v>-1025</v>
          </cell>
          <cell r="CU115">
            <v>-4284</v>
          </cell>
          <cell r="CV115">
            <v>-8910</v>
          </cell>
          <cell r="CW115">
            <v>-18833</v>
          </cell>
          <cell r="CX115">
            <v>-7737</v>
          </cell>
          <cell r="CY115">
            <v>-4716</v>
          </cell>
          <cell r="CZ115">
            <v>-5481</v>
          </cell>
          <cell r="DA115">
            <v>-5067</v>
          </cell>
          <cell r="DB115">
            <v>-23001</v>
          </cell>
          <cell r="DC115">
            <v>-5066</v>
          </cell>
          <cell r="DD115">
            <v>-3328</v>
          </cell>
          <cell r="DE115">
            <v>-5483</v>
          </cell>
          <cell r="DF115">
            <v>-10073</v>
          </cell>
          <cell r="DG115">
            <v>-23950</v>
          </cell>
          <cell r="DH115">
            <v>-18470</v>
          </cell>
          <cell r="DI115">
            <v>-14751</v>
          </cell>
          <cell r="DJ115">
            <v>-6191</v>
          </cell>
          <cell r="DK115">
            <v>-7369</v>
          </cell>
          <cell r="DL115">
            <v>-46781</v>
          </cell>
          <cell r="DM115">
            <v>-6904</v>
          </cell>
          <cell r="DN115">
            <v>-331</v>
          </cell>
          <cell r="DO115">
            <v>3844</v>
          </cell>
          <cell r="DP115">
            <v>-2670</v>
          </cell>
          <cell r="DQ115">
            <v>-6061</v>
          </cell>
          <cell r="DR115">
            <v>-2953</v>
          </cell>
          <cell r="DS115">
            <v>-4200</v>
          </cell>
          <cell r="DT115">
            <v>-1363</v>
          </cell>
          <cell r="DU115">
            <v>-7257</v>
          </cell>
          <cell r="DV115">
            <v>-15773</v>
          </cell>
          <cell r="DW115">
            <v>-1776</v>
          </cell>
          <cell r="DX115">
            <v>-6036</v>
          </cell>
          <cell r="DY115">
            <v>51</v>
          </cell>
          <cell r="DZ115">
            <v>-4462</v>
          </cell>
          <cell r="EA115">
            <v>-12223</v>
          </cell>
          <cell r="EB115">
            <v>-5371</v>
          </cell>
          <cell r="EC115">
            <v>-1669</v>
          </cell>
          <cell r="ED115">
            <v>-9684</v>
          </cell>
          <cell r="EE115">
            <v>-10853</v>
          </cell>
          <cell r="EF115">
            <v>-27577</v>
          </cell>
          <cell r="EG115">
            <v>-3250</v>
          </cell>
          <cell r="EH115">
            <v>-1161</v>
          </cell>
          <cell r="EI115">
            <v>-16171</v>
          </cell>
          <cell r="EJ115">
            <v>-9729</v>
          </cell>
          <cell r="EK115">
            <v>-30311</v>
          </cell>
          <cell r="EL115">
            <v>-3132</v>
          </cell>
          <cell r="EM115">
            <v>-7150</v>
          </cell>
          <cell r="EN115">
            <v>-3264</v>
          </cell>
          <cell r="EO115">
            <v>-9134</v>
          </cell>
          <cell r="EP115">
            <v>-22680</v>
          </cell>
          <cell r="EQ115">
            <v>503</v>
          </cell>
          <cell r="ER115">
            <v>-71925</v>
          </cell>
          <cell r="ES115">
            <v>-10700</v>
          </cell>
          <cell r="ET115">
            <v>-13629.994658637799</v>
          </cell>
          <cell r="EU115">
            <v>-95751.994658637806</v>
          </cell>
          <cell r="EV115">
            <v>-13694.463472404799</v>
          </cell>
          <cell r="EW115">
            <v>-13723.635887947101</v>
          </cell>
          <cell r="EX115">
            <v>-13649.0314041078</v>
          </cell>
          <cell r="EY115">
            <v>-14056.367193648501</v>
          </cell>
          <cell r="EZ115">
            <v>-55123.497958108099</v>
          </cell>
          <cell r="FA115">
            <v>-14260.6326425958</v>
          </cell>
          <cell r="FB115">
            <v>-13173.931762718899</v>
          </cell>
          <cell r="FC115">
            <v>-13194.5061017642</v>
          </cell>
          <cell r="FD115">
            <v>-13488.5149099829</v>
          </cell>
          <cell r="FE115">
            <v>-54117.585417061797</v>
          </cell>
        </row>
        <row r="116">
          <cell r="B116" t="str">
            <v>Dividends paid</v>
          </cell>
          <cell r="C116" t="str">
            <v>DIV_PAID</v>
          </cell>
          <cell r="D116" t="str">
            <v>USD</v>
          </cell>
          <cell r="AR116">
            <v>-857</v>
          </cell>
          <cell r="AT116">
            <v>-857</v>
          </cell>
          <cell r="AV116">
            <v>-1729</v>
          </cell>
          <cell r="AY116">
            <v>-1729</v>
          </cell>
          <cell r="AZ116">
            <v>-870</v>
          </cell>
          <cell r="BA116">
            <v>-33498</v>
          </cell>
          <cell r="BB116">
            <v>-885</v>
          </cell>
          <cell r="BC116">
            <v>-859</v>
          </cell>
          <cell r="BD116">
            <v>-36112</v>
          </cell>
          <cell r="BE116">
            <v>-857</v>
          </cell>
          <cell r="BF116">
            <v>-846</v>
          </cell>
          <cell r="BG116">
            <v>-925</v>
          </cell>
          <cell r="BH116">
            <v>-917</v>
          </cell>
          <cell r="BI116">
            <v>-3545</v>
          </cell>
          <cell r="BJ116">
            <v>-897</v>
          </cell>
          <cell r="BK116">
            <v>-980</v>
          </cell>
          <cell r="BL116">
            <v>-976</v>
          </cell>
          <cell r="BM116">
            <v>-952</v>
          </cell>
          <cell r="BN116">
            <v>-3805</v>
          </cell>
          <cell r="BO116">
            <v>-938</v>
          </cell>
          <cell r="BP116">
            <v>-1034</v>
          </cell>
          <cell r="BQ116">
            <v>-1023</v>
          </cell>
          <cell r="BR116">
            <v>-1020</v>
          </cell>
          <cell r="BS116">
            <v>-4015</v>
          </cell>
          <cell r="BT116">
            <v>-998</v>
          </cell>
          <cell r="BU116">
            <v>-1157</v>
          </cell>
          <cell r="BV116">
            <v>-1155</v>
          </cell>
          <cell r="BW116">
            <v>-1158</v>
          </cell>
          <cell r="BX116">
            <v>-4468</v>
          </cell>
          <cell r="BY116">
            <v>-1157</v>
          </cell>
          <cell r="BZ116">
            <v>-1152</v>
          </cell>
          <cell r="CA116">
            <v>-1139</v>
          </cell>
          <cell r="CB116">
            <v>-1130</v>
          </cell>
          <cell r="CC116">
            <v>-4578</v>
          </cell>
          <cell r="CD116">
            <v>-1118</v>
          </cell>
          <cell r="CE116">
            <v>-1363</v>
          </cell>
          <cell r="CF116">
            <v>-1349</v>
          </cell>
          <cell r="CG116">
            <v>-1350</v>
          </cell>
          <cell r="CH116">
            <v>-5180</v>
          </cell>
          <cell r="CI116">
            <v>-1341</v>
          </cell>
          <cell r="CJ116">
            <v>-1683</v>
          </cell>
          <cell r="CK116">
            <v>-1683</v>
          </cell>
          <cell r="CL116">
            <v>-1678</v>
          </cell>
          <cell r="CM116">
            <v>-6385</v>
          </cell>
          <cell r="CN116">
            <v>-1676</v>
          </cell>
          <cell r="CO116">
            <v>-1933</v>
          </cell>
          <cell r="CP116">
            <v>-1925</v>
          </cell>
          <cell r="CQ116">
            <v>-1921</v>
          </cell>
          <cell r="CR116">
            <v>-7455</v>
          </cell>
          <cell r="CS116">
            <v>-1916</v>
          </cell>
          <cell r="CT116">
            <v>-2332</v>
          </cell>
          <cell r="CU116">
            <v>-2322</v>
          </cell>
          <cell r="CV116">
            <v>-2309</v>
          </cell>
          <cell r="CW116">
            <v>-8879</v>
          </cell>
          <cell r="CX116">
            <v>-2307</v>
          </cell>
          <cell r="CY116">
            <v>-2547</v>
          </cell>
          <cell r="CZ116">
            <v>-2532</v>
          </cell>
          <cell r="DA116">
            <v>-2496</v>
          </cell>
          <cell r="DB116">
            <v>-9882</v>
          </cell>
          <cell r="DC116">
            <v>-2475</v>
          </cell>
          <cell r="DD116">
            <v>-2868</v>
          </cell>
          <cell r="DE116">
            <v>-2842</v>
          </cell>
          <cell r="DF116">
            <v>-2821</v>
          </cell>
          <cell r="DG116">
            <v>-11006</v>
          </cell>
          <cell r="DH116">
            <v>-2800</v>
          </cell>
          <cell r="DI116">
            <v>-3024</v>
          </cell>
          <cell r="DJ116">
            <v>-3012</v>
          </cell>
          <cell r="DK116">
            <v>-3009</v>
          </cell>
          <cell r="DL116">
            <v>-11845</v>
          </cell>
          <cell r="DM116">
            <v>-3003</v>
          </cell>
          <cell r="DN116">
            <v>-3238</v>
          </cell>
          <cell r="DO116">
            <v>-3232</v>
          </cell>
          <cell r="DP116">
            <v>-3226</v>
          </cell>
          <cell r="DQ116">
            <v>-12699</v>
          </cell>
          <cell r="DR116">
            <v>-3220</v>
          </cell>
          <cell r="DS116">
            <v>-3544</v>
          </cell>
          <cell r="DT116">
            <v>-3526</v>
          </cell>
          <cell r="DU116">
            <v>-3521</v>
          </cell>
          <cell r="DV116">
            <v>-13811</v>
          </cell>
          <cell r="DW116">
            <v>-3510</v>
          </cell>
          <cell r="DX116">
            <v>-3886</v>
          </cell>
          <cell r="DY116">
            <v>-3876</v>
          </cell>
          <cell r="DZ116">
            <v>-3865</v>
          </cell>
          <cell r="EA116">
            <v>-15137</v>
          </cell>
          <cell r="EB116">
            <v>-3856</v>
          </cell>
          <cell r="EC116">
            <v>-4230</v>
          </cell>
          <cell r="ED116">
            <v>-4221</v>
          </cell>
          <cell r="EE116">
            <v>-4214</v>
          </cell>
          <cell r="EF116">
            <v>-16521</v>
          </cell>
          <cell r="EG116">
            <v>-4206</v>
          </cell>
          <cell r="EH116">
            <v>-4652</v>
          </cell>
          <cell r="EI116">
            <v>-4645</v>
          </cell>
          <cell r="EJ116">
            <v>-4632</v>
          </cell>
          <cell r="EK116">
            <v>-18135</v>
          </cell>
          <cell r="EL116">
            <v>-4621</v>
          </cell>
          <cell r="EM116">
            <v>-5066</v>
          </cell>
          <cell r="EN116">
            <v>-5059</v>
          </cell>
          <cell r="EO116">
            <v>-5054</v>
          </cell>
          <cell r="EP116">
            <v>-19800</v>
          </cell>
          <cell r="EQ116">
            <v>-5051</v>
          </cell>
          <cell r="ER116">
            <v>-5574</v>
          </cell>
          <cell r="ES116">
            <v>-5572</v>
          </cell>
          <cell r="ET116">
            <v>-5568.6249506381901</v>
          </cell>
          <cell r="EU116">
            <v>-21765.624950638201</v>
          </cell>
          <cell r="EV116">
            <v>-5561.0093001038003</v>
          </cell>
          <cell r="EW116">
            <v>-6125.9198659384701</v>
          </cell>
          <cell r="EX116">
            <v>-6116.2086461833796</v>
          </cell>
          <cell r="EY116">
            <v>-6109.1682286903197</v>
          </cell>
          <cell r="EZ116">
            <v>-23912.306040915999</v>
          </cell>
          <cell r="FA116">
            <v>-6101.5224017435603</v>
          </cell>
          <cell r="FB116">
            <v>-6722.1304747566201</v>
          </cell>
          <cell r="FC116">
            <v>-6712.2702881476698</v>
          </cell>
          <cell r="FD116">
            <v>-6705.3651055923701</v>
          </cell>
          <cell r="FE116">
            <v>-26241.288270240198</v>
          </cell>
        </row>
        <row r="117">
          <cell r="B117" t="str">
            <v>Common stock issuance/(repurchase)</v>
          </cell>
          <cell r="C117" t="str">
            <v>SH_REPUR</v>
          </cell>
          <cell r="D117" t="str">
            <v>USD</v>
          </cell>
          <cell r="F117">
            <v>-317</v>
          </cell>
          <cell r="G117">
            <v>-31</v>
          </cell>
          <cell r="H117">
            <v>-268</v>
          </cell>
          <cell r="I117">
            <v>-117</v>
          </cell>
          <cell r="J117">
            <v>-341</v>
          </cell>
          <cell r="K117">
            <v>-757</v>
          </cell>
          <cell r="L117">
            <v>-514</v>
          </cell>
          <cell r="M117">
            <v>-273</v>
          </cell>
          <cell r="N117">
            <v>-1761</v>
          </cell>
          <cell r="O117">
            <v>191</v>
          </cell>
          <cell r="P117">
            <v>-2357</v>
          </cell>
          <cell r="Q117">
            <v>-706</v>
          </cell>
          <cell r="R117">
            <v>-562</v>
          </cell>
          <cell r="S117">
            <v>313</v>
          </cell>
          <cell r="T117">
            <v>-554</v>
          </cell>
          <cell r="U117">
            <v>-1509</v>
          </cell>
          <cell r="V117">
            <v>-188</v>
          </cell>
          <cell r="W117">
            <v>30</v>
          </cell>
          <cell r="X117">
            <v>-267</v>
          </cell>
          <cell r="Y117">
            <v>-1175</v>
          </cell>
          <cell r="Z117">
            <v>-1600</v>
          </cell>
          <cell r="AA117">
            <v>-573</v>
          </cell>
          <cell r="AB117">
            <v>-3366</v>
          </cell>
          <cell r="AC117">
            <v>817</v>
          </cell>
          <cell r="AD117">
            <v>471</v>
          </cell>
          <cell r="AE117">
            <v>-2651</v>
          </cell>
          <cell r="AF117">
            <v>-1377</v>
          </cell>
          <cell r="AG117">
            <v>-1150</v>
          </cell>
          <cell r="AH117">
            <v>-759</v>
          </cell>
          <cell r="AI117">
            <v>-1168</v>
          </cell>
          <cell r="AJ117">
            <v>-4454</v>
          </cell>
          <cell r="AK117">
            <v>-734</v>
          </cell>
          <cell r="AL117">
            <v>254</v>
          </cell>
          <cell r="AM117">
            <v>-251</v>
          </cell>
          <cell r="AN117">
            <v>-3841</v>
          </cell>
          <cell r="AO117">
            <v>-4572</v>
          </cell>
          <cell r="AP117">
            <v>-2958</v>
          </cell>
          <cell r="AQ117">
            <v>-571</v>
          </cell>
          <cell r="AR117">
            <v>-354</v>
          </cell>
          <cell r="AS117">
            <v>-483</v>
          </cell>
          <cell r="AT117">
            <v>-4366</v>
          </cell>
          <cell r="AU117">
            <v>-350</v>
          </cell>
          <cell r="AV117">
            <v>-541</v>
          </cell>
          <cell r="AW117">
            <v>-1040</v>
          </cell>
          <cell r="AX117">
            <v>1296</v>
          </cell>
          <cell r="AY117">
            <v>-635</v>
          </cell>
          <cell r="AZ117">
            <v>132</v>
          </cell>
          <cell r="BA117">
            <v>-174</v>
          </cell>
          <cell r="BB117">
            <v>-2073</v>
          </cell>
          <cell r="BC117">
            <v>-2833</v>
          </cell>
          <cell r="BD117">
            <v>-4948</v>
          </cell>
          <cell r="BE117">
            <v>-2115</v>
          </cell>
          <cell r="BF117">
            <v>-6969</v>
          </cell>
          <cell r="BG117">
            <v>-4233</v>
          </cell>
          <cell r="BH117">
            <v>-3789</v>
          </cell>
          <cell r="BI117">
            <v>-17106</v>
          </cell>
          <cell r="BJ117">
            <v>-7298</v>
          </cell>
          <cell r="BK117">
            <v>-1348</v>
          </cell>
          <cell r="BL117">
            <v>-6094</v>
          </cell>
          <cell r="BM117">
            <v>-6053</v>
          </cell>
          <cell r="BN117">
            <v>-20793</v>
          </cell>
          <cell r="BO117">
            <v>-2284</v>
          </cell>
          <cell r="BP117">
            <v>-1722</v>
          </cell>
          <cell r="BQ117">
            <v>-972</v>
          </cell>
          <cell r="BR117">
            <v>-4061</v>
          </cell>
          <cell r="BS117">
            <v>-9039</v>
          </cell>
          <cell r="BT117">
            <v>-6265</v>
          </cell>
          <cell r="BU117">
            <v>-2724</v>
          </cell>
          <cell r="BV117">
            <v>94</v>
          </cell>
          <cell r="BW117">
            <v>121</v>
          </cell>
          <cell r="BX117">
            <v>-8774</v>
          </cell>
          <cell r="BY117">
            <v>-1292</v>
          </cell>
          <cell r="BZ117">
            <v>-3138</v>
          </cell>
          <cell r="CA117">
            <v>-1601</v>
          </cell>
          <cell r="CB117">
            <v>-2927</v>
          </cell>
          <cell r="CC117">
            <v>-8958</v>
          </cell>
          <cell r="CD117">
            <v>-4222</v>
          </cell>
          <cell r="CE117">
            <v>-4392</v>
          </cell>
          <cell r="CF117">
            <v>557</v>
          </cell>
          <cell r="CG117">
            <v>-1076</v>
          </cell>
          <cell r="CH117">
            <v>-9133</v>
          </cell>
          <cell r="CI117">
            <v>-1598</v>
          </cell>
          <cell r="CJ117">
            <v>-834</v>
          </cell>
          <cell r="CK117">
            <v>68</v>
          </cell>
          <cell r="CL117">
            <v>-752</v>
          </cell>
          <cell r="CM117">
            <v>-3116</v>
          </cell>
          <cell r="CN117">
            <v>-1215</v>
          </cell>
          <cell r="CO117">
            <v>-1513</v>
          </cell>
          <cell r="CP117">
            <v>-825</v>
          </cell>
          <cell r="CQ117">
            <v>-876</v>
          </cell>
          <cell r="CR117">
            <v>-4429</v>
          </cell>
          <cell r="CS117">
            <v>-1985</v>
          </cell>
          <cell r="CT117">
            <v>-1996</v>
          </cell>
          <cell r="CU117">
            <v>-1704</v>
          </cell>
          <cell r="CV117">
            <v>-1024</v>
          </cell>
          <cell r="CW117">
            <v>-6709</v>
          </cell>
          <cell r="CX117">
            <v>-2672</v>
          </cell>
          <cell r="CY117">
            <v>-2024</v>
          </cell>
          <cell r="CZ117">
            <v>-4985</v>
          </cell>
          <cell r="DA117">
            <v>-4128</v>
          </cell>
          <cell r="DB117">
            <v>-13809</v>
          </cell>
          <cell r="DC117">
            <v>-4538</v>
          </cell>
          <cell r="DD117">
            <v>-3561</v>
          </cell>
          <cell r="DE117">
            <v>-3698</v>
          </cell>
          <cell r="DF117">
            <v>-3504</v>
          </cell>
          <cell r="DG117">
            <v>-15301</v>
          </cell>
          <cell r="DH117">
            <v>-4121</v>
          </cell>
          <cell r="DI117">
            <v>-3468</v>
          </cell>
          <cell r="DJ117">
            <v>-1883</v>
          </cell>
          <cell r="DK117">
            <v>-1544</v>
          </cell>
          <cell r="DL117">
            <v>-11016</v>
          </cell>
          <cell r="DM117">
            <v>-2263</v>
          </cell>
          <cell r="DN117">
            <v>-1819</v>
          </cell>
          <cell r="DO117">
            <v>-3530</v>
          </cell>
          <cell r="DP117">
            <v>-2107</v>
          </cell>
          <cell r="DQ117">
            <v>-9719</v>
          </cell>
          <cell r="DR117">
            <v>-3384</v>
          </cell>
          <cell r="DS117">
            <v>-6213</v>
          </cell>
          <cell r="DT117">
            <v>-4479</v>
          </cell>
          <cell r="DU117">
            <v>-4325</v>
          </cell>
          <cell r="DV117">
            <v>-18401</v>
          </cell>
          <cell r="DW117">
            <v>-4485</v>
          </cell>
          <cell r="DX117">
            <v>-4972</v>
          </cell>
          <cell r="DY117">
            <v>-6717</v>
          </cell>
          <cell r="DZ117">
            <v>-5451</v>
          </cell>
          <cell r="EA117">
            <v>-21625</v>
          </cell>
          <cell r="EB117">
            <v>-6198</v>
          </cell>
          <cell r="EC117">
            <v>-6233</v>
          </cell>
          <cell r="ED117">
            <v>-6534</v>
          </cell>
          <cell r="EE117">
            <v>-6727</v>
          </cell>
          <cell r="EF117">
            <v>-25692</v>
          </cell>
          <cell r="EG117">
            <v>-7072</v>
          </cell>
          <cell r="EH117">
            <v>-7142</v>
          </cell>
          <cell r="EI117">
            <v>-8345</v>
          </cell>
          <cell r="EJ117">
            <v>-8296</v>
          </cell>
          <cell r="EK117">
            <v>-30855</v>
          </cell>
          <cell r="EL117">
            <v>-4998</v>
          </cell>
          <cell r="EM117">
            <v>-5216</v>
          </cell>
          <cell r="EN117">
            <v>-4973</v>
          </cell>
          <cell r="EO117">
            <v>-5192</v>
          </cell>
          <cell r="EP117">
            <v>-20379</v>
          </cell>
          <cell r="EQ117">
            <v>-4146</v>
          </cell>
          <cell r="ER117">
            <v>-3739</v>
          </cell>
          <cell r="ES117">
            <v>-3691</v>
          </cell>
          <cell r="ET117">
            <v>0</v>
          </cell>
          <cell r="EU117">
            <v>-11576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</row>
        <row r="118">
          <cell r="B118" t="str">
            <v>Increase/(decrease) in total debt</v>
          </cell>
          <cell r="C118" t="str">
            <v>CHG_LT_DEBT</v>
          </cell>
          <cell r="D118" t="str">
            <v>USD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BT118">
            <v>1975</v>
          </cell>
          <cell r="BU118">
            <v>21</v>
          </cell>
          <cell r="BV118">
            <v>-1</v>
          </cell>
          <cell r="BW118">
            <v>3751</v>
          </cell>
          <cell r="BX118">
            <v>5746</v>
          </cell>
          <cell r="BY118">
            <v>250</v>
          </cell>
          <cell r="BZ118">
            <v>-2</v>
          </cell>
          <cell r="CB118">
            <v>-58</v>
          </cell>
          <cell r="CC118">
            <v>190</v>
          </cell>
          <cell r="CD118">
            <v>4721</v>
          </cell>
          <cell r="CE118">
            <v>-1000</v>
          </cell>
          <cell r="CF118">
            <v>2239</v>
          </cell>
          <cell r="CG118">
            <v>0</v>
          </cell>
          <cell r="CH118">
            <v>5960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2232</v>
          </cell>
          <cell r="CP118">
            <v>0</v>
          </cell>
          <cell r="CQ118">
            <v>1305</v>
          </cell>
          <cell r="CR118">
            <v>3537</v>
          </cell>
          <cell r="CS118">
            <v>300</v>
          </cell>
          <cell r="CT118">
            <v>6962</v>
          </cell>
          <cell r="CU118">
            <v>-300</v>
          </cell>
          <cell r="CV118">
            <v>0</v>
          </cell>
          <cell r="CW118">
            <v>6962</v>
          </cell>
          <cell r="CX118">
            <v>1499</v>
          </cell>
          <cell r="CY118">
            <v>4798</v>
          </cell>
          <cell r="CZ118">
            <v>4105</v>
          </cell>
          <cell r="DA118">
            <v>3259</v>
          </cell>
          <cell r="DB118">
            <v>13661</v>
          </cell>
          <cell r="DC118">
            <v>3261</v>
          </cell>
          <cell r="DD118">
            <v>5976</v>
          </cell>
          <cell r="DE118">
            <v>1747</v>
          </cell>
          <cell r="DF118">
            <v>7299</v>
          </cell>
          <cell r="DG118">
            <v>18283</v>
          </cell>
          <cell r="DH118">
            <v>21362</v>
          </cell>
          <cell r="DI118">
            <v>9196</v>
          </cell>
          <cell r="DJ118">
            <v>-966</v>
          </cell>
          <cell r="DK118">
            <v>1867</v>
          </cell>
          <cell r="DL118">
            <v>31459</v>
          </cell>
          <cell r="DM118">
            <v>-925</v>
          </cell>
          <cell r="DN118">
            <v>3661</v>
          </cell>
          <cell r="DO118">
            <v>-12256</v>
          </cell>
          <cell r="DP118">
            <v>-681</v>
          </cell>
          <cell r="DQ118">
            <v>-10201</v>
          </cell>
          <cell r="DR118">
            <v>0</v>
          </cell>
          <cell r="DS118">
            <v>-3000</v>
          </cell>
          <cell r="DT118">
            <v>0</v>
          </cell>
          <cell r="DU118">
            <v>-1000</v>
          </cell>
          <cell r="DV118">
            <v>-4000</v>
          </cell>
          <cell r="DW118">
            <v>-2500</v>
          </cell>
          <cell r="DX118">
            <v>-18</v>
          </cell>
          <cell r="DY118">
            <v>-3000</v>
          </cell>
          <cell r="DZ118">
            <v>-3417</v>
          </cell>
          <cell r="EA118">
            <v>-8935</v>
          </cell>
          <cell r="EB118">
            <v>0</v>
          </cell>
          <cell r="EC118">
            <v>-3250</v>
          </cell>
          <cell r="ED118">
            <v>-2254</v>
          </cell>
          <cell r="EE118">
            <v>0</v>
          </cell>
          <cell r="EF118">
            <v>-5504</v>
          </cell>
          <cell r="EG118">
            <v>-4826</v>
          </cell>
          <cell r="EH118">
            <v>0</v>
          </cell>
          <cell r="EI118">
            <v>-4197</v>
          </cell>
          <cell r="EJ118">
            <v>0</v>
          </cell>
          <cell r="EK118">
            <v>-9023</v>
          </cell>
          <cell r="EL118">
            <v>-1000</v>
          </cell>
          <cell r="EM118">
            <v>-750</v>
          </cell>
          <cell r="EN118">
            <v>0</v>
          </cell>
          <cell r="EO118">
            <v>-1000</v>
          </cell>
          <cell r="EP118">
            <v>-2750</v>
          </cell>
          <cell r="EQ118">
            <v>24265</v>
          </cell>
          <cell r="ER118">
            <v>-633</v>
          </cell>
          <cell r="ES118">
            <v>-9047</v>
          </cell>
          <cell r="EU118">
            <v>14585</v>
          </cell>
          <cell r="EV118">
            <v>0</v>
          </cell>
        </row>
        <row r="119">
          <cell r="B119" t="str">
            <v>Lease principal payments  (applicable to IFRS cos.)</v>
          </cell>
          <cell r="C119" t="str">
            <v>LEASE_PRINCIPAL_CASH</v>
          </cell>
          <cell r="D119" t="str">
            <v>USD</v>
          </cell>
        </row>
        <row r="120">
          <cell r="B120" t="str">
            <v>Other financing cash flow items</v>
          </cell>
          <cell r="C120" t="str">
            <v>OTH_FIN_CF</v>
          </cell>
          <cell r="D120" t="str">
            <v>USD</v>
          </cell>
          <cell r="F120">
            <v>188</v>
          </cell>
          <cell r="G120">
            <v>59</v>
          </cell>
          <cell r="H120">
            <v>13</v>
          </cell>
          <cell r="I120">
            <v>151</v>
          </cell>
          <cell r="J120">
            <v>124</v>
          </cell>
          <cell r="K120">
            <v>347</v>
          </cell>
          <cell r="L120">
            <v>144</v>
          </cell>
          <cell r="M120">
            <v>1144</v>
          </cell>
          <cell r="N120">
            <v>268</v>
          </cell>
          <cell r="O120">
            <v>306</v>
          </cell>
          <cell r="P120">
            <v>1862</v>
          </cell>
          <cell r="Q120">
            <v>456</v>
          </cell>
          <cell r="R120">
            <v>229</v>
          </cell>
          <cell r="S120">
            <v>541</v>
          </cell>
          <cell r="T120">
            <v>808</v>
          </cell>
          <cell r="U120">
            <v>2034</v>
          </cell>
          <cell r="V120">
            <v>828</v>
          </cell>
          <cell r="W120">
            <v>789</v>
          </cell>
          <cell r="X120">
            <v>1396</v>
          </cell>
          <cell r="Y120">
            <v>-2223</v>
          </cell>
          <cell r="Z120">
            <v>790</v>
          </cell>
          <cell r="AA120">
            <v>1517</v>
          </cell>
          <cell r="AB120">
            <v>1598</v>
          </cell>
          <cell r="AC120">
            <v>1410</v>
          </cell>
          <cell r="AD120">
            <v>-4037</v>
          </cell>
          <cell r="AE120">
            <v>488</v>
          </cell>
          <cell r="AF120">
            <v>148</v>
          </cell>
          <cell r="AG120">
            <v>-561</v>
          </cell>
          <cell r="AH120">
            <v>-256</v>
          </cell>
          <cell r="AI120">
            <v>-489</v>
          </cell>
          <cell r="AJ120">
            <v>-1158</v>
          </cell>
          <cell r="AK120">
            <v>5</v>
          </cell>
          <cell r="AL120">
            <v>4</v>
          </cell>
          <cell r="AM120">
            <v>-14</v>
          </cell>
          <cell r="AN120">
            <v>7</v>
          </cell>
          <cell r="AO120">
            <v>2</v>
          </cell>
          <cell r="AP120">
            <v>5</v>
          </cell>
          <cell r="AQ120">
            <v>37</v>
          </cell>
          <cell r="AR120">
            <v>-3</v>
          </cell>
          <cell r="AS120">
            <v>22</v>
          </cell>
          <cell r="AT120">
            <v>61</v>
          </cell>
          <cell r="AU120">
            <v>4</v>
          </cell>
          <cell r="AV120">
            <v>26</v>
          </cell>
          <cell r="AW120">
            <v>7</v>
          </cell>
          <cell r="AX120">
            <v>-10</v>
          </cell>
          <cell r="AY120">
            <v>27</v>
          </cell>
          <cell r="AZ120">
            <v>3</v>
          </cell>
          <cell r="BA120">
            <v>54</v>
          </cell>
          <cell r="BB120">
            <v>-8</v>
          </cell>
          <cell r="BC120">
            <v>-74</v>
          </cell>
          <cell r="BD120">
            <v>-25</v>
          </cell>
          <cell r="BE120">
            <v>27</v>
          </cell>
          <cell r="BF120">
            <v>1</v>
          </cell>
          <cell r="BG120">
            <v>30</v>
          </cell>
          <cell r="BH120">
            <v>49</v>
          </cell>
          <cell r="BI120">
            <v>107</v>
          </cell>
          <cell r="BJ120">
            <v>35</v>
          </cell>
          <cell r="BK120">
            <v>27</v>
          </cell>
          <cell r="BL120">
            <v>20</v>
          </cell>
          <cell r="BM120">
            <v>28</v>
          </cell>
          <cell r="BN120">
            <v>110</v>
          </cell>
          <cell r="BO120">
            <v>127</v>
          </cell>
          <cell r="BP120">
            <v>61</v>
          </cell>
          <cell r="BQ120">
            <v>51</v>
          </cell>
          <cell r="BR120">
            <v>18</v>
          </cell>
          <cell r="BS120">
            <v>257</v>
          </cell>
          <cell r="BT120">
            <v>-12</v>
          </cell>
          <cell r="BU120">
            <v>-81</v>
          </cell>
          <cell r="BV120">
            <v>-34</v>
          </cell>
          <cell r="BW120">
            <v>93</v>
          </cell>
          <cell r="BX120">
            <v>-34</v>
          </cell>
          <cell r="BY120">
            <v>38</v>
          </cell>
          <cell r="BZ120">
            <v>14</v>
          </cell>
          <cell r="CA120">
            <v>-16</v>
          </cell>
          <cell r="CB120">
            <v>-20</v>
          </cell>
          <cell r="CC120">
            <v>16</v>
          </cell>
          <cell r="CD120">
            <v>38</v>
          </cell>
          <cell r="CE120">
            <v>1</v>
          </cell>
          <cell r="CF120">
            <v>18</v>
          </cell>
          <cell r="CG120">
            <v>23</v>
          </cell>
          <cell r="CH120">
            <v>80</v>
          </cell>
          <cell r="CI120">
            <v>32</v>
          </cell>
          <cell r="CJ120">
            <v>-48</v>
          </cell>
          <cell r="CK120">
            <v>40</v>
          </cell>
          <cell r="CL120">
            <v>-35</v>
          </cell>
          <cell r="CM120">
            <v>-11</v>
          </cell>
          <cell r="CN120">
            <v>224</v>
          </cell>
          <cell r="CO120">
            <v>8</v>
          </cell>
          <cell r="CP120">
            <v>-33</v>
          </cell>
          <cell r="CQ120">
            <v>-8</v>
          </cell>
          <cell r="CR120">
            <v>191</v>
          </cell>
          <cell r="CS120">
            <v>229</v>
          </cell>
          <cell r="CT120">
            <v>14</v>
          </cell>
          <cell r="CU120">
            <v>24</v>
          </cell>
          <cell r="CV120">
            <v>-174</v>
          </cell>
          <cell r="CW120">
            <v>93</v>
          </cell>
          <cell r="CX120">
            <v>496</v>
          </cell>
          <cell r="CY120">
            <v>273</v>
          </cell>
          <cell r="CZ120">
            <v>311</v>
          </cell>
          <cell r="DA120">
            <v>-203</v>
          </cell>
          <cell r="DB120">
            <v>877</v>
          </cell>
          <cell r="DC120">
            <v>60</v>
          </cell>
          <cell r="DD120">
            <v>-63</v>
          </cell>
          <cell r="DE120">
            <v>-106</v>
          </cell>
          <cell r="DF120">
            <v>-25</v>
          </cell>
          <cell r="DG120">
            <v>-134</v>
          </cell>
          <cell r="DH120">
            <v>-102</v>
          </cell>
          <cell r="DI120">
            <v>294</v>
          </cell>
          <cell r="DJ120">
            <v>-363</v>
          </cell>
          <cell r="DK120">
            <v>0</v>
          </cell>
          <cell r="DL120">
            <v>-171</v>
          </cell>
          <cell r="DM120">
            <v>-124</v>
          </cell>
          <cell r="DN120">
            <v>-173</v>
          </cell>
          <cell r="DO120">
            <v>-615</v>
          </cell>
          <cell r="DP120">
            <v>-9</v>
          </cell>
          <cell r="DQ120">
            <v>-921</v>
          </cell>
          <cell r="DR120">
            <v>-909</v>
          </cell>
          <cell r="DS120">
            <v>-442</v>
          </cell>
          <cell r="DT120">
            <v>422</v>
          </cell>
          <cell r="DU120">
            <v>139</v>
          </cell>
          <cell r="DV120">
            <v>-790</v>
          </cell>
          <cell r="DW120">
            <v>214</v>
          </cell>
          <cell r="DX120">
            <v>-21</v>
          </cell>
          <cell r="DY120">
            <v>-1116</v>
          </cell>
          <cell r="DZ120">
            <v>388</v>
          </cell>
          <cell r="EA120">
            <v>-535</v>
          </cell>
          <cell r="EB120">
            <v>-281</v>
          </cell>
          <cell r="EC120">
            <v>93</v>
          </cell>
          <cell r="ED120">
            <v>-216</v>
          </cell>
          <cell r="EE120">
            <v>-394</v>
          </cell>
          <cell r="EF120">
            <v>-798</v>
          </cell>
          <cell r="EG120">
            <v>-245</v>
          </cell>
          <cell r="EH120">
            <v>-86</v>
          </cell>
          <cell r="EI120">
            <v>-134</v>
          </cell>
          <cell r="EJ120">
            <v>-539</v>
          </cell>
          <cell r="EK120">
            <v>-1004</v>
          </cell>
          <cell r="EL120">
            <v>-494</v>
          </cell>
          <cell r="EM120">
            <v>-229</v>
          </cell>
          <cell r="EN120">
            <v>-229</v>
          </cell>
          <cell r="EO120">
            <v>-248</v>
          </cell>
          <cell r="EP120">
            <v>-1200</v>
          </cell>
          <cell r="EQ120">
            <v>-406</v>
          </cell>
          <cell r="ER120">
            <v>-129</v>
          </cell>
          <cell r="ES120">
            <v>-578</v>
          </cell>
          <cell r="EU120">
            <v>-1113</v>
          </cell>
          <cell r="EV120">
            <v>0</v>
          </cell>
        </row>
        <row r="121">
          <cell r="B121" t="str">
            <v>Cash flow from financing</v>
          </cell>
          <cell r="C121" t="str">
            <v>CF_FIN</v>
          </cell>
          <cell r="D121" t="str">
            <v>USD</v>
          </cell>
          <cell r="F121">
            <v>-129</v>
          </cell>
          <cell r="G121">
            <v>28</v>
          </cell>
          <cell r="H121">
            <v>-255</v>
          </cell>
          <cell r="I121">
            <v>34</v>
          </cell>
          <cell r="J121">
            <v>-217</v>
          </cell>
          <cell r="K121">
            <v>-410</v>
          </cell>
          <cell r="L121">
            <v>-370</v>
          </cell>
          <cell r="M121">
            <v>871</v>
          </cell>
          <cell r="N121">
            <v>-1493</v>
          </cell>
          <cell r="O121">
            <v>497</v>
          </cell>
          <cell r="P121">
            <v>-495</v>
          </cell>
          <cell r="Q121">
            <v>-250</v>
          </cell>
          <cell r="R121">
            <v>-333</v>
          </cell>
          <cell r="S121">
            <v>854</v>
          </cell>
          <cell r="T121">
            <v>254</v>
          </cell>
          <cell r="U121">
            <v>525</v>
          </cell>
          <cell r="V121">
            <v>640</v>
          </cell>
          <cell r="W121">
            <v>819</v>
          </cell>
          <cell r="X121">
            <v>1129</v>
          </cell>
          <cell r="Y121">
            <v>-3398</v>
          </cell>
          <cell r="Z121">
            <v>-810</v>
          </cell>
          <cell r="AA121">
            <v>944</v>
          </cell>
          <cell r="AB121">
            <v>-1768</v>
          </cell>
          <cell r="AC121">
            <v>2227</v>
          </cell>
          <cell r="AD121">
            <v>-3566</v>
          </cell>
          <cell r="AE121">
            <v>-2163</v>
          </cell>
          <cell r="AF121">
            <v>-1229</v>
          </cell>
          <cell r="AG121">
            <v>-1711</v>
          </cell>
          <cell r="AH121">
            <v>-1015</v>
          </cell>
          <cell r="AI121">
            <v>-1657</v>
          </cell>
          <cell r="AJ121">
            <v>-5612</v>
          </cell>
          <cell r="AK121">
            <v>-729</v>
          </cell>
          <cell r="AL121">
            <v>258</v>
          </cell>
          <cell r="AM121">
            <v>-265</v>
          </cell>
          <cell r="AN121">
            <v>-3834</v>
          </cell>
          <cell r="AO121">
            <v>-4570</v>
          </cell>
          <cell r="AP121">
            <v>-2953</v>
          </cell>
          <cell r="AQ121">
            <v>-534</v>
          </cell>
          <cell r="AR121">
            <v>-1214</v>
          </cell>
          <cell r="AS121">
            <v>-461</v>
          </cell>
          <cell r="AT121">
            <v>-5162</v>
          </cell>
          <cell r="AU121">
            <v>-346</v>
          </cell>
          <cell r="AV121">
            <v>-2244</v>
          </cell>
          <cell r="AW121">
            <v>-1033</v>
          </cell>
          <cell r="AX121">
            <v>1286</v>
          </cell>
          <cell r="AY121">
            <v>-2337</v>
          </cell>
          <cell r="AZ121">
            <v>-735</v>
          </cell>
          <cell r="BA121">
            <v>-33618</v>
          </cell>
          <cell r="BB121">
            <v>-2966</v>
          </cell>
          <cell r="BC121">
            <v>-3766</v>
          </cell>
          <cell r="BD121">
            <v>-41085</v>
          </cell>
          <cell r="BE121">
            <v>-2945</v>
          </cell>
          <cell r="BF121">
            <v>-7814</v>
          </cell>
          <cell r="BG121">
            <v>-5128</v>
          </cell>
          <cell r="BH121">
            <v>-4657</v>
          </cell>
          <cell r="BI121">
            <v>-20544</v>
          </cell>
          <cell r="BJ121">
            <v>-8160</v>
          </cell>
          <cell r="BK121">
            <v>-2301</v>
          </cell>
          <cell r="BL121">
            <v>-7050</v>
          </cell>
          <cell r="BM121">
            <v>-6977</v>
          </cell>
          <cell r="BN121">
            <v>-24488</v>
          </cell>
          <cell r="BO121">
            <v>-3095</v>
          </cell>
          <cell r="BP121">
            <v>-2695</v>
          </cell>
          <cell r="BQ121">
            <v>-1944</v>
          </cell>
          <cell r="BR121">
            <v>-5063</v>
          </cell>
          <cell r="BS121">
            <v>-12797</v>
          </cell>
          <cell r="BT121">
            <v>-5300</v>
          </cell>
          <cell r="BU121">
            <v>-3941</v>
          </cell>
          <cell r="BV121">
            <v>-1096</v>
          </cell>
          <cell r="BW121">
            <v>2807</v>
          </cell>
          <cell r="BX121">
            <v>-7530</v>
          </cell>
          <cell r="BY121">
            <v>-2161</v>
          </cell>
          <cell r="BZ121">
            <v>-4278</v>
          </cell>
          <cell r="CA121">
            <v>-2756</v>
          </cell>
          <cell r="CB121">
            <v>-4135</v>
          </cell>
          <cell r="CC121">
            <v>-13330</v>
          </cell>
          <cell r="CD121">
            <v>-581</v>
          </cell>
          <cell r="CE121">
            <v>-6754</v>
          </cell>
          <cell r="CF121">
            <v>1465</v>
          </cell>
          <cell r="CG121">
            <v>-2403</v>
          </cell>
          <cell r="CH121">
            <v>-8273</v>
          </cell>
          <cell r="CI121">
            <v>-2907</v>
          </cell>
          <cell r="CJ121">
            <v>-2565</v>
          </cell>
          <cell r="CK121">
            <v>-1575</v>
          </cell>
          <cell r="CL121">
            <v>-2465</v>
          </cell>
          <cell r="CM121">
            <v>-9512</v>
          </cell>
          <cell r="CN121">
            <v>-2667</v>
          </cell>
          <cell r="CO121">
            <v>-1206</v>
          </cell>
          <cell r="CP121">
            <v>-2783</v>
          </cell>
          <cell r="CQ121">
            <v>-1500</v>
          </cell>
          <cell r="CR121">
            <v>-8156</v>
          </cell>
          <cell r="CS121">
            <v>-3372</v>
          </cell>
          <cell r="CT121">
            <v>2648</v>
          </cell>
          <cell r="CU121">
            <v>-4302</v>
          </cell>
          <cell r="CV121">
            <v>-3507</v>
          </cell>
          <cell r="CW121">
            <v>-8533</v>
          </cell>
          <cell r="CX121">
            <v>-2984</v>
          </cell>
          <cell r="CY121">
            <v>500</v>
          </cell>
          <cell r="CZ121">
            <v>-3101</v>
          </cell>
          <cell r="DA121">
            <v>-3568</v>
          </cell>
          <cell r="DB121">
            <v>-9153</v>
          </cell>
          <cell r="DC121">
            <v>-3692</v>
          </cell>
          <cell r="DD121">
            <v>-516</v>
          </cell>
          <cell r="DE121">
            <v>-4899</v>
          </cell>
          <cell r="DF121">
            <v>949</v>
          </cell>
          <cell r="DG121">
            <v>-8158</v>
          </cell>
          <cell r="DH121">
            <v>14339</v>
          </cell>
          <cell r="DI121">
            <v>2998</v>
          </cell>
          <cell r="DJ121">
            <v>-6224</v>
          </cell>
          <cell r="DK121">
            <v>-2686</v>
          </cell>
          <cell r="DL121">
            <v>8427</v>
          </cell>
          <cell r="DM121">
            <v>-6315</v>
          </cell>
          <cell r="DN121">
            <v>-1569</v>
          </cell>
          <cell r="DO121">
            <v>-19633</v>
          </cell>
          <cell r="DP121">
            <v>-6023</v>
          </cell>
          <cell r="DQ121">
            <v>-33540</v>
          </cell>
          <cell r="DR121">
            <v>-7513</v>
          </cell>
          <cell r="DS121">
            <v>-13199</v>
          </cell>
          <cell r="DT121">
            <v>-7583</v>
          </cell>
          <cell r="DU121">
            <v>-8707</v>
          </cell>
          <cell r="DV121">
            <v>-37002</v>
          </cell>
          <cell r="DW121">
            <v>-10281</v>
          </cell>
          <cell r="DX121">
            <v>-8897</v>
          </cell>
          <cell r="DY121">
            <v>-14709</v>
          </cell>
          <cell r="DZ121">
            <v>-12345</v>
          </cell>
          <cell r="EA121">
            <v>-46232</v>
          </cell>
          <cell r="EB121">
            <v>-10335</v>
          </cell>
          <cell r="EC121">
            <v>-13620</v>
          </cell>
          <cell r="ED121">
            <v>-13225</v>
          </cell>
          <cell r="EE121">
            <v>-11335</v>
          </cell>
          <cell r="EF121">
            <v>-48515</v>
          </cell>
          <cell r="EG121">
            <v>-16349</v>
          </cell>
          <cell r="EH121">
            <v>-11880</v>
          </cell>
          <cell r="EI121">
            <v>-17321</v>
          </cell>
          <cell r="EJ121">
            <v>-13467</v>
          </cell>
          <cell r="EK121">
            <v>-59017</v>
          </cell>
          <cell r="EL121">
            <v>-11113</v>
          </cell>
          <cell r="EM121">
            <v>-11261</v>
          </cell>
          <cell r="EN121">
            <v>-10261</v>
          </cell>
          <cell r="EO121">
            <v>-11494</v>
          </cell>
          <cell r="EP121">
            <v>-44129</v>
          </cell>
          <cell r="EQ121">
            <v>14662</v>
          </cell>
          <cell r="ER121">
            <v>-10075</v>
          </cell>
          <cell r="ES121">
            <v>-18888</v>
          </cell>
          <cell r="ET121">
            <v>-5568.6249506381901</v>
          </cell>
          <cell r="EU121">
            <v>-19869.624950638201</v>
          </cell>
          <cell r="EV121">
            <v>-5561.0093001038003</v>
          </cell>
          <cell r="EW121">
            <v>-6125.9198659384701</v>
          </cell>
          <cell r="EX121">
            <v>-6116.2086461833796</v>
          </cell>
          <cell r="EY121">
            <v>-6109.1682286903197</v>
          </cell>
          <cell r="EZ121">
            <v>-23912.306040915999</v>
          </cell>
          <cell r="FA121">
            <v>-6101.5224017435603</v>
          </cell>
          <cell r="FB121">
            <v>-6722.1304747566201</v>
          </cell>
          <cell r="FC121">
            <v>-6712.2702881476698</v>
          </cell>
          <cell r="FD121">
            <v>-6705.3651055923701</v>
          </cell>
          <cell r="FE121">
            <v>-26241.288270240198</v>
          </cell>
        </row>
        <row r="122">
          <cell r="B122" t="str">
            <v>Total cash flow</v>
          </cell>
          <cell r="C122" t="str">
            <v>TOT_CF</v>
          </cell>
          <cell r="D122" t="str">
            <v>USD</v>
          </cell>
          <cell r="F122">
            <v>485</v>
          </cell>
          <cell r="G122">
            <v>-56</v>
          </cell>
          <cell r="H122">
            <v>417</v>
          </cell>
          <cell r="I122">
            <v>614</v>
          </cell>
          <cell r="J122">
            <v>-336</v>
          </cell>
          <cell r="K122">
            <v>639</v>
          </cell>
          <cell r="L122">
            <v>417</v>
          </cell>
          <cell r="M122">
            <v>78</v>
          </cell>
          <cell r="N122">
            <v>756</v>
          </cell>
          <cell r="O122">
            <v>-146</v>
          </cell>
          <cell r="P122">
            <v>1105</v>
          </cell>
          <cell r="Q122">
            <v>239</v>
          </cell>
          <cell r="R122">
            <v>-1363</v>
          </cell>
          <cell r="S122">
            <v>1528</v>
          </cell>
          <cell r="T122">
            <v>-271</v>
          </cell>
          <cell r="U122">
            <v>133</v>
          </cell>
          <cell r="V122">
            <v>1352</v>
          </cell>
          <cell r="W122">
            <v>922</v>
          </cell>
          <cell r="X122">
            <v>90</v>
          </cell>
          <cell r="Y122">
            <v>-1228</v>
          </cell>
          <cell r="Z122">
            <v>1136</v>
          </cell>
          <cell r="AA122">
            <v>-186</v>
          </cell>
          <cell r="AB122">
            <v>243</v>
          </cell>
          <cell r="AC122">
            <v>160</v>
          </cell>
          <cell r="AD122">
            <v>-346</v>
          </cell>
          <cell r="AE122">
            <v>-129</v>
          </cell>
          <cell r="AF122">
            <v>-2205</v>
          </cell>
          <cell r="AG122">
            <v>890</v>
          </cell>
          <cell r="AH122">
            <v>618</v>
          </cell>
          <cell r="AI122">
            <v>-227</v>
          </cell>
          <cell r="AJ122">
            <v>-924</v>
          </cell>
          <cell r="AK122">
            <v>-809</v>
          </cell>
          <cell r="AL122">
            <v>2143</v>
          </cell>
          <cell r="AM122">
            <v>-140</v>
          </cell>
          <cell r="AN122">
            <v>-2100</v>
          </cell>
          <cell r="AO122">
            <v>-906</v>
          </cell>
          <cell r="AP122">
            <v>2322</v>
          </cell>
          <cell r="AQ122">
            <v>214</v>
          </cell>
          <cell r="AR122">
            <v>-1252</v>
          </cell>
          <cell r="AS122">
            <v>2138</v>
          </cell>
          <cell r="AT122">
            <v>3422</v>
          </cell>
          <cell r="AU122">
            <v>-670</v>
          </cell>
          <cell r="AV122">
            <v>381</v>
          </cell>
          <cell r="AW122">
            <v>3199</v>
          </cell>
          <cell r="AX122">
            <v>6634</v>
          </cell>
          <cell r="AY122">
            <v>9544</v>
          </cell>
          <cell r="AZ122">
            <v>-4841</v>
          </cell>
          <cell r="BA122">
            <v>-6585</v>
          </cell>
          <cell r="BB122">
            <v>224</v>
          </cell>
          <cell r="BC122">
            <v>1069</v>
          </cell>
          <cell r="BD122">
            <v>-10133</v>
          </cell>
          <cell r="BE122">
            <v>-1877</v>
          </cell>
          <cell r="BF122">
            <v>1109</v>
          </cell>
          <cell r="BG122">
            <v>268</v>
          </cell>
          <cell r="BH122">
            <v>2363</v>
          </cell>
          <cell r="BI122">
            <v>1863</v>
          </cell>
          <cell r="BJ122">
            <v>2362</v>
          </cell>
          <cell r="BK122">
            <v>-2217</v>
          </cell>
          <cell r="BL122">
            <v>752</v>
          </cell>
          <cell r="BM122">
            <v>-1500</v>
          </cell>
          <cell r="BN122">
            <v>-603</v>
          </cell>
          <cell r="BO122">
            <v>526</v>
          </cell>
          <cell r="BP122">
            <v>823</v>
          </cell>
          <cell r="BQ122">
            <v>4360</v>
          </cell>
          <cell r="BR122">
            <v>-1481</v>
          </cell>
          <cell r="BS122">
            <v>4228</v>
          </cell>
          <cell r="BT122">
            <v>-1335</v>
          </cell>
          <cell r="BU122">
            <v>-658</v>
          </cell>
          <cell r="BV122">
            <v>-1061</v>
          </cell>
          <cell r="BW122">
            <v>-1209</v>
          </cell>
          <cell r="BX122">
            <v>-4263</v>
          </cell>
          <cell r="BY122">
            <v>2747</v>
          </cell>
          <cell r="BZ122">
            <v>599</v>
          </cell>
          <cell r="CA122">
            <v>-1267</v>
          </cell>
          <cell r="CB122">
            <v>-2650</v>
          </cell>
          <cell r="CC122">
            <v>-571</v>
          </cell>
          <cell r="CD122">
            <v>2656</v>
          </cell>
          <cell r="CE122">
            <v>-4138</v>
          </cell>
          <cell r="CF122">
            <v>2998</v>
          </cell>
          <cell r="CG122">
            <v>2589</v>
          </cell>
          <cell r="CH122">
            <v>4105</v>
          </cell>
          <cell r="CI122">
            <v>3271</v>
          </cell>
          <cell r="CJ122">
            <v>-2271</v>
          </cell>
          <cell r="CK122">
            <v>-4222</v>
          </cell>
          <cell r="CL122">
            <v>550</v>
          </cell>
          <cell r="CM122">
            <v>-2672</v>
          </cell>
          <cell r="CN122">
            <v>-1902</v>
          </cell>
          <cell r="CO122">
            <v>981</v>
          </cell>
          <cell r="CP122">
            <v>-777</v>
          </cell>
          <cell r="CQ122">
            <v>-1436</v>
          </cell>
          <cell r="CR122">
            <v>-3134</v>
          </cell>
          <cell r="CS122">
            <v>219</v>
          </cell>
          <cell r="CT122">
            <v>6036</v>
          </cell>
          <cell r="CU122">
            <v>1513</v>
          </cell>
          <cell r="CV122">
            <v>-2903</v>
          </cell>
          <cell r="CW122">
            <v>4865</v>
          </cell>
          <cell r="CX122">
            <v>-2367</v>
          </cell>
          <cell r="CY122">
            <v>124</v>
          </cell>
          <cell r="CZ122">
            <v>988</v>
          </cell>
          <cell r="DA122">
            <v>-1819</v>
          </cell>
          <cell r="DB122">
            <v>-3074</v>
          </cell>
          <cell r="DC122">
            <v>-164</v>
          </cell>
          <cell r="DD122">
            <v>1754</v>
          </cell>
          <cell r="DE122">
            <v>-15</v>
          </cell>
          <cell r="DF122">
            <v>-660</v>
          </cell>
          <cell r="DG122">
            <v>915</v>
          </cell>
          <cell r="DH122">
            <v>7418</v>
          </cell>
          <cell r="DI122">
            <v>-5460</v>
          </cell>
          <cell r="DJ122">
            <v>-1755</v>
          </cell>
          <cell r="DK122">
            <v>950</v>
          </cell>
          <cell r="DL122">
            <v>1153</v>
          </cell>
          <cell r="DM122">
            <v>-779</v>
          </cell>
          <cell r="DN122">
            <v>5975</v>
          </cell>
          <cell r="DO122">
            <v>-3638</v>
          </cell>
          <cell r="DP122">
            <v>2725</v>
          </cell>
          <cell r="DQ122">
            <v>4283</v>
          </cell>
          <cell r="DR122">
            <v>3191</v>
          </cell>
          <cell r="DS122">
            <v>-8499</v>
          </cell>
          <cell r="DT122">
            <v>4574</v>
          </cell>
          <cell r="DU122">
            <v>144</v>
          </cell>
          <cell r="DV122">
            <v>-590</v>
          </cell>
          <cell r="DW122">
            <v>1761</v>
          </cell>
          <cell r="DX122">
            <v>-4253</v>
          </cell>
          <cell r="DY122">
            <v>2846</v>
          </cell>
          <cell r="DZ122">
            <v>1866</v>
          </cell>
          <cell r="EA122">
            <v>2220</v>
          </cell>
          <cell r="EB122">
            <v>3629</v>
          </cell>
          <cell r="EC122">
            <v>-2773</v>
          </cell>
          <cell r="ED122">
            <v>-730</v>
          </cell>
          <cell r="EE122">
            <v>522</v>
          </cell>
          <cell r="EF122">
            <v>648</v>
          </cell>
          <cell r="EG122">
            <v>4941</v>
          </cell>
          <cell r="EH122">
            <v>1439</v>
          </cell>
          <cell r="EI122">
            <v>-8106</v>
          </cell>
          <cell r="EJ122">
            <v>1433</v>
          </cell>
          <cell r="EK122">
            <v>-293</v>
          </cell>
          <cell r="EL122">
            <v>8953</v>
          </cell>
          <cell r="EM122">
            <v>-7238</v>
          </cell>
          <cell r="EN122">
            <v>10916</v>
          </cell>
          <cell r="EO122">
            <v>8142</v>
          </cell>
          <cell r="EP122">
            <v>20773</v>
          </cell>
          <cell r="EQ122">
            <v>45748</v>
          </cell>
          <cell r="ER122">
            <v>-63147</v>
          </cell>
          <cell r="ES122">
            <v>2329</v>
          </cell>
          <cell r="ET122">
            <v>25065.735657951202</v>
          </cell>
          <cell r="EU122">
            <v>9995.7356579512307</v>
          </cell>
          <cell r="EV122">
            <v>15904.9708236636</v>
          </cell>
          <cell r="EW122">
            <v>4696.1820226046502</v>
          </cell>
          <cell r="EX122">
            <v>17451.1779754407</v>
          </cell>
          <cell r="EY122">
            <v>20400.530487547901</v>
          </cell>
          <cell r="EZ122">
            <v>58452.861309256798</v>
          </cell>
          <cell r="FA122">
            <v>27341.036608337999</v>
          </cell>
          <cell r="FB122">
            <v>2901.2764915623902</v>
          </cell>
          <cell r="FC122">
            <v>29132.8399426461</v>
          </cell>
          <cell r="FD122">
            <v>24371.3382255504</v>
          </cell>
          <cell r="FE122">
            <v>83746.491268096797</v>
          </cell>
        </row>
        <row r="123">
          <cell r="A123" t="str">
            <v>Additional Cash Flow Items</v>
          </cell>
        </row>
        <row r="124">
          <cell r="B124" t="str">
            <v>Associate and JV add-back</v>
          </cell>
          <cell r="C124" t="str">
            <v>ASSOC_JV_ADDBK</v>
          </cell>
          <cell r="D124" t="str">
            <v>USD</v>
          </cell>
        </row>
        <row r="125">
          <cell r="B125" t="str">
            <v>Profit/(loss) on sale of assets</v>
          </cell>
          <cell r="C125" t="str">
            <v>PL_SALE_ASSETS</v>
          </cell>
          <cell r="D125" t="str">
            <v>USD</v>
          </cell>
        </row>
        <row r="126">
          <cell r="B126" t="str">
            <v>Other non-cash adjustments</v>
          </cell>
          <cell r="C126" t="str">
            <v>OTH_NONCASH_ADJ</v>
          </cell>
          <cell r="D126" t="str">
            <v>USD</v>
          </cell>
        </row>
        <row r="127">
          <cell r="B127" t="str">
            <v>Other DACF adjustments</v>
          </cell>
          <cell r="C127" t="str">
            <v>OTH_DACF_ADJ</v>
          </cell>
          <cell r="D127" t="str">
            <v>USD</v>
          </cell>
        </row>
        <row r="128">
          <cell r="B128" t="str">
            <v>Change in LT deferred income taxes (Cash flow)</v>
          </cell>
          <cell r="C128" t="str">
            <v>CHG_DEF_TAX_CF</v>
          </cell>
          <cell r="D128" t="str">
            <v>USD</v>
          </cell>
        </row>
        <row r="129">
          <cell r="B129" t="str">
            <v>Other items/adjustments for computing cash tax rate (except def taxes)</v>
          </cell>
          <cell r="C129" t="str">
            <v>OTH_ADJ_CASH_TAX</v>
          </cell>
          <cell r="D129" t="str">
            <v>USD</v>
          </cell>
        </row>
        <row r="130">
          <cell r="B130" t="str">
            <v>Cash interest expense</v>
          </cell>
          <cell r="C130" t="str">
            <v>CASH_INT_EXP</v>
          </cell>
          <cell r="D130" t="str">
            <v>USD</v>
          </cell>
        </row>
        <row r="131">
          <cell r="B131" t="str">
            <v>Cash tax expense</v>
          </cell>
          <cell r="C131" t="str">
            <v>CASH_TAX_EXP</v>
          </cell>
          <cell r="D131" t="str">
            <v>USD</v>
          </cell>
        </row>
        <row r="132">
          <cell r="B132" t="str">
            <v>Dividends received from associates/JVs</v>
          </cell>
          <cell r="C132" t="str">
            <v>DIVDS_ASSOC_JV</v>
          </cell>
          <cell r="D132" t="str">
            <v>USD</v>
          </cell>
        </row>
        <row r="133">
          <cell r="B133" t="str">
            <v>Capex maintenance</v>
          </cell>
          <cell r="C133" t="str">
            <v>CAPEX_MAINTENANCE</v>
          </cell>
          <cell r="D133" t="str">
            <v>USD</v>
          </cell>
        </row>
        <row r="134">
          <cell r="B134" t="str">
            <v>Capex expansion</v>
          </cell>
          <cell r="C134" t="str">
            <v>CAPEX_EXPANSION</v>
          </cell>
          <cell r="D134" t="str">
            <v>USD</v>
          </cell>
        </row>
        <row r="135">
          <cell r="B135" t="str">
            <v>Non-PP&amp;E capex</v>
          </cell>
          <cell r="C135" t="str">
            <v>NONPPE_CAPEX</v>
          </cell>
          <cell r="D135" t="str">
            <v>USD</v>
          </cell>
        </row>
        <row r="136">
          <cell r="B136" t="str">
            <v>Dividends paid to minorities</v>
          </cell>
          <cell r="C136" t="str">
            <v>DIVDS_PD_MINORITIES</v>
          </cell>
          <cell r="D136" t="str">
            <v>USD</v>
          </cell>
        </row>
        <row r="137">
          <cell r="B137" t="str">
            <v>Free cash flow (unlevered)</v>
          </cell>
          <cell r="C137" t="str">
            <v>FCF_UNLEVERED</v>
          </cell>
          <cell r="D137" t="str">
            <v>USD</v>
          </cell>
        </row>
        <row r="138">
          <cell r="A138" t="str">
            <v>Other Items</v>
          </cell>
        </row>
        <row r="139">
          <cell r="B139" t="str">
            <v>License revenue</v>
          </cell>
          <cell r="C139" t="str">
            <v>LICENSE_REV</v>
          </cell>
          <cell r="D139" t="str">
            <v>USD</v>
          </cell>
        </row>
        <row r="140">
          <cell r="B140" t="str">
            <v>Maintenance revenue</v>
          </cell>
          <cell r="C140" t="str">
            <v>MAINTEN_REV</v>
          </cell>
          <cell r="D140" t="str">
            <v>USD</v>
          </cell>
        </row>
        <row r="141">
          <cell r="B141" t="str">
            <v>Number of employees</v>
          </cell>
          <cell r="C141" t="str">
            <v>EMPLOYEES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114000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124000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131000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144000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163000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181000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221000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221000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</row>
        <row r="142">
          <cell r="B142" t="str">
            <v>Total billings (revenue plus change in deferred revenue)</v>
          </cell>
          <cell r="C142" t="str">
            <v>TOT_BILLINGS</v>
          </cell>
          <cell r="D142" t="str">
            <v>USD</v>
          </cell>
          <cell r="F142">
            <v>5937</v>
          </cell>
          <cell r="G142">
            <v>2016</v>
          </cell>
          <cell r="H142">
            <v>2195</v>
          </cell>
          <cell r="I142">
            <v>2205</v>
          </cell>
          <cell r="J142">
            <v>2255</v>
          </cell>
          <cell r="K142">
            <v>8671</v>
          </cell>
          <cell r="L142">
            <v>2295</v>
          </cell>
          <cell r="M142">
            <v>2680</v>
          </cell>
          <cell r="N142">
            <v>3208</v>
          </cell>
          <cell r="O142">
            <v>3175</v>
          </cell>
          <cell r="P142">
            <v>11358</v>
          </cell>
          <cell r="Q142">
            <v>3130</v>
          </cell>
          <cell r="R142">
            <v>3585</v>
          </cell>
          <cell r="S142">
            <v>3774</v>
          </cell>
          <cell r="T142">
            <v>3995</v>
          </cell>
          <cell r="U142">
            <v>14484</v>
          </cell>
          <cell r="V142">
            <v>4193</v>
          </cell>
          <cell r="W142">
            <v>5195</v>
          </cell>
          <cell r="X142">
            <v>4595</v>
          </cell>
          <cell r="Y142">
            <v>5764</v>
          </cell>
          <cell r="Z142">
            <v>19747</v>
          </cell>
          <cell r="AA142">
            <v>5384</v>
          </cell>
          <cell r="AB142">
            <v>6112</v>
          </cell>
          <cell r="AC142">
            <v>5656</v>
          </cell>
          <cell r="AD142">
            <v>5804</v>
          </cell>
          <cell r="AE142">
            <v>22956</v>
          </cell>
          <cell r="AF142">
            <v>5766</v>
          </cell>
          <cell r="AG142">
            <v>6550</v>
          </cell>
          <cell r="AH142">
            <v>6403</v>
          </cell>
          <cell r="AI142">
            <v>6577</v>
          </cell>
          <cell r="AJ142">
            <v>25296</v>
          </cell>
          <cell r="AK142">
            <v>6126</v>
          </cell>
          <cell r="AL142">
            <v>7741</v>
          </cell>
          <cell r="AM142">
            <v>7245</v>
          </cell>
          <cell r="AN142">
            <v>7253</v>
          </cell>
          <cell r="AO142">
            <v>28365</v>
          </cell>
          <cell r="AP142">
            <v>7746</v>
          </cell>
          <cell r="AQ142">
            <v>8541</v>
          </cell>
          <cell r="AR142">
            <v>7835</v>
          </cell>
          <cell r="AS142">
            <v>8065</v>
          </cell>
          <cell r="AT142">
            <v>32187</v>
          </cell>
          <cell r="AU142">
            <v>8215</v>
          </cell>
          <cell r="AV142">
            <v>10153</v>
          </cell>
          <cell r="AW142">
            <v>9175</v>
          </cell>
          <cell r="AX142">
            <v>9292</v>
          </cell>
          <cell r="AY142">
            <v>36835</v>
          </cell>
          <cell r="AZ142">
            <v>9189</v>
          </cell>
          <cell r="BA142">
            <v>10818</v>
          </cell>
          <cell r="BB142">
            <v>9620</v>
          </cell>
          <cell r="BC142">
            <v>10161</v>
          </cell>
          <cell r="BD142">
            <v>39788</v>
          </cell>
          <cell r="BE142">
            <v>9741</v>
          </cell>
          <cell r="BF142">
            <v>11837</v>
          </cell>
          <cell r="BG142">
            <v>10900</v>
          </cell>
          <cell r="BH142">
            <v>11804</v>
          </cell>
          <cell r="BI142">
            <v>44282</v>
          </cell>
          <cell r="BJ142">
            <v>10811</v>
          </cell>
          <cell r="BK142">
            <v>12542</v>
          </cell>
          <cell r="BL142">
            <v>14398</v>
          </cell>
          <cell r="BM142">
            <v>13371</v>
          </cell>
          <cell r="BN142">
            <v>51122</v>
          </cell>
          <cell r="BO142">
            <v>13762</v>
          </cell>
          <cell r="BP142">
            <v>16367</v>
          </cell>
          <cell r="BQ142">
            <v>14454</v>
          </cell>
          <cell r="BR142">
            <v>15837</v>
          </cell>
          <cell r="BS142">
            <v>60420</v>
          </cell>
          <cell r="BT142">
            <v>15061</v>
          </cell>
          <cell r="BU142">
            <v>16629</v>
          </cell>
          <cell r="BV142">
            <v>13648</v>
          </cell>
          <cell r="BW142">
            <v>13099</v>
          </cell>
          <cell r="BX142">
            <v>58437</v>
          </cell>
          <cell r="BY142">
            <v>12920</v>
          </cell>
          <cell r="BZ142">
            <v>19022</v>
          </cell>
          <cell r="CA142">
            <v>14503</v>
          </cell>
          <cell r="CB142">
            <v>16039</v>
          </cell>
          <cell r="CC142">
            <v>62484</v>
          </cell>
          <cell r="CD142">
            <v>16195</v>
          </cell>
          <cell r="CE142">
            <v>19953</v>
          </cell>
          <cell r="CF142">
            <v>16428</v>
          </cell>
          <cell r="CG142">
            <v>17367</v>
          </cell>
          <cell r="CH142">
            <v>69943</v>
          </cell>
          <cell r="CI142">
            <v>17372</v>
          </cell>
          <cell r="CJ142">
            <v>20885</v>
          </cell>
          <cell r="CK142">
            <v>17407</v>
          </cell>
          <cell r="CL142">
            <v>18059</v>
          </cell>
          <cell r="CM142">
            <v>73723</v>
          </cell>
          <cell r="CN142">
            <v>16008</v>
          </cell>
          <cell r="CO142">
            <v>21456</v>
          </cell>
          <cell r="CP142">
            <v>20489</v>
          </cell>
          <cell r="CQ142">
            <v>19896</v>
          </cell>
          <cell r="CR142">
            <v>77849</v>
          </cell>
          <cell r="CS142">
            <v>18529</v>
          </cell>
          <cell r="CT142">
            <v>24519</v>
          </cell>
          <cell r="CU142">
            <v>20403</v>
          </cell>
          <cell r="CV142">
            <v>23382</v>
          </cell>
          <cell r="CW142">
            <v>86833</v>
          </cell>
          <cell r="CX142">
            <v>23201</v>
          </cell>
          <cell r="CY142">
            <v>26470</v>
          </cell>
          <cell r="CZ142">
            <v>21729</v>
          </cell>
          <cell r="DA142">
            <v>22180</v>
          </cell>
          <cell r="DB142">
            <v>93580</v>
          </cell>
          <cell r="DC142">
            <v>20379</v>
          </cell>
          <cell r="DD142">
            <v>23796</v>
          </cell>
          <cell r="DE142">
            <v>20531</v>
          </cell>
          <cell r="DF142">
            <v>20614</v>
          </cell>
          <cell r="DG142">
            <v>85320</v>
          </cell>
          <cell r="DH142">
            <v>20121</v>
          </cell>
          <cell r="DI142">
            <v>24749</v>
          </cell>
          <cell r="DJ142">
            <v>23167</v>
          </cell>
          <cell r="DK142">
            <v>32354</v>
          </cell>
          <cell r="DL142">
            <v>100391</v>
          </cell>
          <cell r="DM142">
            <v>22732</v>
          </cell>
          <cell r="DN142">
            <v>27853</v>
          </cell>
          <cell r="DO142">
            <v>26910</v>
          </cell>
          <cell r="DP142">
            <v>38787</v>
          </cell>
          <cell r="DQ142">
            <v>116282</v>
          </cell>
          <cell r="DR142">
            <v>26643</v>
          </cell>
          <cell r="DS142">
            <v>30349</v>
          </cell>
          <cell r="DT142">
            <v>30591</v>
          </cell>
          <cell r="DU142">
            <v>42722</v>
          </cell>
          <cell r="DV142">
            <v>130305</v>
          </cell>
          <cell r="DW142">
            <v>30163</v>
          </cell>
          <cell r="DX142">
            <v>33970</v>
          </cell>
          <cell r="DY142">
            <v>34285</v>
          </cell>
          <cell r="DZ142">
            <v>46809</v>
          </cell>
          <cell r="EA142">
            <v>145227</v>
          </cell>
          <cell r="EB142">
            <v>34090</v>
          </cell>
          <cell r="EC142">
            <v>39849</v>
          </cell>
          <cell r="ED142">
            <v>41233</v>
          </cell>
          <cell r="EE142">
            <v>57549</v>
          </cell>
          <cell r="EF142">
            <v>172721</v>
          </cell>
          <cell r="EG142">
            <v>42432</v>
          </cell>
          <cell r="EH142">
            <v>47385</v>
          </cell>
          <cell r="EI142">
            <v>49151</v>
          </cell>
          <cell r="EJ142">
            <v>64411</v>
          </cell>
          <cell r="EK142">
            <v>203379</v>
          </cell>
          <cell r="EL142">
            <v>46800</v>
          </cell>
          <cell r="EM142">
            <v>47561</v>
          </cell>
          <cell r="EN142">
            <v>52676</v>
          </cell>
          <cell r="EO142">
            <v>70413</v>
          </cell>
          <cell r="EP142">
            <v>217450</v>
          </cell>
          <cell r="EQ142">
            <v>52391</v>
          </cell>
          <cell r="ER142">
            <v>56482</v>
          </cell>
          <cell r="ES142">
            <v>61213</v>
          </cell>
        </row>
        <row r="143">
          <cell r="B143" t="str">
            <v>Short term billings (revenue plus change in short term deferred revenue)</v>
          </cell>
          <cell r="C143" t="str">
            <v>ST_BILLINGS</v>
          </cell>
          <cell r="D143" t="str">
            <v>USD</v>
          </cell>
          <cell r="F143">
            <v>5937</v>
          </cell>
          <cell r="G143">
            <v>2323</v>
          </cell>
          <cell r="H143">
            <v>2690</v>
          </cell>
          <cell r="I143">
            <v>2750</v>
          </cell>
          <cell r="J143">
            <v>2815</v>
          </cell>
          <cell r="K143">
            <v>9231</v>
          </cell>
          <cell r="L143">
            <v>2639</v>
          </cell>
          <cell r="M143">
            <v>3198</v>
          </cell>
          <cell r="N143">
            <v>3948</v>
          </cell>
          <cell r="O143">
            <v>4033</v>
          </cell>
          <cell r="P143">
            <v>12216</v>
          </cell>
          <cell r="Q143">
            <v>4150</v>
          </cell>
          <cell r="R143">
            <v>4610</v>
          </cell>
          <cell r="S143">
            <v>4952</v>
          </cell>
          <cell r="T143">
            <v>5465</v>
          </cell>
          <cell r="U143">
            <v>15954</v>
          </cell>
          <cell r="V143">
            <v>5655</v>
          </cell>
          <cell r="W143">
            <v>6709</v>
          </cell>
          <cell r="X143">
            <v>6327</v>
          </cell>
          <cell r="Y143">
            <v>7115</v>
          </cell>
          <cell r="Z143">
            <v>21098</v>
          </cell>
          <cell r="AA143">
            <v>6380</v>
          </cell>
          <cell r="AB143">
            <v>6819</v>
          </cell>
          <cell r="AC143">
            <v>5920</v>
          </cell>
          <cell r="AD143">
            <v>6381</v>
          </cell>
          <cell r="AE143">
            <v>23533</v>
          </cell>
          <cell r="AF143">
            <v>6403</v>
          </cell>
          <cell r="AG143">
            <v>7415</v>
          </cell>
          <cell r="AH143">
            <v>7249</v>
          </cell>
          <cell r="AI143">
            <v>7375</v>
          </cell>
          <cell r="AJ143">
            <v>26094</v>
          </cell>
          <cell r="AK143">
            <v>7209</v>
          </cell>
          <cell r="AL143">
            <v>7917</v>
          </cell>
          <cell r="AM143">
            <v>7508</v>
          </cell>
          <cell r="AN143">
            <v>7559</v>
          </cell>
          <cell r="AO143">
            <v>28671</v>
          </cell>
          <cell r="AP143">
            <v>8738</v>
          </cell>
          <cell r="AQ143">
            <v>10051</v>
          </cell>
          <cell r="AR143">
            <v>9065</v>
          </cell>
          <cell r="AS143">
            <v>9370</v>
          </cell>
          <cell r="AT143">
            <v>33492</v>
          </cell>
          <cell r="AU143">
            <v>7994</v>
          </cell>
          <cell r="AV143">
            <v>9572</v>
          </cell>
          <cell r="AW143">
            <v>8326</v>
          </cell>
          <cell r="AX143">
            <v>8581</v>
          </cell>
          <cell r="AY143">
            <v>36124</v>
          </cell>
          <cell r="AZ143">
            <v>8718</v>
          </cell>
          <cell r="BA143">
            <v>10856</v>
          </cell>
          <cell r="BB143">
            <v>9946</v>
          </cell>
          <cell r="BC143">
            <v>11149</v>
          </cell>
          <cell r="BD143">
            <v>40776</v>
          </cell>
          <cell r="BE143">
            <v>10740</v>
          </cell>
          <cell r="BF143">
            <v>12688</v>
          </cell>
          <cell r="BG143">
            <v>11840</v>
          </cell>
          <cell r="BH143">
            <v>13440</v>
          </cell>
          <cell r="BI143">
            <v>45918</v>
          </cell>
          <cell r="BJ143">
            <v>11973</v>
          </cell>
          <cell r="BK143">
            <v>15447</v>
          </cell>
          <cell r="BL143">
            <v>15734</v>
          </cell>
          <cell r="BM143">
            <v>15012</v>
          </cell>
          <cell r="BN143">
            <v>52763</v>
          </cell>
          <cell r="BO143">
            <v>15239</v>
          </cell>
          <cell r="BP143">
            <v>16565</v>
          </cell>
          <cell r="BQ143">
            <v>16288</v>
          </cell>
          <cell r="BR143">
            <v>18455</v>
          </cell>
          <cell r="BS143">
            <v>63038</v>
          </cell>
          <cell r="BT143">
            <v>17089</v>
          </cell>
          <cell r="BU143">
            <v>17940</v>
          </cell>
          <cell r="BV143">
            <v>14187</v>
          </cell>
          <cell r="BW143">
            <v>12705</v>
          </cell>
          <cell r="BX143">
            <v>58043</v>
          </cell>
          <cell r="BY143">
            <v>14672</v>
          </cell>
          <cell r="BZ143">
            <v>18851</v>
          </cell>
          <cell r="CA143">
            <v>14750</v>
          </cell>
          <cell r="CB143">
            <v>16688</v>
          </cell>
          <cell r="CC143">
            <v>63133</v>
          </cell>
          <cell r="CD143">
            <v>15395</v>
          </cell>
          <cell r="CE143">
            <v>20655</v>
          </cell>
          <cell r="CF143">
            <v>17144</v>
          </cell>
          <cell r="CG143">
            <v>19437</v>
          </cell>
          <cell r="CH143">
            <v>72013</v>
          </cell>
          <cell r="CI143">
            <v>18950</v>
          </cell>
          <cell r="CJ143">
            <v>22807</v>
          </cell>
          <cell r="CK143">
            <v>19449</v>
          </cell>
          <cell r="CL143">
            <v>20990</v>
          </cell>
          <cell r="CM143">
            <v>76654</v>
          </cell>
          <cell r="CN143">
            <v>19958</v>
          </cell>
          <cell r="CO143">
            <v>25825</v>
          </cell>
          <cell r="CP143">
            <v>23071</v>
          </cell>
          <cell r="CQ143">
            <v>21882</v>
          </cell>
          <cell r="CR143">
            <v>79835</v>
          </cell>
          <cell r="CS143">
            <v>18819</v>
          </cell>
          <cell r="CT143">
            <v>23781</v>
          </cell>
          <cell r="CU143">
            <v>21562</v>
          </cell>
          <cell r="CV143">
            <v>25893</v>
          </cell>
          <cell r="CW143">
            <v>89344</v>
          </cell>
          <cell r="CX143">
            <v>25329</v>
          </cell>
          <cell r="CY143">
            <v>28046</v>
          </cell>
          <cell r="CZ143">
            <v>22291</v>
          </cell>
          <cell r="DA143">
            <v>22253</v>
          </cell>
          <cell r="DB143">
            <v>93653</v>
          </cell>
          <cell r="DC143">
            <v>21269</v>
          </cell>
          <cell r="DD143">
            <v>25533</v>
          </cell>
          <cell r="DE143">
            <v>23175</v>
          </cell>
          <cell r="DF143">
            <v>24859</v>
          </cell>
          <cell r="DG143">
            <v>89565</v>
          </cell>
          <cell r="DH143">
            <v>18978</v>
          </cell>
          <cell r="DI143">
            <v>22963</v>
          </cell>
          <cell r="DJ143">
            <v>20472</v>
          </cell>
          <cell r="DK143">
            <v>22150</v>
          </cell>
          <cell r="DL143">
            <v>93116</v>
          </cell>
          <cell r="DM143">
            <v>28663</v>
          </cell>
          <cell r="DN143">
            <v>32161</v>
          </cell>
          <cell r="DO143">
            <v>30053</v>
          </cell>
          <cell r="DP143">
            <v>34977</v>
          </cell>
          <cell r="DQ143">
            <v>115252</v>
          </cell>
          <cell r="DR143">
            <v>33010</v>
          </cell>
          <cell r="DS143">
            <v>35447</v>
          </cell>
          <cell r="DT143">
            <v>33452</v>
          </cell>
          <cell r="DU143">
            <v>37488</v>
          </cell>
          <cell r="DV143">
            <v>129614</v>
          </cell>
          <cell r="DW143">
            <v>36255</v>
          </cell>
          <cell r="DX143">
            <v>39964</v>
          </cell>
          <cell r="DY143">
            <v>37782</v>
          </cell>
          <cell r="DZ143">
            <v>41357</v>
          </cell>
          <cell r="EA143">
            <v>146339</v>
          </cell>
          <cell r="EB143">
            <v>40726</v>
          </cell>
          <cell r="EC143">
            <v>46135</v>
          </cell>
          <cell r="ED143">
            <v>44777</v>
          </cell>
          <cell r="EE143">
            <v>51677</v>
          </cell>
          <cell r="EF143">
            <v>173613</v>
          </cell>
          <cell r="EG143">
            <v>50306</v>
          </cell>
          <cell r="EH143">
            <v>55327</v>
          </cell>
          <cell r="EI143">
            <v>53304</v>
          </cell>
          <cell r="EJ143">
            <v>55878</v>
          </cell>
          <cell r="EK143">
            <v>202283</v>
          </cell>
          <cell r="EL143">
            <v>52997</v>
          </cell>
          <cell r="EM143">
            <v>55728</v>
          </cell>
          <cell r="EN143">
            <v>55733</v>
          </cell>
          <cell r="EO143">
            <v>61552</v>
          </cell>
          <cell r="EP143">
            <v>217278</v>
          </cell>
          <cell r="EQ143">
            <v>61606</v>
          </cell>
          <cell r="ER143">
            <v>68106</v>
          </cell>
          <cell r="ES143">
            <v>66843</v>
          </cell>
          <cell r="ET143">
            <v>69485.826469703694</v>
          </cell>
          <cell r="EU143">
            <v>249880.82646970401</v>
          </cell>
          <cell r="EV143">
            <v>70335.438369105294</v>
          </cell>
          <cell r="EW143">
            <v>74253.739938190003</v>
          </cell>
          <cell r="EX143">
            <v>74125.751979937006</v>
          </cell>
          <cell r="EY143">
            <v>78974.268066571196</v>
          </cell>
          <cell r="EZ143">
            <v>285864.54835380299</v>
          </cell>
          <cell r="FA143">
            <v>79610.646176820097</v>
          </cell>
          <cell r="FB143">
            <v>84066.9814831447</v>
          </cell>
          <cell r="FC143">
            <v>84075.916447055701</v>
          </cell>
          <cell r="FD143">
            <v>89746.011216392901</v>
          </cell>
          <cell r="FE143">
            <v>324610.68682341301</v>
          </cell>
        </row>
        <row r="144">
          <cell r="B144" t="str">
            <v>Remaining performance obligations</v>
          </cell>
          <cell r="C144" t="str">
            <v>REM_PERF_OBLIG</v>
          </cell>
          <cell r="D144" t="str">
            <v>USD</v>
          </cell>
          <cell r="DM144">
            <v>59000</v>
          </cell>
          <cell r="DN144">
            <v>61000</v>
          </cell>
          <cell r="DO144">
            <v>61000</v>
          </cell>
          <cell r="DP144">
            <v>73000</v>
          </cell>
          <cell r="DQ144">
            <v>73000</v>
          </cell>
          <cell r="DR144">
            <v>71000</v>
          </cell>
          <cell r="DS144">
            <v>72000</v>
          </cell>
          <cell r="DT144">
            <v>75000</v>
          </cell>
          <cell r="DU144">
            <v>91000</v>
          </cell>
          <cell r="DV144">
            <v>91000</v>
          </cell>
          <cell r="DW144">
            <v>89000</v>
          </cell>
          <cell r="DX144">
            <v>93000</v>
          </cell>
          <cell r="DY144">
            <v>93000</v>
          </cell>
          <cell r="DZ144">
            <v>111000</v>
          </cell>
          <cell r="EA144">
            <v>111000</v>
          </cell>
          <cell r="EB144">
            <v>111000</v>
          </cell>
          <cell r="EC144">
            <v>117000</v>
          </cell>
          <cell r="ED144">
            <v>121000</v>
          </cell>
          <cell r="EE144">
            <v>146000</v>
          </cell>
          <cell r="EF144">
            <v>146000</v>
          </cell>
          <cell r="EG144">
            <v>142000</v>
          </cell>
          <cell r="EH144">
            <v>152000</v>
          </cell>
          <cell r="EI144">
            <v>160000</v>
          </cell>
          <cell r="EJ144">
            <v>193000</v>
          </cell>
          <cell r="EK144">
            <v>193000</v>
          </cell>
          <cell r="EL144">
            <v>183000</v>
          </cell>
          <cell r="EM144">
            <v>193000</v>
          </cell>
          <cell r="EN144">
            <v>201000</v>
          </cell>
          <cell r="EO144">
            <v>229000</v>
          </cell>
          <cell r="EP144">
            <v>229000</v>
          </cell>
          <cell r="EQ144">
            <v>216000</v>
          </cell>
          <cell r="ER144">
            <v>229000</v>
          </cell>
          <cell r="ES144">
            <v>242000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</row>
        <row r="145">
          <cell r="B145" t="str">
            <v>Current remaining performance obligations</v>
          </cell>
          <cell r="C145" t="str">
            <v>CUR_REM_PERF_OBLIG</v>
          </cell>
          <cell r="D145" t="str">
            <v>USD</v>
          </cell>
          <cell r="DM145">
            <v>35400</v>
          </cell>
          <cell r="DN145">
            <v>36600</v>
          </cell>
          <cell r="DO145">
            <v>36600</v>
          </cell>
          <cell r="DP145">
            <v>43800</v>
          </cell>
          <cell r="DQ145">
            <v>43800</v>
          </cell>
          <cell r="DR145">
            <v>42600</v>
          </cell>
          <cell r="DS145">
            <v>43200</v>
          </cell>
          <cell r="DT145">
            <v>41250</v>
          </cell>
          <cell r="DU145">
            <v>45500</v>
          </cell>
          <cell r="DV145">
            <v>45500</v>
          </cell>
          <cell r="DW145">
            <v>44500</v>
          </cell>
          <cell r="DX145">
            <v>46500</v>
          </cell>
          <cell r="DY145">
            <v>46500</v>
          </cell>
          <cell r="DZ145">
            <v>55500</v>
          </cell>
          <cell r="EA145">
            <v>55500</v>
          </cell>
          <cell r="EB145">
            <v>55500</v>
          </cell>
          <cell r="EC145">
            <v>58500</v>
          </cell>
          <cell r="ED145">
            <v>60500</v>
          </cell>
          <cell r="EE145">
            <v>73000</v>
          </cell>
          <cell r="EF145">
            <v>73000</v>
          </cell>
          <cell r="EG145">
            <v>71000</v>
          </cell>
          <cell r="EH145">
            <v>68400</v>
          </cell>
          <cell r="EI145">
            <v>80000</v>
          </cell>
          <cell r="EJ145">
            <v>86850</v>
          </cell>
          <cell r="EK145">
            <v>86850</v>
          </cell>
          <cell r="EL145">
            <v>82350</v>
          </cell>
          <cell r="EM145">
            <v>86850</v>
          </cell>
          <cell r="EN145">
            <v>90450</v>
          </cell>
          <cell r="EO145">
            <v>103050</v>
          </cell>
          <cell r="EP145">
            <v>103050</v>
          </cell>
          <cell r="EQ145">
            <v>97200</v>
          </cell>
          <cell r="ER145">
            <v>103050</v>
          </cell>
          <cell r="ES145">
            <v>108900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</row>
        <row r="146">
          <cell r="B146" t="str">
            <v>Segment revenue name 1</v>
          </cell>
          <cell r="C146" t="str">
            <v>SEGMENT1_REV_NAME</v>
          </cell>
        </row>
        <row r="147">
          <cell r="B147" t="str">
            <v>Segment revenue value 1</v>
          </cell>
          <cell r="C147" t="str">
            <v>SEGMENT1_REV_VALUE</v>
          </cell>
          <cell r="D147" t="str">
            <v>USD</v>
          </cell>
        </row>
        <row r="148">
          <cell r="B148" t="str">
            <v>Segment revenue name 2</v>
          </cell>
          <cell r="C148" t="str">
            <v>SEGMENT2_REV_NAME</v>
          </cell>
        </row>
        <row r="149">
          <cell r="B149" t="str">
            <v>Segment revenue value 2</v>
          </cell>
          <cell r="C149" t="str">
            <v>SEGMENT2_REV_VALUE</v>
          </cell>
          <cell r="D149" t="str">
            <v>USD</v>
          </cell>
        </row>
        <row r="150">
          <cell r="B150" t="str">
            <v>Segment revenue name 3</v>
          </cell>
          <cell r="C150" t="str">
            <v>SEGMENT3_REV_NAME</v>
          </cell>
        </row>
        <row r="151">
          <cell r="B151" t="str">
            <v>Segment revenue value 3</v>
          </cell>
          <cell r="C151" t="str">
            <v>SEGMENT3_REV_VALUE</v>
          </cell>
          <cell r="D151" t="str">
            <v>USD</v>
          </cell>
        </row>
        <row r="152">
          <cell r="B152" t="str">
            <v>Segment revenue name 4</v>
          </cell>
          <cell r="C152" t="str">
            <v>SEGMENT4_REV_NAME</v>
          </cell>
        </row>
        <row r="153">
          <cell r="B153" t="str">
            <v>Segment revenue value 4</v>
          </cell>
          <cell r="C153" t="str">
            <v>SEGMENT4_REV_VALUE</v>
          </cell>
          <cell r="D153" t="str">
            <v>USD</v>
          </cell>
        </row>
        <row r="154">
          <cell r="B154" t="str">
            <v>Segment revenue name 5</v>
          </cell>
          <cell r="C154" t="str">
            <v>SEGMENT5_REV_NAME</v>
          </cell>
        </row>
        <row r="155">
          <cell r="B155" t="str">
            <v>Segment revenue value 5</v>
          </cell>
          <cell r="C155" t="str">
            <v>SEGMENT5_REV_VALUE</v>
          </cell>
          <cell r="D155" t="str">
            <v>USD</v>
          </cell>
        </row>
        <row r="156">
          <cell r="B156" t="str">
            <v>Segment revenue name 6</v>
          </cell>
          <cell r="C156" t="str">
            <v>SEGMENT6_REV_NAME</v>
          </cell>
        </row>
        <row r="157">
          <cell r="B157" t="str">
            <v>Segment revenue value 6</v>
          </cell>
          <cell r="C157" t="str">
            <v>SEGMENT6_REV_VALUE</v>
          </cell>
          <cell r="D157" t="str">
            <v>USD</v>
          </cell>
        </row>
        <row r="158">
          <cell r="B158" t="str">
            <v>Segment revenue name 7</v>
          </cell>
          <cell r="C158" t="str">
            <v>SEGMENT7_REV_NAME</v>
          </cell>
        </row>
        <row r="159">
          <cell r="B159" t="str">
            <v>Segment revenue value 7</v>
          </cell>
          <cell r="C159" t="str">
            <v>SEGMENT7_REV_VALUE</v>
          </cell>
          <cell r="D159" t="str">
            <v>USD</v>
          </cell>
        </row>
        <row r="160">
          <cell r="B160" t="str">
            <v>Segment revenue name 8</v>
          </cell>
          <cell r="C160" t="str">
            <v>SEGMENT8_REV_NAME</v>
          </cell>
        </row>
        <row r="161">
          <cell r="B161" t="str">
            <v>Segment revenue value 8</v>
          </cell>
          <cell r="C161" t="str">
            <v>SEGMENT8_REV_VALUE</v>
          </cell>
          <cell r="D161" t="str">
            <v>USD</v>
          </cell>
        </row>
        <row r="162">
          <cell r="B162" t="str">
            <v>Segment revenue name 9</v>
          </cell>
          <cell r="C162" t="str">
            <v>SEGMENT9_REV_NAME</v>
          </cell>
        </row>
        <row r="163">
          <cell r="B163" t="str">
            <v>Segment revenue value 9</v>
          </cell>
          <cell r="C163" t="str">
            <v>SEGMENT9_REV_VALUE</v>
          </cell>
          <cell r="D163" t="str">
            <v>USD</v>
          </cell>
        </row>
        <row r="164">
          <cell r="B164" t="str">
            <v>Segment revenue name 10</v>
          </cell>
          <cell r="C164" t="str">
            <v>SEGMENT10_REV_NAME</v>
          </cell>
        </row>
        <row r="165">
          <cell r="B165" t="str">
            <v>Segment revenue value 10</v>
          </cell>
          <cell r="C165" t="str">
            <v>SEGMENT10_REV_VALUE</v>
          </cell>
          <cell r="D165" t="str">
            <v>USD</v>
          </cell>
        </row>
        <row r="166">
          <cell r="A166" t="str">
            <v>Geographical Breakdown</v>
          </cell>
        </row>
        <row r="167">
          <cell r="B167" t="str">
            <v>Sales - % Canada</v>
          </cell>
          <cell r="C167" t="str">
            <v>SALES_CANADA</v>
          </cell>
        </row>
        <row r="168">
          <cell r="B168" t="str">
            <v>Sales - % United States</v>
          </cell>
          <cell r="C168" t="str">
            <v>SALES_US</v>
          </cell>
          <cell r="DH168">
            <v>0.51144655235299996</v>
          </cell>
          <cell r="DI168">
            <v>0.54654224424999998</v>
          </cell>
          <cell r="DJ168">
            <v>0.52981216612100002</v>
          </cell>
          <cell r="DK168">
            <v>0.52528802968199995</v>
          </cell>
          <cell r="DL168">
            <v>0.528916548446</v>
          </cell>
          <cell r="DM168">
            <v>0.51051430434400003</v>
          </cell>
          <cell r="DN168">
            <v>0.52251193028599996</v>
          </cell>
          <cell r="DO168">
            <v>0.50177113240600002</v>
          </cell>
          <cell r="DP168">
            <v>0.49300315771999997</v>
          </cell>
          <cell r="DQ168">
            <v>0.50675969554199995</v>
          </cell>
          <cell r="DR168">
            <v>0.50680786686799995</v>
          </cell>
          <cell r="DS168">
            <v>0.51698438606800001</v>
          </cell>
          <cell r="DT168">
            <v>0.50282947891800001</v>
          </cell>
          <cell r="DU168">
            <v>0.51309428478200003</v>
          </cell>
          <cell r="DV168">
            <v>0.51015153802799995</v>
          </cell>
          <cell r="DW168">
            <v>0.52246256239599997</v>
          </cell>
          <cell r="DX168">
            <v>0.51885872215899997</v>
          </cell>
          <cell r="DY168">
            <v>0.49764427058100003</v>
          </cell>
          <cell r="DZ168">
            <v>0.50779586148900002</v>
          </cell>
          <cell r="EA168">
            <v>0.51155473202099999</v>
          </cell>
          <cell r="EB168">
            <v>0.51205792108500003</v>
          </cell>
          <cell r="EC168">
            <v>0.50691800538599996</v>
          </cell>
          <cell r="ED168">
            <v>0.48849086462399999</v>
          </cell>
          <cell r="EE168">
            <v>0.49226469058799999</v>
          </cell>
          <cell r="EF168">
            <v>0.49945861691499999</v>
          </cell>
          <cell r="EG168">
            <v>0.50378445175099995</v>
          </cell>
          <cell r="EH168">
            <v>0.51157980204099995</v>
          </cell>
          <cell r="EI168">
            <v>0.50184359805500001</v>
          </cell>
          <cell r="EJ168">
            <v>0.50427070278599995</v>
          </cell>
          <cell r="EK168">
            <v>0.50546224844900001</v>
          </cell>
          <cell r="EL168">
            <v>0.51608076293799998</v>
          </cell>
          <cell r="EM168">
            <v>0.511422450566</v>
          </cell>
          <cell r="EN168">
            <v>0.49202565412299998</v>
          </cell>
          <cell r="EO168">
            <v>0.49643168591699999</v>
          </cell>
          <cell r="EP168">
            <v>0.50371139371899998</v>
          </cell>
          <cell r="EQ168">
            <v>0.50979351345599999</v>
          </cell>
          <cell r="ER168">
            <v>0.52071912286400002</v>
          </cell>
          <cell r="ES168">
            <v>0.50821235733500003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</row>
        <row r="169">
          <cell r="B169" t="str">
            <v>Sales - % Other North Americas</v>
          </cell>
          <cell r="C169" t="str">
            <v>SALES_OTH_NO_AMER</v>
          </cell>
        </row>
        <row r="170">
          <cell r="B170" t="str">
            <v>Sales - % Argentina</v>
          </cell>
          <cell r="C170" t="str">
            <v>SALES_ARGENTINA</v>
          </cell>
        </row>
        <row r="171">
          <cell r="B171" t="str">
            <v>Sales - % Brazil</v>
          </cell>
          <cell r="C171" t="str">
            <v>SALES_BRAZIL</v>
          </cell>
        </row>
        <row r="172">
          <cell r="B172" t="str">
            <v>Sales - % Chile</v>
          </cell>
          <cell r="C172" t="str">
            <v>SALES_CHILE</v>
          </cell>
        </row>
        <row r="173">
          <cell r="B173" t="str">
            <v>Sales - % Colombia</v>
          </cell>
          <cell r="C173" t="str">
            <v>SALES_COLOMBIA</v>
          </cell>
        </row>
        <row r="174">
          <cell r="B174" t="str">
            <v>Sales - % Mexico</v>
          </cell>
          <cell r="C174" t="str">
            <v>SALES_MEXICO</v>
          </cell>
        </row>
        <row r="175">
          <cell r="B175" t="str">
            <v>Sales - % Venezuela</v>
          </cell>
          <cell r="C175" t="str">
            <v>SALES_VENEZUELA</v>
          </cell>
        </row>
        <row r="176">
          <cell r="B176" t="str">
            <v>Sales - % Other Latin Americas</v>
          </cell>
          <cell r="C176" t="str">
            <v>SALES_OTH_LATAM</v>
          </cell>
        </row>
        <row r="177">
          <cell r="B177" t="str">
            <v>Sales - % Austria</v>
          </cell>
          <cell r="C177" t="str">
            <v>SALES_AUSTRIA</v>
          </cell>
        </row>
        <row r="178">
          <cell r="B178" t="str">
            <v>Sales - % Belgium</v>
          </cell>
          <cell r="C178" t="str">
            <v>SALES_BEL</v>
          </cell>
        </row>
        <row r="179">
          <cell r="B179" t="str">
            <v>Sales - % France</v>
          </cell>
          <cell r="C179" t="str">
            <v>SALES_FRA</v>
          </cell>
        </row>
        <row r="180">
          <cell r="B180" t="str">
            <v>Sales - % Germany</v>
          </cell>
          <cell r="C180" t="str">
            <v>SALES_GER</v>
          </cell>
        </row>
        <row r="181">
          <cell r="B181" t="str">
            <v>Sales - % Greece</v>
          </cell>
          <cell r="C181" t="str">
            <v>SALES_GRE</v>
          </cell>
        </row>
        <row r="182">
          <cell r="B182" t="str">
            <v>Sales - % Ireland</v>
          </cell>
          <cell r="C182" t="str">
            <v>SALES_IRE</v>
          </cell>
        </row>
        <row r="183">
          <cell r="B183" t="str">
            <v>Sales - % Italy</v>
          </cell>
          <cell r="C183" t="str">
            <v>SALES_ITA</v>
          </cell>
        </row>
        <row r="184">
          <cell r="B184" t="str">
            <v>Sales - % Netherlands</v>
          </cell>
          <cell r="C184" t="str">
            <v>SALES_NETH</v>
          </cell>
        </row>
        <row r="185">
          <cell r="B185" t="str">
            <v>Sales - % Norway</v>
          </cell>
          <cell r="C185" t="str">
            <v>SALES_NOR</v>
          </cell>
        </row>
        <row r="186">
          <cell r="B186" t="str">
            <v>Sales - % Portugal</v>
          </cell>
          <cell r="C186" t="str">
            <v>SALES_POR</v>
          </cell>
        </row>
        <row r="187">
          <cell r="B187" t="str">
            <v>Sales - % Spain</v>
          </cell>
          <cell r="C187" t="str">
            <v>SALES_SPA</v>
          </cell>
        </row>
        <row r="188">
          <cell r="B188" t="str">
            <v>Sales - % Sweden</v>
          </cell>
          <cell r="C188" t="str">
            <v>SALES_SWE</v>
          </cell>
        </row>
        <row r="189">
          <cell r="B189" t="str">
            <v>Sales - % Switzerland</v>
          </cell>
          <cell r="C189" t="str">
            <v>SALES_SWIT</v>
          </cell>
        </row>
        <row r="190">
          <cell r="B190" t="str">
            <v>Sales - % UK</v>
          </cell>
          <cell r="C190" t="str">
            <v>SALES_UK</v>
          </cell>
        </row>
        <row r="191">
          <cell r="B191" t="str">
            <v>Sales - % Other Western Europe</v>
          </cell>
          <cell r="C191" t="str">
            <v>SALES_OTH_WEST_EURO</v>
          </cell>
        </row>
        <row r="192">
          <cell r="B192" t="str">
            <v>Sales - % Poland</v>
          </cell>
          <cell r="C192" t="str">
            <v>SALES_POLAND</v>
          </cell>
        </row>
        <row r="193">
          <cell r="B193" t="str">
            <v>Sales - % Russia</v>
          </cell>
          <cell r="C193" t="str">
            <v>SALES_RUSSIA</v>
          </cell>
        </row>
        <row r="194">
          <cell r="B194" t="str">
            <v>Sales - % Turkey</v>
          </cell>
          <cell r="C194" t="str">
            <v>SALES_TURKEY</v>
          </cell>
        </row>
        <row r="195">
          <cell r="B195" t="str">
            <v>Sales - % Other CEE</v>
          </cell>
          <cell r="C195" t="str">
            <v>SALES_OTH_CEE</v>
          </cell>
        </row>
        <row r="196">
          <cell r="B196" t="str">
            <v>Sales - % Saudi Arabia</v>
          </cell>
          <cell r="C196" t="str">
            <v>SALES_SAUDI_ARABIA</v>
          </cell>
        </row>
        <row r="197">
          <cell r="B197" t="str">
            <v>Sales - % United Arab Emirates</v>
          </cell>
          <cell r="C197" t="str">
            <v>SALES_UAE</v>
          </cell>
        </row>
        <row r="198">
          <cell r="B198" t="str">
            <v>Sales - % Other Middle East</v>
          </cell>
          <cell r="C198" t="str">
            <v>SALES_OTH_ME</v>
          </cell>
        </row>
        <row r="199">
          <cell r="B199" t="str">
            <v>Sales - % Nigeria</v>
          </cell>
          <cell r="C199" t="str">
            <v>SALES_NIGERIA</v>
          </cell>
        </row>
        <row r="200">
          <cell r="B200" t="str">
            <v>Sales - % South Africa</v>
          </cell>
          <cell r="C200" t="str">
            <v>SALES_SO_AFRICA</v>
          </cell>
        </row>
        <row r="201">
          <cell r="B201" t="str">
            <v>Sales - % Other Africa</v>
          </cell>
          <cell r="C201" t="str">
            <v>SALES_OTH_AFRICA</v>
          </cell>
        </row>
        <row r="202">
          <cell r="B202" t="str">
            <v>Sales - % Hong Kong</v>
          </cell>
          <cell r="C202" t="str">
            <v>SALES_HONG_KONG</v>
          </cell>
        </row>
        <row r="203">
          <cell r="B203" t="str">
            <v>Sales - % Japan</v>
          </cell>
          <cell r="C203" t="str">
            <v>SALES_JAPAN</v>
          </cell>
        </row>
        <row r="204">
          <cell r="B204" t="str">
            <v>Sales - % Singapore</v>
          </cell>
          <cell r="C204" t="str">
            <v>SALES_SINGAPORE</v>
          </cell>
        </row>
        <row r="205">
          <cell r="B205" t="str">
            <v>Sales - % South Korea</v>
          </cell>
          <cell r="C205" t="str">
            <v>SALES_SK</v>
          </cell>
        </row>
        <row r="206">
          <cell r="B206" t="str">
            <v>Sales - % Taiwan</v>
          </cell>
          <cell r="C206" t="str">
            <v>SALES_TAIWAN</v>
          </cell>
        </row>
        <row r="207">
          <cell r="B207" t="str">
            <v>Sales - % Other Developed Asia</v>
          </cell>
          <cell r="C207" t="str">
            <v>SALES_OTH_DEV_ASIA</v>
          </cell>
        </row>
        <row r="208">
          <cell r="B208" t="str">
            <v>Sales - % China</v>
          </cell>
          <cell r="C208" t="str">
            <v>SALES_CHINA</v>
          </cell>
        </row>
        <row r="209">
          <cell r="B209" t="str">
            <v>Sales - % India</v>
          </cell>
          <cell r="C209" t="str">
            <v>SALES_INDIA</v>
          </cell>
        </row>
        <row r="210">
          <cell r="B210" t="str">
            <v>Sales - % Indonesia</v>
          </cell>
          <cell r="C210" t="str">
            <v>SALES_INDONESIA</v>
          </cell>
        </row>
        <row r="211">
          <cell r="B211" t="str">
            <v>Sales - % Thailand</v>
          </cell>
          <cell r="C211" t="str">
            <v>SALES_THAILAND</v>
          </cell>
        </row>
        <row r="212">
          <cell r="B212" t="str">
            <v>Sales - % Other Emerging Asia</v>
          </cell>
          <cell r="C212" t="str">
            <v>SALES_OTH_EMERG_ASIA</v>
          </cell>
        </row>
        <row r="213">
          <cell r="B213" t="str">
            <v>Sales - % Australia</v>
          </cell>
          <cell r="C213" t="str">
            <v>SALES_AUSTRA</v>
          </cell>
        </row>
        <row r="214">
          <cell r="B214" t="str">
            <v>Sales - % New Zealand</v>
          </cell>
          <cell r="C214" t="str">
            <v>SALES_NZ</v>
          </cell>
        </row>
        <row r="215">
          <cell r="B215" t="str">
            <v>Sales - % Others</v>
          </cell>
          <cell r="C215" t="str">
            <v>SALES_OTHER</v>
          </cell>
          <cell r="DH215">
            <v>0.48855344764699998</v>
          </cell>
          <cell r="DI215">
            <v>0.45345775575000002</v>
          </cell>
          <cell r="DJ215">
            <v>0.47018783387899998</v>
          </cell>
          <cell r="DK215">
            <v>0.474711970318</v>
          </cell>
          <cell r="DL215">
            <v>0.471083451554</v>
          </cell>
          <cell r="DM215">
            <v>0.48948569565599997</v>
          </cell>
          <cell r="DN215">
            <v>0.47748806971399999</v>
          </cell>
          <cell r="DO215">
            <v>0.49822886759399998</v>
          </cell>
          <cell r="DP215">
            <v>0.50699684227999997</v>
          </cell>
          <cell r="DQ215">
            <v>0.49324030445799999</v>
          </cell>
          <cell r="DR215">
            <v>0.493192133132</v>
          </cell>
          <cell r="DS215">
            <v>0.48301561393199999</v>
          </cell>
          <cell r="DT215">
            <v>0.49717052108199999</v>
          </cell>
          <cell r="DU215">
            <v>0.48690571521800002</v>
          </cell>
          <cell r="DV215">
            <v>0.48984846197199999</v>
          </cell>
          <cell r="DW215">
            <v>0.47753743760400003</v>
          </cell>
          <cell r="DX215">
            <v>0.48114127784100003</v>
          </cell>
          <cell r="DY215">
            <v>0.50235572941899997</v>
          </cell>
          <cell r="DZ215">
            <v>0.49220413851099998</v>
          </cell>
          <cell r="EA215">
            <v>0.48844526797900001</v>
          </cell>
          <cell r="EB215">
            <v>0.48794207891500002</v>
          </cell>
          <cell r="EC215">
            <v>0.49308199461399999</v>
          </cell>
          <cell r="ED215">
            <v>0.51150913537599996</v>
          </cell>
          <cell r="EE215">
            <v>0.50773530941199996</v>
          </cell>
          <cell r="EF215">
            <v>0.50054138308499996</v>
          </cell>
          <cell r="EG215">
            <v>0.49621554824899999</v>
          </cell>
          <cell r="EH215">
            <v>0.48842019795899999</v>
          </cell>
          <cell r="EI215">
            <v>0.49815640194499999</v>
          </cell>
          <cell r="EJ215">
            <v>0.495729297214</v>
          </cell>
          <cell r="EK215">
            <v>0.49453775155099999</v>
          </cell>
          <cell r="EL215">
            <v>0.48391923706200002</v>
          </cell>
          <cell r="EM215">
            <v>0.488577549434</v>
          </cell>
          <cell r="EN215">
            <v>0.50797434587699997</v>
          </cell>
          <cell r="EO215">
            <v>0.50356831408299996</v>
          </cell>
          <cell r="EP215">
            <v>0.49628860628100002</v>
          </cell>
          <cell r="EQ215">
            <v>0.49020648654400001</v>
          </cell>
          <cell r="ER215">
            <v>0.47928087713599998</v>
          </cell>
          <cell r="ES215">
            <v>0.49178764266500002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</row>
        <row r="216">
          <cell r="B216" t="str">
            <v>% of CoGS from U.S. (GS estimate)</v>
          </cell>
          <cell r="C216" t="str">
            <v>COGS_PCT_US</v>
          </cell>
          <cell r="F216">
            <v>0.55000000000000004</v>
          </cell>
          <cell r="G216">
            <v>0.55000000000000004</v>
          </cell>
          <cell r="H216">
            <v>0.55000000000000004</v>
          </cell>
          <cell r="I216">
            <v>0.55000000000000004</v>
          </cell>
          <cell r="J216">
            <v>0.55000000000000004</v>
          </cell>
          <cell r="K216">
            <v>0.55000000000000004</v>
          </cell>
          <cell r="L216">
            <v>0.55000000000000004</v>
          </cell>
          <cell r="M216">
            <v>0.55000000000000004</v>
          </cell>
          <cell r="N216">
            <v>0.55000000000000004</v>
          </cell>
          <cell r="O216">
            <v>0.55000000000000004</v>
          </cell>
          <cell r="P216">
            <v>0.55000000000000004</v>
          </cell>
          <cell r="Q216">
            <v>0.55000000000000004</v>
          </cell>
          <cell r="R216">
            <v>0.55000000000000004</v>
          </cell>
          <cell r="S216">
            <v>0.55000000000000004</v>
          </cell>
          <cell r="T216">
            <v>0.55000000000000004</v>
          </cell>
          <cell r="U216">
            <v>0.55000000000000004</v>
          </cell>
          <cell r="V216">
            <v>0.55000000000000004</v>
          </cell>
          <cell r="W216">
            <v>0.55000000000000004</v>
          </cell>
          <cell r="X216">
            <v>0.55000000000000004</v>
          </cell>
          <cell r="Y216">
            <v>0.55000000000000004</v>
          </cell>
          <cell r="Z216">
            <v>0.55000000000000004</v>
          </cell>
          <cell r="AA216">
            <v>0.55000000000000004</v>
          </cell>
          <cell r="AB216">
            <v>0.55000000000000004</v>
          </cell>
          <cell r="AC216">
            <v>0.55000000000000004</v>
          </cell>
          <cell r="AD216">
            <v>0.55000000000000004</v>
          </cell>
          <cell r="AE216">
            <v>0.55000000000000004</v>
          </cell>
          <cell r="AF216">
            <v>0.55000000000000004</v>
          </cell>
          <cell r="AG216">
            <v>0.55000000000000004</v>
          </cell>
          <cell r="AH216">
            <v>0.55000000000000004</v>
          </cell>
          <cell r="AI216">
            <v>0.55000000000000004</v>
          </cell>
          <cell r="AJ216">
            <v>0.55000000000000004</v>
          </cell>
          <cell r="AK216">
            <v>0.55000000000000004</v>
          </cell>
          <cell r="AL216">
            <v>0.55000000000000004</v>
          </cell>
          <cell r="AM216">
            <v>0.55000000000000004</v>
          </cell>
          <cell r="AN216">
            <v>0.55000000000000004</v>
          </cell>
          <cell r="AO216">
            <v>0.55000000000000004</v>
          </cell>
          <cell r="AP216">
            <v>0.55000000000000004</v>
          </cell>
          <cell r="AQ216">
            <v>0.55000000000000004</v>
          </cell>
          <cell r="AR216">
            <v>0.55000000000000004</v>
          </cell>
          <cell r="AS216">
            <v>0.55000000000000004</v>
          </cell>
          <cell r="AT216">
            <v>0.55000000000000004</v>
          </cell>
          <cell r="AU216">
            <v>0.55000000000000004</v>
          </cell>
          <cell r="AV216">
            <v>0.55000000000000004</v>
          </cell>
          <cell r="AW216">
            <v>0.55000000000000004</v>
          </cell>
          <cell r="AX216">
            <v>0.55000000000000004</v>
          </cell>
          <cell r="AY216">
            <v>0.55000000000000004</v>
          </cell>
          <cell r="AZ216">
            <v>0.55000000000000004</v>
          </cell>
          <cell r="BA216">
            <v>0.55000000000000004</v>
          </cell>
          <cell r="BB216">
            <v>0.55000000000000004</v>
          </cell>
          <cell r="BC216">
            <v>0.55000000000000004</v>
          </cell>
          <cell r="BD216">
            <v>0.55000000000000004</v>
          </cell>
          <cell r="BE216">
            <v>0.55000000000000004</v>
          </cell>
          <cell r="BF216">
            <v>0.55000000000000004</v>
          </cell>
          <cell r="BG216">
            <v>0.55000000000000004</v>
          </cell>
          <cell r="BH216">
            <v>0.55000000000000004</v>
          </cell>
          <cell r="BI216">
            <v>0.55000000000000004</v>
          </cell>
          <cell r="BJ216">
            <v>0.55000000000000004</v>
          </cell>
          <cell r="BK216">
            <v>0.55000000000000004</v>
          </cell>
          <cell r="BL216">
            <v>0.55000000000000004</v>
          </cell>
          <cell r="BM216">
            <v>0.55000000000000004</v>
          </cell>
          <cell r="BN216">
            <v>0.55000000000000004</v>
          </cell>
          <cell r="BO216">
            <v>0.55000000000000004</v>
          </cell>
          <cell r="BP216">
            <v>0.55000000000000004</v>
          </cell>
          <cell r="BQ216">
            <v>0.55000000000000004</v>
          </cell>
          <cell r="BR216">
            <v>0.55000000000000004</v>
          </cell>
          <cell r="BS216">
            <v>0.55000000000000004</v>
          </cell>
          <cell r="BT216">
            <v>0.55000000000000004</v>
          </cell>
          <cell r="BU216">
            <v>0.55000000000000004</v>
          </cell>
          <cell r="BV216">
            <v>0.55000000000000004</v>
          </cell>
          <cell r="BW216">
            <v>0.55000000000000004</v>
          </cell>
          <cell r="BX216">
            <v>0.55000000000000004</v>
          </cell>
          <cell r="BY216">
            <v>0.55000000000000004</v>
          </cell>
          <cell r="BZ216">
            <v>0.55000000000000004</v>
          </cell>
          <cell r="CA216">
            <v>0.55000000000000004</v>
          </cell>
          <cell r="CB216">
            <v>0.55000000000000004</v>
          </cell>
          <cell r="CC216">
            <v>0.55000000000000004</v>
          </cell>
          <cell r="CD216">
            <v>0.55000000000000004</v>
          </cell>
          <cell r="CE216">
            <v>0.55000000000000004</v>
          </cell>
          <cell r="CF216">
            <v>0.55000000000000004</v>
          </cell>
          <cell r="CG216">
            <v>0.55000000000000004</v>
          </cell>
          <cell r="CH216">
            <v>0.55000000000000004</v>
          </cell>
          <cell r="CI216">
            <v>0.55000000000000004</v>
          </cell>
          <cell r="CJ216">
            <v>0.55000000000000004</v>
          </cell>
          <cell r="CK216">
            <v>0.55000000000000004</v>
          </cell>
          <cell r="CL216">
            <v>0.55000000000000004</v>
          </cell>
          <cell r="CM216">
            <v>0.55000000000000004</v>
          </cell>
          <cell r="CN216">
            <v>0.55000000000000004</v>
          </cell>
          <cell r="CO216">
            <v>0.55000000000000004</v>
          </cell>
          <cell r="CP216">
            <v>0.55000000000000004</v>
          </cell>
          <cell r="CQ216">
            <v>0.55000000000000004</v>
          </cell>
          <cell r="CR216">
            <v>0.55000000000000004</v>
          </cell>
          <cell r="CS216">
            <v>0.55000000000000004</v>
          </cell>
          <cell r="CT216">
            <v>0.55000000000000004</v>
          </cell>
          <cell r="CU216">
            <v>0.55000000000000004</v>
          </cell>
          <cell r="CV216">
            <v>0.55000000000000004</v>
          </cell>
          <cell r="CW216">
            <v>0.55000000000000004</v>
          </cell>
          <cell r="CX216">
            <v>0.55000000000000004</v>
          </cell>
          <cell r="CY216">
            <v>0.55000000000000004</v>
          </cell>
          <cell r="CZ216">
            <v>0.55000000000000004</v>
          </cell>
          <cell r="DA216">
            <v>0.55000000000000004</v>
          </cell>
          <cell r="DB216">
            <v>0.55000000000000004</v>
          </cell>
          <cell r="DC216">
            <v>0.55000000000000004</v>
          </cell>
          <cell r="DD216">
            <v>0.55000000000000004</v>
          </cell>
          <cell r="DE216">
            <v>0.55000000000000004</v>
          </cell>
          <cell r="DF216">
            <v>0.55000000000000004</v>
          </cell>
          <cell r="DG216">
            <v>0.55000000000000004</v>
          </cell>
          <cell r="DH216">
            <v>0.55000000000000004</v>
          </cell>
          <cell r="DI216">
            <v>0.55000000000000004</v>
          </cell>
          <cell r="DJ216">
            <v>0.55000000000000004</v>
          </cell>
          <cell r="DK216">
            <v>0.55000000000000004</v>
          </cell>
          <cell r="DL216">
            <v>0.55000000000000004</v>
          </cell>
          <cell r="DM216">
            <v>0.55000000000000004</v>
          </cell>
          <cell r="DN216">
            <v>0.55000000000000004</v>
          </cell>
          <cell r="DO216">
            <v>0.55000000000000004</v>
          </cell>
          <cell r="DP216">
            <v>0.55000000000000004</v>
          </cell>
          <cell r="DQ216">
            <v>0.55000000000000004</v>
          </cell>
          <cell r="DR216">
            <v>0.55000000000000004</v>
          </cell>
          <cell r="DS216">
            <v>0.55000000000000004</v>
          </cell>
          <cell r="DT216">
            <v>0.55000000000000004</v>
          </cell>
          <cell r="DU216">
            <v>0.55000000000000004</v>
          </cell>
          <cell r="DV216">
            <v>0.55000000000000004</v>
          </cell>
          <cell r="DW216">
            <v>0.55000000000000004</v>
          </cell>
          <cell r="DX216">
            <v>0.55000000000000004</v>
          </cell>
          <cell r="DY216">
            <v>0.55000000000000004</v>
          </cell>
          <cell r="DZ216">
            <v>0.55000000000000004</v>
          </cell>
          <cell r="EA216">
            <v>0.55000000000000004</v>
          </cell>
          <cell r="EB216">
            <v>0.55000000000000004</v>
          </cell>
          <cell r="EC216">
            <v>0.55000000000000004</v>
          </cell>
          <cell r="ED216">
            <v>0.55000000000000004</v>
          </cell>
          <cell r="EE216">
            <v>0.55000000000000004</v>
          </cell>
          <cell r="EF216">
            <v>0.55000000000000004</v>
          </cell>
          <cell r="EG216">
            <v>0.55000000000000004</v>
          </cell>
          <cell r="EH216">
            <v>0.55000000000000004</v>
          </cell>
          <cell r="EI216">
            <v>0.55000000000000004</v>
          </cell>
          <cell r="EJ216">
            <v>0.55000000000000004</v>
          </cell>
          <cell r="EK216">
            <v>0.55000000000000004</v>
          </cell>
          <cell r="EL216">
            <v>0.55000000000000004</v>
          </cell>
          <cell r="EM216">
            <v>0.55000000000000004</v>
          </cell>
          <cell r="EN216">
            <v>0.55000000000000004</v>
          </cell>
          <cell r="EO216">
            <v>0.55000000000000004</v>
          </cell>
          <cell r="EP216">
            <v>0.55000000000000004</v>
          </cell>
          <cell r="EQ216">
            <v>0.55000000000000004</v>
          </cell>
          <cell r="ER216">
            <v>0.55000000000000004</v>
          </cell>
          <cell r="ES216">
            <v>0.55000000000000004</v>
          </cell>
          <cell r="ET216">
            <v>0.55000000000000004</v>
          </cell>
          <cell r="EU216">
            <v>0.55000000000000004</v>
          </cell>
          <cell r="EV216">
            <v>0.55000000000000004</v>
          </cell>
          <cell r="EW216">
            <v>0.55000000000000004</v>
          </cell>
          <cell r="EX216">
            <v>0.55000000000000004</v>
          </cell>
          <cell r="EY216">
            <v>0.55000000000000004</v>
          </cell>
          <cell r="EZ216">
            <v>0.55000000000000004</v>
          </cell>
          <cell r="FA216">
            <v>0.55000000000000004</v>
          </cell>
          <cell r="FB216">
            <v>0.55000000000000004</v>
          </cell>
          <cell r="FC216">
            <v>0.55000000000000004</v>
          </cell>
          <cell r="FD216">
            <v>0.55000000000000004</v>
          </cell>
          <cell r="FE216">
            <v>0.55000000000000004</v>
          </cell>
        </row>
        <row r="217">
          <cell r="B217" t="str">
            <v>% of CoGS from non-U.S. (GS estimate)</v>
          </cell>
          <cell r="C217" t="str">
            <v>COGS_PCT_ROW</v>
          </cell>
          <cell r="F217">
            <v>0.45</v>
          </cell>
          <cell r="G217">
            <v>0.45</v>
          </cell>
          <cell r="H217">
            <v>0.45</v>
          </cell>
          <cell r="I217">
            <v>0.45</v>
          </cell>
          <cell r="J217">
            <v>0.45</v>
          </cell>
          <cell r="K217">
            <v>0.45</v>
          </cell>
          <cell r="L217">
            <v>0.45</v>
          </cell>
          <cell r="M217">
            <v>0.45</v>
          </cell>
          <cell r="N217">
            <v>0.45</v>
          </cell>
          <cell r="O217">
            <v>0.45</v>
          </cell>
          <cell r="P217">
            <v>0.45</v>
          </cell>
          <cell r="Q217">
            <v>0.45</v>
          </cell>
          <cell r="R217">
            <v>0.45</v>
          </cell>
          <cell r="S217">
            <v>0.45</v>
          </cell>
          <cell r="T217">
            <v>0.45</v>
          </cell>
          <cell r="U217">
            <v>0.45</v>
          </cell>
          <cell r="V217">
            <v>0.45</v>
          </cell>
          <cell r="W217">
            <v>0.45</v>
          </cell>
          <cell r="X217">
            <v>0.45</v>
          </cell>
          <cell r="Y217">
            <v>0.45</v>
          </cell>
          <cell r="Z217">
            <v>0.45</v>
          </cell>
          <cell r="AA217">
            <v>0.45</v>
          </cell>
          <cell r="AB217">
            <v>0.45</v>
          </cell>
          <cell r="AC217">
            <v>0.45</v>
          </cell>
          <cell r="AD217">
            <v>0.45</v>
          </cell>
          <cell r="AE217">
            <v>0.45</v>
          </cell>
          <cell r="AF217">
            <v>0.45</v>
          </cell>
          <cell r="AG217">
            <v>0.45</v>
          </cell>
          <cell r="AH217">
            <v>0.45</v>
          </cell>
          <cell r="AI217">
            <v>0.45</v>
          </cell>
          <cell r="AJ217">
            <v>0.45</v>
          </cell>
          <cell r="AK217">
            <v>0.45</v>
          </cell>
          <cell r="AL217">
            <v>0.45</v>
          </cell>
          <cell r="AM217">
            <v>0.45</v>
          </cell>
          <cell r="AN217">
            <v>0.45</v>
          </cell>
          <cell r="AO217">
            <v>0.45</v>
          </cell>
          <cell r="AP217">
            <v>0.45</v>
          </cell>
          <cell r="AQ217">
            <v>0.45</v>
          </cell>
          <cell r="AR217">
            <v>0.45</v>
          </cell>
          <cell r="AS217">
            <v>0.45</v>
          </cell>
          <cell r="AT217">
            <v>0.45</v>
          </cell>
          <cell r="AU217">
            <v>0.45</v>
          </cell>
          <cell r="AV217">
            <v>0.45</v>
          </cell>
          <cell r="AW217">
            <v>0.45</v>
          </cell>
          <cell r="AX217">
            <v>0.45</v>
          </cell>
          <cell r="AY217">
            <v>0.45</v>
          </cell>
          <cell r="AZ217">
            <v>0.45</v>
          </cell>
          <cell r="BA217">
            <v>0.45</v>
          </cell>
          <cell r="BB217">
            <v>0.45</v>
          </cell>
          <cell r="BC217">
            <v>0.45</v>
          </cell>
          <cell r="BD217">
            <v>0.45</v>
          </cell>
          <cell r="BE217">
            <v>0.45</v>
          </cell>
          <cell r="BF217">
            <v>0.45</v>
          </cell>
          <cell r="BG217">
            <v>0.45</v>
          </cell>
          <cell r="BH217">
            <v>0.45</v>
          </cell>
          <cell r="BI217">
            <v>0.45</v>
          </cell>
          <cell r="BJ217">
            <v>0.45</v>
          </cell>
          <cell r="BK217">
            <v>0.45</v>
          </cell>
          <cell r="BL217">
            <v>0.45</v>
          </cell>
          <cell r="BM217">
            <v>0.45</v>
          </cell>
          <cell r="BN217">
            <v>0.45</v>
          </cell>
          <cell r="BO217">
            <v>0.45</v>
          </cell>
          <cell r="BP217">
            <v>0.45</v>
          </cell>
          <cell r="BQ217">
            <v>0.45</v>
          </cell>
          <cell r="BR217">
            <v>0.45</v>
          </cell>
          <cell r="BS217">
            <v>0.45</v>
          </cell>
          <cell r="BT217">
            <v>0.45</v>
          </cell>
          <cell r="BU217">
            <v>0.45</v>
          </cell>
          <cell r="BV217">
            <v>0.45</v>
          </cell>
          <cell r="BW217">
            <v>0.45</v>
          </cell>
          <cell r="BX217">
            <v>0.45</v>
          </cell>
          <cell r="BY217">
            <v>0.45</v>
          </cell>
          <cell r="BZ217">
            <v>0.45</v>
          </cell>
          <cell r="CA217">
            <v>0.45</v>
          </cell>
          <cell r="CB217">
            <v>0.45</v>
          </cell>
          <cell r="CC217">
            <v>0.45</v>
          </cell>
          <cell r="CD217">
            <v>0.45</v>
          </cell>
          <cell r="CE217">
            <v>0.45</v>
          </cell>
          <cell r="CF217">
            <v>0.45</v>
          </cell>
          <cell r="CG217">
            <v>0.45</v>
          </cell>
          <cell r="CH217">
            <v>0.45</v>
          </cell>
          <cell r="CI217">
            <v>0.45</v>
          </cell>
          <cell r="CJ217">
            <v>0.45</v>
          </cell>
          <cell r="CK217">
            <v>0.45</v>
          </cell>
          <cell r="CL217">
            <v>0.45</v>
          </cell>
          <cell r="CM217">
            <v>0.45</v>
          </cell>
          <cell r="CN217">
            <v>0.45</v>
          </cell>
          <cell r="CO217">
            <v>0.45</v>
          </cell>
          <cell r="CP217">
            <v>0.45</v>
          </cell>
          <cell r="CQ217">
            <v>0.45</v>
          </cell>
          <cell r="CR217">
            <v>0.45</v>
          </cell>
          <cell r="CS217">
            <v>0.45</v>
          </cell>
          <cell r="CT217">
            <v>0.45</v>
          </cell>
          <cell r="CU217">
            <v>0.45</v>
          </cell>
          <cell r="CV217">
            <v>0.45</v>
          </cell>
          <cell r="CW217">
            <v>0.45</v>
          </cell>
          <cell r="CX217">
            <v>0.45</v>
          </cell>
          <cell r="CY217">
            <v>0.45</v>
          </cell>
          <cell r="CZ217">
            <v>0.45</v>
          </cell>
          <cell r="DA217">
            <v>0.45</v>
          </cell>
          <cell r="DB217">
            <v>0.45</v>
          </cell>
          <cell r="DC217">
            <v>0.45</v>
          </cell>
          <cell r="DD217">
            <v>0.45</v>
          </cell>
          <cell r="DE217">
            <v>0.45</v>
          </cell>
          <cell r="DF217">
            <v>0.45</v>
          </cell>
          <cell r="DG217">
            <v>0.45</v>
          </cell>
          <cell r="DH217">
            <v>0.45</v>
          </cell>
          <cell r="DI217">
            <v>0.45</v>
          </cell>
          <cell r="DJ217">
            <v>0.45</v>
          </cell>
          <cell r="DK217">
            <v>0.45</v>
          </cell>
          <cell r="DL217">
            <v>0.45</v>
          </cell>
          <cell r="DM217">
            <v>0.45</v>
          </cell>
          <cell r="DN217">
            <v>0.45</v>
          </cell>
          <cell r="DO217">
            <v>0.45</v>
          </cell>
          <cell r="DP217">
            <v>0.45</v>
          </cell>
          <cell r="DQ217">
            <v>0.45</v>
          </cell>
          <cell r="DR217">
            <v>0.45</v>
          </cell>
          <cell r="DS217">
            <v>0.45</v>
          </cell>
          <cell r="DT217">
            <v>0.45</v>
          </cell>
          <cell r="DU217">
            <v>0.45</v>
          </cell>
          <cell r="DV217">
            <v>0.45</v>
          </cell>
          <cell r="DW217">
            <v>0.45</v>
          </cell>
          <cell r="DX217">
            <v>0.45</v>
          </cell>
          <cell r="DY217">
            <v>0.45</v>
          </cell>
          <cell r="DZ217">
            <v>0.45</v>
          </cell>
          <cell r="EA217">
            <v>0.45</v>
          </cell>
          <cell r="EB217">
            <v>0.45</v>
          </cell>
          <cell r="EC217">
            <v>0.45</v>
          </cell>
          <cell r="ED217">
            <v>0.45</v>
          </cell>
          <cell r="EE217">
            <v>0.45</v>
          </cell>
          <cell r="EF217">
            <v>0.45</v>
          </cell>
          <cell r="EG217">
            <v>0.45</v>
          </cell>
          <cell r="EH217">
            <v>0.45</v>
          </cell>
          <cell r="EI217">
            <v>0.45</v>
          </cell>
          <cell r="EJ217">
            <v>0.45</v>
          </cell>
          <cell r="EK217">
            <v>0.45</v>
          </cell>
          <cell r="EL217">
            <v>0.45</v>
          </cell>
          <cell r="EM217">
            <v>0.45</v>
          </cell>
          <cell r="EN217">
            <v>0.45</v>
          </cell>
          <cell r="EO217">
            <v>0.45</v>
          </cell>
          <cell r="EP217">
            <v>0.45</v>
          </cell>
          <cell r="EQ217">
            <v>0.45</v>
          </cell>
          <cell r="ER217">
            <v>0.45</v>
          </cell>
          <cell r="ES217">
            <v>0.45</v>
          </cell>
          <cell r="ET217">
            <v>0.45</v>
          </cell>
          <cell r="EU217">
            <v>0.45</v>
          </cell>
          <cell r="EV217">
            <v>0.45</v>
          </cell>
          <cell r="EW217">
            <v>0.45</v>
          </cell>
          <cell r="EX217">
            <v>0.45</v>
          </cell>
          <cell r="EY217">
            <v>0.45</v>
          </cell>
          <cell r="EZ217">
            <v>0.45</v>
          </cell>
          <cell r="FA217">
            <v>0.45</v>
          </cell>
          <cell r="FB217">
            <v>0.45</v>
          </cell>
          <cell r="FC217">
            <v>0.45</v>
          </cell>
          <cell r="FD217">
            <v>0.45</v>
          </cell>
          <cell r="FE217">
            <v>0.45</v>
          </cell>
        </row>
        <row r="218">
          <cell r="B218" t="str">
            <v>% of SG&amp;A from U.S. (GS estimate)</v>
          </cell>
          <cell r="C218" t="str">
            <v>SGA_PCT_US</v>
          </cell>
          <cell r="F218">
            <v>0.55000000000000004</v>
          </cell>
          <cell r="G218">
            <v>0.55000000000000004</v>
          </cell>
          <cell r="H218">
            <v>0.55000000000000004</v>
          </cell>
          <cell r="I218">
            <v>0.55000000000000004</v>
          </cell>
          <cell r="J218">
            <v>0.55000000000000004</v>
          </cell>
          <cell r="K218">
            <v>0.55000000000000004</v>
          </cell>
          <cell r="L218">
            <v>0.55000000000000004</v>
          </cell>
          <cell r="M218">
            <v>0.55000000000000004</v>
          </cell>
          <cell r="N218">
            <v>0.55000000000000004</v>
          </cell>
          <cell r="O218">
            <v>0.55000000000000004</v>
          </cell>
          <cell r="P218">
            <v>0.55000000000000004</v>
          </cell>
          <cell r="Q218">
            <v>0.55000000000000004</v>
          </cell>
          <cell r="R218">
            <v>0.55000000000000004</v>
          </cell>
          <cell r="S218">
            <v>0.55000000000000004</v>
          </cell>
          <cell r="T218">
            <v>0.55000000000000004</v>
          </cell>
          <cell r="U218">
            <v>0.55000000000000004</v>
          </cell>
          <cell r="V218">
            <v>0.55000000000000004</v>
          </cell>
          <cell r="W218">
            <v>0.55000000000000004</v>
          </cell>
          <cell r="X218">
            <v>0.55000000000000004</v>
          </cell>
          <cell r="Y218">
            <v>0.55000000000000004</v>
          </cell>
          <cell r="Z218">
            <v>0.55000000000000004</v>
          </cell>
          <cell r="AA218">
            <v>0.55000000000000004</v>
          </cell>
          <cell r="AB218">
            <v>0.55000000000000004</v>
          </cell>
          <cell r="AC218">
            <v>0.55000000000000004</v>
          </cell>
          <cell r="AD218">
            <v>0.55000000000000004</v>
          </cell>
          <cell r="AE218">
            <v>0.55000000000000004</v>
          </cell>
          <cell r="AF218">
            <v>0.55000000000000004</v>
          </cell>
          <cell r="AG218">
            <v>0.55000000000000004</v>
          </cell>
          <cell r="AH218">
            <v>0.55000000000000004</v>
          </cell>
          <cell r="AI218">
            <v>0.55000000000000004</v>
          </cell>
          <cell r="AJ218">
            <v>0.55000000000000004</v>
          </cell>
          <cell r="AK218">
            <v>0.55000000000000004</v>
          </cell>
          <cell r="AL218">
            <v>0.55000000000000004</v>
          </cell>
          <cell r="AM218">
            <v>0.55000000000000004</v>
          </cell>
          <cell r="AN218">
            <v>0.55000000000000004</v>
          </cell>
          <cell r="AO218">
            <v>0.55000000000000004</v>
          </cell>
          <cell r="AP218">
            <v>0.55000000000000004</v>
          </cell>
          <cell r="AQ218">
            <v>0.55000000000000004</v>
          </cell>
          <cell r="AR218">
            <v>0.55000000000000004</v>
          </cell>
          <cell r="AS218">
            <v>0.55000000000000004</v>
          </cell>
          <cell r="AT218">
            <v>0.55000000000000004</v>
          </cell>
          <cell r="AU218">
            <v>0.55000000000000004</v>
          </cell>
          <cell r="AV218">
            <v>0.55000000000000004</v>
          </cell>
          <cell r="AW218">
            <v>0.55000000000000004</v>
          </cell>
          <cell r="AX218">
            <v>0.55000000000000004</v>
          </cell>
          <cell r="AY218">
            <v>0.55000000000000004</v>
          </cell>
          <cell r="AZ218">
            <v>0.55000000000000004</v>
          </cell>
          <cell r="BA218">
            <v>0.55000000000000004</v>
          </cell>
          <cell r="BB218">
            <v>0.55000000000000004</v>
          </cell>
          <cell r="BC218">
            <v>0.55000000000000004</v>
          </cell>
          <cell r="BD218">
            <v>0.55000000000000004</v>
          </cell>
          <cell r="BE218">
            <v>0.55000000000000004</v>
          </cell>
          <cell r="BF218">
            <v>0.55000000000000004</v>
          </cell>
          <cell r="BG218">
            <v>0.55000000000000004</v>
          </cell>
          <cell r="BH218">
            <v>0.55000000000000004</v>
          </cell>
          <cell r="BI218">
            <v>0.55000000000000004</v>
          </cell>
          <cell r="BJ218">
            <v>0.55000000000000004</v>
          </cell>
          <cell r="BK218">
            <v>0.55000000000000004</v>
          </cell>
          <cell r="BL218">
            <v>0.55000000000000004</v>
          </cell>
          <cell r="BM218">
            <v>0.55000000000000004</v>
          </cell>
          <cell r="BN218">
            <v>0.55000000000000004</v>
          </cell>
          <cell r="BO218">
            <v>0.55000000000000004</v>
          </cell>
          <cell r="BP218">
            <v>0.55000000000000004</v>
          </cell>
          <cell r="BQ218">
            <v>0.55000000000000004</v>
          </cell>
          <cell r="BR218">
            <v>0.55000000000000004</v>
          </cell>
          <cell r="BS218">
            <v>0.55000000000000004</v>
          </cell>
          <cell r="BT218">
            <v>0.55000000000000004</v>
          </cell>
          <cell r="BU218">
            <v>0.55000000000000004</v>
          </cell>
          <cell r="BV218">
            <v>0.55000000000000004</v>
          </cell>
          <cell r="BW218">
            <v>0.55000000000000004</v>
          </cell>
          <cell r="BX218">
            <v>0.55000000000000004</v>
          </cell>
          <cell r="BY218">
            <v>0.55000000000000004</v>
          </cell>
          <cell r="BZ218">
            <v>0.55000000000000004</v>
          </cell>
          <cell r="CA218">
            <v>0.55000000000000004</v>
          </cell>
          <cell r="CB218">
            <v>0.55000000000000004</v>
          </cell>
          <cell r="CC218">
            <v>0.55000000000000004</v>
          </cell>
          <cell r="CD218">
            <v>0.55000000000000004</v>
          </cell>
          <cell r="CE218">
            <v>0.55000000000000004</v>
          </cell>
          <cell r="CF218">
            <v>0.55000000000000004</v>
          </cell>
          <cell r="CG218">
            <v>0.55000000000000004</v>
          </cell>
          <cell r="CH218">
            <v>0.55000000000000004</v>
          </cell>
          <cell r="CI218">
            <v>0.55000000000000004</v>
          </cell>
          <cell r="CJ218">
            <v>0.55000000000000004</v>
          </cell>
          <cell r="CK218">
            <v>0.55000000000000004</v>
          </cell>
          <cell r="CL218">
            <v>0.55000000000000004</v>
          </cell>
          <cell r="CM218">
            <v>0.55000000000000004</v>
          </cell>
          <cell r="CN218">
            <v>0.55000000000000004</v>
          </cell>
          <cell r="CO218">
            <v>0.55000000000000004</v>
          </cell>
          <cell r="CP218">
            <v>0.55000000000000004</v>
          </cell>
          <cell r="CQ218">
            <v>0.55000000000000004</v>
          </cell>
          <cell r="CR218">
            <v>0.55000000000000004</v>
          </cell>
          <cell r="CS218">
            <v>0.55000000000000004</v>
          </cell>
          <cell r="CT218">
            <v>0.55000000000000004</v>
          </cell>
          <cell r="CU218">
            <v>0.55000000000000004</v>
          </cell>
          <cell r="CV218">
            <v>0.55000000000000004</v>
          </cell>
          <cell r="CW218">
            <v>0.55000000000000004</v>
          </cell>
          <cell r="CX218">
            <v>0.55000000000000004</v>
          </cell>
          <cell r="CY218">
            <v>0.55000000000000004</v>
          </cell>
          <cell r="CZ218">
            <v>0.55000000000000004</v>
          </cell>
          <cell r="DA218">
            <v>0.55000000000000004</v>
          </cell>
          <cell r="DB218">
            <v>0.55000000000000004</v>
          </cell>
          <cell r="DC218">
            <v>0.55000000000000004</v>
          </cell>
          <cell r="DD218">
            <v>0.55000000000000004</v>
          </cell>
          <cell r="DE218">
            <v>0.55000000000000004</v>
          </cell>
          <cell r="DF218">
            <v>0.55000000000000004</v>
          </cell>
          <cell r="DG218">
            <v>0.55000000000000004</v>
          </cell>
          <cell r="DH218">
            <v>0.55000000000000004</v>
          </cell>
          <cell r="DI218">
            <v>0.55000000000000004</v>
          </cell>
          <cell r="DJ218">
            <v>0.55000000000000004</v>
          </cell>
          <cell r="DK218">
            <v>0.55000000000000004</v>
          </cell>
          <cell r="DL218">
            <v>0.55000000000000004</v>
          </cell>
          <cell r="DM218">
            <v>0.55000000000000004</v>
          </cell>
          <cell r="DN218">
            <v>0.55000000000000004</v>
          </cell>
          <cell r="DO218">
            <v>0.55000000000000004</v>
          </cell>
          <cell r="DP218">
            <v>0.55000000000000004</v>
          </cell>
          <cell r="DQ218">
            <v>0.55000000000000004</v>
          </cell>
          <cell r="DR218">
            <v>0.55000000000000004</v>
          </cell>
          <cell r="DS218">
            <v>0.55000000000000004</v>
          </cell>
          <cell r="DT218">
            <v>0.55000000000000004</v>
          </cell>
          <cell r="DU218">
            <v>0.55000000000000004</v>
          </cell>
          <cell r="DV218">
            <v>0.55000000000000004</v>
          </cell>
          <cell r="DW218">
            <v>0.55000000000000004</v>
          </cell>
          <cell r="DX218">
            <v>0.55000000000000004</v>
          </cell>
          <cell r="DY218">
            <v>0.55000000000000004</v>
          </cell>
          <cell r="DZ218">
            <v>0.55000000000000004</v>
          </cell>
          <cell r="EA218">
            <v>0.55000000000000004</v>
          </cell>
          <cell r="EB218">
            <v>0.55000000000000004</v>
          </cell>
          <cell r="EC218">
            <v>0.55000000000000004</v>
          </cell>
          <cell r="ED218">
            <v>0.55000000000000004</v>
          </cell>
          <cell r="EE218">
            <v>0.55000000000000004</v>
          </cell>
          <cell r="EF218">
            <v>0.55000000000000004</v>
          </cell>
          <cell r="EG218">
            <v>0.55000000000000004</v>
          </cell>
          <cell r="EH218">
            <v>0.55000000000000004</v>
          </cell>
          <cell r="EI218">
            <v>0.55000000000000004</v>
          </cell>
          <cell r="EJ218">
            <v>0.55000000000000004</v>
          </cell>
          <cell r="EK218">
            <v>0.55000000000000004</v>
          </cell>
          <cell r="EL218">
            <v>0.55000000000000004</v>
          </cell>
          <cell r="EM218">
            <v>0.55000000000000004</v>
          </cell>
          <cell r="EN218">
            <v>0.55000000000000004</v>
          </cell>
          <cell r="EO218">
            <v>0.55000000000000004</v>
          </cell>
          <cell r="EP218">
            <v>0.55000000000000004</v>
          </cell>
          <cell r="EQ218">
            <v>0.55000000000000004</v>
          </cell>
          <cell r="ER218">
            <v>0.55000000000000004</v>
          </cell>
          <cell r="ES218">
            <v>0.55000000000000004</v>
          </cell>
          <cell r="ET218">
            <v>0.55000000000000004</v>
          </cell>
          <cell r="EU218">
            <v>0.55000000000000004</v>
          </cell>
          <cell r="EV218">
            <v>0.55000000000000004</v>
          </cell>
          <cell r="EW218">
            <v>0.55000000000000004</v>
          </cell>
          <cell r="EX218">
            <v>0.55000000000000004</v>
          </cell>
          <cell r="EY218">
            <v>0.55000000000000004</v>
          </cell>
          <cell r="EZ218">
            <v>0.55000000000000004</v>
          </cell>
          <cell r="FA218">
            <v>0.55000000000000004</v>
          </cell>
          <cell r="FB218">
            <v>0.55000000000000004</v>
          </cell>
          <cell r="FC218">
            <v>0.55000000000000004</v>
          </cell>
          <cell r="FD218">
            <v>0.55000000000000004</v>
          </cell>
          <cell r="FE218">
            <v>0.55000000000000004</v>
          </cell>
        </row>
        <row r="219">
          <cell r="B219" t="str">
            <v>% of SG&amp;A from non-U.S. (GS estimate)</v>
          </cell>
          <cell r="C219" t="str">
            <v>SGA_PCT_ROW</v>
          </cell>
          <cell r="F219">
            <v>0.45</v>
          </cell>
          <cell r="G219">
            <v>0.45</v>
          </cell>
          <cell r="H219">
            <v>0.45</v>
          </cell>
          <cell r="I219">
            <v>0.45</v>
          </cell>
          <cell r="J219">
            <v>0.45</v>
          </cell>
          <cell r="K219">
            <v>0.45</v>
          </cell>
          <cell r="L219">
            <v>0.45</v>
          </cell>
          <cell r="M219">
            <v>0.45</v>
          </cell>
          <cell r="N219">
            <v>0.45</v>
          </cell>
          <cell r="O219">
            <v>0.45</v>
          </cell>
          <cell r="P219">
            <v>0.45</v>
          </cell>
          <cell r="Q219">
            <v>0.45</v>
          </cell>
          <cell r="R219">
            <v>0.45</v>
          </cell>
          <cell r="S219">
            <v>0.45</v>
          </cell>
          <cell r="T219">
            <v>0.45</v>
          </cell>
          <cell r="U219">
            <v>0.45</v>
          </cell>
          <cell r="V219">
            <v>0.45</v>
          </cell>
          <cell r="W219">
            <v>0.45</v>
          </cell>
          <cell r="X219">
            <v>0.45</v>
          </cell>
          <cell r="Y219">
            <v>0.45</v>
          </cell>
          <cell r="Z219">
            <v>0.45</v>
          </cell>
          <cell r="AA219">
            <v>0.45</v>
          </cell>
          <cell r="AB219">
            <v>0.45</v>
          </cell>
          <cell r="AC219">
            <v>0.45</v>
          </cell>
          <cell r="AD219">
            <v>0.45</v>
          </cell>
          <cell r="AE219">
            <v>0.45</v>
          </cell>
          <cell r="AF219">
            <v>0.45</v>
          </cell>
          <cell r="AG219">
            <v>0.45</v>
          </cell>
          <cell r="AH219">
            <v>0.45</v>
          </cell>
          <cell r="AI219">
            <v>0.45</v>
          </cell>
          <cell r="AJ219">
            <v>0.45</v>
          </cell>
          <cell r="AK219">
            <v>0.45</v>
          </cell>
          <cell r="AL219">
            <v>0.45</v>
          </cell>
          <cell r="AM219">
            <v>0.45</v>
          </cell>
          <cell r="AN219">
            <v>0.45</v>
          </cell>
          <cell r="AO219">
            <v>0.45</v>
          </cell>
          <cell r="AP219">
            <v>0.45</v>
          </cell>
          <cell r="AQ219">
            <v>0.45</v>
          </cell>
          <cell r="AR219">
            <v>0.45</v>
          </cell>
          <cell r="AS219">
            <v>0.45</v>
          </cell>
          <cell r="AT219">
            <v>0.45</v>
          </cell>
          <cell r="AU219">
            <v>0.45</v>
          </cell>
          <cell r="AV219">
            <v>0.45</v>
          </cell>
          <cell r="AW219">
            <v>0.45</v>
          </cell>
          <cell r="AX219">
            <v>0.45</v>
          </cell>
          <cell r="AY219">
            <v>0.45</v>
          </cell>
          <cell r="AZ219">
            <v>0.45</v>
          </cell>
          <cell r="BA219">
            <v>0.45</v>
          </cell>
          <cell r="BB219">
            <v>0.45</v>
          </cell>
          <cell r="BC219">
            <v>0.45</v>
          </cell>
          <cell r="BD219">
            <v>0.45</v>
          </cell>
          <cell r="BE219">
            <v>0.45</v>
          </cell>
          <cell r="BF219">
            <v>0.45</v>
          </cell>
          <cell r="BG219">
            <v>0.45</v>
          </cell>
          <cell r="BH219">
            <v>0.45</v>
          </cell>
          <cell r="BI219">
            <v>0.45</v>
          </cell>
          <cell r="BJ219">
            <v>0.45</v>
          </cell>
          <cell r="BK219">
            <v>0.45</v>
          </cell>
          <cell r="BL219">
            <v>0.45</v>
          </cell>
          <cell r="BM219">
            <v>0.45</v>
          </cell>
          <cell r="BN219">
            <v>0.45</v>
          </cell>
          <cell r="BO219">
            <v>0.45</v>
          </cell>
          <cell r="BP219">
            <v>0.45</v>
          </cell>
          <cell r="BQ219">
            <v>0.45</v>
          </cell>
          <cell r="BR219">
            <v>0.45</v>
          </cell>
          <cell r="BS219">
            <v>0.45</v>
          </cell>
          <cell r="BT219">
            <v>0.45</v>
          </cell>
          <cell r="BU219">
            <v>0.45</v>
          </cell>
          <cell r="BV219">
            <v>0.45</v>
          </cell>
          <cell r="BW219">
            <v>0.45</v>
          </cell>
          <cell r="BX219">
            <v>0.45</v>
          </cell>
          <cell r="BY219">
            <v>0.45</v>
          </cell>
          <cell r="BZ219">
            <v>0.45</v>
          </cell>
          <cell r="CA219">
            <v>0.45</v>
          </cell>
          <cell r="CB219">
            <v>0.45</v>
          </cell>
          <cell r="CC219">
            <v>0.45</v>
          </cell>
          <cell r="CD219">
            <v>0.45</v>
          </cell>
          <cell r="CE219">
            <v>0.45</v>
          </cell>
          <cell r="CF219">
            <v>0.45</v>
          </cell>
          <cell r="CG219">
            <v>0.45</v>
          </cell>
          <cell r="CH219">
            <v>0.45</v>
          </cell>
          <cell r="CI219">
            <v>0.45</v>
          </cell>
          <cell r="CJ219">
            <v>0.45</v>
          </cell>
          <cell r="CK219">
            <v>0.45</v>
          </cell>
          <cell r="CL219">
            <v>0.45</v>
          </cell>
          <cell r="CM219">
            <v>0.45</v>
          </cell>
          <cell r="CN219">
            <v>0.45</v>
          </cell>
          <cell r="CO219">
            <v>0.45</v>
          </cell>
          <cell r="CP219">
            <v>0.45</v>
          </cell>
          <cell r="CQ219">
            <v>0.45</v>
          </cell>
          <cell r="CR219">
            <v>0.45</v>
          </cell>
          <cell r="CS219">
            <v>0.45</v>
          </cell>
          <cell r="CT219">
            <v>0.45</v>
          </cell>
          <cell r="CU219">
            <v>0.45</v>
          </cell>
          <cell r="CV219">
            <v>0.45</v>
          </cell>
          <cell r="CW219">
            <v>0.45</v>
          </cell>
          <cell r="CX219">
            <v>0.45</v>
          </cell>
          <cell r="CY219">
            <v>0.45</v>
          </cell>
          <cell r="CZ219">
            <v>0.45</v>
          </cell>
          <cell r="DA219">
            <v>0.45</v>
          </cell>
          <cell r="DB219">
            <v>0.45</v>
          </cell>
          <cell r="DC219">
            <v>0.45</v>
          </cell>
          <cell r="DD219">
            <v>0.45</v>
          </cell>
          <cell r="DE219">
            <v>0.45</v>
          </cell>
          <cell r="DF219">
            <v>0.45</v>
          </cell>
          <cell r="DG219">
            <v>0.45</v>
          </cell>
          <cell r="DH219">
            <v>0.45</v>
          </cell>
          <cell r="DI219">
            <v>0.45</v>
          </cell>
          <cell r="DJ219">
            <v>0.45</v>
          </cell>
          <cell r="DK219">
            <v>0.45</v>
          </cell>
          <cell r="DL219">
            <v>0.45</v>
          </cell>
          <cell r="DM219">
            <v>0.45</v>
          </cell>
          <cell r="DN219">
            <v>0.45</v>
          </cell>
          <cell r="DO219">
            <v>0.45</v>
          </cell>
          <cell r="DP219">
            <v>0.45</v>
          </cell>
          <cell r="DQ219">
            <v>0.45</v>
          </cell>
          <cell r="DR219">
            <v>0.45</v>
          </cell>
          <cell r="DS219">
            <v>0.45</v>
          </cell>
          <cell r="DT219">
            <v>0.45</v>
          </cell>
          <cell r="DU219">
            <v>0.45</v>
          </cell>
          <cell r="DV219">
            <v>0.45</v>
          </cell>
          <cell r="DW219">
            <v>0.45</v>
          </cell>
          <cell r="DX219">
            <v>0.45</v>
          </cell>
          <cell r="DY219">
            <v>0.45</v>
          </cell>
          <cell r="DZ219">
            <v>0.45</v>
          </cell>
          <cell r="EA219">
            <v>0.45</v>
          </cell>
          <cell r="EB219">
            <v>0.45</v>
          </cell>
          <cell r="EC219">
            <v>0.45</v>
          </cell>
          <cell r="ED219">
            <v>0.45</v>
          </cell>
          <cell r="EE219">
            <v>0.45</v>
          </cell>
          <cell r="EF219">
            <v>0.45</v>
          </cell>
          <cell r="EG219">
            <v>0.45</v>
          </cell>
          <cell r="EH219">
            <v>0.45</v>
          </cell>
          <cell r="EI219">
            <v>0.45</v>
          </cell>
          <cell r="EJ219">
            <v>0.45</v>
          </cell>
          <cell r="EK219">
            <v>0.45</v>
          </cell>
          <cell r="EL219">
            <v>0.45</v>
          </cell>
          <cell r="EM219">
            <v>0.45</v>
          </cell>
          <cell r="EN219">
            <v>0.45</v>
          </cell>
          <cell r="EO219">
            <v>0.45</v>
          </cell>
          <cell r="EP219">
            <v>0.45</v>
          </cell>
          <cell r="EQ219">
            <v>0.45</v>
          </cell>
          <cell r="ER219">
            <v>0.45</v>
          </cell>
          <cell r="ES219">
            <v>0.45</v>
          </cell>
          <cell r="ET219">
            <v>0.45</v>
          </cell>
          <cell r="EU219">
            <v>0.45</v>
          </cell>
          <cell r="EV219">
            <v>0.45</v>
          </cell>
          <cell r="EW219">
            <v>0.45</v>
          </cell>
          <cell r="EX219">
            <v>0.45</v>
          </cell>
          <cell r="EY219">
            <v>0.45</v>
          </cell>
          <cell r="EZ219">
            <v>0.45</v>
          </cell>
          <cell r="FA219">
            <v>0.45</v>
          </cell>
          <cell r="FB219">
            <v>0.45</v>
          </cell>
          <cell r="FC219">
            <v>0.45</v>
          </cell>
          <cell r="FD219">
            <v>0.45</v>
          </cell>
          <cell r="FE219">
            <v>0.45</v>
          </cell>
        </row>
        <row r="220">
          <cell r="B220" t="str">
            <v>Sales -% Consumer (C)</v>
          </cell>
          <cell r="C220" t="str">
            <v>SALES_CONS</v>
          </cell>
          <cell r="F220">
            <v>0.5</v>
          </cell>
          <cell r="G220">
            <v>0.5</v>
          </cell>
          <cell r="H220">
            <v>0.5</v>
          </cell>
          <cell r="I220">
            <v>0.5</v>
          </cell>
          <cell r="J220">
            <v>0.5</v>
          </cell>
          <cell r="K220">
            <v>0.5</v>
          </cell>
          <cell r="L220">
            <v>0.5</v>
          </cell>
          <cell r="M220">
            <v>0.5</v>
          </cell>
          <cell r="N220">
            <v>0.5</v>
          </cell>
          <cell r="O220">
            <v>0.5</v>
          </cell>
          <cell r="P220">
            <v>0.5</v>
          </cell>
          <cell r="Q220">
            <v>0.5</v>
          </cell>
          <cell r="R220">
            <v>0.5</v>
          </cell>
          <cell r="S220">
            <v>0.5</v>
          </cell>
          <cell r="T220">
            <v>0.5</v>
          </cell>
          <cell r="U220">
            <v>0.5</v>
          </cell>
          <cell r="V220">
            <v>0.5</v>
          </cell>
          <cell r="W220">
            <v>0.5</v>
          </cell>
          <cell r="X220">
            <v>0.5</v>
          </cell>
          <cell r="Y220">
            <v>0.5</v>
          </cell>
          <cell r="Z220">
            <v>0.5</v>
          </cell>
          <cell r="AA220">
            <v>0.5</v>
          </cell>
          <cell r="AB220">
            <v>0.5</v>
          </cell>
          <cell r="AC220">
            <v>0.5</v>
          </cell>
          <cell r="AD220">
            <v>0.5</v>
          </cell>
          <cell r="AE220">
            <v>0.5</v>
          </cell>
          <cell r="AF220">
            <v>0.5</v>
          </cell>
          <cell r="AG220">
            <v>0.5</v>
          </cell>
          <cell r="AH220">
            <v>0.5</v>
          </cell>
          <cell r="AI220">
            <v>0.5</v>
          </cell>
          <cell r="AJ220">
            <v>0.5</v>
          </cell>
          <cell r="AK220">
            <v>0.5</v>
          </cell>
          <cell r="AL220">
            <v>0.5</v>
          </cell>
          <cell r="AM220">
            <v>0.5</v>
          </cell>
          <cell r="AN220">
            <v>0.5</v>
          </cell>
          <cell r="AO220">
            <v>0.5</v>
          </cell>
          <cell r="AP220">
            <v>0.5</v>
          </cell>
          <cell r="AQ220">
            <v>0.5</v>
          </cell>
          <cell r="AR220">
            <v>0.5</v>
          </cell>
          <cell r="AS220">
            <v>0.5</v>
          </cell>
          <cell r="AT220">
            <v>0.5</v>
          </cell>
          <cell r="AU220">
            <v>0.5</v>
          </cell>
          <cell r="AV220">
            <v>0.5</v>
          </cell>
          <cell r="AW220">
            <v>0.5</v>
          </cell>
          <cell r="AX220">
            <v>0.5</v>
          </cell>
          <cell r="AY220">
            <v>0.5</v>
          </cell>
          <cell r="AZ220">
            <v>0.5</v>
          </cell>
          <cell r="BA220">
            <v>0.5</v>
          </cell>
          <cell r="BB220">
            <v>0.5</v>
          </cell>
          <cell r="BC220">
            <v>0.5</v>
          </cell>
          <cell r="BD220">
            <v>0.5</v>
          </cell>
          <cell r="BE220">
            <v>0.5</v>
          </cell>
          <cell r="BF220">
            <v>0.5</v>
          </cell>
          <cell r="BG220">
            <v>0.5</v>
          </cell>
          <cell r="BH220">
            <v>0.5</v>
          </cell>
          <cell r="BI220">
            <v>0.5</v>
          </cell>
          <cell r="BJ220">
            <v>0.5</v>
          </cell>
          <cell r="BK220">
            <v>0.5</v>
          </cell>
          <cell r="BL220">
            <v>0.5</v>
          </cell>
          <cell r="BM220">
            <v>0.5</v>
          </cell>
          <cell r="BN220">
            <v>0.5</v>
          </cell>
          <cell r="BO220">
            <v>0.5</v>
          </cell>
          <cell r="BP220">
            <v>0.5</v>
          </cell>
          <cell r="BQ220">
            <v>0.5</v>
          </cell>
          <cell r="BR220">
            <v>0.5</v>
          </cell>
          <cell r="BS220">
            <v>0.5</v>
          </cell>
          <cell r="BT220">
            <v>0.5</v>
          </cell>
          <cell r="BU220">
            <v>0.5</v>
          </cell>
          <cell r="BV220">
            <v>0.5</v>
          </cell>
          <cell r="BW220">
            <v>0.5</v>
          </cell>
          <cell r="BX220">
            <v>0.5</v>
          </cell>
          <cell r="BY220">
            <v>0.5</v>
          </cell>
          <cell r="BZ220">
            <v>0.5</v>
          </cell>
          <cell r="CA220">
            <v>0.5</v>
          </cell>
          <cell r="CB220">
            <v>0.5</v>
          </cell>
          <cell r="CC220">
            <v>0.5</v>
          </cell>
          <cell r="CD220">
            <v>0.5</v>
          </cell>
          <cell r="CE220">
            <v>0.5</v>
          </cell>
          <cell r="CF220">
            <v>0.5</v>
          </cell>
          <cell r="CG220">
            <v>0.5</v>
          </cell>
          <cell r="CH220">
            <v>0.5</v>
          </cell>
          <cell r="CI220">
            <v>0.5</v>
          </cell>
          <cell r="CJ220">
            <v>0.5</v>
          </cell>
          <cell r="CK220">
            <v>0.5</v>
          </cell>
          <cell r="CL220">
            <v>0.5</v>
          </cell>
          <cell r="CM220">
            <v>0.5</v>
          </cell>
          <cell r="CN220">
            <v>0.5</v>
          </cell>
          <cell r="CO220">
            <v>0.5</v>
          </cell>
          <cell r="CP220">
            <v>0.5</v>
          </cell>
          <cell r="CQ220">
            <v>0.5</v>
          </cell>
          <cell r="CR220">
            <v>0.5</v>
          </cell>
          <cell r="CS220">
            <v>0.5</v>
          </cell>
          <cell r="CT220">
            <v>0.5</v>
          </cell>
          <cell r="CU220">
            <v>0.5</v>
          </cell>
          <cell r="CV220">
            <v>0.5</v>
          </cell>
          <cell r="CW220">
            <v>0.5</v>
          </cell>
          <cell r="CX220">
            <v>0.5</v>
          </cell>
          <cell r="CY220">
            <v>0.5</v>
          </cell>
          <cell r="CZ220">
            <v>0.5</v>
          </cell>
          <cell r="DA220">
            <v>0.5</v>
          </cell>
          <cell r="DB220">
            <v>0.5</v>
          </cell>
          <cell r="DC220">
            <v>0.5</v>
          </cell>
          <cell r="DD220">
            <v>0.5</v>
          </cell>
          <cell r="DE220">
            <v>0.5</v>
          </cell>
          <cell r="DF220">
            <v>0.5</v>
          </cell>
          <cell r="DG220">
            <v>0.5</v>
          </cell>
          <cell r="DH220">
            <v>0.5</v>
          </cell>
          <cell r="DI220">
            <v>0.5</v>
          </cell>
          <cell r="DJ220">
            <v>0.5</v>
          </cell>
          <cell r="DK220">
            <v>0.5</v>
          </cell>
          <cell r="DL220">
            <v>0.5</v>
          </cell>
          <cell r="DM220">
            <v>0.5</v>
          </cell>
          <cell r="DN220">
            <v>0.5</v>
          </cell>
          <cell r="DO220">
            <v>0.5</v>
          </cell>
          <cell r="DP220">
            <v>0.5</v>
          </cell>
          <cell r="DQ220">
            <v>0.5</v>
          </cell>
          <cell r="DR220">
            <v>0.5</v>
          </cell>
          <cell r="DS220">
            <v>0.5</v>
          </cell>
          <cell r="DT220">
            <v>0.5</v>
          </cell>
          <cell r="DU220">
            <v>0.5</v>
          </cell>
          <cell r="DV220">
            <v>0.5</v>
          </cell>
          <cell r="DW220">
            <v>0.5</v>
          </cell>
          <cell r="DX220">
            <v>0.5</v>
          </cell>
          <cell r="DY220">
            <v>0.5</v>
          </cell>
          <cell r="DZ220">
            <v>0.5</v>
          </cell>
          <cell r="EA220">
            <v>0.5</v>
          </cell>
          <cell r="EB220">
            <v>0.5</v>
          </cell>
          <cell r="EC220">
            <v>0.5</v>
          </cell>
          <cell r="ED220">
            <v>0.5</v>
          </cell>
          <cell r="EE220">
            <v>0.5</v>
          </cell>
          <cell r="EF220">
            <v>0.5</v>
          </cell>
          <cell r="EG220">
            <v>0.5</v>
          </cell>
          <cell r="EH220">
            <v>0.5</v>
          </cell>
          <cell r="EI220">
            <v>0.5</v>
          </cell>
          <cell r="EJ220">
            <v>0.5</v>
          </cell>
          <cell r="EK220">
            <v>0.5</v>
          </cell>
          <cell r="EL220">
            <v>0.5</v>
          </cell>
          <cell r="EM220">
            <v>0.5</v>
          </cell>
          <cell r="EN220">
            <v>0.5</v>
          </cell>
          <cell r="EO220">
            <v>0.5</v>
          </cell>
          <cell r="EP220">
            <v>0.5</v>
          </cell>
          <cell r="EQ220">
            <v>0.5</v>
          </cell>
          <cell r="ER220">
            <v>0.5</v>
          </cell>
          <cell r="ES220">
            <v>0.5</v>
          </cell>
          <cell r="ET220">
            <v>0.5</v>
          </cell>
          <cell r="EU220">
            <v>0.5</v>
          </cell>
          <cell r="EV220">
            <v>0.5</v>
          </cell>
          <cell r="EW220">
            <v>0.5</v>
          </cell>
          <cell r="EX220">
            <v>0.5</v>
          </cell>
          <cell r="EY220">
            <v>0.5</v>
          </cell>
          <cell r="EZ220">
            <v>0.5</v>
          </cell>
          <cell r="FA220">
            <v>0.5</v>
          </cell>
          <cell r="FB220">
            <v>0.5</v>
          </cell>
          <cell r="FC220">
            <v>0.5</v>
          </cell>
          <cell r="FD220">
            <v>0.5</v>
          </cell>
          <cell r="FE220">
            <v>0.5</v>
          </cell>
        </row>
        <row r="221">
          <cell r="B221" t="str">
            <v>Sales -% Industry (I)</v>
          </cell>
          <cell r="C221" t="str">
            <v>SALES_IND</v>
          </cell>
          <cell r="F221">
            <v>0.45</v>
          </cell>
          <cell r="G221">
            <v>0.45</v>
          </cell>
          <cell r="H221">
            <v>0.45</v>
          </cell>
          <cell r="I221">
            <v>0.45</v>
          </cell>
          <cell r="J221">
            <v>0.45</v>
          </cell>
          <cell r="K221">
            <v>0.45</v>
          </cell>
          <cell r="L221">
            <v>0.45</v>
          </cell>
          <cell r="M221">
            <v>0.45</v>
          </cell>
          <cell r="N221">
            <v>0.45</v>
          </cell>
          <cell r="O221">
            <v>0.45</v>
          </cell>
          <cell r="P221">
            <v>0.45</v>
          </cell>
          <cell r="Q221">
            <v>0.45</v>
          </cell>
          <cell r="R221">
            <v>0.45</v>
          </cell>
          <cell r="S221">
            <v>0.45</v>
          </cell>
          <cell r="T221">
            <v>0.45</v>
          </cell>
          <cell r="U221">
            <v>0.45</v>
          </cell>
          <cell r="V221">
            <v>0.45</v>
          </cell>
          <cell r="W221">
            <v>0.45</v>
          </cell>
          <cell r="X221">
            <v>0.45</v>
          </cell>
          <cell r="Y221">
            <v>0.45</v>
          </cell>
          <cell r="Z221">
            <v>0.45</v>
          </cell>
          <cell r="AA221">
            <v>0.45</v>
          </cell>
          <cell r="AB221">
            <v>0.45</v>
          </cell>
          <cell r="AC221">
            <v>0.45</v>
          </cell>
          <cell r="AD221">
            <v>0.45</v>
          </cell>
          <cell r="AE221">
            <v>0.45</v>
          </cell>
          <cell r="AF221">
            <v>0.45</v>
          </cell>
          <cell r="AG221">
            <v>0.45</v>
          </cell>
          <cell r="AH221">
            <v>0.45</v>
          </cell>
          <cell r="AI221">
            <v>0.45</v>
          </cell>
          <cell r="AJ221">
            <v>0.45</v>
          </cell>
          <cell r="AK221">
            <v>0.45</v>
          </cell>
          <cell r="AL221">
            <v>0.45</v>
          </cell>
          <cell r="AM221">
            <v>0.45</v>
          </cell>
          <cell r="AN221">
            <v>0.45</v>
          </cell>
          <cell r="AO221">
            <v>0.45</v>
          </cell>
          <cell r="AP221">
            <v>0.45</v>
          </cell>
          <cell r="AQ221">
            <v>0.45</v>
          </cell>
          <cell r="AR221">
            <v>0.45</v>
          </cell>
          <cell r="AS221">
            <v>0.45</v>
          </cell>
          <cell r="AT221">
            <v>0.45</v>
          </cell>
          <cell r="AU221">
            <v>0.45</v>
          </cell>
          <cell r="AV221">
            <v>0.45</v>
          </cell>
          <cell r="AW221">
            <v>0.45</v>
          </cell>
          <cell r="AX221">
            <v>0.45</v>
          </cell>
          <cell r="AY221">
            <v>0.45</v>
          </cell>
          <cell r="AZ221">
            <v>0.45</v>
          </cell>
          <cell r="BA221">
            <v>0.45</v>
          </cell>
          <cell r="BB221">
            <v>0.45</v>
          </cell>
          <cell r="BC221">
            <v>0.45</v>
          </cell>
          <cell r="BD221">
            <v>0.45</v>
          </cell>
          <cell r="BE221">
            <v>0.45</v>
          </cell>
          <cell r="BF221">
            <v>0.45</v>
          </cell>
          <cell r="BG221">
            <v>0.45</v>
          </cell>
          <cell r="BH221">
            <v>0.45</v>
          </cell>
          <cell r="BI221">
            <v>0.45</v>
          </cell>
          <cell r="BJ221">
            <v>0.45</v>
          </cell>
          <cell r="BK221">
            <v>0.45</v>
          </cell>
          <cell r="BL221">
            <v>0.45</v>
          </cell>
          <cell r="BM221">
            <v>0.45</v>
          </cell>
          <cell r="BN221">
            <v>0.45</v>
          </cell>
          <cell r="BO221">
            <v>0.45</v>
          </cell>
          <cell r="BP221">
            <v>0.45</v>
          </cell>
          <cell r="BQ221">
            <v>0.45</v>
          </cell>
          <cell r="BR221">
            <v>0.45</v>
          </cell>
          <cell r="BS221">
            <v>0.45</v>
          </cell>
          <cell r="BT221">
            <v>0.45</v>
          </cell>
          <cell r="BU221">
            <v>0.45</v>
          </cell>
          <cell r="BV221">
            <v>0.45</v>
          </cell>
          <cell r="BW221">
            <v>0.45</v>
          </cell>
          <cell r="BX221">
            <v>0.45</v>
          </cell>
          <cell r="BY221">
            <v>0.45</v>
          </cell>
          <cell r="BZ221">
            <v>0.45</v>
          </cell>
          <cell r="CA221">
            <v>0.45</v>
          </cell>
          <cell r="CB221">
            <v>0.45</v>
          </cell>
          <cell r="CC221">
            <v>0.45</v>
          </cell>
          <cell r="CD221">
            <v>0.45</v>
          </cell>
          <cell r="CE221">
            <v>0.45</v>
          </cell>
          <cell r="CF221">
            <v>0.45</v>
          </cell>
          <cell r="CG221">
            <v>0.45</v>
          </cell>
          <cell r="CH221">
            <v>0.45</v>
          </cell>
          <cell r="CI221">
            <v>0.45</v>
          </cell>
          <cell r="CJ221">
            <v>0.45</v>
          </cell>
          <cell r="CK221">
            <v>0.45</v>
          </cell>
          <cell r="CL221">
            <v>0.45</v>
          </cell>
          <cell r="CM221">
            <v>0.45</v>
          </cell>
          <cell r="CN221">
            <v>0.45</v>
          </cell>
          <cell r="CO221">
            <v>0.45</v>
          </cell>
          <cell r="CP221">
            <v>0.45</v>
          </cell>
          <cell r="CQ221">
            <v>0.45</v>
          </cell>
          <cell r="CR221">
            <v>0.45</v>
          </cell>
          <cell r="CS221">
            <v>0.45</v>
          </cell>
          <cell r="CT221">
            <v>0.45</v>
          </cell>
          <cell r="CU221">
            <v>0.45</v>
          </cell>
          <cell r="CV221">
            <v>0.45</v>
          </cell>
          <cell r="CW221">
            <v>0.45</v>
          </cell>
          <cell r="CX221">
            <v>0.45</v>
          </cell>
          <cell r="CY221">
            <v>0.45</v>
          </cell>
          <cell r="CZ221">
            <v>0.45</v>
          </cell>
          <cell r="DA221">
            <v>0.45</v>
          </cell>
          <cell r="DB221">
            <v>0.45</v>
          </cell>
          <cell r="DC221">
            <v>0.45</v>
          </cell>
          <cell r="DD221">
            <v>0.45</v>
          </cell>
          <cell r="DE221">
            <v>0.45</v>
          </cell>
          <cell r="DF221">
            <v>0.45</v>
          </cell>
          <cell r="DG221">
            <v>0.45</v>
          </cell>
          <cell r="DH221">
            <v>0.45</v>
          </cell>
          <cell r="DI221">
            <v>0.45</v>
          </cell>
          <cell r="DJ221">
            <v>0.45</v>
          </cell>
          <cell r="DK221">
            <v>0.45</v>
          </cell>
          <cell r="DL221">
            <v>0.45</v>
          </cell>
          <cell r="DM221">
            <v>0.45</v>
          </cell>
          <cell r="DN221">
            <v>0.45</v>
          </cell>
          <cell r="DO221">
            <v>0.45</v>
          </cell>
          <cell r="DP221">
            <v>0.45</v>
          </cell>
          <cell r="DQ221">
            <v>0.45</v>
          </cell>
          <cell r="DR221">
            <v>0.45</v>
          </cell>
          <cell r="DS221">
            <v>0.45</v>
          </cell>
          <cell r="DT221">
            <v>0.45</v>
          </cell>
          <cell r="DU221">
            <v>0.45</v>
          </cell>
          <cell r="DV221">
            <v>0.45</v>
          </cell>
          <cell r="DW221">
            <v>0.45</v>
          </cell>
          <cell r="DX221">
            <v>0.45</v>
          </cell>
          <cell r="DY221">
            <v>0.45</v>
          </cell>
          <cell r="DZ221">
            <v>0.45</v>
          </cell>
          <cell r="EA221">
            <v>0.45</v>
          </cell>
          <cell r="EB221">
            <v>0.45</v>
          </cell>
          <cell r="EC221">
            <v>0.45</v>
          </cell>
          <cell r="ED221">
            <v>0.45</v>
          </cell>
          <cell r="EE221">
            <v>0.45</v>
          </cell>
          <cell r="EF221">
            <v>0.45</v>
          </cell>
          <cell r="EG221">
            <v>0.45</v>
          </cell>
          <cell r="EH221">
            <v>0.45</v>
          </cell>
          <cell r="EI221">
            <v>0.45</v>
          </cell>
          <cell r="EJ221">
            <v>0.45</v>
          </cell>
          <cell r="EK221">
            <v>0.45</v>
          </cell>
          <cell r="EL221">
            <v>0.45</v>
          </cell>
          <cell r="EM221">
            <v>0.45</v>
          </cell>
          <cell r="EN221">
            <v>0.45</v>
          </cell>
          <cell r="EO221">
            <v>0.45</v>
          </cell>
          <cell r="EP221">
            <v>0.45</v>
          </cell>
          <cell r="EQ221">
            <v>0.45</v>
          </cell>
          <cell r="ER221">
            <v>0.45</v>
          </cell>
          <cell r="ES221">
            <v>0.45</v>
          </cell>
          <cell r="ET221">
            <v>0.45</v>
          </cell>
          <cell r="EU221">
            <v>0.45</v>
          </cell>
          <cell r="EV221">
            <v>0.45</v>
          </cell>
          <cell r="EW221">
            <v>0.45</v>
          </cell>
          <cell r="EX221">
            <v>0.45</v>
          </cell>
          <cell r="EY221">
            <v>0.45</v>
          </cell>
          <cell r="EZ221">
            <v>0.45</v>
          </cell>
          <cell r="FA221">
            <v>0.45</v>
          </cell>
          <cell r="FB221">
            <v>0.45</v>
          </cell>
          <cell r="FC221">
            <v>0.45</v>
          </cell>
          <cell r="FD221">
            <v>0.45</v>
          </cell>
          <cell r="FE221">
            <v>0.45</v>
          </cell>
        </row>
        <row r="222">
          <cell r="B222" t="str">
            <v>Sales -% Government (G)</v>
          </cell>
          <cell r="C222" t="str">
            <v>SALES_GOV</v>
          </cell>
          <cell r="F222">
            <v>0.05</v>
          </cell>
          <cell r="G222">
            <v>0.05</v>
          </cell>
          <cell r="H222">
            <v>0.05</v>
          </cell>
          <cell r="I222">
            <v>0.05</v>
          </cell>
          <cell r="J222">
            <v>0.05</v>
          </cell>
          <cell r="K222">
            <v>0.05</v>
          </cell>
          <cell r="L222">
            <v>0.05</v>
          </cell>
          <cell r="M222">
            <v>0.05</v>
          </cell>
          <cell r="N222">
            <v>0.05</v>
          </cell>
          <cell r="O222">
            <v>0.05</v>
          </cell>
          <cell r="P222">
            <v>0.05</v>
          </cell>
          <cell r="Q222">
            <v>0.05</v>
          </cell>
          <cell r="R222">
            <v>0.05</v>
          </cell>
          <cell r="S222">
            <v>0.05</v>
          </cell>
          <cell r="T222">
            <v>0.05</v>
          </cell>
          <cell r="U222">
            <v>0.05</v>
          </cell>
          <cell r="V222">
            <v>0.05</v>
          </cell>
          <cell r="W222">
            <v>0.05</v>
          </cell>
          <cell r="X222">
            <v>0.05</v>
          </cell>
          <cell r="Y222">
            <v>0.05</v>
          </cell>
          <cell r="Z222">
            <v>0.05</v>
          </cell>
          <cell r="AA222">
            <v>0.05</v>
          </cell>
          <cell r="AB222">
            <v>0.05</v>
          </cell>
          <cell r="AC222">
            <v>0.05</v>
          </cell>
          <cell r="AD222">
            <v>0.05</v>
          </cell>
          <cell r="AE222">
            <v>0.05</v>
          </cell>
          <cell r="AF222">
            <v>0.05</v>
          </cell>
          <cell r="AG222">
            <v>0.05</v>
          </cell>
          <cell r="AH222">
            <v>0.05</v>
          </cell>
          <cell r="AI222">
            <v>0.05</v>
          </cell>
          <cell r="AJ222">
            <v>0.05</v>
          </cell>
          <cell r="AK222">
            <v>0.05</v>
          </cell>
          <cell r="AL222">
            <v>0.05</v>
          </cell>
          <cell r="AM222">
            <v>0.05</v>
          </cell>
          <cell r="AN222">
            <v>0.05</v>
          </cell>
          <cell r="AO222">
            <v>0.05</v>
          </cell>
          <cell r="AP222">
            <v>0.05</v>
          </cell>
          <cell r="AQ222">
            <v>0.05</v>
          </cell>
          <cell r="AR222">
            <v>0.05</v>
          </cell>
          <cell r="AS222">
            <v>0.05</v>
          </cell>
          <cell r="AT222">
            <v>0.05</v>
          </cell>
          <cell r="AU222">
            <v>0.05</v>
          </cell>
          <cell r="AV222">
            <v>0.05</v>
          </cell>
          <cell r="AW222">
            <v>0.05</v>
          </cell>
          <cell r="AX222">
            <v>0.05</v>
          </cell>
          <cell r="AY222">
            <v>0.05</v>
          </cell>
          <cell r="AZ222">
            <v>0.05</v>
          </cell>
          <cell r="BA222">
            <v>0.05</v>
          </cell>
          <cell r="BB222">
            <v>0.05</v>
          </cell>
          <cell r="BC222">
            <v>0.05</v>
          </cell>
          <cell r="BD222">
            <v>0.05</v>
          </cell>
          <cell r="BE222">
            <v>0.05</v>
          </cell>
          <cell r="BF222">
            <v>0.05</v>
          </cell>
          <cell r="BG222">
            <v>0.05</v>
          </cell>
          <cell r="BH222">
            <v>0.05</v>
          </cell>
          <cell r="BI222">
            <v>0.05</v>
          </cell>
          <cell r="BJ222">
            <v>0.05</v>
          </cell>
          <cell r="BK222">
            <v>0.05</v>
          </cell>
          <cell r="BL222">
            <v>0.05</v>
          </cell>
          <cell r="BM222">
            <v>0.05</v>
          </cell>
          <cell r="BN222">
            <v>0.05</v>
          </cell>
          <cell r="BO222">
            <v>0.05</v>
          </cell>
          <cell r="BP222">
            <v>0.05</v>
          </cell>
          <cell r="BQ222">
            <v>0.05</v>
          </cell>
          <cell r="BR222">
            <v>0.05</v>
          </cell>
          <cell r="BS222">
            <v>0.05</v>
          </cell>
          <cell r="BT222">
            <v>0.05</v>
          </cell>
          <cell r="BU222">
            <v>0.05</v>
          </cell>
          <cell r="BV222">
            <v>0.05</v>
          </cell>
          <cell r="BW222">
            <v>0.05</v>
          </cell>
          <cell r="BX222">
            <v>0.05</v>
          </cell>
          <cell r="BY222">
            <v>0.05</v>
          </cell>
          <cell r="BZ222">
            <v>0.05</v>
          </cell>
          <cell r="CA222">
            <v>0.05</v>
          </cell>
          <cell r="CB222">
            <v>0.05</v>
          </cell>
          <cell r="CC222">
            <v>0.05</v>
          </cell>
          <cell r="CD222">
            <v>0.05</v>
          </cell>
          <cell r="CE222">
            <v>0.05</v>
          </cell>
          <cell r="CF222">
            <v>0.05</v>
          </cell>
          <cell r="CG222">
            <v>0.05</v>
          </cell>
          <cell r="CH222">
            <v>0.05</v>
          </cell>
          <cell r="CI222">
            <v>0.05</v>
          </cell>
          <cell r="CJ222">
            <v>0.05</v>
          </cell>
          <cell r="CK222">
            <v>0.05</v>
          </cell>
          <cell r="CL222">
            <v>0.05</v>
          </cell>
          <cell r="CM222">
            <v>0.05</v>
          </cell>
          <cell r="CN222">
            <v>0.05</v>
          </cell>
          <cell r="CO222">
            <v>0.05</v>
          </cell>
          <cell r="CP222">
            <v>0.05</v>
          </cell>
          <cell r="CQ222">
            <v>0.05</v>
          </cell>
          <cell r="CR222">
            <v>0.05</v>
          </cell>
          <cell r="CS222">
            <v>0.05</v>
          </cell>
          <cell r="CT222">
            <v>0.05</v>
          </cell>
          <cell r="CU222">
            <v>0.05</v>
          </cell>
          <cell r="CV222">
            <v>0.05</v>
          </cell>
          <cell r="CW222">
            <v>0.05</v>
          </cell>
          <cell r="CX222">
            <v>0.05</v>
          </cell>
          <cell r="CY222">
            <v>0.05</v>
          </cell>
          <cell r="CZ222">
            <v>0.05</v>
          </cell>
          <cell r="DA222">
            <v>0.05</v>
          </cell>
          <cell r="DB222">
            <v>0.05</v>
          </cell>
          <cell r="DC222">
            <v>0.05</v>
          </cell>
          <cell r="DD222">
            <v>0.05</v>
          </cell>
          <cell r="DE222">
            <v>0.05</v>
          </cell>
          <cell r="DF222">
            <v>0.05</v>
          </cell>
          <cell r="DG222">
            <v>0.05</v>
          </cell>
          <cell r="DH222">
            <v>0.05</v>
          </cell>
          <cell r="DI222">
            <v>0.05</v>
          </cell>
          <cell r="DJ222">
            <v>0.05</v>
          </cell>
          <cell r="DK222">
            <v>0.05</v>
          </cell>
          <cell r="DL222">
            <v>0.05</v>
          </cell>
          <cell r="DM222">
            <v>0.05</v>
          </cell>
          <cell r="DN222">
            <v>0.05</v>
          </cell>
          <cell r="DO222">
            <v>0.05</v>
          </cell>
          <cell r="DP222">
            <v>0.05</v>
          </cell>
          <cell r="DQ222">
            <v>0.05</v>
          </cell>
          <cell r="DR222">
            <v>0.05</v>
          </cell>
          <cell r="DS222">
            <v>0.05</v>
          </cell>
          <cell r="DT222">
            <v>0.05</v>
          </cell>
          <cell r="DU222">
            <v>0.05</v>
          </cell>
          <cell r="DV222">
            <v>0.05</v>
          </cell>
          <cell r="DW222">
            <v>0.05</v>
          </cell>
          <cell r="DX222">
            <v>0.05</v>
          </cell>
          <cell r="DY222">
            <v>0.05</v>
          </cell>
          <cell r="DZ222">
            <v>0.05</v>
          </cell>
          <cell r="EA222">
            <v>0.05</v>
          </cell>
          <cell r="EB222">
            <v>0.05</v>
          </cell>
          <cell r="EC222">
            <v>0.05</v>
          </cell>
          <cell r="ED222">
            <v>0.05</v>
          </cell>
          <cell r="EE222">
            <v>0.05</v>
          </cell>
          <cell r="EF222">
            <v>0.05</v>
          </cell>
          <cell r="EG222">
            <v>0.05</v>
          </cell>
          <cell r="EH222">
            <v>0.05</v>
          </cell>
          <cell r="EI222">
            <v>0.05</v>
          </cell>
          <cell r="EJ222">
            <v>0.05</v>
          </cell>
          <cell r="EK222">
            <v>0.05</v>
          </cell>
          <cell r="EL222">
            <v>0.05</v>
          </cell>
          <cell r="EM222">
            <v>0.05</v>
          </cell>
          <cell r="EN222">
            <v>0.05</v>
          </cell>
          <cell r="EO222">
            <v>0.05</v>
          </cell>
          <cell r="EP222">
            <v>0.05</v>
          </cell>
          <cell r="EQ222">
            <v>0.05</v>
          </cell>
          <cell r="ER222">
            <v>0.05</v>
          </cell>
          <cell r="ES222">
            <v>0.05</v>
          </cell>
          <cell r="ET222">
            <v>0.05</v>
          </cell>
          <cell r="EU222">
            <v>0.05</v>
          </cell>
          <cell r="EV222">
            <v>0.05</v>
          </cell>
          <cell r="EW222">
            <v>0.05</v>
          </cell>
          <cell r="EX222">
            <v>0.05</v>
          </cell>
          <cell r="EY222">
            <v>0.05</v>
          </cell>
          <cell r="EZ222">
            <v>0.05</v>
          </cell>
          <cell r="FA222">
            <v>0.05</v>
          </cell>
          <cell r="FB222">
            <v>0.05</v>
          </cell>
          <cell r="FC222">
            <v>0.05</v>
          </cell>
          <cell r="FD222">
            <v>0.05</v>
          </cell>
          <cell r="FE222">
            <v>0.05</v>
          </cell>
        </row>
        <row r="223">
          <cell r="B223" t="str">
            <v>Sales - % Industry Sub-Segment: Financial Services</v>
          </cell>
          <cell r="C223" t="str">
            <v>SALES_FINAN</v>
          </cell>
        </row>
        <row r="224">
          <cell r="B224" t="str">
            <v>Sales - % Industry Sub-Segment: Oil &amp; Gas</v>
          </cell>
          <cell r="C224" t="str">
            <v>SALES_OIL_GAS</v>
          </cell>
        </row>
        <row r="225">
          <cell r="B225" t="str">
            <v>Sales (%) SMB</v>
          </cell>
          <cell r="C225" t="str">
            <v>SALES_SMB</v>
          </cell>
        </row>
        <row r="226">
          <cell r="B226" t="str">
            <v>% of total cash balance held overseas (outside the US)</v>
          </cell>
          <cell r="C226" t="str">
            <v>CASH_PCT_OS_US</v>
          </cell>
        </row>
        <row r="227">
          <cell r="B227" t="str">
            <v>Sales - % from Captive Financing Business</v>
          </cell>
          <cell r="C227" t="str">
            <v>REV_FIN_SEGMENT</v>
          </cell>
        </row>
        <row r="228">
          <cell r="B228" t="str">
            <v>Operating Earnings - % from Captive Financing Business</v>
          </cell>
          <cell r="C228" t="str">
            <v>EBIT_FIN_SEGMENT</v>
          </cell>
        </row>
        <row r="229">
          <cell r="A229" t="str">
            <v>Commodities Exposure - Expense</v>
          </cell>
        </row>
        <row r="230">
          <cell r="B230" t="str">
            <v>Expense - % Oil/Petrol/Fuel</v>
          </cell>
          <cell r="C230" t="str">
            <v>EXP_OIL_PETRO_FUEL</v>
          </cell>
        </row>
        <row r="231">
          <cell r="B231" t="str">
            <v>Expense - % Oil derivatives/NGLs/plastics</v>
          </cell>
          <cell r="C231" t="str">
            <v>EXP_OIL_DERIV_NGLS_PLASTICS</v>
          </cell>
        </row>
        <row r="232">
          <cell r="A232" t="str">
            <v>FX Exposure - Sales</v>
          </cell>
        </row>
        <row r="233">
          <cell r="B233" t="str">
            <v>Sales - % FX: British Pounds/Pence</v>
          </cell>
          <cell r="C233" t="str">
            <v>SALES_FX_GPB</v>
          </cell>
        </row>
        <row r="234">
          <cell r="B234" t="str">
            <v>Sales - % FX: Euro</v>
          </cell>
          <cell r="C234" t="str">
            <v>SALES_FX_EUR</v>
          </cell>
        </row>
        <row r="235">
          <cell r="B235" t="str">
            <v>Sales - % FX: New Russian Ruble</v>
          </cell>
          <cell r="C235" t="str">
            <v>SALES_FX_RUB</v>
          </cell>
        </row>
        <row r="236">
          <cell r="B236" t="str">
            <v>Sales - % FX: U.S. Dollar</v>
          </cell>
          <cell r="C236" t="str">
            <v>SALES_FX_USD</v>
          </cell>
        </row>
        <row r="237">
          <cell r="B237" t="str">
            <v>Sales - % FX: Brazilian Real</v>
          </cell>
          <cell r="C237" t="str">
            <v>SALES_FX_BRL</v>
          </cell>
        </row>
        <row r="238">
          <cell r="B238" t="str">
            <v>Sales - % FX: Japanese Yen</v>
          </cell>
          <cell r="C238" t="str">
            <v>SALES_FX_YEN</v>
          </cell>
        </row>
        <row r="239">
          <cell r="B239" t="str">
            <v>Sales - % FX: Chinese Renminbi</v>
          </cell>
          <cell r="C239" t="str">
            <v>SALES_FX_CNY</v>
          </cell>
        </row>
        <row r="240">
          <cell r="B240" t="str">
            <v>Sales - % FX: Indian Rupee</v>
          </cell>
          <cell r="C240" t="str">
            <v>SALES_FX_INR</v>
          </cell>
        </row>
        <row r="241">
          <cell r="B241" t="str">
            <v>Sales - % FX: Canadian Dollar</v>
          </cell>
          <cell r="C241" t="str">
            <v>SALES_FX_CAD</v>
          </cell>
        </row>
        <row r="242">
          <cell r="B242" t="str">
            <v>Sales - % FX: Mexican Peso</v>
          </cell>
          <cell r="C242" t="str">
            <v>SALES_FX_MXN</v>
          </cell>
        </row>
        <row r="243">
          <cell r="B243" t="str">
            <v>Sales - % FX: Colombian Peso</v>
          </cell>
          <cell r="C243" t="str">
            <v>SALES_FX_COP</v>
          </cell>
        </row>
        <row r="244">
          <cell r="B244" t="str">
            <v>Sales - % FX: Argentine Peso</v>
          </cell>
          <cell r="C244" t="str">
            <v>SALES_FX_ARS</v>
          </cell>
        </row>
        <row r="245">
          <cell r="B245" t="str">
            <v>Sales - % FX: Chilean Peso</v>
          </cell>
          <cell r="C245" t="str">
            <v>SALES_FX_CLP</v>
          </cell>
        </row>
        <row r="246">
          <cell r="B246" t="str">
            <v>Sales - % FX: Venezuelan bolivar</v>
          </cell>
          <cell r="C246" t="str">
            <v>SALES_FX_VEF</v>
          </cell>
        </row>
        <row r="247">
          <cell r="B247" t="str">
            <v>Sales - % FX: Other Currency</v>
          </cell>
          <cell r="C247" t="str">
            <v>SALES_FX_OTH</v>
          </cell>
        </row>
        <row r="248">
          <cell r="A248" t="str">
            <v>Items to be removed</v>
          </cell>
        </row>
        <row r="249">
          <cell r="B249" t="str">
            <v>Sales - Total % Americas</v>
          </cell>
          <cell r="C249" t="str">
            <v>SALES_TOT_AM</v>
          </cell>
        </row>
        <row r="250">
          <cell r="B250" t="str">
            <v>Sales - % Other Americas</v>
          </cell>
          <cell r="C250" t="str">
            <v>SALES_OTH_AM</v>
          </cell>
        </row>
        <row r="251">
          <cell r="B251" t="str">
            <v>Sales - Total % EMEA</v>
          </cell>
          <cell r="C251" t="str">
            <v>SALES_TOT_EMEA</v>
          </cell>
        </row>
        <row r="252">
          <cell r="B252" t="str">
            <v>Sales - % Western Europe-Ex UK</v>
          </cell>
          <cell r="C252" t="str">
            <v>SALES_EU_EX_UK</v>
          </cell>
        </row>
        <row r="253">
          <cell r="B253" t="str">
            <v>Sales - % Central &amp; Eastern Europe</v>
          </cell>
          <cell r="C253" t="str">
            <v>SALES_CEE</v>
          </cell>
        </row>
        <row r="254">
          <cell r="B254" t="str">
            <v>Sales - % Middle East</v>
          </cell>
          <cell r="C254" t="str">
            <v>SALES_ME</v>
          </cell>
        </row>
        <row r="255">
          <cell r="B255" t="str">
            <v>Sales - % Total Africa</v>
          </cell>
          <cell r="C255" t="str">
            <v>SALES_TOT_AFRICA</v>
          </cell>
        </row>
        <row r="256">
          <cell r="B256" t="str">
            <v>Sales - % Other EMEA</v>
          </cell>
          <cell r="C256" t="str">
            <v>SALES_OTH_EMEA</v>
          </cell>
        </row>
        <row r="257">
          <cell r="B257" t="str">
            <v>Sales - Total % Asia (incl Australia &amp; New Zealand)</v>
          </cell>
          <cell r="C257" t="str">
            <v>SALES_TOT_ASIA</v>
          </cell>
        </row>
        <row r="258">
          <cell r="B258" t="str">
            <v>Sales - % Other Asia</v>
          </cell>
          <cell r="C258" t="str">
            <v>SALES_OTH_AEJ</v>
          </cell>
        </row>
        <row r="259">
          <cell r="A259" t="str">
            <v>Security: Microsoft Corp.</v>
          </cell>
          <cell r="B259" t="str">
            <v>15ZXKA</v>
          </cell>
        </row>
        <row r="260">
          <cell r="A260" t="str">
            <v>Reference Data</v>
          </cell>
        </row>
        <row r="261">
          <cell r="B261" t="str">
            <v>Ticker</v>
          </cell>
          <cell r="C261" t="str">
            <v>Ticker</v>
          </cell>
          <cell r="E261" t="str">
            <v>MSFT</v>
          </cell>
        </row>
        <row r="262">
          <cell r="B262" t="str">
            <v>Security Name</v>
          </cell>
          <cell r="C262" t="str">
            <v>Security Name</v>
          </cell>
          <cell r="E262" t="str">
            <v>Microsoft Corp.</v>
          </cell>
        </row>
        <row r="263">
          <cell r="B263" t="str">
            <v>Interim Type</v>
          </cell>
          <cell r="C263" t="str">
            <v>Interim Type</v>
          </cell>
          <cell r="E263" t="str">
            <v>Q</v>
          </cell>
        </row>
        <row r="264">
          <cell r="B264" t="str">
            <v>Publishing Currency</v>
          </cell>
          <cell r="C264" t="str">
            <v>PUB_CURRENCY_ISO</v>
          </cell>
          <cell r="E264" t="str">
            <v>USD</v>
          </cell>
        </row>
        <row r="265">
          <cell r="B265" t="str">
            <v>Pricing Currency</v>
          </cell>
          <cell r="C265" t="str">
            <v>PRICE_CURRENCY_ISO</v>
          </cell>
          <cell r="E265" t="str">
            <v>USD</v>
          </cell>
        </row>
        <row r="266">
          <cell r="B266" t="str">
            <v>Reporting Currency</v>
          </cell>
          <cell r="C266" t="str">
            <v>CURRENCY_ISO</v>
          </cell>
          <cell r="E266" t="str">
            <v>USD</v>
          </cell>
        </row>
        <row r="267">
          <cell r="A267" t="str">
            <v>General Information</v>
          </cell>
        </row>
        <row r="268">
          <cell r="B268" t="str">
            <v>Americas Investment List</v>
          </cell>
          <cell r="C268" t="str">
            <v>AMER_LIST</v>
          </cell>
          <cell r="E268" t="str">
            <v>Buy</v>
          </cell>
        </row>
        <row r="269">
          <cell r="B269" t="str">
            <v>Americas Conviction List</v>
          </cell>
          <cell r="C269" t="str">
            <v>NOT IN USE</v>
          </cell>
        </row>
        <row r="270">
          <cell r="B270" t="str">
            <v>Legal rating</v>
          </cell>
          <cell r="C270" t="str">
            <v>LEGAL_RATING</v>
          </cell>
        </row>
        <row r="271">
          <cell r="B271" t="str">
            <v>Target price</v>
          </cell>
          <cell r="C271" t="str">
            <v>TARGET_PRICE</v>
          </cell>
          <cell r="D271" t="str">
            <v>USD</v>
          </cell>
          <cell r="E271">
            <v>515</v>
          </cell>
        </row>
        <row r="272">
          <cell r="B272" t="str">
            <v>Target price period</v>
          </cell>
          <cell r="C272" t="str">
            <v>TP_PERIOD</v>
          </cell>
          <cell r="E272" t="str">
            <v>12 months</v>
          </cell>
        </row>
        <row r="273">
          <cell r="B273" t="str">
            <v>Fundamental value</v>
          </cell>
          <cell r="C273" t="str">
            <v>TARGET_PRICE_FUNDAMENTAL</v>
          </cell>
          <cell r="D273" t="str">
            <v>USD</v>
          </cell>
          <cell r="E273">
            <v>515</v>
          </cell>
        </row>
        <row r="274">
          <cell r="B274" t="str">
            <v>M&amp;A value</v>
          </cell>
          <cell r="C274" t="str">
            <v>TARGET_PRICE_MA</v>
          </cell>
          <cell r="D274" t="str">
            <v>USD</v>
          </cell>
        </row>
        <row r="275">
          <cell r="B275" t="str">
            <v>Current shares outstanding (mn)</v>
          </cell>
          <cell r="C275" t="str">
            <v>NUM_SH</v>
          </cell>
          <cell r="E275">
            <v>7472</v>
          </cell>
        </row>
        <row r="276">
          <cell r="B276" t="str">
            <v>Free float</v>
          </cell>
          <cell r="C276" t="str">
            <v>FREE_FLOAT</v>
          </cell>
        </row>
        <row r="277">
          <cell r="A277" t="str">
            <v>Publishing Items</v>
          </cell>
        </row>
        <row r="278">
          <cell r="B278" t="str">
            <v>Book value per share, BVPS (Pub)</v>
          </cell>
          <cell r="C278" t="str">
            <v>BVPS_PUB</v>
          </cell>
          <cell r="D278" t="str">
            <v>USD</v>
          </cell>
          <cell r="F278">
            <v>9.3508771929820007</v>
          </cell>
          <cell r="G278">
            <v>10.0015625</v>
          </cell>
          <cell r="H278">
            <v>10.760188087774001</v>
          </cell>
          <cell r="I278">
            <v>11.464788732394</v>
          </cell>
          <cell r="J278">
            <v>11.888372093022999</v>
          </cell>
          <cell r="K278">
            <v>11.971896955503</v>
          </cell>
          <cell r="L278">
            <v>6.2418856259659998</v>
          </cell>
          <cell r="M278">
            <v>8.0350000000000001</v>
          </cell>
          <cell r="N278">
            <v>3.8058333333330001</v>
          </cell>
          <cell r="O278">
            <v>4.4904166666669996</v>
          </cell>
          <cell r="P278">
            <v>5.9100630655330004</v>
          </cell>
          <cell r="Q278">
            <v>8.6001500375089996</v>
          </cell>
          <cell r="R278">
            <v>10.118032786884999</v>
          </cell>
          <cell r="S278">
            <v>5.9902040816330002</v>
          </cell>
          <cell r="T278">
            <v>6.5203921568630001</v>
          </cell>
          <cell r="U278">
            <v>8.8055077452670005</v>
          </cell>
          <cell r="V278">
            <v>7.7268686868690004</v>
          </cell>
          <cell r="W278">
            <v>9.0312000000000001</v>
          </cell>
          <cell r="X278">
            <v>5.0435294117650002</v>
          </cell>
          <cell r="Y278">
            <v>5.5760784313730003</v>
          </cell>
          <cell r="Z278">
            <v>7.4960131795720004</v>
          </cell>
          <cell r="AA278">
            <v>6.1450980392160002</v>
          </cell>
          <cell r="AB278">
            <v>6.6517307692310004</v>
          </cell>
          <cell r="AC278">
            <v>7.6523076923079998</v>
          </cell>
          <cell r="AD278">
            <v>7.750285714286</v>
          </cell>
          <cell r="AE278">
            <v>7.843662650602</v>
          </cell>
          <cell r="AF278">
            <v>8.5568975278349999</v>
          </cell>
          <cell r="AG278">
            <v>8.7095684802999997</v>
          </cell>
          <cell r="AH278">
            <v>9.0123688155919996</v>
          </cell>
          <cell r="AI278">
            <v>8.7881434677569992</v>
          </cell>
          <cell r="AJ278">
            <v>8.861426028296</v>
          </cell>
          <cell r="AK278">
            <v>8.9857354575770003</v>
          </cell>
          <cell r="AL278">
            <v>9.5547729379049997</v>
          </cell>
          <cell r="AM278">
            <v>10.027700831024999</v>
          </cell>
          <cell r="AN278">
            <v>9.6361957525390007</v>
          </cell>
          <cell r="AO278">
            <v>9.652684641354</v>
          </cell>
          <cell r="AP278">
            <v>4.9833317813580003</v>
          </cell>
          <cell r="AQ278">
            <v>5.2146127254039998</v>
          </cell>
          <cell r="AR278">
            <v>5.4392907139520004</v>
          </cell>
          <cell r="AS278">
            <v>5.6831517183570002</v>
          </cell>
          <cell r="AT278">
            <v>5.690306336551</v>
          </cell>
          <cell r="AU278">
            <v>6.1677920636390002</v>
          </cell>
          <cell r="AV278">
            <v>6.4147086031449998</v>
          </cell>
          <cell r="AW278">
            <v>6.5442744552620002</v>
          </cell>
          <cell r="AX278">
            <v>6.9243938552659996</v>
          </cell>
          <cell r="AY278">
            <v>6.9263167638620002</v>
          </cell>
          <cell r="AZ278">
            <v>7.0191299549339998</v>
          </cell>
          <cell r="BA278">
            <v>4.3423738163100003</v>
          </cell>
          <cell r="BB278">
            <v>4.3637619749449996</v>
          </cell>
          <cell r="BC278">
            <v>4.4758139534880002</v>
          </cell>
          <cell r="BD278">
            <v>4.4390626441550003</v>
          </cell>
          <cell r="BE278">
            <v>4.5182311144350003</v>
          </cell>
          <cell r="BF278">
            <v>4.1863636363639998</v>
          </cell>
          <cell r="BG278">
            <v>4.0801708240319998</v>
          </cell>
          <cell r="BH278">
            <v>3.9371686628710001</v>
          </cell>
          <cell r="BI278">
            <v>3.84275961193</v>
          </cell>
          <cell r="BJ278">
            <v>3.6359149964749999</v>
          </cell>
          <cell r="BK278">
            <v>3.7358759942890001</v>
          </cell>
          <cell r="BL278">
            <v>3.5961953727510001</v>
          </cell>
          <cell r="BM278">
            <v>3.2709582412959999</v>
          </cell>
          <cell r="BN278">
            <v>3.192136936382</v>
          </cell>
          <cell r="BO278">
            <v>3.4259061833689999</v>
          </cell>
          <cell r="BP278">
            <v>3.6781326781330002</v>
          </cell>
          <cell r="BQ278">
            <v>4.0350273987319998</v>
          </cell>
          <cell r="BR278">
            <v>3.9168825561310001</v>
          </cell>
          <cell r="BS278">
            <v>3.890008576329</v>
          </cell>
          <cell r="BT278">
            <v>3.6981505944520001</v>
          </cell>
          <cell r="BU278">
            <v>3.8726272043129999</v>
          </cell>
          <cell r="BV278">
            <v>4.155100663592</v>
          </cell>
          <cell r="BW278">
            <v>4.4442197505900003</v>
          </cell>
          <cell r="BX278">
            <v>4.4224824617790004</v>
          </cell>
          <cell r="BY278">
            <v>4.6232892079869998</v>
          </cell>
          <cell r="BZ278">
            <v>5.0003387533880002</v>
          </cell>
          <cell r="CA278">
            <v>5.2138701950500002</v>
          </cell>
          <cell r="CB278">
            <v>5.3001606978879998</v>
          </cell>
          <cell r="CC278">
            <v>5.2398649607080001</v>
          </cell>
          <cell r="CD278">
            <v>5.4495008126310003</v>
          </cell>
          <cell r="CE278">
            <v>5.7056608214660001</v>
          </cell>
          <cell r="CF278">
            <v>6.3482185273159999</v>
          </cell>
          <cell r="CG278">
            <v>6.7722149721199996</v>
          </cell>
          <cell r="CH278">
            <v>6.7235571260310003</v>
          </cell>
          <cell r="CI278">
            <v>7.0770972354620003</v>
          </cell>
          <cell r="CJ278">
            <v>7.6316353249229998</v>
          </cell>
          <cell r="CK278">
            <v>8.1727175336270008</v>
          </cell>
          <cell r="CL278">
            <v>7.9116595135910002</v>
          </cell>
          <cell r="CM278">
            <v>7.9043563707829998</v>
          </cell>
          <cell r="CN278">
            <v>8.1986660314440005</v>
          </cell>
          <cell r="CO278">
            <v>8.6472060050039996</v>
          </cell>
          <cell r="CP278">
            <v>9.1688187470110005</v>
          </cell>
          <cell r="CQ278">
            <v>9.4600359496700008</v>
          </cell>
          <cell r="CR278">
            <v>9.4267120425099993</v>
          </cell>
          <cell r="CS278">
            <v>9.7902626214169999</v>
          </cell>
          <cell r="CT278">
            <v>10.220994475137999</v>
          </cell>
          <cell r="CU278">
            <v>10.553355866731</v>
          </cell>
          <cell r="CV278">
            <v>10.888188212467</v>
          </cell>
          <cell r="CW278">
            <v>10.818978761862001</v>
          </cell>
          <cell r="CX278">
            <v>10.931021942054</v>
          </cell>
          <cell r="CY278">
            <v>11.166626154594001</v>
          </cell>
          <cell r="CZ278">
            <v>11.036120974654001</v>
          </cell>
          <cell r="DA278">
            <v>9.9346234958440007</v>
          </cell>
          <cell r="DB278">
            <v>9.7945879834890004</v>
          </cell>
          <cell r="DC278">
            <v>9.6854677338670001</v>
          </cell>
          <cell r="DD278">
            <v>9.6408839779009998</v>
          </cell>
          <cell r="DE278">
            <v>9.4751108296390001</v>
          </cell>
          <cell r="DF278">
            <v>9.1809487375670003</v>
          </cell>
          <cell r="DG278">
            <v>9.0856547938290007</v>
          </cell>
          <cell r="DH278">
            <v>10.586981640775001</v>
          </cell>
          <cell r="DI278">
            <v>10.551773049645</v>
          </cell>
          <cell r="DJ278">
            <v>10.80789644013</v>
          </cell>
          <cell r="DK278">
            <v>11.368891769280999</v>
          </cell>
          <cell r="DL278">
            <v>11.323392718822999</v>
          </cell>
          <cell r="DM278">
            <v>11.630384016606</v>
          </cell>
          <cell r="DN278">
            <v>10.163424124514</v>
          </cell>
          <cell r="DO278">
            <v>10.293452844895</v>
          </cell>
          <cell r="DP278">
            <v>10.766367304438001</v>
          </cell>
          <cell r="DQ278">
            <v>10.742946199552</v>
          </cell>
          <cell r="DR278">
            <v>11.203831617360001</v>
          </cell>
          <cell r="DS278">
            <v>11.977119084763</v>
          </cell>
          <cell r="DT278">
            <v>12.364963503649999</v>
          </cell>
          <cell r="DU278">
            <v>13.367733507511</v>
          </cell>
          <cell r="DV278">
            <v>13.336374299492</v>
          </cell>
          <cell r="DW278">
            <v>13.893240764999</v>
          </cell>
          <cell r="DX278">
            <v>14.448103923370001</v>
          </cell>
          <cell r="DY278">
            <v>15.061957379637001</v>
          </cell>
          <cell r="DZ278">
            <v>15.607387862796999</v>
          </cell>
          <cell r="EA278">
            <v>15.547392975655001</v>
          </cell>
          <cell r="EB278">
            <v>16.308749669573999</v>
          </cell>
          <cell r="EC278">
            <v>17.238385175381001</v>
          </cell>
          <cell r="ED278">
            <v>17.841225626741</v>
          </cell>
          <cell r="EE278">
            <v>18.863823568487</v>
          </cell>
          <cell r="EF278">
            <v>18.813833311248999</v>
          </cell>
          <cell r="EG278">
            <v>20.228670304805</v>
          </cell>
          <cell r="EH278">
            <v>21.320453031311999</v>
          </cell>
          <cell r="EI278">
            <v>21.743493927666002</v>
          </cell>
          <cell r="EJ278">
            <v>22.282847203639001</v>
          </cell>
          <cell r="EK278">
            <v>22.217449306296999</v>
          </cell>
          <cell r="EL278">
            <v>23.275579991954</v>
          </cell>
          <cell r="EM278">
            <v>24.578714266540999</v>
          </cell>
          <cell r="EN278">
            <v>26.163553285849002</v>
          </cell>
          <cell r="EO278">
            <v>27.740516545601</v>
          </cell>
          <cell r="EP278">
            <v>27.695809830782</v>
          </cell>
          <cell r="EQ278">
            <v>29.709785973886</v>
          </cell>
          <cell r="ER278">
            <v>32.059741657696001</v>
          </cell>
          <cell r="ES278">
            <v>34.067016552280997</v>
          </cell>
          <cell r="ET278">
            <v>36.744738297128997</v>
          </cell>
          <cell r="EU278">
            <v>36.757099441682001</v>
          </cell>
          <cell r="EV278">
            <v>39.775415385008003</v>
          </cell>
          <cell r="EW278">
            <v>42.858108633683997</v>
          </cell>
          <cell r="EX278">
            <v>45.944954223507999</v>
          </cell>
          <cell r="EY278">
            <v>49.319474768840998</v>
          </cell>
          <cell r="EZ278">
            <v>49.293299649165</v>
          </cell>
          <cell r="FA278">
            <v>52.957753501667</v>
          </cell>
          <cell r="FB278">
            <v>56.715600440336999</v>
          </cell>
          <cell r="FC278">
            <v>60.471954385787001</v>
          </cell>
          <cell r="FD278">
            <v>64.544308578975006</v>
          </cell>
          <cell r="FE278">
            <v>64.415380074905002</v>
          </cell>
        </row>
        <row r="279">
          <cell r="B279" t="str">
            <v>DPS, dividend per share (Pub)</v>
          </cell>
          <cell r="C279" t="str">
            <v>DPS_PUB</v>
          </cell>
          <cell r="D279" t="str">
            <v>USD</v>
          </cell>
        </row>
        <row r="280">
          <cell r="B280" t="str">
            <v>Special dividend per share</v>
          </cell>
          <cell r="C280" t="str">
            <v>DPS_SPECIAL_PUB</v>
          </cell>
          <cell r="D280" t="str">
            <v>USD</v>
          </cell>
        </row>
        <row r="281">
          <cell r="B281" t="str">
            <v>EBITDA (Pub)</v>
          </cell>
          <cell r="C281" t="str">
            <v>EBITDA_PUB</v>
          </cell>
          <cell r="D281" t="str">
            <v>USD</v>
          </cell>
          <cell r="F281">
            <v>2307</v>
          </cell>
          <cell r="G281">
            <v>777</v>
          </cell>
          <cell r="H281">
            <v>864</v>
          </cell>
          <cell r="I281">
            <v>963</v>
          </cell>
          <cell r="J281">
            <v>954</v>
          </cell>
          <cell r="K281">
            <v>3558</v>
          </cell>
          <cell r="L281">
            <v>902</v>
          </cell>
          <cell r="M281">
            <v>1081</v>
          </cell>
          <cell r="N281">
            <v>1568</v>
          </cell>
          <cell r="O281">
            <v>1579</v>
          </cell>
          <cell r="P281">
            <v>5130</v>
          </cell>
          <cell r="Q281">
            <v>1131</v>
          </cell>
          <cell r="R281">
            <v>1663</v>
          </cell>
          <cell r="S281">
            <v>1927</v>
          </cell>
          <cell r="T281">
            <v>1923</v>
          </cell>
          <cell r="U281">
            <v>6644</v>
          </cell>
          <cell r="V281">
            <v>2261</v>
          </cell>
          <cell r="W281">
            <v>2891</v>
          </cell>
          <cell r="X281">
            <v>2387</v>
          </cell>
          <cell r="Y281">
            <v>3315</v>
          </cell>
          <cell r="Z281">
            <v>10854</v>
          </cell>
          <cell r="AA281">
            <v>3207</v>
          </cell>
          <cell r="AB281">
            <v>3243</v>
          </cell>
          <cell r="AC281">
            <v>3003</v>
          </cell>
          <cell r="AD281">
            <v>2232</v>
          </cell>
          <cell r="AE281">
            <v>11685</v>
          </cell>
          <cell r="AF281">
            <v>3027</v>
          </cell>
          <cell r="AG281">
            <v>3433</v>
          </cell>
          <cell r="AH281">
            <v>3481</v>
          </cell>
          <cell r="AI281">
            <v>3315</v>
          </cell>
          <cell r="AJ281">
            <v>13256</v>
          </cell>
          <cell r="AK281">
            <v>3179</v>
          </cell>
          <cell r="AL281">
            <v>3136</v>
          </cell>
          <cell r="AM281">
            <v>3446</v>
          </cell>
          <cell r="AN281">
            <v>3233</v>
          </cell>
          <cell r="AO281">
            <v>12994</v>
          </cell>
          <cell r="AP281">
            <v>3301</v>
          </cell>
          <cell r="AQ281">
            <v>2508</v>
          </cell>
          <cell r="AR281">
            <v>3127</v>
          </cell>
          <cell r="AS281">
            <v>2002</v>
          </cell>
          <cell r="AT281">
            <v>10938</v>
          </cell>
          <cell r="AU281">
            <v>3476</v>
          </cell>
          <cell r="AV281">
            <v>1775</v>
          </cell>
          <cell r="AW281">
            <v>1527</v>
          </cell>
          <cell r="AX281">
            <v>3442</v>
          </cell>
          <cell r="AY281">
            <v>10220</v>
          </cell>
          <cell r="AZ281">
            <v>3677</v>
          </cell>
          <cell r="BA281">
            <v>4857</v>
          </cell>
          <cell r="BB281">
            <v>3611</v>
          </cell>
          <cell r="BC281">
            <v>3271</v>
          </cell>
          <cell r="BD281">
            <v>15416</v>
          </cell>
          <cell r="BE281">
            <v>4280</v>
          </cell>
          <cell r="BF281">
            <v>4888</v>
          </cell>
          <cell r="BG281">
            <v>4065</v>
          </cell>
          <cell r="BH281">
            <v>4142</v>
          </cell>
          <cell r="BI281">
            <v>17375</v>
          </cell>
          <cell r="BJ281">
            <v>4723</v>
          </cell>
          <cell r="BK281">
            <v>3837</v>
          </cell>
          <cell r="BL281">
            <v>7034</v>
          </cell>
          <cell r="BM281">
            <v>4370</v>
          </cell>
          <cell r="BN281">
            <v>19964</v>
          </cell>
          <cell r="BO281">
            <v>6353</v>
          </cell>
          <cell r="BP281">
            <v>6962</v>
          </cell>
          <cell r="BQ281">
            <v>4941</v>
          </cell>
          <cell r="BR281">
            <v>6292</v>
          </cell>
          <cell r="BS281">
            <v>24548</v>
          </cell>
          <cell r="BT281">
            <v>6584</v>
          </cell>
          <cell r="BU281">
            <v>6571</v>
          </cell>
          <cell r="BV281">
            <v>5102</v>
          </cell>
          <cell r="BW281">
            <v>4668</v>
          </cell>
          <cell r="BX281">
            <v>22925</v>
          </cell>
          <cell r="BY281">
            <v>5128</v>
          </cell>
          <cell r="BZ281">
            <v>9128</v>
          </cell>
          <cell r="CA281">
            <v>5867</v>
          </cell>
          <cell r="CB281">
            <v>6648</v>
          </cell>
          <cell r="CC281">
            <v>26771</v>
          </cell>
          <cell r="CD281">
            <v>7810</v>
          </cell>
          <cell r="CE281">
            <v>8828</v>
          </cell>
          <cell r="CF281">
            <v>6429</v>
          </cell>
          <cell r="CG281">
            <v>6860</v>
          </cell>
          <cell r="CH281">
            <v>29927</v>
          </cell>
          <cell r="CI281">
            <v>7929</v>
          </cell>
          <cell r="CJ281">
            <v>8672</v>
          </cell>
          <cell r="CK281">
            <v>7140</v>
          </cell>
          <cell r="CL281">
            <v>989</v>
          </cell>
          <cell r="CM281">
            <v>24730</v>
          </cell>
          <cell r="CN281">
            <v>6018</v>
          </cell>
          <cell r="CO281">
            <v>8780</v>
          </cell>
          <cell r="CP281">
            <v>8665</v>
          </cell>
          <cell r="CQ281">
            <v>7056</v>
          </cell>
          <cell r="CR281">
            <v>30519</v>
          </cell>
          <cell r="CS281">
            <v>7288</v>
          </cell>
          <cell r="CT281">
            <v>9230</v>
          </cell>
          <cell r="CU281">
            <v>8229</v>
          </cell>
          <cell r="CV281">
            <v>8224</v>
          </cell>
          <cell r="CW281">
            <v>32971</v>
          </cell>
          <cell r="CX281">
            <v>7272</v>
          </cell>
          <cell r="CY281">
            <v>9297</v>
          </cell>
          <cell r="CZ281">
            <v>8109</v>
          </cell>
          <cell r="DA281">
            <v>-560</v>
          </cell>
          <cell r="DB281">
            <v>24118</v>
          </cell>
          <cell r="DC281">
            <v>7254</v>
          </cell>
          <cell r="DD281">
            <v>7570</v>
          </cell>
          <cell r="DE281">
            <v>6990</v>
          </cell>
          <cell r="DF281">
            <v>4990</v>
          </cell>
          <cell r="DG281">
            <v>26804</v>
          </cell>
          <cell r="DH281">
            <v>8531</v>
          </cell>
          <cell r="DI281">
            <v>10071</v>
          </cell>
          <cell r="DJ281">
            <v>9176</v>
          </cell>
          <cell r="DK281">
            <v>10025</v>
          </cell>
          <cell r="DL281">
            <v>37803</v>
          </cell>
          <cell r="DM281">
            <v>10207</v>
          </cell>
          <cell r="DN281">
            <v>11215</v>
          </cell>
          <cell r="DO281">
            <v>11002</v>
          </cell>
          <cell r="DP281">
            <v>12895</v>
          </cell>
          <cell r="DQ281">
            <v>45319</v>
          </cell>
          <cell r="DR281">
            <v>12792</v>
          </cell>
          <cell r="DS281">
            <v>13253</v>
          </cell>
          <cell r="DT281">
            <v>13267</v>
          </cell>
          <cell r="DU281">
            <v>15329</v>
          </cell>
          <cell r="DV281">
            <v>54641</v>
          </cell>
          <cell r="DW281">
            <v>15657</v>
          </cell>
          <cell r="DX281">
            <v>17094</v>
          </cell>
          <cell r="DY281">
            <v>16093</v>
          </cell>
          <cell r="DZ281">
            <v>16911</v>
          </cell>
          <cell r="EA281">
            <v>65755</v>
          </cell>
          <cell r="EB281">
            <v>18521</v>
          </cell>
          <cell r="EC281">
            <v>20658</v>
          </cell>
          <cell r="ED281">
            <v>19984</v>
          </cell>
          <cell r="EE281">
            <v>22439</v>
          </cell>
          <cell r="EF281">
            <v>81602</v>
          </cell>
          <cell r="EG281">
            <v>23450</v>
          </cell>
          <cell r="EH281">
            <v>25743</v>
          </cell>
          <cell r="EI281">
            <v>24137</v>
          </cell>
          <cell r="EJ281">
            <v>24513</v>
          </cell>
          <cell r="EK281">
            <v>97843</v>
          </cell>
          <cell r="EL281">
            <v>24308</v>
          </cell>
          <cell r="EM281">
            <v>24047</v>
          </cell>
          <cell r="EN281">
            <v>25901</v>
          </cell>
          <cell r="EO281">
            <v>28128</v>
          </cell>
          <cell r="EP281">
            <v>102384</v>
          </cell>
          <cell r="EQ281">
            <v>30816</v>
          </cell>
          <cell r="ER281">
            <v>32991</v>
          </cell>
          <cell r="ES281">
            <v>33608</v>
          </cell>
          <cell r="ET281">
            <v>33574.879646781199</v>
          </cell>
          <cell r="EU281">
            <v>130989.879646781</v>
          </cell>
          <cell r="EV281">
            <v>36059.268619561299</v>
          </cell>
          <cell r="EW281">
            <v>39001.661649636502</v>
          </cell>
          <cell r="EX281">
            <v>38653.904098121799</v>
          </cell>
          <cell r="EY281">
            <v>39800.837037934303</v>
          </cell>
          <cell r="EZ281">
            <v>153515.67140525399</v>
          </cell>
          <cell r="FA281">
            <v>41401.978390350698</v>
          </cell>
          <cell r="FB281">
            <v>43212.559184375903</v>
          </cell>
          <cell r="FC281">
            <v>43332.126107122996</v>
          </cell>
          <cell r="FD281">
            <v>46121.415805375203</v>
          </cell>
          <cell r="FE281">
            <v>174068.07948722501</v>
          </cell>
        </row>
        <row r="282">
          <cell r="B282" t="str">
            <v>EPS (Pub)</v>
          </cell>
          <cell r="C282" t="str">
            <v>EPS_PUB</v>
          </cell>
          <cell r="D282" t="str">
            <v>USD</v>
          </cell>
          <cell r="F282">
            <v>2.3173843700160002</v>
          </cell>
          <cell r="G282">
            <v>0.77968749999999998</v>
          </cell>
          <cell r="H282">
            <v>0.90125391849500003</v>
          </cell>
          <cell r="I282">
            <v>0.879499217527</v>
          </cell>
          <cell r="J282">
            <v>0.86666666666699999</v>
          </cell>
          <cell r="K282">
            <v>3.4270101483220001</v>
          </cell>
          <cell r="L282">
            <v>0.47230769230800002</v>
          </cell>
          <cell r="M282">
            <v>0.56999999999999995</v>
          </cell>
          <cell r="N282">
            <v>0.40076923076900001</v>
          </cell>
          <cell r="O282">
            <v>0.39886792452800002</v>
          </cell>
          <cell r="P282">
            <v>1.76</v>
          </cell>
          <cell r="Q282">
            <v>0.49477611940299998</v>
          </cell>
          <cell r="R282">
            <v>0.84552238806000002</v>
          </cell>
          <cell r="S282">
            <v>0.49518518518499999</v>
          </cell>
          <cell r="T282">
            <v>0.48464285714299998</v>
          </cell>
          <cell r="U282">
            <v>2.1955990220050001</v>
          </cell>
          <cell r="V282">
            <v>0.62333333333300001</v>
          </cell>
          <cell r="W282">
            <v>0.73444444444400003</v>
          </cell>
          <cell r="X282">
            <v>0.34854545454500002</v>
          </cell>
          <cell r="Y282">
            <v>0.39884078971199999</v>
          </cell>
          <cell r="Z282">
            <v>1.896352231898</v>
          </cell>
          <cell r="AA282">
            <v>0.39836363636400002</v>
          </cell>
          <cell r="AB282">
            <v>0.44290909090899999</v>
          </cell>
          <cell r="AC282">
            <v>0.433636363636</v>
          </cell>
          <cell r="AD282">
            <v>0.435073144302</v>
          </cell>
          <cell r="AE282">
            <v>1.710033126106</v>
          </cell>
          <cell r="AF282">
            <v>0.39697678603600001</v>
          </cell>
          <cell r="AG282">
            <v>0.471095152603</v>
          </cell>
          <cell r="AH282">
            <v>0.440589609923</v>
          </cell>
          <cell r="AI282">
            <v>1.1623748212000001E-2</v>
          </cell>
          <cell r="AJ282">
            <v>1.3187326092809999</v>
          </cell>
          <cell r="AK282">
            <v>0.23046524160199999</v>
          </cell>
          <cell r="AL282">
            <v>0.41090712743000002</v>
          </cell>
          <cell r="AM282">
            <v>0.492092020129</v>
          </cell>
          <cell r="AN282">
            <v>0.27576853526200001</v>
          </cell>
          <cell r="AO282">
            <v>1.409551244542</v>
          </cell>
          <cell r="AP282">
            <v>0.186682520809</v>
          </cell>
          <cell r="AQ282">
            <v>0.171952793657</v>
          </cell>
          <cell r="AR282">
            <v>0.197656177909</v>
          </cell>
          <cell r="AS282">
            <v>0.13653102559399999</v>
          </cell>
          <cell r="AT282">
            <v>0.69285615713699999</v>
          </cell>
          <cell r="AU282">
            <v>0.24014699127200001</v>
          </cell>
          <cell r="AV282">
            <v>0.14212313056199999</v>
          </cell>
          <cell r="AW282">
            <v>0.121131171702</v>
          </cell>
          <cell r="AX282">
            <v>0.247606774669</v>
          </cell>
          <cell r="AY282">
            <v>0.75101140124999999</v>
          </cell>
          <cell r="AZ282">
            <v>0.23150183150199999</v>
          </cell>
          <cell r="BA282">
            <v>0.316082511866</v>
          </cell>
          <cell r="BB282">
            <v>0.23447077120099999</v>
          </cell>
          <cell r="BC282">
            <v>0.34199094186200002</v>
          </cell>
          <cell r="BD282">
            <v>1.1235501765</v>
          </cell>
          <cell r="BE282">
            <v>0.29158930560700003</v>
          </cell>
          <cell r="BF282">
            <v>0.34339161496499998</v>
          </cell>
          <cell r="BG282">
            <v>0.28583773403700002</v>
          </cell>
          <cell r="BH282">
            <v>0.27576791808899997</v>
          </cell>
          <cell r="BI282">
            <v>1.197623574144</v>
          </cell>
          <cell r="BJ282">
            <v>0.34745300000000001</v>
          </cell>
          <cell r="BK282">
            <v>0.26413199999999998</v>
          </cell>
          <cell r="BL282">
            <v>0.49949300344800002</v>
          </cell>
          <cell r="BM282">
            <v>0.31427979703800002</v>
          </cell>
          <cell r="BN282">
            <v>1.4253502571509999</v>
          </cell>
          <cell r="BO282">
            <v>0.45085672238000002</v>
          </cell>
          <cell r="BP282">
            <v>0.49531726823099997</v>
          </cell>
          <cell r="BQ282">
            <v>0.465422146797</v>
          </cell>
          <cell r="BR282">
            <v>0.45810234541599998</v>
          </cell>
          <cell r="BS282">
            <v>1.869818104907</v>
          </cell>
          <cell r="BT282">
            <v>0.47620603288699997</v>
          </cell>
          <cell r="BU282">
            <v>0.46825218756999998</v>
          </cell>
          <cell r="BV282">
            <v>0.33434411500400002</v>
          </cell>
          <cell r="BW282">
            <v>0.34106182795700002</v>
          </cell>
          <cell r="BX282">
            <v>1.6219766762229999</v>
          </cell>
          <cell r="BY282">
            <v>0.39786262941099998</v>
          </cell>
          <cell r="BZ282">
            <v>0.744274382751</v>
          </cell>
          <cell r="CA282">
            <v>0.45132942767000001</v>
          </cell>
          <cell r="CB282">
            <v>0.51218682688999995</v>
          </cell>
          <cell r="CC282">
            <v>2.1060312649099999</v>
          </cell>
          <cell r="CD282">
            <v>0.62219666475000002</v>
          </cell>
          <cell r="CE282">
            <v>0.77409568261399997</v>
          </cell>
          <cell r="CF282">
            <v>0.61480611045800004</v>
          </cell>
          <cell r="CG282">
            <v>0.68935570942400004</v>
          </cell>
          <cell r="CH282">
            <v>2.7000233263350002</v>
          </cell>
          <cell r="CI282">
            <v>0.67585394581900005</v>
          </cell>
          <cell r="CJ282">
            <v>0.78251624335500003</v>
          </cell>
          <cell r="CK282">
            <v>0.60108260767199995</v>
          </cell>
          <cell r="CL282">
            <v>-5.8655221745E-2</v>
          </cell>
          <cell r="CM282">
            <v>2.0067964894650001</v>
          </cell>
          <cell r="CN282">
            <v>0.52578290557999996</v>
          </cell>
          <cell r="CO282">
            <v>0.75521080056800005</v>
          </cell>
          <cell r="CP282">
            <v>0.718353304069</v>
          </cell>
          <cell r="CQ282">
            <v>0.58813077469800001</v>
          </cell>
          <cell r="CR282">
            <v>2.5866485255409999</v>
          </cell>
          <cell r="CS282">
            <v>0.62176903011600004</v>
          </cell>
          <cell r="CT282">
            <v>0.78117927337699999</v>
          </cell>
          <cell r="CU282">
            <v>0.67646707302499998</v>
          </cell>
          <cell r="CV282">
            <v>0.55266626722599999</v>
          </cell>
          <cell r="CW282">
            <v>2.6324796517690001</v>
          </cell>
          <cell r="CX282">
            <v>0.54364746736900005</v>
          </cell>
          <cell r="CY282">
            <v>0.70664095456200005</v>
          </cell>
          <cell r="CZ282">
            <v>0.60519606652900004</v>
          </cell>
          <cell r="DA282">
            <v>-0.39635280982499999</v>
          </cell>
          <cell r="DB282">
            <v>1.4803618041640001</v>
          </cell>
          <cell r="DC282">
            <v>0.57277460947199998</v>
          </cell>
          <cell r="DD282">
            <v>0.622571001495</v>
          </cell>
          <cell r="DE282">
            <v>0.47038196618700001</v>
          </cell>
          <cell r="DF282">
            <v>0.39374448227999997</v>
          </cell>
          <cell r="DG282">
            <v>2.061484628843</v>
          </cell>
          <cell r="DH282">
            <v>0.71952767902500003</v>
          </cell>
          <cell r="DI282">
            <v>0.80038314176199998</v>
          </cell>
          <cell r="DJ282">
            <v>0.70216306156399999</v>
          </cell>
          <cell r="DK282">
            <v>1.03369203177</v>
          </cell>
          <cell r="DL282">
            <v>3.2547805267359999</v>
          </cell>
          <cell r="DM282">
            <v>0.84318502372100002</v>
          </cell>
          <cell r="DN282">
            <v>-0.81738002594000003</v>
          </cell>
          <cell r="DO282">
            <v>0.95252758532199999</v>
          </cell>
          <cell r="DP282">
            <v>1.1412218649520001</v>
          </cell>
          <cell r="DQ282">
            <v>2.1328270802499998</v>
          </cell>
          <cell r="DR282">
            <v>1.1362348699460001</v>
          </cell>
          <cell r="DS282">
            <v>1.083934088568</v>
          </cell>
          <cell r="DT282">
            <v>1.137525826446</v>
          </cell>
          <cell r="DU282">
            <v>1.7059508408799999</v>
          </cell>
          <cell r="DV282">
            <v>5.061919504644</v>
          </cell>
          <cell r="DW282">
            <v>1.3849546044100001</v>
          </cell>
          <cell r="DX282">
            <v>1.5146274866730001</v>
          </cell>
          <cell r="DY282">
            <v>1.400912052117</v>
          </cell>
          <cell r="DZ282">
            <v>1.4643137254900001</v>
          </cell>
          <cell r="EA282">
            <v>5.7646293041719998</v>
          </cell>
          <cell r="EB282">
            <v>1.8191698310860001</v>
          </cell>
          <cell r="EC282">
            <v>2.0303308823530002</v>
          </cell>
          <cell r="ED282">
            <v>2.0346189285239999</v>
          </cell>
          <cell r="EE282">
            <v>2.1709537000400001</v>
          </cell>
          <cell r="EF282">
            <v>8.0534963196639993</v>
          </cell>
          <cell r="EG282">
            <v>2.709792520153</v>
          </cell>
          <cell r="EH282">
            <v>2.4837855724689999</v>
          </cell>
          <cell r="EI282">
            <v>2.2203344836740002</v>
          </cell>
          <cell r="EJ282">
            <v>2.2302158273380002</v>
          </cell>
          <cell r="EK282">
            <v>9.6469496021219996</v>
          </cell>
          <cell r="EL282">
            <v>2.3454909819640002</v>
          </cell>
          <cell r="EM282">
            <v>2.1979124849459999</v>
          </cell>
          <cell r="EN282">
            <v>2.4516345123260002</v>
          </cell>
          <cell r="EO282">
            <v>2.6892995848400001</v>
          </cell>
          <cell r="EP282">
            <v>9.6842880085649998</v>
          </cell>
          <cell r="EQ282">
            <v>2.9872688287320002</v>
          </cell>
          <cell r="ER282">
            <v>2.9284949116229999</v>
          </cell>
          <cell r="ES282">
            <v>2.9361616702359998</v>
          </cell>
          <cell r="ET282">
            <v>3.037684725029</v>
          </cell>
          <cell r="EU282">
            <v>11.889494898546999</v>
          </cell>
          <cell r="EV282">
            <v>3.3453595750509999</v>
          </cell>
          <cell r="EW282">
            <v>3.4943009930460001</v>
          </cell>
          <cell r="EX282">
            <v>3.4797709650900002</v>
          </cell>
          <cell r="EY282">
            <v>3.7181251466259999</v>
          </cell>
          <cell r="EZ282">
            <v>14.036819677774</v>
          </cell>
          <cell r="FA282">
            <v>3.9630896177210002</v>
          </cell>
          <cell r="FB282">
            <v>4.1378412573460004</v>
          </cell>
          <cell r="FC282">
            <v>4.1298755910949998</v>
          </cell>
          <cell r="FD282">
            <v>4.418929149737</v>
          </cell>
          <cell r="FE282">
            <v>16.648908869616001</v>
          </cell>
        </row>
        <row r="283">
          <cell r="B283" t="str">
            <v>Consensus earnings equivalent estimate</v>
          </cell>
          <cell r="C283" t="str">
            <v>CEEE_EPS</v>
          </cell>
          <cell r="D283" t="str">
            <v>USD</v>
          </cell>
        </row>
        <row r="284">
          <cell r="B284" t="str">
            <v>EPS (excl. ESO) (Pub)</v>
          </cell>
          <cell r="C284" t="str">
            <v>EPS_PUB_EX_ESO</v>
          </cell>
          <cell r="D284" t="str">
            <v>USD</v>
          </cell>
        </row>
        <row r="285">
          <cell r="B285" t="str">
            <v>EV adjustment (Pub)</v>
          </cell>
          <cell r="C285" t="str">
            <v>EV_ADJ_PUB</v>
          </cell>
          <cell r="D285" t="str">
            <v>USD</v>
          </cell>
        </row>
        <row r="286">
          <cell r="B286" t="str">
            <v>Net debt (Pub)</v>
          </cell>
          <cell r="C286" t="str">
            <v>NET_DEBT_PUB</v>
          </cell>
          <cell r="D286" t="str">
            <v>USD</v>
          </cell>
          <cell r="F286">
            <v>-4750</v>
          </cell>
          <cell r="G286">
            <v>-5064</v>
          </cell>
          <cell r="H286">
            <v>-6017</v>
          </cell>
          <cell r="I286">
            <v>-6770</v>
          </cell>
          <cell r="J286">
            <v>-6940</v>
          </cell>
          <cell r="K286">
            <v>-6940</v>
          </cell>
          <cell r="L286">
            <v>-7098</v>
          </cell>
          <cell r="M286">
            <v>-9160</v>
          </cell>
          <cell r="N286">
            <v>-9086</v>
          </cell>
          <cell r="O286">
            <v>-8966</v>
          </cell>
          <cell r="P286">
            <v>-8966</v>
          </cell>
          <cell r="Q286">
            <v>-9634</v>
          </cell>
          <cell r="R286">
            <v>-10105</v>
          </cell>
          <cell r="S286">
            <v>-12322</v>
          </cell>
          <cell r="T286">
            <v>-13927</v>
          </cell>
          <cell r="U286">
            <v>-13927</v>
          </cell>
          <cell r="V286">
            <v>-17242</v>
          </cell>
          <cell r="W286">
            <v>-19237</v>
          </cell>
          <cell r="X286">
            <v>-21761</v>
          </cell>
          <cell r="Y286">
            <v>-17236</v>
          </cell>
          <cell r="Z286">
            <v>-17236</v>
          </cell>
          <cell r="AA286">
            <v>-18902</v>
          </cell>
          <cell r="AB286">
            <v>-17843</v>
          </cell>
          <cell r="AC286">
            <v>-21205</v>
          </cell>
          <cell r="AD286">
            <v>-23798</v>
          </cell>
          <cell r="AE286">
            <v>-23798</v>
          </cell>
          <cell r="AF286">
            <v>-24711</v>
          </cell>
          <cell r="AG286">
            <v>-26889</v>
          </cell>
          <cell r="AH286">
            <v>-30018</v>
          </cell>
          <cell r="AI286">
            <v>-31600</v>
          </cell>
          <cell r="AJ286">
            <v>-31600</v>
          </cell>
          <cell r="AK286">
            <v>-36163</v>
          </cell>
          <cell r="AL286">
            <v>-38229</v>
          </cell>
          <cell r="AM286">
            <v>-38693</v>
          </cell>
          <cell r="AN286">
            <v>-38652</v>
          </cell>
          <cell r="AO286">
            <v>-38652</v>
          </cell>
          <cell r="AP286">
            <v>-40475</v>
          </cell>
          <cell r="AQ286">
            <v>-43424</v>
          </cell>
          <cell r="AR286">
            <v>-46178</v>
          </cell>
          <cell r="AS286">
            <v>-49048</v>
          </cell>
          <cell r="AT286">
            <v>-49048</v>
          </cell>
          <cell r="AU286">
            <v>-51622</v>
          </cell>
          <cell r="AV286">
            <v>-52777</v>
          </cell>
          <cell r="AW286">
            <v>-56407</v>
          </cell>
          <cell r="AX286">
            <v>-60592</v>
          </cell>
          <cell r="AY286">
            <v>-60592</v>
          </cell>
          <cell r="AZ286">
            <v>-64415</v>
          </cell>
          <cell r="BA286">
            <v>-34504</v>
          </cell>
          <cell r="BB286">
            <v>-37594</v>
          </cell>
          <cell r="BC286">
            <v>-37751</v>
          </cell>
          <cell r="BD286">
            <v>-37751</v>
          </cell>
          <cell r="BE286">
            <v>-40056</v>
          </cell>
          <cell r="BF286">
            <v>-34701</v>
          </cell>
          <cell r="BG286">
            <v>-34816</v>
          </cell>
          <cell r="BH286">
            <v>-34161</v>
          </cell>
          <cell r="BI286">
            <v>-34161</v>
          </cell>
          <cell r="BJ286">
            <v>-31832</v>
          </cell>
          <cell r="BK286">
            <v>-28873</v>
          </cell>
          <cell r="BL286">
            <v>-28236</v>
          </cell>
          <cell r="BM286">
            <v>-23411</v>
          </cell>
          <cell r="BN286">
            <v>-23411</v>
          </cell>
          <cell r="BO286">
            <v>-21574</v>
          </cell>
          <cell r="BP286">
            <v>-21076</v>
          </cell>
          <cell r="BQ286">
            <v>-26341</v>
          </cell>
          <cell r="BR286">
            <v>-23662</v>
          </cell>
          <cell r="BS286">
            <v>-23662</v>
          </cell>
          <cell r="BT286">
            <v>-18747</v>
          </cell>
          <cell r="BU286">
            <v>-18715</v>
          </cell>
          <cell r="BV286">
            <v>-23341</v>
          </cell>
          <cell r="BW286">
            <v>-25701</v>
          </cell>
          <cell r="BX286">
            <v>-25701</v>
          </cell>
          <cell r="BY286">
            <v>-30732</v>
          </cell>
          <cell r="BZ286">
            <v>-30104</v>
          </cell>
          <cell r="CA286">
            <v>-33671</v>
          </cell>
          <cell r="CB286">
            <v>-30849</v>
          </cell>
          <cell r="CC286">
            <v>-30849</v>
          </cell>
          <cell r="CD286">
            <v>-33508</v>
          </cell>
          <cell r="CE286">
            <v>-31581</v>
          </cell>
          <cell r="CF286">
            <v>-38235</v>
          </cell>
          <cell r="CG286">
            <v>-40851</v>
          </cell>
          <cell r="CH286">
            <v>-40851</v>
          </cell>
          <cell r="CI286">
            <v>-45476</v>
          </cell>
          <cell r="CJ286">
            <v>-39804</v>
          </cell>
          <cell r="CK286">
            <v>-47591</v>
          </cell>
          <cell r="CL286">
            <v>-51096</v>
          </cell>
          <cell r="CM286">
            <v>-51096</v>
          </cell>
          <cell r="CN286">
            <v>-54694</v>
          </cell>
          <cell r="CO286">
            <v>-54124</v>
          </cell>
          <cell r="CP286">
            <v>-60288</v>
          </cell>
          <cell r="CQ286">
            <v>-61422</v>
          </cell>
          <cell r="CR286">
            <v>-61422</v>
          </cell>
          <cell r="CS286">
            <v>-64740</v>
          </cell>
          <cell r="CT286">
            <v>-60968</v>
          </cell>
          <cell r="CU286">
            <v>-65746</v>
          </cell>
          <cell r="CV286">
            <v>-63064</v>
          </cell>
          <cell r="CW286">
            <v>-63064</v>
          </cell>
          <cell r="CX286">
            <v>-65473</v>
          </cell>
          <cell r="CY286">
            <v>-61941</v>
          </cell>
          <cell r="CZ286">
            <v>-63570</v>
          </cell>
          <cell r="DA286">
            <v>-61234</v>
          </cell>
          <cell r="DB286">
            <v>-61234</v>
          </cell>
          <cell r="DC286">
            <v>-60788</v>
          </cell>
          <cell r="DD286">
            <v>-58211</v>
          </cell>
          <cell r="DE286">
            <v>-59158</v>
          </cell>
          <cell r="DF286">
            <v>-59553</v>
          </cell>
          <cell r="DG286">
            <v>-59553</v>
          </cell>
          <cell r="DH286">
            <v>-62242</v>
          </cell>
          <cell r="DI286">
            <v>-37811</v>
          </cell>
          <cell r="DJ286">
            <v>-42010</v>
          </cell>
          <cell r="DK286">
            <v>-46787</v>
          </cell>
          <cell r="DL286">
            <v>-46787</v>
          </cell>
          <cell r="DM286">
            <v>-52996</v>
          </cell>
          <cell r="DN286">
            <v>-53520</v>
          </cell>
          <cell r="DO286">
            <v>-55113</v>
          </cell>
          <cell r="DP286">
            <v>-57528</v>
          </cell>
          <cell r="DQ286">
            <v>-57528</v>
          </cell>
          <cell r="DR286">
            <v>-59650</v>
          </cell>
          <cell r="DS286">
            <v>-54493</v>
          </cell>
          <cell r="DT286">
            <v>-58518</v>
          </cell>
          <cell r="DU286">
            <v>-61641</v>
          </cell>
          <cell r="DV286">
            <v>-61641</v>
          </cell>
          <cell r="DW286">
            <v>-67141</v>
          </cell>
          <cell r="DX286">
            <v>-64645</v>
          </cell>
          <cell r="DY286">
            <v>-71016</v>
          </cell>
          <cell r="DZ286">
            <v>-73200</v>
          </cell>
          <cell r="EA286">
            <v>-73200</v>
          </cell>
          <cell r="EB286">
            <v>-74425</v>
          </cell>
          <cell r="EC286">
            <v>-71445</v>
          </cell>
          <cell r="ED286">
            <v>-67349</v>
          </cell>
          <cell r="EE286">
            <v>-72188</v>
          </cell>
          <cell r="EF286">
            <v>-72188</v>
          </cell>
          <cell r="EG286">
            <v>-77327</v>
          </cell>
          <cell r="EH286">
            <v>-72111</v>
          </cell>
          <cell r="EI286">
            <v>-54767</v>
          </cell>
          <cell r="EJ286">
            <v>-54976</v>
          </cell>
          <cell r="EK286">
            <v>-54976</v>
          </cell>
          <cell r="EL286">
            <v>-58640</v>
          </cell>
          <cell r="EM286">
            <v>-51392</v>
          </cell>
          <cell r="EN286">
            <v>-56217</v>
          </cell>
          <cell r="EO286">
            <v>-64025</v>
          </cell>
          <cell r="EP286">
            <v>-64025</v>
          </cell>
          <cell r="EQ286">
            <v>-72449</v>
          </cell>
          <cell r="ER286">
            <v>-6798</v>
          </cell>
          <cell r="ES286">
            <v>-14579</v>
          </cell>
          <cell r="ET286">
            <v>-39644.735657951198</v>
          </cell>
          <cell r="EU286">
            <v>-39644.735657951198</v>
          </cell>
          <cell r="EV286">
            <v>-55549.706481614798</v>
          </cell>
          <cell r="EW286">
            <v>-60245.888504219402</v>
          </cell>
          <cell r="EX286">
            <v>-77697.066479660105</v>
          </cell>
          <cell r="EY286">
            <v>-98097.596967207995</v>
          </cell>
          <cell r="EZ286">
            <v>-98097.596967207995</v>
          </cell>
          <cell r="FA286">
            <v>-125438.633575546</v>
          </cell>
          <cell r="FB286">
            <v>-128339.91006710799</v>
          </cell>
          <cell r="FC286">
            <v>-157472.750009754</v>
          </cell>
          <cell r="FD286">
            <v>-181844.08823530501</v>
          </cell>
          <cell r="FE286">
            <v>-181844.08823530501</v>
          </cell>
        </row>
        <row r="287">
          <cell r="B287" t="str">
            <v>Net Debt (ex leases) (Pub)</v>
          </cell>
          <cell r="C287" t="str">
            <v>NET_DEBT_EX_LEASES_PUB</v>
          </cell>
          <cell r="D287" t="str">
            <v>USD</v>
          </cell>
          <cell r="F287">
            <v>-4750</v>
          </cell>
          <cell r="G287">
            <v>-5064</v>
          </cell>
          <cell r="H287">
            <v>-6017</v>
          </cell>
          <cell r="I287">
            <v>-6770</v>
          </cell>
          <cell r="J287">
            <v>-6940</v>
          </cell>
          <cell r="K287">
            <v>-6940</v>
          </cell>
          <cell r="L287">
            <v>-7098</v>
          </cell>
          <cell r="M287">
            <v>-9160</v>
          </cell>
          <cell r="N287">
            <v>-9086</v>
          </cell>
          <cell r="O287">
            <v>-8966</v>
          </cell>
          <cell r="P287">
            <v>-8966</v>
          </cell>
          <cell r="Q287">
            <v>-9634</v>
          </cell>
          <cell r="R287">
            <v>-10105</v>
          </cell>
          <cell r="S287">
            <v>-12322</v>
          </cell>
          <cell r="T287">
            <v>-13927</v>
          </cell>
          <cell r="U287">
            <v>-13927</v>
          </cell>
          <cell r="V287">
            <v>-17242</v>
          </cell>
          <cell r="W287">
            <v>-19237</v>
          </cell>
          <cell r="X287">
            <v>-21761</v>
          </cell>
          <cell r="Y287">
            <v>-17236</v>
          </cell>
          <cell r="Z287">
            <v>-17236</v>
          </cell>
          <cell r="AA287">
            <v>-18902</v>
          </cell>
          <cell r="AB287">
            <v>-17843</v>
          </cell>
          <cell r="AC287">
            <v>-21205</v>
          </cell>
          <cell r="AD287">
            <v>-23798</v>
          </cell>
          <cell r="AE287">
            <v>-23798</v>
          </cell>
          <cell r="AF287">
            <v>-24711</v>
          </cell>
          <cell r="AG287">
            <v>-26889</v>
          </cell>
          <cell r="AH287">
            <v>-30018</v>
          </cell>
          <cell r="AI287">
            <v>-31600</v>
          </cell>
          <cell r="AJ287">
            <v>-31600</v>
          </cell>
          <cell r="AK287">
            <v>-36163</v>
          </cell>
          <cell r="AL287">
            <v>-38229</v>
          </cell>
          <cell r="AM287">
            <v>-38693</v>
          </cell>
          <cell r="AN287">
            <v>-38652</v>
          </cell>
          <cell r="AO287">
            <v>-38652</v>
          </cell>
          <cell r="AP287">
            <v>-40475</v>
          </cell>
          <cell r="AQ287">
            <v>-43424</v>
          </cell>
          <cell r="AR287">
            <v>-46178</v>
          </cell>
          <cell r="AS287">
            <v>-49048</v>
          </cell>
          <cell r="AT287">
            <v>-49048</v>
          </cell>
          <cell r="AU287">
            <v>-51622</v>
          </cell>
          <cell r="AV287">
            <v>-52777</v>
          </cell>
          <cell r="AW287">
            <v>-56407</v>
          </cell>
          <cell r="AX287">
            <v>-60592</v>
          </cell>
          <cell r="AY287">
            <v>-60592</v>
          </cell>
          <cell r="AZ287">
            <v>-64415</v>
          </cell>
          <cell r="BA287">
            <v>-34504</v>
          </cell>
          <cell r="BB287">
            <v>-37594</v>
          </cell>
          <cell r="BC287">
            <v>-37751</v>
          </cell>
          <cell r="BD287">
            <v>-37751</v>
          </cell>
          <cell r="BE287">
            <v>-40056</v>
          </cell>
          <cell r="BF287">
            <v>-34701</v>
          </cell>
          <cell r="BG287">
            <v>-34816</v>
          </cell>
          <cell r="BH287">
            <v>-34161</v>
          </cell>
          <cell r="BI287">
            <v>-34161</v>
          </cell>
          <cell r="BJ287">
            <v>-31832</v>
          </cell>
          <cell r="BK287">
            <v>-28873</v>
          </cell>
          <cell r="BL287">
            <v>-28236</v>
          </cell>
          <cell r="BM287">
            <v>-23411</v>
          </cell>
          <cell r="BN287">
            <v>-23411</v>
          </cell>
          <cell r="BO287">
            <v>-21574</v>
          </cell>
          <cell r="BP287">
            <v>-21076</v>
          </cell>
          <cell r="BQ287">
            <v>-26341</v>
          </cell>
          <cell r="BR287">
            <v>-23662</v>
          </cell>
          <cell r="BS287">
            <v>-23662</v>
          </cell>
          <cell r="BT287">
            <v>-18747</v>
          </cell>
          <cell r="BU287">
            <v>-18715</v>
          </cell>
          <cell r="BV287">
            <v>-23341</v>
          </cell>
          <cell r="BW287">
            <v>-25701</v>
          </cell>
          <cell r="BX287">
            <v>-25701</v>
          </cell>
          <cell r="BY287">
            <v>-30732</v>
          </cell>
          <cell r="BZ287">
            <v>-30104</v>
          </cell>
          <cell r="CA287">
            <v>-33671</v>
          </cell>
          <cell r="CB287">
            <v>-30849</v>
          </cell>
          <cell r="CC287">
            <v>-30849</v>
          </cell>
          <cell r="CD287">
            <v>-33508</v>
          </cell>
          <cell r="CE287">
            <v>-31581</v>
          </cell>
          <cell r="CF287">
            <v>-38235</v>
          </cell>
          <cell r="CG287">
            <v>-40851</v>
          </cell>
          <cell r="CH287">
            <v>-40851</v>
          </cell>
          <cell r="CI287">
            <v>-45476</v>
          </cell>
          <cell r="CJ287">
            <v>-39804</v>
          </cell>
          <cell r="CK287">
            <v>-47591</v>
          </cell>
          <cell r="CL287">
            <v>-51096</v>
          </cell>
          <cell r="CM287">
            <v>-51096</v>
          </cell>
          <cell r="CN287">
            <v>-54694</v>
          </cell>
          <cell r="CO287">
            <v>-54124</v>
          </cell>
          <cell r="CP287">
            <v>-60288</v>
          </cell>
          <cell r="CQ287">
            <v>-61422</v>
          </cell>
          <cell r="CR287">
            <v>-61422</v>
          </cell>
          <cell r="CS287">
            <v>-64740</v>
          </cell>
          <cell r="CT287">
            <v>-60968</v>
          </cell>
          <cell r="CU287">
            <v>-65746</v>
          </cell>
          <cell r="CV287">
            <v>-63064</v>
          </cell>
          <cell r="CW287">
            <v>-63064</v>
          </cell>
          <cell r="CX287">
            <v>-65473</v>
          </cell>
          <cell r="CY287">
            <v>-61941</v>
          </cell>
          <cell r="CZ287">
            <v>-63570</v>
          </cell>
          <cell r="DA287">
            <v>-61234</v>
          </cell>
          <cell r="DB287">
            <v>-61234</v>
          </cell>
          <cell r="DC287">
            <v>-60788</v>
          </cell>
          <cell r="DD287">
            <v>-58211</v>
          </cell>
          <cell r="DE287">
            <v>-59158</v>
          </cell>
          <cell r="DF287">
            <v>-59553</v>
          </cell>
          <cell r="DG287">
            <v>-59553</v>
          </cell>
          <cell r="DH287">
            <v>-62242</v>
          </cell>
          <cell r="DI287">
            <v>-37811</v>
          </cell>
          <cell r="DJ287">
            <v>-42010</v>
          </cell>
          <cell r="DK287">
            <v>-46787</v>
          </cell>
          <cell r="DL287">
            <v>-46787</v>
          </cell>
          <cell r="DM287">
            <v>-52996</v>
          </cell>
          <cell r="DN287">
            <v>-53520</v>
          </cell>
          <cell r="DO287">
            <v>-55113</v>
          </cell>
          <cell r="DP287">
            <v>-57528</v>
          </cell>
          <cell r="DQ287">
            <v>-57528</v>
          </cell>
          <cell r="DR287">
            <v>-59650</v>
          </cell>
          <cell r="DS287">
            <v>-54493</v>
          </cell>
          <cell r="DT287">
            <v>-58518</v>
          </cell>
          <cell r="DU287">
            <v>-61641</v>
          </cell>
          <cell r="DV287">
            <v>-61641</v>
          </cell>
          <cell r="DW287">
            <v>-67141</v>
          </cell>
          <cell r="DX287">
            <v>-64645</v>
          </cell>
          <cell r="DY287">
            <v>-71016</v>
          </cell>
          <cell r="DZ287">
            <v>-73200</v>
          </cell>
          <cell r="EA287">
            <v>-73200</v>
          </cell>
          <cell r="EB287">
            <v>-74425</v>
          </cell>
          <cell r="EC287">
            <v>-71445</v>
          </cell>
          <cell r="ED287">
            <v>-67349</v>
          </cell>
          <cell r="EE287">
            <v>-72188</v>
          </cell>
          <cell r="EF287">
            <v>-72188</v>
          </cell>
          <cell r="EG287">
            <v>-77327</v>
          </cell>
          <cell r="EH287">
            <v>-72111</v>
          </cell>
          <cell r="EI287">
            <v>-54767</v>
          </cell>
          <cell r="EJ287">
            <v>-54976</v>
          </cell>
          <cell r="EK287">
            <v>-54976</v>
          </cell>
          <cell r="EL287">
            <v>-58640</v>
          </cell>
          <cell r="EM287">
            <v>-51392</v>
          </cell>
          <cell r="EN287">
            <v>-56217</v>
          </cell>
          <cell r="EO287">
            <v>-64025</v>
          </cell>
          <cell r="EP287">
            <v>-64025</v>
          </cell>
          <cell r="EQ287">
            <v>-72449</v>
          </cell>
          <cell r="ER287">
            <v>-6798</v>
          </cell>
          <cell r="ES287">
            <v>-14579</v>
          </cell>
          <cell r="ET287">
            <v>-39644.735657951198</v>
          </cell>
          <cell r="EU287">
            <v>-39644.735657951198</v>
          </cell>
          <cell r="EV287">
            <v>-55549.706481614798</v>
          </cell>
          <cell r="EW287">
            <v>-60245.888504219402</v>
          </cell>
          <cell r="EX287">
            <v>-77697.066479660105</v>
          </cell>
          <cell r="EY287">
            <v>-98097.596967207995</v>
          </cell>
          <cell r="EZ287">
            <v>-98097.596967207995</v>
          </cell>
          <cell r="FA287">
            <v>-125438.633575546</v>
          </cell>
          <cell r="FB287">
            <v>-128339.91006710799</v>
          </cell>
          <cell r="FC287">
            <v>-157472.750009754</v>
          </cell>
          <cell r="FD287">
            <v>-181844.08823530501</v>
          </cell>
          <cell r="FE287">
            <v>-181844.08823530501</v>
          </cell>
        </row>
        <row r="288">
          <cell r="B288" t="str">
            <v>Consensus equivalent net debt</v>
          </cell>
          <cell r="C288" t="str">
            <v>CEEE_NDEBT</v>
          </cell>
          <cell r="D288" t="str">
            <v>USD</v>
          </cell>
        </row>
        <row r="289">
          <cell r="B289" t="str">
            <v>Net income (Pub)</v>
          </cell>
          <cell r="C289" t="str">
            <v>NI_PUB</v>
          </cell>
          <cell r="D289" t="str">
            <v>USD</v>
          </cell>
          <cell r="F289">
            <v>1453</v>
          </cell>
          <cell r="G289">
            <v>499</v>
          </cell>
          <cell r="H289">
            <v>575</v>
          </cell>
          <cell r="I289">
            <v>562</v>
          </cell>
          <cell r="J289">
            <v>559</v>
          </cell>
          <cell r="K289">
            <v>2195</v>
          </cell>
          <cell r="L289">
            <v>614</v>
          </cell>
          <cell r="M289">
            <v>741</v>
          </cell>
          <cell r="N289">
            <v>1042</v>
          </cell>
          <cell r="O289">
            <v>1057</v>
          </cell>
          <cell r="P289">
            <v>3454</v>
          </cell>
          <cell r="Q289">
            <v>663</v>
          </cell>
          <cell r="R289">
            <v>1133</v>
          </cell>
          <cell r="S289">
            <v>1337</v>
          </cell>
          <cell r="T289">
            <v>1357</v>
          </cell>
          <cell r="U289">
            <v>4490</v>
          </cell>
          <cell r="V289">
            <v>1683</v>
          </cell>
          <cell r="W289">
            <v>1983</v>
          </cell>
          <cell r="X289">
            <v>1917</v>
          </cell>
          <cell r="Y289">
            <v>2202</v>
          </cell>
          <cell r="Z289">
            <v>7785</v>
          </cell>
          <cell r="AA289">
            <v>2191</v>
          </cell>
          <cell r="AB289">
            <v>2436</v>
          </cell>
          <cell r="AC289">
            <v>2385</v>
          </cell>
          <cell r="AD289">
            <v>2409</v>
          </cell>
          <cell r="AE289">
            <v>9421</v>
          </cell>
          <cell r="AF289">
            <v>2206</v>
          </cell>
          <cell r="AG289">
            <v>2624</v>
          </cell>
          <cell r="AH289">
            <v>2451</v>
          </cell>
          <cell r="AI289">
            <v>65</v>
          </cell>
          <cell r="AJ289">
            <v>7346</v>
          </cell>
          <cell r="AK289">
            <v>1283</v>
          </cell>
          <cell r="AL289">
            <v>2283</v>
          </cell>
          <cell r="AM289">
            <v>2738</v>
          </cell>
          <cell r="AN289">
            <v>1525</v>
          </cell>
          <cell r="AO289">
            <v>7829</v>
          </cell>
          <cell r="AP289">
            <v>2041</v>
          </cell>
          <cell r="AQ289">
            <v>1865</v>
          </cell>
          <cell r="AR289">
            <v>2142</v>
          </cell>
          <cell r="AS289">
            <v>1483</v>
          </cell>
          <cell r="AT289">
            <v>7531</v>
          </cell>
          <cell r="AU289">
            <v>2614</v>
          </cell>
          <cell r="AV289">
            <v>1549</v>
          </cell>
          <cell r="AW289">
            <v>1315</v>
          </cell>
          <cell r="AX289">
            <v>2690</v>
          </cell>
          <cell r="AY289">
            <v>8168</v>
          </cell>
          <cell r="AZ289">
            <v>2528</v>
          </cell>
          <cell r="BA289">
            <v>3463</v>
          </cell>
          <cell r="BB289">
            <v>2563</v>
          </cell>
          <cell r="BC289">
            <v>3700</v>
          </cell>
          <cell r="BD289">
            <v>12254</v>
          </cell>
          <cell r="BE289">
            <v>3141</v>
          </cell>
          <cell r="BF289">
            <v>3653</v>
          </cell>
          <cell r="BG289">
            <v>2977</v>
          </cell>
          <cell r="BH289">
            <v>2828</v>
          </cell>
          <cell r="BI289">
            <v>12599</v>
          </cell>
          <cell r="BJ289">
            <v>3478</v>
          </cell>
          <cell r="BK289">
            <v>2626</v>
          </cell>
          <cell r="BL289">
            <v>4926</v>
          </cell>
          <cell r="BM289">
            <v>3035</v>
          </cell>
          <cell r="BN289">
            <v>14065</v>
          </cell>
          <cell r="BO289">
            <v>4289</v>
          </cell>
          <cell r="BP289">
            <v>4707</v>
          </cell>
          <cell r="BQ289">
            <v>4388</v>
          </cell>
          <cell r="BR289">
            <v>4297</v>
          </cell>
          <cell r="BS289">
            <v>17681</v>
          </cell>
          <cell r="BT289">
            <v>4373</v>
          </cell>
          <cell r="BU289">
            <v>4174</v>
          </cell>
          <cell r="BV289">
            <v>2977</v>
          </cell>
          <cell r="BW289">
            <v>3045</v>
          </cell>
          <cell r="BX289">
            <v>14569</v>
          </cell>
          <cell r="BY289">
            <v>3574</v>
          </cell>
          <cell r="BZ289">
            <v>6662</v>
          </cell>
          <cell r="CA289">
            <v>4006</v>
          </cell>
          <cell r="CB289">
            <v>4518</v>
          </cell>
          <cell r="CC289">
            <v>18760</v>
          </cell>
          <cell r="CD289">
            <v>5410</v>
          </cell>
          <cell r="CE289">
            <v>6634</v>
          </cell>
          <cell r="CF289">
            <v>5232</v>
          </cell>
          <cell r="CG289">
            <v>5874</v>
          </cell>
          <cell r="CH289">
            <v>23150</v>
          </cell>
          <cell r="CI289">
            <v>5738</v>
          </cell>
          <cell r="CJ289">
            <v>6624</v>
          </cell>
          <cell r="CK289">
            <v>5108</v>
          </cell>
          <cell r="CL289">
            <v>-492</v>
          </cell>
          <cell r="CM289">
            <v>16978</v>
          </cell>
          <cell r="CN289">
            <v>4466</v>
          </cell>
          <cell r="CO289">
            <v>6377</v>
          </cell>
          <cell r="CP289">
            <v>6055</v>
          </cell>
          <cell r="CQ289">
            <v>4965</v>
          </cell>
          <cell r="CR289">
            <v>21863</v>
          </cell>
          <cell r="CS289">
            <v>5244</v>
          </cell>
          <cell r="CT289">
            <v>6558</v>
          </cell>
          <cell r="CU289">
            <v>5660</v>
          </cell>
          <cell r="CV289">
            <v>4612</v>
          </cell>
          <cell r="CW289">
            <v>22074</v>
          </cell>
          <cell r="CX289">
            <v>4540</v>
          </cell>
          <cell r="CY289">
            <v>5863</v>
          </cell>
          <cell r="CZ289">
            <v>4985</v>
          </cell>
          <cell r="DA289">
            <v>-3195</v>
          </cell>
          <cell r="DB289">
            <v>12193</v>
          </cell>
          <cell r="DC289">
            <v>4620</v>
          </cell>
          <cell r="DD289">
            <v>4998</v>
          </cell>
          <cell r="DE289">
            <v>3756</v>
          </cell>
          <cell r="DF289">
            <v>3122</v>
          </cell>
          <cell r="DG289">
            <v>16496</v>
          </cell>
          <cell r="DH289">
            <v>5667</v>
          </cell>
          <cell r="DI289">
            <v>6267</v>
          </cell>
          <cell r="DJ289">
            <v>5486</v>
          </cell>
          <cell r="DK289">
            <v>8069</v>
          </cell>
          <cell r="DL289">
            <v>25489</v>
          </cell>
          <cell r="DM289">
            <v>6576</v>
          </cell>
          <cell r="DN289">
            <v>-6302</v>
          </cell>
          <cell r="DO289">
            <v>7424</v>
          </cell>
          <cell r="DP289">
            <v>8873</v>
          </cell>
          <cell r="DQ289">
            <v>16571</v>
          </cell>
          <cell r="DR289">
            <v>8824</v>
          </cell>
          <cell r="DS289">
            <v>8420</v>
          </cell>
          <cell r="DT289">
            <v>8809</v>
          </cell>
          <cell r="DU289">
            <v>13187</v>
          </cell>
          <cell r="DV289">
            <v>39240</v>
          </cell>
          <cell r="DW289">
            <v>10678</v>
          </cell>
          <cell r="DX289">
            <v>11649</v>
          </cell>
          <cell r="DY289">
            <v>10752</v>
          </cell>
          <cell r="DZ289">
            <v>11202</v>
          </cell>
          <cell r="EA289">
            <v>44281</v>
          </cell>
          <cell r="EB289">
            <v>13893</v>
          </cell>
          <cell r="EC289">
            <v>15463</v>
          </cell>
          <cell r="ED289">
            <v>15457</v>
          </cell>
          <cell r="EE289">
            <v>16458</v>
          </cell>
          <cell r="EF289">
            <v>61271</v>
          </cell>
          <cell r="EG289">
            <v>20505</v>
          </cell>
          <cell r="EH289">
            <v>18765</v>
          </cell>
          <cell r="EI289">
            <v>16728</v>
          </cell>
          <cell r="EJ289">
            <v>16740</v>
          </cell>
          <cell r="EK289">
            <v>72738</v>
          </cell>
          <cell r="EL289">
            <v>17556</v>
          </cell>
          <cell r="EM289">
            <v>16425</v>
          </cell>
          <cell r="EN289">
            <v>18299</v>
          </cell>
          <cell r="EO289">
            <v>20081</v>
          </cell>
          <cell r="EP289">
            <v>72361</v>
          </cell>
          <cell r="EQ289">
            <v>22291</v>
          </cell>
          <cell r="ER289">
            <v>21870</v>
          </cell>
          <cell r="ES289">
            <v>21939</v>
          </cell>
          <cell r="ET289">
            <v>22656.296310360602</v>
          </cell>
          <cell r="EU289">
            <v>88756.296310360602</v>
          </cell>
          <cell r="EV289">
            <v>24915.128417862001</v>
          </cell>
          <cell r="EW289">
            <v>25988.8294390351</v>
          </cell>
          <cell r="EX289">
            <v>25845.687676435198</v>
          </cell>
          <cell r="EY289">
            <v>27580.365395133998</v>
          </cell>
          <cell r="EZ289">
            <v>104330.010928466</v>
          </cell>
          <cell r="FA289">
            <v>29358.527921110999</v>
          </cell>
          <cell r="FB289">
            <v>30614.777964249999</v>
          </cell>
          <cell r="FC289">
            <v>30518.0361715322</v>
          </cell>
          <cell r="FD289">
            <v>32615.8130936282</v>
          </cell>
          <cell r="FE289">
            <v>123107.15515052099</v>
          </cell>
        </row>
        <row r="290">
          <cell r="B290" t="str">
            <v>EBIT, operating profit (Pub)</v>
          </cell>
          <cell r="C290" t="str">
            <v>EBIT_PUB</v>
          </cell>
          <cell r="D290" t="str">
            <v>USD</v>
          </cell>
          <cell r="F290">
            <v>2038</v>
          </cell>
          <cell r="G290">
            <v>708</v>
          </cell>
          <cell r="H290">
            <v>786</v>
          </cell>
          <cell r="I290">
            <v>774</v>
          </cell>
          <cell r="J290">
            <v>810</v>
          </cell>
          <cell r="K290">
            <v>3078</v>
          </cell>
          <cell r="L290">
            <v>902</v>
          </cell>
          <cell r="M290">
            <v>1081</v>
          </cell>
          <cell r="N290">
            <v>1568</v>
          </cell>
          <cell r="O290">
            <v>1579</v>
          </cell>
          <cell r="P290">
            <v>5130</v>
          </cell>
          <cell r="Q290">
            <v>1131</v>
          </cell>
          <cell r="R290">
            <v>1663</v>
          </cell>
          <cell r="S290">
            <v>1927</v>
          </cell>
          <cell r="T290">
            <v>1923</v>
          </cell>
          <cell r="U290">
            <v>6644</v>
          </cell>
          <cell r="V290">
            <v>2082</v>
          </cell>
          <cell r="W290">
            <v>2714</v>
          </cell>
          <cell r="X290">
            <v>2229</v>
          </cell>
          <cell r="Y290">
            <v>2903</v>
          </cell>
          <cell r="Z290">
            <v>9928</v>
          </cell>
          <cell r="AA290">
            <v>2767</v>
          </cell>
          <cell r="AB290">
            <v>2918</v>
          </cell>
          <cell r="AC290">
            <v>2728</v>
          </cell>
          <cell r="AD290">
            <v>2524</v>
          </cell>
          <cell r="AE290">
            <v>10937</v>
          </cell>
          <cell r="AF290">
            <v>2777</v>
          </cell>
          <cell r="AG290">
            <v>3194</v>
          </cell>
          <cell r="AH290">
            <v>2998</v>
          </cell>
          <cell r="AI290">
            <v>2751</v>
          </cell>
          <cell r="AJ290">
            <v>11720</v>
          </cell>
          <cell r="AK290">
            <v>2897</v>
          </cell>
          <cell r="AL290">
            <v>2841</v>
          </cell>
          <cell r="AM290">
            <v>3298</v>
          </cell>
          <cell r="AN290">
            <v>2874</v>
          </cell>
          <cell r="AO290">
            <v>11910</v>
          </cell>
          <cell r="AP290">
            <v>3028</v>
          </cell>
          <cell r="AQ290">
            <v>2233</v>
          </cell>
          <cell r="AR290">
            <v>2744</v>
          </cell>
          <cell r="AS290">
            <v>1540</v>
          </cell>
          <cell r="AT290">
            <v>9545</v>
          </cell>
          <cell r="AU290">
            <v>3148</v>
          </cell>
          <cell r="AV290">
            <v>1475</v>
          </cell>
          <cell r="AW290">
            <v>1278</v>
          </cell>
          <cell r="AX290">
            <v>3133</v>
          </cell>
          <cell r="AY290">
            <v>9034</v>
          </cell>
          <cell r="AZ290">
            <v>3494</v>
          </cell>
          <cell r="BA290">
            <v>4749</v>
          </cell>
          <cell r="BB290">
            <v>3329</v>
          </cell>
          <cell r="BC290">
            <v>2989</v>
          </cell>
          <cell r="BD290">
            <v>14561</v>
          </cell>
          <cell r="BE290">
            <v>4046</v>
          </cell>
          <cell r="BF290">
            <v>4657</v>
          </cell>
          <cell r="BG290">
            <v>3888</v>
          </cell>
          <cell r="BH290">
            <v>3881</v>
          </cell>
          <cell r="BI290">
            <v>16472</v>
          </cell>
          <cell r="BJ290">
            <v>4474</v>
          </cell>
          <cell r="BK290">
            <v>3472</v>
          </cell>
          <cell r="BL290">
            <v>6589</v>
          </cell>
          <cell r="BM290">
            <v>3989</v>
          </cell>
          <cell r="BN290">
            <v>18524</v>
          </cell>
          <cell r="BO290">
            <v>5918</v>
          </cell>
          <cell r="BP290">
            <v>6481</v>
          </cell>
          <cell r="BQ290">
            <v>4409</v>
          </cell>
          <cell r="BR290">
            <v>5684</v>
          </cell>
          <cell r="BS290">
            <v>22492</v>
          </cell>
          <cell r="BT290">
            <v>5999</v>
          </cell>
          <cell r="BU290">
            <v>5939</v>
          </cell>
          <cell r="BV290">
            <v>4438</v>
          </cell>
          <cell r="BW290">
            <v>3987</v>
          </cell>
          <cell r="BX290">
            <v>20363</v>
          </cell>
          <cell r="BY290">
            <v>4482</v>
          </cell>
          <cell r="BZ290">
            <v>8513</v>
          </cell>
          <cell r="CA290">
            <v>5173</v>
          </cell>
          <cell r="CB290">
            <v>5930</v>
          </cell>
          <cell r="CC290">
            <v>24098</v>
          </cell>
          <cell r="CD290">
            <v>7116</v>
          </cell>
          <cell r="CE290">
            <v>8165</v>
          </cell>
          <cell r="CF290">
            <v>5709</v>
          </cell>
          <cell r="CG290">
            <v>6171</v>
          </cell>
          <cell r="CH290">
            <v>27161</v>
          </cell>
          <cell r="CI290">
            <v>7203</v>
          </cell>
          <cell r="CJ290">
            <v>7994</v>
          </cell>
          <cell r="CK290">
            <v>6374</v>
          </cell>
          <cell r="CL290">
            <v>192</v>
          </cell>
          <cell r="CM290">
            <v>21763</v>
          </cell>
          <cell r="CN290">
            <v>5308</v>
          </cell>
          <cell r="CO290">
            <v>7771</v>
          </cell>
          <cell r="CP290">
            <v>7612</v>
          </cell>
          <cell r="CQ290">
            <v>6073</v>
          </cell>
          <cell r="CR290">
            <v>26764</v>
          </cell>
          <cell r="CS290">
            <v>6334</v>
          </cell>
          <cell r="CT290">
            <v>7969</v>
          </cell>
          <cell r="CU290">
            <v>6974</v>
          </cell>
          <cell r="CV290">
            <v>6482</v>
          </cell>
          <cell r="CW290">
            <v>27759</v>
          </cell>
          <cell r="CX290">
            <v>5844</v>
          </cell>
          <cell r="CY290">
            <v>7776</v>
          </cell>
          <cell r="CZ290">
            <v>6594</v>
          </cell>
          <cell r="DA290">
            <v>-2053</v>
          </cell>
          <cell r="DB290">
            <v>18161</v>
          </cell>
          <cell r="DC290">
            <v>5793</v>
          </cell>
          <cell r="DD290">
            <v>6026</v>
          </cell>
          <cell r="DE290">
            <v>5283</v>
          </cell>
          <cell r="DF290">
            <v>3080</v>
          </cell>
          <cell r="DG290">
            <v>20182</v>
          </cell>
          <cell r="DH290">
            <v>6715</v>
          </cell>
          <cell r="DI290">
            <v>7905</v>
          </cell>
          <cell r="DJ290">
            <v>6723</v>
          </cell>
          <cell r="DK290">
            <v>7682</v>
          </cell>
          <cell r="DL290">
            <v>29025</v>
          </cell>
          <cell r="DM290">
            <v>7708</v>
          </cell>
          <cell r="DN290">
            <v>8679</v>
          </cell>
          <cell r="DO290">
            <v>8292</v>
          </cell>
          <cell r="DP290">
            <v>10379</v>
          </cell>
          <cell r="DQ290">
            <v>35058</v>
          </cell>
          <cell r="DR290">
            <v>9955</v>
          </cell>
          <cell r="DS290">
            <v>10258</v>
          </cell>
          <cell r="DT290">
            <v>10341</v>
          </cell>
          <cell r="DU290">
            <v>12405</v>
          </cell>
          <cell r="DV290">
            <v>42959</v>
          </cell>
          <cell r="DW290">
            <v>12686</v>
          </cell>
          <cell r="DX290">
            <v>13891</v>
          </cell>
          <cell r="DY290">
            <v>12975</v>
          </cell>
          <cell r="DZ290">
            <v>13407</v>
          </cell>
          <cell r="EA290">
            <v>52959</v>
          </cell>
          <cell r="EB290">
            <v>15876</v>
          </cell>
          <cell r="EC290">
            <v>17897</v>
          </cell>
          <cell r="ED290">
            <v>17048</v>
          </cell>
          <cell r="EE290">
            <v>19095</v>
          </cell>
          <cell r="EF290">
            <v>69916</v>
          </cell>
          <cell r="EG290">
            <v>20238</v>
          </cell>
          <cell r="EH290">
            <v>22247</v>
          </cell>
          <cell r="EI290">
            <v>20364</v>
          </cell>
          <cell r="EJ290">
            <v>20534</v>
          </cell>
          <cell r="EK290">
            <v>83383</v>
          </cell>
          <cell r="EL290">
            <v>21518</v>
          </cell>
          <cell r="EM290">
            <v>20399</v>
          </cell>
          <cell r="EN290">
            <v>22352</v>
          </cell>
          <cell r="EO290">
            <v>24254</v>
          </cell>
          <cell r="EP290">
            <v>88523</v>
          </cell>
          <cell r="EQ290">
            <v>26895</v>
          </cell>
          <cell r="ER290">
            <v>27032</v>
          </cell>
          <cell r="ES290">
            <v>27581</v>
          </cell>
          <cell r="ET290">
            <v>28479.629646781199</v>
          </cell>
          <cell r="EU290">
            <v>109987.629646781</v>
          </cell>
          <cell r="EV290">
            <v>30384.3029486122</v>
          </cell>
          <cell r="EW290">
            <v>31693.694437847698</v>
          </cell>
          <cell r="EX290">
            <v>31519.1313127258</v>
          </cell>
          <cell r="EY290">
            <v>33634.5919452854</v>
          </cell>
          <cell r="EZ290">
            <v>127231.720644471</v>
          </cell>
          <cell r="FA290">
            <v>35303.082830623098</v>
          </cell>
          <cell r="FB290">
            <v>36835.095078353697</v>
          </cell>
          <cell r="FC290">
            <v>36717.117282356303</v>
          </cell>
          <cell r="FD290">
            <v>39275.381821497802</v>
          </cell>
          <cell r="FE290">
            <v>148130.677012831</v>
          </cell>
        </row>
        <row r="291">
          <cell r="B291" t="str">
            <v>Pre-tax profit (Pub)</v>
          </cell>
          <cell r="C291" t="str">
            <v>PTP_PUB</v>
          </cell>
          <cell r="D291" t="str">
            <v>USD</v>
          </cell>
          <cell r="F291">
            <v>2167</v>
          </cell>
          <cell r="G291">
            <v>770</v>
          </cell>
          <cell r="H291">
            <v>885</v>
          </cell>
          <cell r="I291">
            <v>864</v>
          </cell>
          <cell r="J291">
            <v>860</v>
          </cell>
          <cell r="K291">
            <v>3379</v>
          </cell>
          <cell r="L291">
            <v>945</v>
          </cell>
          <cell r="M291">
            <v>1140</v>
          </cell>
          <cell r="N291">
            <v>1603</v>
          </cell>
          <cell r="O291">
            <v>1626</v>
          </cell>
          <cell r="P291">
            <v>5314</v>
          </cell>
          <cell r="Q291">
            <v>1202</v>
          </cell>
          <cell r="R291">
            <v>1770</v>
          </cell>
          <cell r="S291">
            <v>2057</v>
          </cell>
          <cell r="T291">
            <v>2088</v>
          </cell>
          <cell r="U291">
            <v>7117</v>
          </cell>
          <cell r="V291">
            <v>2503</v>
          </cell>
          <cell r="W291">
            <v>3051</v>
          </cell>
          <cell r="X291">
            <v>2949</v>
          </cell>
          <cell r="Y291">
            <v>3388</v>
          </cell>
          <cell r="Z291">
            <v>11891</v>
          </cell>
          <cell r="AA291">
            <v>3320</v>
          </cell>
          <cell r="AB291">
            <v>3691</v>
          </cell>
          <cell r="AC291">
            <v>3613</v>
          </cell>
          <cell r="AD291">
            <v>3651</v>
          </cell>
          <cell r="AE291">
            <v>14275</v>
          </cell>
          <cell r="AF291">
            <v>3852</v>
          </cell>
          <cell r="AG291">
            <v>3917</v>
          </cell>
          <cell r="AH291">
            <v>3658</v>
          </cell>
          <cell r="AI291">
            <v>98</v>
          </cell>
          <cell r="AJ291">
            <v>11525</v>
          </cell>
          <cell r="AK291">
            <v>1887</v>
          </cell>
          <cell r="AL291">
            <v>3357</v>
          </cell>
          <cell r="AM291">
            <v>4026</v>
          </cell>
          <cell r="AN291">
            <v>2243</v>
          </cell>
          <cell r="AO291">
            <v>11513</v>
          </cell>
          <cell r="AP291">
            <v>3047</v>
          </cell>
          <cell r="AQ291">
            <v>2596</v>
          </cell>
          <cell r="AR291">
            <v>3197</v>
          </cell>
          <cell r="AS291">
            <v>2214</v>
          </cell>
          <cell r="AT291">
            <v>11054</v>
          </cell>
          <cell r="AU291">
            <v>3901</v>
          </cell>
          <cell r="AV291">
            <v>2312</v>
          </cell>
          <cell r="AW291">
            <v>2279</v>
          </cell>
          <cell r="AX291">
            <v>3704</v>
          </cell>
          <cell r="AY291">
            <v>12196</v>
          </cell>
          <cell r="AZ291">
            <v>3773</v>
          </cell>
          <cell r="BA291">
            <v>5169</v>
          </cell>
          <cell r="BB291">
            <v>3825</v>
          </cell>
          <cell r="BC291">
            <v>3861</v>
          </cell>
          <cell r="BD291">
            <v>16628</v>
          </cell>
          <cell r="BE291">
            <v>4552</v>
          </cell>
          <cell r="BF291">
            <v>5137</v>
          </cell>
          <cell r="BG291">
            <v>4315</v>
          </cell>
          <cell r="BH291">
            <v>4258</v>
          </cell>
          <cell r="BI291">
            <v>18262</v>
          </cell>
          <cell r="BJ291">
            <v>5041</v>
          </cell>
          <cell r="BK291">
            <v>3805</v>
          </cell>
          <cell r="BL291">
            <v>6971</v>
          </cell>
          <cell r="BM291">
            <v>4284</v>
          </cell>
          <cell r="BN291">
            <v>20101</v>
          </cell>
          <cell r="BO291">
            <v>6216</v>
          </cell>
          <cell r="BP291">
            <v>6820</v>
          </cell>
          <cell r="BQ291">
            <v>4810</v>
          </cell>
          <cell r="BR291">
            <v>5968</v>
          </cell>
          <cell r="BS291">
            <v>23814</v>
          </cell>
          <cell r="BT291">
            <v>5991</v>
          </cell>
          <cell r="BU291">
            <v>5638</v>
          </cell>
          <cell r="BV291">
            <v>4050</v>
          </cell>
          <cell r="BW291">
            <v>4142</v>
          </cell>
          <cell r="BX291">
            <v>19821</v>
          </cell>
          <cell r="BY291">
            <v>4765</v>
          </cell>
          <cell r="BZ291">
            <v>8883</v>
          </cell>
          <cell r="CA291">
            <v>5341</v>
          </cell>
          <cell r="CB291">
            <v>6024</v>
          </cell>
          <cell r="CC291">
            <v>25013</v>
          </cell>
          <cell r="CD291">
            <v>7230</v>
          </cell>
          <cell r="CE291">
            <v>8497</v>
          </cell>
          <cell r="CF291">
            <v>6025</v>
          </cell>
          <cell r="CG291">
            <v>6319</v>
          </cell>
          <cell r="CH291">
            <v>28071</v>
          </cell>
          <cell r="CI291">
            <v>7306</v>
          </cell>
          <cell r="CJ291">
            <v>8239</v>
          </cell>
          <cell r="CK291">
            <v>6363</v>
          </cell>
          <cell r="CL291">
            <v>359</v>
          </cell>
          <cell r="CM291">
            <v>22267</v>
          </cell>
          <cell r="CN291">
            <v>5534</v>
          </cell>
          <cell r="CO291">
            <v>7770</v>
          </cell>
          <cell r="CP291">
            <v>7603</v>
          </cell>
          <cell r="CQ291">
            <v>6145</v>
          </cell>
          <cell r="CR291">
            <v>27052</v>
          </cell>
          <cell r="CS291">
            <v>6408</v>
          </cell>
          <cell r="CT291">
            <v>7878</v>
          </cell>
          <cell r="CU291">
            <v>6957</v>
          </cell>
          <cell r="CV291">
            <v>6577</v>
          </cell>
          <cell r="CW291">
            <v>27820</v>
          </cell>
          <cell r="CX291">
            <v>5896</v>
          </cell>
          <cell r="CY291">
            <v>7850</v>
          </cell>
          <cell r="CZ291">
            <v>6517</v>
          </cell>
          <cell r="DA291">
            <v>-1756</v>
          </cell>
          <cell r="DB291">
            <v>18507</v>
          </cell>
          <cell r="DC291">
            <v>5513</v>
          </cell>
          <cell r="DD291">
            <v>5855</v>
          </cell>
          <cell r="DE291">
            <v>5036</v>
          </cell>
          <cell r="DF291">
            <v>3347</v>
          </cell>
          <cell r="DG291">
            <v>19751</v>
          </cell>
          <cell r="DH291">
            <v>6827</v>
          </cell>
          <cell r="DI291">
            <v>8022</v>
          </cell>
          <cell r="DJ291">
            <v>7094</v>
          </cell>
          <cell r="DK291">
            <v>7958</v>
          </cell>
          <cell r="DL291">
            <v>29901</v>
          </cell>
          <cell r="DM291">
            <v>7984</v>
          </cell>
          <cell r="DN291">
            <v>9169</v>
          </cell>
          <cell r="DO291">
            <v>8641</v>
          </cell>
          <cell r="DP291">
            <v>10680</v>
          </cell>
          <cell r="DQ291">
            <v>36474</v>
          </cell>
          <cell r="DR291">
            <v>10221</v>
          </cell>
          <cell r="DS291">
            <v>10385</v>
          </cell>
          <cell r="DT291">
            <v>10486</v>
          </cell>
          <cell r="DU291">
            <v>12596</v>
          </cell>
          <cell r="DV291">
            <v>43688</v>
          </cell>
          <cell r="DW291">
            <v>12686</v>
          </cell>
          <cell r="DX291">
            <v>14085</v>
          </cell>
          <cell r="DY291">
            <v>12843</v>
          </cell>
          <cell r="DZ291">
            <v>13422</v>
          </cell>
          <cell r="EA291">
            <v>53036</v>
          </cell>
          <cell r="EB291">
            <v>16124</v>
          </cell>
          <cell r="EC291">
            <v>18337</v>
          </cell>
          <cell r="ED291">
            <v>17236</v>
          </cell>
          <cell r="EE291">
            <v>19405</v>
          </cell>
          <cell r="EF291">
            <v>71102</v>
          </cell>
          <cell r="EG291">
            <v>20524</v>
          </cell>
          <cell r="EH291">
            <v>22515</v>
          </cell>
          <cell r="EI291">
            <v>20190</v>
          </cell>
          <cell r="EJ291">
            <v>20487</v>
          </cell>
          <cell r="EK291">
            <v>83716</v>
          </cell>
          <cell r="EL291">
            <v>21572</v>
          </cell>
          <cell r="EM291">
            <v>20339</v>
          </cell>
          <cell r="EN291">
            <v>22673</v>
          </cell>
          <cell r="EO291">
            <v>24727</v>
          </cell>
          <cell r="EP291">
            <v>89311</v>
          </cell>
          <cell r="EQ291">
            <v>27284</v>
          </cell>
          <cell r="ER291">
            <v>26526</v>
          </cell>
          <cell r="ES291">
            <v>26727</v>
          </cell>
          <cell r="ET291">
            <v>27629.629646781199</v>
          </cell>
          <cell r="EU291">
            <v>108166.629646781</v>
          </cell>
          <cell r="EV291">
            <v>30384.3029486122</v>
          </cell>
          <cell r="EW291">
            <v>31693.694437847698</v>
          </cell>
          <cell r="EX291">
            <v>31519.1313127258</v>
          </cell>
          <cell r="EY291">
            <v>33634.5919452854</v>
          </cell>
          <cell r="EZ291">
            <v>127231.720644471</v>
          </cell>
          <cell r="FA291">
            <v>35803.082830623098</v>
          </cell>
          <cell r="FB291">
            <v>37335.095078353697</v>
          </cell>
          <cell r="FC291">
            <v>37217.117282356303</v>
          </cell>
          <cell r="FD291">
            <v>39775.381821497802</v>
          </cell>
          <cell r="FE291">
            <v>150130.677012831</v>
          </cell>
        </row>
        <row r="292">
          <cell r="B292" t="str">
            <v>Sales, revenue (Pub)</v>
          </cell>
          <cell r="C292" t="str">
            <v>REVS_PUB</v>
          </cell>
          <cell r="D292" t="str">
            <v>USD</v>
          </cell>
          <cell r="F292">
            <v>5937</v>
          </cell>
          <cell r="G292">
            <v>2016</v>
          </cell>
          <cell r="H292">
            <v>2195</v>
          </cell>
          <cell r="I292">
            <v>2205</v>
          </cell>
          <cell r="J292">
            <v>2255</v>
          </cell>
          <cell r="K292">
            <v>8671</v>
          </cell>
          <cell r="L292">
            <v>2295</v>
          </cell>
          <cell r="M292">
            <v>2680</v>
          </cell>
          <cell r="N292">
            <v>3208</v>
          </cell>
          <cell r="O292">
            <v>3175</v>
          </cell>
          <cell r="P292">
            <v>11358</v>
          </cell>
          <cell r="Q292">
            <v>3130</v>
          </cell>
          <cell r="R292">
            <v>3585</v>
          </cell>
          <cell r="S292">
            <v>3774</v>
          </cell>
          <cell r="T292">
            <v>3995</v>
          </cell>
          <cell r="U292">
            <v>14484</v>
          </cell>
          <cell r="V292">
            <v>4193</v>
          </cell>
          <cell r="W292">
            <v>5195</v>
          </cell>
          <cell r="X292">
            <v>4595</v>
          </cell>
          <cell r="Y292">
            <v>5764</v>
          </cell>
          <cell r="Z292">
            <v>19747</v>
          </cell>
          <cell r="AA292">
            <v>5384</v>
          </cell>
          <cell r="AB292">
            <v>6112</v>
          </cell>
          <cell r="AC292">
            <v>5656</v>
          </cell>
          <cell r="AD292">
            <v>5804</v>
          </cell>
          <cell r="AE292">
            <v>22956</v>
          </cell>
          <cell r="AF292">
            <v>5766</v>
          </cell>
          <cell r="AG292">
            <v>6550</v>
          </cell>
          <cell r="AH292">
            <v>6403</v>
          </cell>
          <cell r="AI292">
            <v>6577</v>
          </cell>
          <cell r="AJ292">
            <v>25296</v>
          </cell>
          <cell r="AK292">
            <v>6126</v>
          </cell>
          <cell r="AL292">
            <v>7741</v>
          </cell>
          <cell r="AM292">
            <v>7245</v>
          </cell>
          <cell r="AN292">
            <v>7253</v>
          </cell>
          <cell r="AO292">
            <v>28365</v>
          </cell>
          <cell r="AP292">
            <v>7746</v>
          </cell>
          <cell r="AQ292">
            <v>8541</v>
          </cell>
          <cell r="AR292">
            <v>7835</v>
          </cell>
          <cell r="AS292">
            <v>8065</v>
          </cell>
          <cell r="AT292">
            <v>32187</v>
          </cell>
          <cell r="AU292">
            <v>8215</v>
          </cell>
          <cell r="AV292">
            <v>10153</v>
          </cell>
          <cell r="AW292">
            <v>9175</v>
          </cell>
          <cell r="AX292">
            <v>9292</v>
          </cell>
          <cell r="AY292">
            <v>36835</v>
          </cell>
          <cell r="AZ292">
            <v>9189</v>
          </cell>
          <cell r="BA292">
            <v>10818</v>
          </cell>
          <cell r="BB292">
            <v>9620</v>
          </cell>
          <cell r="BC292">
            <v>10161</v>
          </cell>
          <cell r="BD292">
            <v>39788</v>
          </cell>
          <cell r="BE292">
            <v>9741</v>
          </cell>
          <cell r="BF292">
            <v>11837</v>
          </cell>
          <cell r="BG292">
            <v>10900</v>
          </cell>
          <cell r="BH292">
            <v>11804</v>
          </cell>
          <cell r="BI292">
            <v>44282</v>
          </cell>
          <cell r="BJ292">
            <v>10811</v>
          </cell>
          <cell r="BK292">
            <v>12542</v>
          </cell>
          <cell r="BL292">
            <v>14398</v>
          </cell>
          <cell r="BM292">
            <v>13371</v>
          </cell>
          <cell r="BN292">
            <v>51122</v>
          </cell>
          <cell r="BO292">
            <v>13762</v>
          </cell>
          <cell r="BP292">
            <v>16367</v>
          </cell>
          <cell r="BQ292">
            <v>14454</v>
          </cell>
          <cell r="BR292">
            <v>15837</v>
          </cell>
          <cell r="BS292">
            <v>60420</v>
          </cell>
          <cell r="BT292">
            <v>15061</v>
          </cell>
          <cell r="BU292">
            <v>16629</v>
          </cell>
          <cell r="BV292">
            <v>13648</v>
          </cell>
          <cell r="BW292">
            <v>13099</v>
          </cell>
          <cell r="BX292">
            <v>58437</v>
          </cell>
          <cell r="BY292">
            <v>12920</v>
          </cell>
          <cell r="BZ292">
            <v>19022</v>
          </cell>
          <cell r="CA292">
            <v>14503</v>
          </cell>
          <cell r="CB292">
            <v>16039</v>
          </cell>
          <cell r="CC292">
            <v>62484</v>
          </cell>
          <cell r="CD292">
            <v>16195</v>
          </cell>
          <cell r="CE292">
            <v>19953</v>
          </cell>
          <cell r="CF292">
            <v>16428</v>
          </cell>
          <cell r="CG292">
            <v>17367</v>
          </cell>
          <cell r="CH292">
            <v>69943</v>
          </cell>
          <cell r="CI292">
            <v>17372</v>
          </cell>
          <cell r="CJ292">
            <v>20885</v>
          </cell>
          <cell r="CK292">
            <v>17407</v>
          </cell>
          <cell r="CL292">
            <v>18059</v>
          </cell>
          <cell r="CM292">
            <v>73723</v>
          </cell>
          <cell r="CN292">
            <v>16008</v>
          </cell>
          <cell r="CO292">
            <v>21456</v>
          </cell>
          <cell r="CP292">
            <v>20489</v>
          </cell>
          <cell r="CQ292">
            <v>19896</v>
          </cell>
          <cell r="CR292">
            <v>77849</v>
          </cell>
          <cell r="CS292">
            <v>18529</v>
          </cell>
          <cell r="CT292">
            <v>24519</v>
          </cell>
          <cell r="CU292">
            <v>20403</v>
          </cell>
          <cell r="CV292">
            <v>23382</v>
          </cell>
          <cell r="CW292">
            <v>86833</v>
          </cell>
          <cell r="CX292">
            <v>23201</v>
          </cell>
          <cell r="CY292">
            <v>26470</v>
          </cell>
          <cell r="CZ292">
            <v>21729</v>
          </cell>
          <cell r="DA292">
            <v>22180</v>
          </cell>
          <cell r="DB292">
            <v>93580</v>
          </cell>
          <cell r="DC292">
            <v>20379</v>
          </cell>
          <cell r="DD292">
            <v>23796</v>
          </cell>
          <cell r="DE292">
            <v>20531</v>
          </cell>
          <cell r="DF292">
            <v>20614</v>
          </cell>
          <cell r="DG292">
            <v>85320</v>
          </cell>
          <cell r="DH292">
            <v>21928</v>
          </cell>
          <cell r="DI292">
            <v>25826</v>
          </cell>
          <cell r="DJ292">
            <v>23212</v>
          </cell>
          <cell r="DK292">
            <v>25605</v>
          </cell>
          <cell r="DL292">
            <v>96571</v>
          </cell>
          <cell r="DM292">
            <v>24538</v>
          </cell>
          <cell r="DN292">
            <v>28918</v>
          </cell>
          <cell r="DO292">
            <v>26819</v>
          </cell>
          <cell r="DP292">
            <v>30085</v>
          </cell>
          <cell r="DQ292">
            <v>110360</v>
          </cell>
          <cell r="DR292">
            <v>29084</v>
          </cell>
          <cell r="DS292">
            <v>32471</v>
          </cell>
          <cell r="DT292">
            <v>30571</v>
          </cell>
          <cell r="DU292">
            <v>33717</v>
          </cell>
          <cell r="DV292">
            <v>125843</v>
          </cell>
          <cell r="DW292">
            <v>33055</v>
          </cell>
          <cell r="DX292">
            <v>36906</v>
          </cell>
          <cell r="DY292">
            <v>35021</v>
          </cell>
          <cell r="DZ292">
            <v>38033</v>
          </cell>
          <cell r="EA292">
            <v>143015</v>
          </cell>
          <cell r="EB292">
            <v>37154</v>
          </cell>
          <cell r="EC292">
            <v>43076</v>
          </cell>
          <cell r="ED292">
            <v>41706</v>
          </cell>
          <cell r="EE292">
            <v>46152</v>
          </cell>
          <cell r="EF292">
            <v>168088</v>
          </cell>
          <cell r="EG292">
            <v>45317</v>
          </cell>
          <cell r="EH292">
            <v>51728</v>
          </cell>
          <cell r="EI292">
            <v>49360</v>
          </cell>
          <cell r="EJ292">
            <v>51865</v>
          </cell>
          <cell r="EK292">
            <v>198270</v>
          </cell>
          <cell r="EL292">
            <v>50122</v>
          </cell>
          <cell r="EM292">
            <v>52747</v>
          </cell>
          <cell r="EN292">
            <v>52857</v>
          </cell>
          <cell r="EO292">
            <v>56189</v>
          </cell>
          <cell r="EP292">
            <v>211915</v>
          </cell>
          <cell r="EQ292">
            <v>56517</v>
          </cell>
          <cell r="ER292">
            <v>62020</v>
          </cell>
          <cell r="ES292">
            <v>61858</v>
          </cell>
          <cell r="ET292">
            <v>64904.736469703697</v>
          </cell>
          <cell r="EU292">
            <v>245299.73646970399</v>
          </cell>
          <cell r="EV292">
            <v>66156.828369105293</v>
          </cell>
          <cell r="EW292">
            <v>70377.619938189993</v>
          </cell>
          <cell r="EX292">
            <v>70355.831979936993</v>
          </cell>
          <cell r="EY292">
            <v>73980.879966571199</v>
          </cell>
          <cell r="EZ292">
            <v>280871.16025380301</v>
          </cell>
          <cell r="FA292">
            <v>75055.961276820104</v>
          </cell>
          <cell r="FB292">
            <v>79842.010683144705</v>
          </cell>
          <cell r="FC292">
            <v>79966.703647055707</v>
          </cell>
          <cell r="FD292">
            <v>84303.218187392893</v>
          </cell>
          <cell r="FE292">
            <v>319167.89379441302</v>
          </cell>
        </row>
        <row r="293">
          <cell r="B293" t="str">
            <v>Total shareholders' equity (Pub)</v>
          </cell>
          <cell r="C293" t="str">
            <v>EQ_PUB</v>
          </cell>
          <cell r="D293" t="str">
            <v>USD</v>
          </cell>
          <cell r="F293">
            <v>5863</v>
          </cell>
          <cell r="G293">
            <v>6401</v>
          </cell>
          <cell r="H293">
            <v>6865</v>
          </cell>
          <cell r="I293">
            <v>7326</v>
          </cell>
          <cell r="J293">
            <v>7668</v>
          </cell>
          <cell r="K293">
            <v>7668</v>
          </cell>
          <cell r="L293">
            <v>8077</v>
          </cell>
          <cell r="M293">
            <v>9642</v>
          </cell>
          <cell r="N293">
            <v>9134</v>
          </cell>
          <cell r="O293">
            <v>10777</v>
          </cell>
          <cell r="P293">
            <v>10777</v>
          </cell>
          <cell r="Q293">
            <v>11464</v>
          </cell>
          <cell r="R293">
            <v>12344</v>
          </cell>
          <cell r="S293">
            <v>14676</v>
          </cell>
          <cell r="T293">
            <v>16627</v>
          </cell>
          <cell r="U293">
            <v>16627</v>
          </cell>
          <cell r="V293">
            <v>19124</v>
          </cell>
          <cell r="W293">
            <v>22578</v>
          </cell>
          <cell r="X293">
            <v>25722</v>
          </cell>
          <cell r="Y293">
            <v>28438</v>
          </cell>
          <cell r="Z293">
            <v>28438</v>
          </cell>
          <cell r="AA293">
            <v>31340</v>
          </cell>
          <cell r="AB293">
            <v>34589</v>
          </cell>
          <cell r="AC293">
            <v>39792</v>
          </cell>
          <cell r="AD293">
            <v>40689</v>
          </cell>
          <cell r="AE293">
            <v>40689</v>
          </cell>
          <cell r="AF293">
            <v>45343</v>
          </cell>
          <cell r="AG293">
            <v>46422</v>
          </cell>
          <cell r="AH293">
            <v>48090</v>
          </cell>
          <cell r="AI293">
            <v>47289</v>
          </cell>
          <cell r="AJ293">
            <v>47289</v>
          </cell>
          <cell r="AK293">
            <v>48505</v>
          </cell>
          <cell r="AL293">
            <v>51548</v>
          </cell>
          <cell r="AM293">
            <v>54300</v>
          </cell>
          <cell r="AN293">
            <v>52180</v>
          </cell>
          <cell r="AO293">
            <v>52180</v>
          </cell>
          <cell r="AP293">
            <v>53516</v>
          </cell>
          <cell r="AQ293">
            <v>55812</v>
          </cell>
          <cell r="AR293">
            <v>58282</v>
          </cell>
          <cell r="AS293">
            <v>61020</v>
          </cell>
          <cell r="AT293">
            <v>61020</v>
          </cell>
          <cell r="AU293">
            <v>66680</v>
          </cell>
          <cell r="AV293">
            <v>69343</v>
          </cell>
          <cell r="AW293">
            <v>70580</v>
          </cell>
          <cell r="AX293">
            <v>74825</v>
          </cell>
          <cell r="AY293">
            <v>74825</v>
          </cell>
          <cell r="AZ293">
            <v>76319</v>
          </cell>
          <cell r="BA293">
            <v>47232</v>
          </cell>
          <cell r="BB293">
            <v>47373</v>
          </cell>
          <cell r="BC293">
            <v>48115</v>
          </cell>
          <cell r="BD293">
            <v>48115</v>
          </cell>
          <cell r="BE293">
            <v>48327</v>
          </cell>
          <cell r="BF293">
            <v>44208</v>
          </cell>
          <cell r="BG293">
            <v>42038</v>
          </cell>
          <cell r="BH293">
            <v>40104</v>
          </cell>
          <cell r="BI293">
            <v>40104</v>
          </cell>
          <cell r="BJ293">
            <v>36101</v>
          </cell>
          <cell r="BK293">
            <v>36634</v>
          </cell>
          <cell r="BL293">
            <v>34973</v>
          </cell>
          <cell r="BM293">
            <v>31097</v>
          </cell>
          <cell r="BN293">
            <v>31097</v>
          </cell>
          <cell r="BO293">
            <v>32135</v>
          </cell>
          <cell r="BP293">
            <v>34431</v>
          </cell>
          <cell r="BQ293">
            <v>37554</v>
          </cell>
          <cell r="BR293">
            <v>36286</v>
          </cell>
          <cell r="BS293">
            <v>36286</v>
          </cell>
          <cell r="BT293">
            <v>33594</v>
          </cell>
          <cell r="BU293">
            <v>34478</v>
          </cell>
          <cell r="BV293">
            <v>36943</v>
          </cell>
          <cell r="BW293">
            <v>39558</v>
          </cell>
          <cell r="BX293">
            <v>39558</v>
          </cell>
          <cell r="BY293">
            <v>41212</v>
          </cell>
          <cell r="BZ293">
            <v>44283</v>
          </cell>
          <cell r="CA293">
            <v>45710</v>
          </cell>
          <cell r="CB293">
            <v>46175</v>
          </cell>
          <cell r="CC293">
            <v>46175</v>
          </cell>
          <cell r="CD293">
            <v>46942</v>
          </cell>
          <cell r="CE293">
            <v>48481</v>
          </cell>
          <cell r="CF293">
            <v>53452</v>
          </cell>
          <cell r="CG293">
            <v>57083</v>
          </cell>
          <cell r="CH293">
            <v>57083</v>
          </cell>
          <cell r="CI293">
            <v>59391</v>
          </cell>
          <cell r="CJ293">
            <v>64121</v>
          </cell>
          <cell r="CK293">
            <v>68659</v>
          </cell>
          <cell r="CL293">
            <v>66363</v>
          </cell>
          <cell r="CM293">
            <v>66363</v>
          </cell>
          <cell r="CN293">
            <v>68836</v>
          </cell>
          <cell r="CO293">
            <v>72576</v>
          </cell>
          <cell r="CP293">
            <v>76688</v>
          </cell>
          <cell r="CQ293">
            <v>78944</v>
          </cell>
          <cell r="CR293">
            <v>78944</v>
          </cell>
          <cell r="CS293">
            <v>81641</v>
          </cell>
          <cell r="CT293">
            <v>85100</v>
          </cell>
          <cell r="CU293">
            <v>87424</v>
          </cell>
          <cell r="CV293">
            <v>89784</v>
          </cell>
          <cell r="CW293">
            <v>89784</v>
          </cell>
          <cell r="CX293">
            <v>90170</v>
          </cell>
          <cell r="CY293">
            <v>91879</v>
          </cell>
          <cell r="CZ293">
            <v>90132</v>
          </cell>
          <cell r="DA293">
            <v>80083</v>
          </cell>
          <cell r="DB293">
            <v>80083</v>
          </cell>
          <cell r="DC293">
            <v>77445</v>
          </cell>
          <cell r="DD293">
            <v>76780</v>
          </cell>
          <cell r="DE293">
            <v>74806</v>
          </cell>
          <cell r="DF293">
            <v>71997</v>
          </cell>
          <cell r="DG293">
            <v>71997</v>
          </cell>
          <cell r="DH293">
            <v>82462</v>
          </cell>
          <cell r="DI293">
            <v>81829</v>
          </cell>
          <cell r="DJ293">
            <v>83491</v>
          </cell>
          <cell r="DK293">
            <v>87711</v>
          </cell>
          <cell r="DL293">
            <v>87711</v>
          </cell>
          <cell r="DM293">
            <v>89647</v>
          </cell>
          <cell r="DN293">
            <v>78360</v>
          </cell>
          <cell r="DO293">
            <v>79239</v>
          </cell>
          <cell r="DP293">
            <v>82718</v>
          </cell>
          <cell r="DQ293">
            <v>82718</v>
          </cell>
          <cell r="DR293">
            <v>85967</v>
          </cell>
          <cell r="DS293">
            <v>92128</v>
          </cell>
          <cell r="DT293">
            <v>94864</v>
          </cell>
          <cell r="DU293">
            <v>102330</v>
          </cell>
          <cell r="DV293">
            <v>102330</v>
          </cell>
          <cell r="DW293">
            <v>106061</v>
          </cell>
          <cell r="DX293">
            <v>110109</v>
          </cell>
          <cell r="DY293">
            <v>114501</v>
          </cell>
          <cell r="DZ293">
            <v>118304</v>
          </cell>
          <cell r="EA293">
            <v>118304</v>
          </cell>
          <cell r="EB293">
            <v>123392</v>
          </cell>
          <cell r="EC293">
            <v>130236</v>
          </cell>
          <cell r="ED293">
            <v>134505</v>
          </cell>
          <cell r="EE293">
            <v>141988</v>
          </cell>
          <cell r="EF293">
            <v>141988</v>
          </cell>
          <cell r="EG293">
            <v>151978</v>
          </cell>
          <cell r="EH293">
            <v>160010</v>
          </cell>
          <cell r="EI293">
            <v>162924</v>
          </cell>
          <cell r="EJ293">
            <v>166542</v>
          </cell>
          <cell r="EK293">
            <v>166542</v>
          </cell>
          <cell r="EL293">
            <v>173566</v>
          </cell>
          <cell r="EM293">
            <v>183136</v>
          </cell>
          <cell r="EN293">
            <v>194683</v>
          </cell>
          <cell r="EO293">
            <v>206223</v>
          </cell>
          <cell r="EP293">
            <v>206223</v>
          </cell>
          <cell r="EQ293">
            <v>220714</v>
          </cell>
          <cell r="ER293">
            <v>238268</v>
          </cell>
          <cell r="ES293">
            <v>253152</v>
          </cell>
          <cell r="ET293">
            <v>273160.38450085901</v>
          </cell>
          <cell r="EU293">
            <v>273160.38450085901</v>
          </cell>
          <cell r="EV293">
            <v>295491.56089522701</v>
          </cell>
          <cell r="EW293">
            <v>318521.463365542</v>
          </cell>
          <cell r="EX293">
            <v>341416.95483489102</v>
          </cell>
          <cell r="EY293">
            <v>366217.29159983102</v>
          </cell>
          <cell r="EZ293">
            <v>366217.29159983102</v>
          </cell>
          <cell r="FA293">
            <v>392664.17547346302</v>
          </cell>
          <cell r="FB293">
            <v>419950.10841699003</v>
          </cell>
          <cell r="FC293">
            <v>447154.45920537401</v>
          </cell>
          <cell r="FD293">
            <v>476647.79396637401</v>
          </cell>
          <cell r="FE293">
            <v>476647.79396637401</v>
          </cell>
        </row>
        <row r="294">
          <cell r="A294" t="str">
            <v>Income Statement</v>
          </cell>
        </row>
        <row r="295">
          <cell r="B295" t="str">
            <v>Provision for income tax</v>
          </cell>
          <cell r="C295" t="str">
            <v>PROV_INC_TAX</v>
          </cell>
          <cell r="D295" t="str">
            <v>USD</v>
          </cell>
          <cell r="F295">
            <v>-714</v>
          </cell>
          <cell r="G295">
            <v>-271</v>
          </cell>
          <cell r="H295">
            <v>-310</v>
          </cell>
          <cell r="I295">
            <v>-302</v>
          </cell>
          <cell r="J295">
            <v>-301</v>
          </cell>
          <cell r="K295">
            <v>-1184</v>
          </cell>
          <cell r="L295">
            <v>-331</v>
          </cell>
          <cell r="M295">
            <v>-399</v>
          </cell>
          <cell r="N295">
            <v>-561</v>
          </cell>
          <cell r="O295">
            <v>-569</v>
          </cell>
          <cell r="P295">
            <v>-1860</v>
          </cell>
          <cell r="Q295">
            <v>-539</v>
          </cell>
          <cell r="R295">
            <v>-637</v>
          </cell>
          <cell r="S295">
            <v>-720</v>
          </cell>
          <cell r="T295">
            <v>-731</v>
          </cell>
          <cell r="U295">
            <v>-2627</v>
          </cell>
          <cell r="V295">
            <v>-820</v>
          </cell>
          <cell r="W295">
            <v>-1068</v>
          </cell>
          <cell r="X295">
            <v>-1032</v>
          </cell>
          <cell r="Y295">
            <v>-1186</v>
          </cell>
          <cell r="Z295">
            <v>-4106</v>
          </cell>
          <cell r="AA295">
            <v>-1129</v>
          </cell>
          <cell r="AB295">
            <v>-1255</v>
          </cell>
          <cell r="AC295">
            <v>-1228</v>
          </cell>
          <cell r="AD295">
            <v>-1242</v>
          </cell>
          <cell r="AE295">
            <v>-4854</v>
          </cell>
          <cell r="AF295">
            <v>-1271</v>
          </cell>
          <cell r="AG295">
            <v>-1293</v>
          </cell>
          <cell r="AH295">
            <v>-1207</v>
          </cell>
          <cell r="AI295">
            <v>-33</v>
          </cell>
          <cell r="AJ295">
            <v>-3804</v>
          </cell>
          <cell r="AK295">
            <v>-604</v>
          </cell>
          <cell r="AL295">
            <v>-1074</v>
          </cell>
          <cell r="AM295">
            <v>-1288</v>
          </cell>
          <cell r="AN295">
            <v>-718</v>
          </cell>
          <cell r="AO295">
            <v>-3684</v>
          </cell>
          <cell r="AP295">
            <v>-1006</v>
          </cell>
          <cell r="AQ295">
            <v>-731</v>
          </cell>
          <cell r="AR295">
            <v>-1055</v>
          </cell>
          <cell r="AS295">
            <v>-731</v>
          </cell>
          <cell r="AT295">
            <v>-3523</v>
          </cell>
          <cell r="AU295">
            <v>-1287</v>
          </cell>
          <cell r="AV295">
            <v>-763</v>
          </cell>
          <cell r="AW295">
            <v>-964</v>
          </cell>
          <cell r="AX295">
            <v>-1014</v>
          </cell>
          <cell r="AY295">
            <v>-4028</v>
          </cell>
          <cell r="AZ295">
            <v>-1245</v>
          </cell>
          <cell r="BA295">
            <v>-1706</v>
          </cell>
          <cell r="BB295">
            <v>-1262</v>
          </cell>
          <cell r="BC295">
            <v>-161</v>
          </cell>
          <cell r="BD295">
            <v>-4374</v>
          </cell>
          <cell r="BE295">
            <v>-1411</v>
          </cell>
          <cell r="BF295">
            <v>-1484</v>
          </cell>
          <cell r="BG295">
            <v>-1338</v>
          </cell>
          <cell r="BH295">
            <v>-1430</v>
          </cell>
          <cell r="BI295">
            <v>-5663</v>
          </cell>
          <cell r="BJ295">
            <v>-1563</v>
          </cell>
          <cell r="BK295">
            <v>-1179</v>
          </cell>
          <cell r="BL295">
            <v>-2045</v>
          </cell>
          <cell r="BM295">
            <v>-1249</v>
          </cell>
          <cell r="BN295">
            <v>-6036</v>
          </cell>
          <cell r="BO295">
            <v>-1927</v>
          </cell>
          <cell r="BP295">
            <v>-2113</v>
          </cell>
          <cell r="BQ295">
            <v>-422</v>
          </cell>
          <cell r="BR295">
            <v>-1671</v>
          </cell>
          <cell r="BS295">
            <v>-6133</v>
          </cell>
          <cell r="BT295">
            <v>-1618</v>
          </cell>
          <cell r="BU295">
            <v>-1464</v>
          </cell>
          <cell r="BV295">
            <v>-1073</v>
          </cell>
          <cell r="BW295">
            <v>-1097</v>
          </cell>
          <cell r="BX295">
            <v>-5252</v>
          </cell>
          <cell r="BY295">
            <v>-1191</v>
          </cell>
          <cell r="BZ295">
            <v>-2221</v>
          </cell>
          <cell r="CA295">
            <v>-1335</v>
          </cell>
          <cell r="CB295">
            <v>-1506</v>
          </cell>
          <cell r="CC295">
            <v>-6253</v>
          </cell>
          <cell r="CD295">
            <v>-1820</v>
          </cell>
          <cell r="CE295">
            <v>-1863</v>
          </cell>
          <cell r="CF295">
            <v>-793</v>
          </cell>
          <cell r="CG295">
            <v>-445</v>
          </cell>
          <cell r="CH295">
            <v>-4921</v>
          </cell>
          <cell r="CI295">
            <v>-1568</v>
          </cell>
          <cell r="CJ295">
            <v>-1615</v>
          </cell>
          <cell r="CK295">
            <v>-1255</v>
          </cell>
          <cell r="CL295">
            <v>-851</v>
          </cell>
          <cell r="CM295">
            <v>-5289</v>
          </cell>
          <cell r="CN295">
            <v>-1068</v>
          </cell>
          <cell r="CO295">
            <v>-1393</v>
          </cell>
          <cell r="CP295">
            <v>-1548</v>
          </cell>
          <cell r="CQ295">
            <v>-1180</v>
          </cell>
          <cell r="CR295">
            <v>-5189</v>
          </cell>
          <cell r="CS295">
            <v>-1164</v>
          </cell>
          <cell r="CT295">
            <v>-1320</v>
          </cell>
          <cell r="CU295">
            <v>-1297</v>
          </cell>
          <cell r="CV295">
            <v>-1965</v>
          </cell>
          <cell r="CW295">
            <v>-5746</v>
          </cell>
          <cell r="CX295">
            <v>-1356</v>
          </cell>
          <cell r="CY295">
            <v>-1987</v>
          </cell>
          <cell r="CZ295">
            <v>-1532</v>
          </cell>
          <cell r="DA295">
            <v>-1439</v>
          </cell>
          <cell r="DB295">
            <v>-6314</v>
          </cell>
          <cell r="DC295">
            <v>-893</v>
          </cell>
          <cell r="DD295">
            <v>-857</v>
          </cell>
          <cell r="DE295">
            <v>-1280</v>
          </cell>
          <cell r="DF295">
            <v>-225</v>
          </cell>
          <cell r="DG295">
            <v>-3255</v>
          </cell>
          <cell r="DH295">
            <v>-1160</v>
          </cell>
          <cell r="DI295">
            <v>-1755</v>
          </cell>
          <cell r="DJ295">
            <v>-1608</v>
          </cell>
          <cell r="DK295">
            <v>111</v>
          </cell>
          <cell r="DL295">
            <v>-4412</v>
          </cell>
          <cell r="DM295">
            <v>-1408</v>
          </cell>
          <cell r="DN295">
            <v>-15471</v>
          </cell>
          <cell r="DO295">
            <v>-1217</v>
          </cell>
          <cell r="DP295">
            <v>-1807</v>
          </cell>
          <cell r="DQ295">
            <v>-19903</v>
          </cell>
          <cell r="DR295">
            <v>-1397</v>
          </cell>
          <cell r="DS295">
            <v>-1965</v>
          </cell>
          <cell r="DT295">
            <v>-1677</v>
          </cell>
          <cell r="DU295">
            <v>591</v>
          </cell>
          <cell r="DV295">
            <v>-4448</v>
          </cell>
          <cell r="DW295">
            <v>-2008</v>
          </cell>
          <cell r="DX295">
            <v>-2436</v>
          </cell>
          <cell r="DY295">
            <v>-2091</v>
          </cell>
          <cell r="DZ295">
            <v>-2220</v>
          </cell>
          <cell r="EA295">
            <v>-8755</v>
          </cell>
          <cell r="EB295">
            <v>-2231</v>
          </cell>
          <cell r="EC295">
            <v>-2874</v>
          </cell>
          <cell r="ED295">
            <v>-1779</v>
          </cell>
          <cell r="EE295">
            <v>-2947</v>
          </cell>
          <cell r="EF295">
            <v>-9831</v>
          </cell>
          <cell r="EG295">
            <v>-19</v>
          </cell>
          <cell r="EH295">
            <v>-3750</v>
          </cell>
          <cell r="EI295">
            <v>-3462</v>
          </cell>
          <cell r="EJ295">
            <v>-3747</v>
          </cell>
          <cell r="EK295">
            <v>-10978</v>
          </cell>
          <cell r="EL295">
            <v>-4016</v>
          </cell>
          <cell r="EM295">
            <v>-3914</v>
          </cell>
          <cell r="EN295">
            <v>-4374</v>
          </cell>
          <cell r="EO295">
            <v>-4646</v>
          </cell>
          <cell r="EP295">
            <v>-16950</v>
          </cell>
          <cell r="EQ295">
            <v>-4993</v>
          </cell>
          <cell r="ER295">
            <v>-4656</v>
          </cell>
          <cell r="ES295">
            <v>-4788</v>
          </cell>
          <cell r="ET295">
            <v>-4973.3333364206201</v>
          </cell>
          <cell r="EU295">
            <v>-19410.333336420601</v>
          </cell>
          <cell r="EV295">
            <v>-5469.1745307501997</v>
          </cell>
          <cell r="EW295">
            <v>-5704.8649988125799</v>
          </cell>
          <cell r="EX295">
            <v>-5673.4436362906499</v>
          </cell>
          <cell r="EY295">
            <v>-6054.2265501513702</v>
          </cell>
          <cell r="EZ295">
            <v>-22901.7097160048</v>
          </cell>
          <cell r="FA295">
            <v>-6444.5549095121596</v>
          </cell>
          <cell r="FB295">
            <v>-6720.3171141036701</v>
          </cell>
          <cell r="FC295">
            <v>-6699.0811108241296</v>
          </cell>
          <cell r="FD295">
            <v>-7159.5687278696096</v>
          </cell>
          <cell r="FE295">
            <v>-27023.521862309601</v>
          </cell>
        </row>
        <row r="296">
          <cell r="B296" t="str">
            <v>Minority interest</v>
          </cell>
          <cell r="C296" t="str">
            <v>INC_MINORITY</v>
          </cell>
          <cell r="D296" t="str">
            <v>USD</v>
          </cell>
        </row>
        <row r="297">
          <cell r="B297" t="str">
            <v>Net income (pre-preferred dividends)</v>
          </cell>
          <cell r="C297" t="str">
            <v>NI_PRE_PREF</v>
          </cell>
          <cell r="D297" t="str">
            <v>USD</v>
          </cell>
          <cell r="F297">
            <v>1453</v>
          </cell>
          <cell r="G297">
            <v>499</v>
          </cell>
          <cell r="H297">
            <v>575</v>
          </cell>
          <cell r="I297">
            <v>562</v>
          </cell>
          <cell r="J297">
            <v>559</v>
          </cell>
          <cell r="K297">
            <v>2195</v>
          </cell>
          <cell r="L297">
            <v>614</v>
          </cell>
          <cell r="M297">
            <v>741</v>
          </cell>
          <cell r="N297">
            <v>1042</v>
          </cell>
          <cell r="O297">
            <v>1057</v>
          </cell>
          <cell r="P297">
            <v>3454</v>
          </cell>
          <cell r="Q297">
            <v>663</v>
          </cell>
          <cell r="R297">
            <v>1133</v>
          </cell>
          <cell r="S297">
            <v>1337</v>
          </cell>
          <cell r="T297">
            <v>1357</v>
          </cell>
          <cell r="U297">
            <v>4490</v>
          </cell>
          <cell r="V297">
            <v>1683</v>
          </cell>
          <cell r="W297">
            <v>1983</v>
          </cell>
          <cell r="X297">
            <v>1917</v>
          </cell>
          <cell r="Y297">
            <v>2202</v>
          </cell>
          <cell r="Z297">
            <v>7785</v>
          </cell>
          <cell r="AA297">
            <v>2191</v>
          </cell>
          <cell r="AB297">
            <v>2436</v>
          </cell>
          <cell r="AC297">
            <v>2385</v>
          </cell>
          <cell r="AD297">
            <v>2409</v>
          </cell>
          <cell r="AE297">
            <v>9421</v>
          </cell>
          <cell r="AF297">
            <v>2206</v>
          </cell>
          <cell r="AG297">
            <v>2624</v>
          </cell>
          <cell r="AH297">
            <v>2451</v>
          </cell>
          <cell r="AI297">
            <v>65</v>
          </cell>
          <cell r="AJ297">
            <v>7346</v>
          </cell>
          <cell r="AK297">
            <v>1283</v>
          </cell>
          <cell r="AL297">
            <v>2283</v>
          </cell>
          <cell r="AM297">
            <v>2738</v>
          </cell>
          <cell r="AN297">
            <v>1525</v>
          </cell>
          <cell r="AO297">
            <v>7829</v>
          </cell>
          <cell r="AP297">
            <v>2041</v>
          </cell>
          <cell r="AQ297">
            <v>1865</v>
          </cell>
          <cell r="AR297">
            <v>2142</v>
          </cell>
          <cell r="AS297">
            <v>1483</v>
          </cell>
          <cell r="AT297">
            <v>7531</v>
          </cell>
          <cell r="AU297">
            <v>2614</v>
          </cell>
          <cell r="AV297">
            <v>1549</v>
          </cell>
          <cell r="AW297">
            <v>1315</v>
          </cell>
          <cell r="AX297">
            <v>2690</v>
          </cell>
          <cell r="AY297">
            <v>8168</v>
          </cell>
          <cell r="AZ297">
            <v>2528</v>
          </cell>
          <cell r="BA297">
            <v>3463</v>
          </cell>
          <cell r="BB297">
            <v>2563</v>
          </cell>
          <cell r="BC297">
            <v>3700</v>
          </cell>
          <cell r="BD297">
            <v>12254</v>
          </cell>
          <cell r="BE297">
            <v>3141</v>
          </cell>
          <cell r="BF297">
            <v>3653</v>
          </cell>
          <cell r="BG297">
            <v>2977</v>
          </cell>
          <cell r="BH297">
            <v>2828</v>
          </cell>
          <cell r="BI297">
            <v>12599</v>
          </cell>
          <cell r="BJ297">
            <v>3478</v>
          </cell>
          <cell r="BK297">
            <v>2626</v>
          </cell>
          <cell r="BL297">
            <v>4926</v>
          </cell>
          <cell r="BM297">
            <v>3035</v>
          </cell>
          <cell r="BN297">
            <v>14065</v>
          </cell>
          <cell r="BO297">
            <v>4289</v>
          </cell>
          <cell r="BP297">
            <v>4707</v>
          </cell>
          <cell r="BQ297">
            <v>4388</v>
          </cell>
          <cell r="BR297">
            <v>4297</v>
          </cell>
          <cell r="BS297">
            <v>17681</v>
          </cell>
          <cell r="BT297">
            <v>4373</v>
          </cell>
          <cell r="BU297">
            <v>4174</v>
          </cell>
          <cell r="BV297">
            <v>2977</v>
          </cell>
          <cell r="BW297">
            <v>3045</v>
          </cell>
          <cell r="BX297">
            <v>14569</v>
          </cell>
          <cell r="BY297">
            <v>3574</v>
          </cell>
          <cell r="BZ297">
            <v>6662</v>
          </cell>
          <cell r="CA297">
            <v>4006</v>
          </cell>
          <cell r="CB297">
            <v>4518</v>
          </cell>
          <cell r="CC297">
            <v>18760</v>
          </cell>
          <cell r="CD297">
            <v>5410</v>
          </cell>
          <cell r="CE297">
            <v>6634</v>
          </cell>
          <cell r="CF297">
            <v>5232</v>
          </cell>
          <cell r="CG297">
            <v>5874</v>
          </cell>
          <cell r="CH297">
            <v>23150</v>
          </cell>
          <cell r="CI297">
            <v>5738</v>
          </cell>
          <cell r="CJ297">
            <v>6624</v>
          </cell>
          <cell r="CK297">
            <v>5108</v>
          </cell>
          <cell r="CL297">
            <v>-492</v>
          </cell>
          <cell r="CM297">
            <v>16978</v>
          </cell>
          <cell r="CN297">
            <v>4466</v>
          </cell>
          <cell r="CO297">
            <v>6377</v>
          </cell>
          <cell r="CP297">
            <v>6055</v>
          </cell>
          <cell r="CQ297">
            <v>4965</v>
          </cell>
          <cell r="CR297">
            <v>21863</v>
          </cell>
          <cell r="CS297">
            <v>5244</v>
          </cell>
          <cell r="CT297">
            <v>6558</v>
          </cell>
          <cell r="CU297">
            <v>5660</v>
          </cell>
          <cell r="CV297">
            <v>4612</v>
          </cell>
          <cell r="CW297">
            <v>22074</v>
          </cell>
          <cell r="CX297">
            <v>4540</v>
          </cell>
          <cell r="CY297">
            <v>5863</v>
          </cell>
          <cell r="CZ297">
            <v>4985</v>
          </cell>
          <cell r="DA297">
            <v>-3195</v>
          </cell>
          <cell r="DB297">
            <v>12193</v>
          </cell>
          <cell r="DC297">
            <v>4620</v>
          </cell>
          <cell r="DD297">
            <v>4998</v>
          </cell>
          <cell r="DE297">
            <v>3756</v>
          </cell>
          <cell r="DF297">
            <v>3122</v>
          </cell>
          <cell r="DG297">
            <v>16496</v>
          </cell>
          <cell r="DH297">
            <v>5667</v>
          </cell>
          <cell r="DI297">
            <v>6267</v>
          </cell>
          <cell r="DJ297">
            <v>5486</v>
          </cell>
          <cell r="DK297">
            <v>8069</v>
          </cell>
          <cell r="DL297">
            <v>25489</v>
          </cell>
          <cell r="DM297">
            <v>6576</v>
          </cell>
          <cell r="DN297">
            <v>-6302</v>
          </cell>
          <cell r="DO297">
            <v>7424</v>
          </cell>
          <cell r="DP297">
            <v>8873</v>
          </cell>
          <cell r="DQ297">
            <v>16571</v>
          </cell>
          <cell r="DR297">
            <v>8824</v>
          </cell>
          <cell r="DS297">
            <v>8420</v>
          </cell>
          <cell r="DT297">
            <v>8809</v>
          </cell>
          <cell r="DU297">
            <v>13187</v>
          </cell>
          <cell r="DV297">
            <v>39240</v>
          </cell>
          <cell r="DW297">
            <v>10678</v>
          </cell>
          <cell r="DX297">
            <v>11649</v>
          </cell>
          <cell r="DY297">
            <v>10752</v>
          </cell>
          <cell r="DZ297">
            <v>11202</v>
          </cell>
          <cell r="EA297">
            <v>44281</v>
          </cell>
          <cell r="EB297">
            <v>13893</v>
          </cell>
          <cell r="EC297">
            <v>15463</v>
          </cell>
          <cell r="ED297">
            <v>15457</v>
          </cell>
          <cell r="EE297">
            <v>16458</v>
          </cell>
          <cell r="EF297">
            <v>61271</v>
          </cell>
          <cell r="EG297">
            <v>20505</v>
          </cell>
          <cell r="EH297">
            <v>18765</v>
          </cell>
          <cell r="EI297">
            <v>16728</v>
          </cell>
          <cell r="EJ297">
            <v>16740</v>
          </cell>
          <cell r="EK297">
            <v>72738</v>
          </cell>
          <cell r="EL297">
            <v>17556</v>
          </cell>
          <cell r="EM297">
            <v>16425</v>
          </cell>
          <cell r="EN297">
            <v>18299</v>
          </cell>
          <cell r="EO297">
            <v>20081</v>
          </cell>
          <cell r="EP297">
            <v>72361</v>
          </cell>
          <cell r="EQ297">
            <v>22291</v>
          </cell>
          <cell r="ER297">
            <v>21870</v>
          </cell>
          <cell r="ES297">
            <v>21939</v>
          </cell>
          <cell r="ET297">
            <v>22656.296310360602</v>
          </cell>
          <cell r="EU297">
            <v>88756.296310360602</v>
          </cell>
          <cell r="EV297">
            <v>24915.128417862001</v>
          </cell>
          <cell r="EW297">
            <v>25988.8294390351</v>
          </cell>
          <cell r="EX297">
            <v>25845.687676435198</v>
          </cell>
          <cell r="EY297">
            <v>27580.365395133998</v>
          </cell>
          <cell r="EZ297">
            <v>104330.010928466</v>
          </cell>
          <cell r="FA297">
            <v>29358.527921110999</v>
          </cell>
          <cell r="FB297">
            <v>30614.777964249999</v>
          </cell>
          <cell r="FC297">
            <v>30518.0361715322</v>
          </cell>
          <cell r="FD297">
            <v>32615.8130936282</v>
          </cell>
          <cell r="FE297">
            <v>123107.15515052099</v>
          </cell>
        </row>
        <row r="298">
          <cell r="B298" t="str">
            <v>Preferred dividends</v>
          </cell>
          <cell r="C298" t="str">
            <v>PREF_DIV</v>
          </cell>
          <cell r="D298" t="str">
            <v>USD</v>
          </cell>
        </row>
        <row r="299">
          <cell r="B299" t="str">
            <v>Net income (pre-exceptionals)</v>
          </cell>
          <cell r="C299" t="str">
            <v>NET_EARNING</v>
          </cell>
          <cell r="D299" t="str">
            <v>USD</v>
          </cell>
          <cell r="F299">
            <v>1453</v>
          </cell>
          <cell r="G299">
            <v>499</v>
          </cell>
          <cell r="H299">
            <v>575</v>
          </cell>
          <cell r="I299">
            <v>562</v>
          </cell>
          <cell r="J299">
            <v>559</v>
          </cell>
          <cell r="K299">
            <v>2195</v>
          </cell>
          <cell r="L299">
            <v>614</v>
          </cell>
          <cell r="M299">
            <v>741</v>
          </cell>
          <cell r="N299">
            <v>1042</v>
          </cell>
          <cell r="O299">
            <v>1057</v>
          </cell>
          <cell r="P299">
            <v>3454</v>
          </cell>
          <cell r="Q299">
            <v>663</v>
          </cell>
          <cell r="R299">
            <v>1133</v>
          </cell>
          <cell r="S299">
            <v>1337</v>
          </cell>
          <cell r="T299">
            <v>1357</v>
          </cell>
          <cell r="U299">
            <v>4490</v>
          </cell>
          <cell r="V299">
            <v>1683</v>
          </cell>
          <cell r="W299">
            <v>1983</v>
          </cell>
          <cell r="X299">
            <v>1917</v>
          </cell>
          <cell r="Y299">
            <v>2202</v>
          </cell>
          <cell r="Z299">
            <v>7785</v>
          </cell>
          <cell r="AA299">
            <v>2191</v>
          </cell>
          <cell r="AB299">
            <v>2436</v>
          </cell>
          <cell r="AC299">
            <v>2385</v>
          </cell>
          <cell r="AD299">
            <v>2409</v>
          </cell>
          <cell r="AE299">
            <v>9421</v>
          </cell>
          <cell r="AF299">
            <v>2206</v>
          </cell>
          <cell r="AG299">
            <v>2624</v>
          </cell>
          <cell r="AH299">
            <v>2451</v>
          </cell>
          <cell r="AI299">
            <v>65</v>
          </cell>
          <cell r="AJ299">
            <v>7346</v>
          </cell>
          <cell r="AK299">
            <v>1283</v>
          </cell>
          <cell r="AL299">
            <v>2283</v>
          </cell>
          <cell r="AM299">
            <v>2738</v>
          </cell>
          <cell r="AN299">
            <v>1525</v>
          </cell>
          <cell r="AO299">
            <v>7829</v>
          </cell>
          <cell r="AP299">
            <v>2041</v>
          </cell>
          <cell r="AQ299">
            <v>1865</v>
          </cell>
          <cell r="AR299">
            <v>2142</v>
          </cell>
          <cell r="AS299">
            <v>1483</v>
          </cell>
          <cell r="AT299">
            <v>7531</v>
          </cell>
          <cell r="AU299">
            <v>2614</v>
          </cell>
          <cell r="AV299">
            <v>1549</v>
          </cell>
          <cell r="AW299">
            <v>1315</v>
          </cell>
          <cell r="AX299">
            <v>2690</v>
          </cell>
          <cell r="AY299">
            <v>8168</v>
          </cell>
          <cell r="AZ299">
            <v>2528</v>
          </cell>
          <cell r="BA299">
            <v>3463</v>
          </cell>
          <cell r="BB299">
            <v>2563</v>
          </cell>
          <cell r="BC299">
            <v>3700</v>
          </cell>
          <cell r="BD299">
            <v>12254</v>
          </cell>
          <cell r="BE299">
            <v>3141</v>
          </cell>
          <cell r="BF299">
            <v>3653</v>
          </cell>
          <cell r="BG299">
            <v>2977</v>
          </cell>
          <cell r="BH299">
            <v>2828</v>
          </cell>
          <cell r="BI299">
            <v>12599</v>
          </cell>
          <cell r="BJ299">
            <v>3478</v>
          </cell>
          <cell r="BK299">
            <v>2626</v>
          </cell>
          <cell r="BL299">
            <v>4926</v>
          </cell>
          <cell r="BM299">
            <v>3035</v>
          </cell>
          <cell r="BN299">
            <v>14065</v>
          </cell>
          <cell r="BO299">
            <v>4289</v>
          </cell>
          <cell r="BP299">
            <v>4707</v>
          </cell>
          <cell r="BQ299">
            <v>4388</v>
          </cell>
          <cell r="BR299">
            <v>4297</v>
          </cell>
          <cell r="BS299">
            <v>17681</v>
          </cell>
          <cell r="BT299">
            <v>4373</v>
          </cell>
          <cell r="BU299">
            <v>4174</v>
          </cell>
          <cell r="BV299">
            <v>2977</v>
          </cell>
          <cell r="BW299">
            <v>3045</v>
          </cell>
          <cell r="BX299">
            <v>14569</v>
          </cell>
          <cell r="BY299">
            <v>3574</v>
          </cell>
          <cell r="BZ299">
            <v>6662</v>
          </cell>
          <cell r="CA299">
            <v>4006</v>
          </cell>
          <cell r="CB299">
            <v>4518</v>
          </cell>
          <cell r="CC299">
            <v>18760</v>
          </cell>
          <cell r="CD299">
            <v>5410</v>
          </cell>
          <cell r="CE299">
            <v>6634</v>
          </cell>
          <cell r="CF299">
            <v>5232</v>
          </cell>
          <cell r="CG299">
            <v>5874</v>
          </cell>
          <cell r="CH299">
            <v>23150</v>
          </cell>
          <cell r="CI299">
            <v>5738</v>
          </cell>
          <cell r="CJ299">
            <v>6624</v>
          </cell>
          <cell r="CK299">
            <v>5108</v>
          </cell>
          <cell r="CL299">
            <v>-492</v>
          </cell>
          <cell r="CM299">
            <v>16978</v>
          </cell>
          <cell r="CN299">
            <v>4466</v>
          </cell>
          <cell r="CO299">
            <v>6377</v>
          </cell>
          <cell r="CP299">
            <v>6055</v>
          </cell>
          <cell r="CQ299">
            <v>4965</v>
          </cell>
          <cell r="CR299">
            <v>21863</v>
          </cell>
          <cell r="CS299">
            <v>5244</v>
          </cell>
          <cell r="CT299">
            <v>6558</v>
          </cell>
          <cell r="CU299">
            <v>5660</v>
          </cell>
          <cell r="CV299">
            <v>4612</v>
          </cell>
          <cell r="CW299">
            <v>22074</v>
          </cell>
          <cell r="CX299">
            <v>4540</v>
          </cell>
          <cell r="CY299">
            <v>5863</v>
          </cell>
          <cell r="CZ299">
            <v>4985</v>
          </cell>
          <cell r="DA299">
            <v>-3195</v>
          </cell>
          <cell r="DB299">
            <v>12193</v>
          </cell>
          <cell r="DC299">
            <v>4620</v>
          </cell>
          <cell r="DD299">
            <v>4998</v>
          </cell>
          <cell r="DE299">
            <v>3756</v>
          </cell>
          <cell r="DF299">
            <v>3122</v>
          </cell>
          <cell r="DG299">
            <v>16496</v>
          </cell>
          <cell r="DH299">
            <v>5667</v>
          </cell>
          <cell r="DI299">
            <v>6267</v>
          </cell>
          <cell r="DJ299">
            <v>5486</v>
          </cell>
          <cell r="DK299">
            <v>8069</v>
          </cell>
          <cell r="DL299">
            <v>25489</v>
          </cell>
          <cell r="DM299">
            <v>6576</v>
          </cell>
          <cell r="DN299">
            <v>-6302</v>
          </cell>
          <cell r="DO299">
            <v>7424</v>
          </cell>
          <cell r="DP299">
            <v>8873</v>
          </cell>
          <cell r="DQ299">
            <v>16571</v>
          </cell>
          <cell r="DR299">
            <v>8824</v>
          </cell>
          <cell r="DS299">
            <v>8420</v>
          </cell>
          <cell r="DT299">
            <v>8809</v>
          </cell>
          <cell r="DU299">
            <v>13187</v>
          </cell>
          <cell r="DV299">
            <v>39240</v>
          </cell>
          <cell r="DW299">
            <v>10678</v>
          </cell>
          <cell r="DX299">
            <v>11649</v>
          </cell>
          <cell r="DY299">
            <v>10752</v>
          </cell>
          <cell r="DZ299">
            <v>11202</v>
          </cell>
          <cell r="EA299">
            <v>44281</v>
          </cell>
          <cell r="EB299">
            <v>13893</v>
          </cell>
          <cell r="EC299">
            <v>15463</v>
          </cell>
          <cell r="ED299">
            <v>15457</v>
          </cell>
          <cell r="EE299">
            <v>16458</v>
          </cell>
          <cell r="EF299">
            <v>61271</v>
          </cell>
          <cell r="EG299">
            <v>20505</v>
          </cell>
          <cell r="EH299">
            <v>18765</v>
          </cell>
          <cell r="EI299">
            <v>16728</v>
          </cell>
          <cell r="EJ299">
            <v>16740</v>
          </cell>
          <cell r="EK299">
            <v>72738</v>
          </cell>
          <cell r="EL299">
            <v>17556</v>
          </cell>
          <cell r="EM299">
            <v>16425</v>
          </cell>
          <cell r="EN299">
            <v>18299</v>
          </cell>
          <cell r="EO299">
            <v>20081</v>
          </cell>
          <cell r="EP299">
            <v>72361</v>
          </cell>
          <cell r="EQ299">
            <v>22291</v>
          </cell>
          <cell r="ER299">
            <v>21870</v>
          </cell>
          <cell r="ES299">
            <v>21939</v>
          </cell>
          <cell r="ET299">
            <v>22656.296310360602</v>
          </cell>
          <cell r="EU299">
            <v>88756.296310360602</v>
          </cell>
          <cell r="EV299">
            <v>24915.128417862001</v>
          </cell>
          <cell r="EW299">
            <v>25988.8294390351</v>
          </cell>
          <cell r="EX299">
            <v>25845.687676435198</v>
          </cell>
          <cell r="EY299">
            <v>27580.365395133998</v>
          </cell>
          <cell r="EZ299">
            <v>104330.010928466</v>
          </cell>
          <cell r="FA299">
            <v>29358.527921110999</v>
          </cell>
          <cell r="FB299">
            <v>30614.777964249999</v>
          </cell>
          <cell r="FC299">
            <v>30518.0361715322</v>
          </cell>
          <cell r="FD299">
            <v>32615.8130936282</v>
          </cell>
          <cell r="FE299">
            <v>123107.15515052099</v>
          </cell>
        </row>
        <row r="300">
          <cell r="B300" t="str">
            <v>Post-tax exceptionals</v>
          </cell>
          <cell r="C300" t="str">
            <v>TAX_EXC</v>
          </cell>
          <cell r="D300" t="str">
            <v>USD</v>
          </cell>
        </row>
        <row r="301">
          <cell r="B301" t="str">
            <v>Net income (post-exceptionals)</v>
          </cell>
          <cell r="C301" t="str">
            <v>NET_INC</v>
          </cell>
          <cell r="D301" t="str">
            <v>USD</v>
          </cell>
          <cell r="F301">
            <v>1453</v>
          </cell>
          <cell r="G301">
            <v>499</v>
          </cell>
          <cell r="H301">
            <v>575</v>
          </cell>
          <cell r="I301">
            <v>562</v>
          </cell>
          <cell r="J301">
            <v>559</v>
          </cell>
          <cell r="K301">
            <v>2195</v>
          </cell>
          <cell r="L301">
            <v>614</v>
          </cell>
          <cell r="M301">
            <v>741</v>
          </cell>
          <cell r="N301">
            <v>1042</v>
          </cell>
          <cell r="O301">
            <v>1057</v>
          </cell>
          <cell r="P301">
            <v>3454</v>
          </cell>
          <cell r="Q301">
            <v>663</v>
          </cell>
          <cell r="R301">
            <v>1133</v>
          </cell>
          <cell r="S301">
            <v>1337</v>
          </cell>
          <cell r="T301">
            <v>1357</v>
          </cell>
          <cell r="U301">
            <v>4490</v>
          </cell>
          <cell r="V301">
            <v>1683</v>
          </cell>
          <cell r="W301">
            <v>1983</v>
          </cell>
          <cell r="X301">
            <v>1917</v>
          </cell>
          <cell r="Y301">
            <v>2202</v>
          </cell>
          <cell r="Z301">
            <v>7785</v>
          </cell>
          <cell r="AA301">
            <v>2191</v>
          </cell>
          <cell r="AB301">
            <v>2436</v>
          </cell>
          <cell r="AC301">
            <v>2385</v>
          </cell>
          <cell r="AD301">
            <v>2409</v>
          </cell>
          <cell r="AE301">
            <v>9421</v>
          </cell>
          <cell r="AF301">
            <v>2206</v>
          </cell>
          <cell r="AG301">
            <v>2624</v>
          </cell>
          <cell r="AH301">
            <v>2451</v>
          </cell>
          <cell r="AI301">
            <v>65</v>
          </cell>
          <cell r="AJ301">
            <v>7346</v>
          </cell>
          <cell r="AK301">
            <v>1283</v>
          </cell>
          <cell r="AL301">
            <v>2283</v>
          </cell>
          <cell r="AM301">
            <v>2738</v>
          </cell>
          <cell r="AN301">
            <v>1525</v>
          </cell>
          <cell r="AO301">
            <v>7829</v>
          </cell>
          <cell r="AP301">
            <v>2041</v>
          </cell>
          <cell r="AQ301">
            <v>1865</v>
          </cell>
          <cell r="AR301">
            <v>2142</v>
          </cell>
          <cell r="AS301">
            <v>1483</v>
          </cell>
          <cell r="AT301">
            <v>7531</v>
          </cell>
          <cell r="AU301">
            <v>2614</v>
          </cell>
          <cell r="AV301">
            <v>1549</v>
          </cell>
          <cell r="AW301">
            <v>1315</v>
          </cell>
          <cell r="AX301">
            <v>2690</v>
          </cell>
          <cell r="AY301">
            <v>8168</v>
          </cell>
          <cell r="AZ301">
            <v>2528</v>
          </cell>
          <cell r="BA301">
            <v>3463</v>
          </cell>
          <cell r="BB301">
            <v>2563</v>
          </cell>
          <cell r="BC301">
            <v>3700</v>
          </cell>
          <cell r="BD301">
            <v>12254</v>
          </cell>
          <cell r="BE301">
            <v>3141</v>
          </cell>
          <cell r="BF301">
            <v>3653</v>
          </cell>
          <cell r="BG301">
            <v>2977</v>
          </cell>
          <cell r="BH301">
            <v>2828</v>
          </cell>
          <cell r="BI301">
            <v>12599</v>
          </cell>
          <cell r="BJ301">
            <v>3478</v>
          </cell>
          <cell r="BK301">
            <v>2626</v>
          </cell>
          <cell r="BL301">
            <v>4926</v>
          </cell>
          <cell r="BM301">
            <v>3035</v>
          </cell>
          <cell r="BN301">
            <v>14065</v>
          </cell>
          <cell r="BO301">
            <v>4289</v>
          </cell>
          <cell r="BP301">
            <v>4707</v>
          </cell>
          <cell r="BQ301">
            <v>4388</v>
          </cell>
          <cell r="BR301">
            <v>4297</v>
          </cell>
          <cell r="BS301">
            <v>17681</v>
          </cell>
          <cell r="BT301">
            <v>4373</v>
          </cell>
          <cell r="BU301">
            <v>4174</v>
          </cell>
          <cell r="BV301">
            <v>2977</v>
          </cell>
          <cell r="BW301">
            <v>3045</v>
          </cell>
          <cell r="BX301">
            <v>14569</v>
          </cell>
          <cell r="BY301">
            <v>3574</v>
          </cell>
          <cell r="BZ301">
            <v>6662</v>
          </cell>
          <cell r="CA301">
            <v>4006</v>
          </cell>
          <cell r="CB301">
            <v>4518</v>
          </cell>
          <cell r="CC301">
            <v>18760</v>
          </cell>
          <cell r="CD301">
            <v>5410</v>
          </cell>
          <cell r="CE301">
            <v>6634</v>
          </cell>
          <cell r="CF301">
            <v>5232</v>
          </cell>
          <cell r="CG301">
            <v>5874</v>
          </cell>
          <cell r="CH301">
            <v>23150</v>
          </cell>
          <cell r="CI301">
            <v>5738</v>
          </cell>
          <cell r="CJ301">
            <v>6624</v>
          </cell>
          <cell r="CK301">
            <v>5108</v>
          </cell>
          <cell r="CL301">
            <v>-492</v>
          </cell>
          <cell r="CM301">
            <v>16978</v>
          </cell>
          <cell r="CN301">
            <v>4466</v>
          </cell>
          <cell r="CO301">
            <v>6377</v>
          </cell>
          <cell r="CP301">
            <v>6055</v>
          </cell>
          <cell r="CQ301">
            <v>4965</v>
          </cell>
          <cell r="CR301">
            <v>21863</v>
          </cell>
          <cell r="CS301">
            <v>5244</v>
          </cell>
          <cell r="CT301">
            <v>6558</v>
          </cell>
          <cell r="CU301">
            <v>5660</v>
          </cell>
          <cell r="CV301">
            <v>4612</v>
          </cell>
          <cell r="CW301">
            <v>22074</v>
          </cell>
          <cell r="CX301">
            <v>4540</v>
          </cell>
          <cell r="CY301">
            <v>5863</v>
          </cell>
          <cell r="CZ301">
            <v>4985</v>
          </cell>
          <cell r="DA301">
            <v>-3195</v>
          </cell>
          <cell r="DB301">
            <v>12193</v>
          </cell>
          <cell r="DC301">
            <v>4620</v>
          </cell>
          <cell r="DD301">
            <v>4998</v>
          </cell>
          <cell r="DE301">
            <v>3756</v>
          </cell>
          <cell r="DF301">
            <v>3122</v>
          </cell>
          <cell r="DG301">
            <v>16496</v>
          </cell>
          <cell r="DH301">
            <v>5667</v>
          </cell>
          <cell r="DI301">
            <v>6267</v>
          </cell>
          <cell r="DJ301">
            <v>5486</v>
          </cell>
          <cell r="DK301">
            <v>8069</v>
          </cell>
          <cell r="DL301">
            <v>25489</v>
          </cell>
          <cell r="DM301">
            <v>6576</v>
          </cell>
          <cell r="DN301">
            <v>-6302</v>
          </cell>
          <cell r="DO301">
            <v>7424</v>
          </cell>
          <cell r="DP301">
            <v>8873</v>
          </cell>
          <cell r="DQ301">
            <v>16571</v>
          </cell>
          <cell r="DR301">
            <v>8824</v>
          </cell>
          <cell r="DS301">
            <v>8420</v>
          </cell>
          <cell r="DT301">
            <v>8809</v>
          </cell>
          <cell r="DU301">
            <v>13187</v>
          </cell>
          <cell r="DV301">
            <v>39240</v>
          </cell>
          <cell r="DW301">
            <v>10678</v>
          </cell>
          <cell r="DX301">
            <v>11649</v>
          </cell>
          <cell r="DY301">
            <v>10752</v>
          </cell>
          <cell r="DZ301">
            <v>11202</v>
          </cell>
          <cell r="EA301">
            <v>44281</v>
          </cell>
          <cell r="EB301">
            <v>13893</v>
          </cell>
          <cell r="EC301">
            <v>15463</v>
          </cell>
          <cell r="ED301">
            <v>15457</v>
          </cell>
          <cell r="EE301">
            <v>16458</v>
          </cell>
          <cell r="EF301">
            <v>61271</v>
          </cell>
          <cell r="EG301">
            <v>20505</v>
          </cell>
          <cell r="EH301">
            <v>18765</v>
          </cell>
          <cell r="EI301">
            <v>16728</v>
          </cell>
          <cell r="EJ301">
            <v>16740</v>
          </cell>
          <cell r="EK301">
            <v>72738</v>
          </cell>
          <cell r="EL301">
            <v>17556</v>
          </cell>
          <cell r="EM301">
            <v>16425</v>
          </cell>
          <cell r="EN301">
            <v>18299</v>
          </cell>
          <cell r="EO301">
            <v>20081</v>
          </cell>
          <cell r="EP301">
            <v>72361</v>
          </cell>
          <cell r="EQ301">
            <v>22291</v>
          </cell>
          <cell r="ER301">
            <v>21870</v>
          </cell>
          <cell r="ES301">
            <v>21939</v>
          </cell>
          <cell r="ET301">
            <v>22656.296310360602</v>
          </cell>
          <cell r="EU301">
            <v>88756.296310360602</v>
          </cell>
          <cell r="EV301">
            <v>24915.128417862001</v>
          </cell>
          <cell r="EW301">
            <v>25988.8294390351</v>
          </cell>
          <cell r="EX301">
            <v>25845.687676435198</v>
          </cell>
          <cell r="EY301">
            <v>27580.365395133998</v>
          </cell>
          <cell r="EZ301">
            <v>104330.010928466</v>
          </cell>
          <cell r="FA301">
            <v>29358.527921110999</v>
          </cell>
          <cell r="FB301">
            <v>30614.777964249999</v>
          </cell>
          <cell r="FC301">
            <v>30518.0361715322</v>
          </cell>
          <cell r="FD301">
            <v>32615.8130936282</v>
          </cell>
          <cell r="FE301">
            <v>123107.15515052099</v>
          </cell>
        </row>
        <row r="302">
          <cell r="B302" t="str">
            <v>EPS (pre-exceptionals, basic)</v>
          </cell>
          <cell r="C302" t="str">
            <v>EPS</v>
          </cell>
          <cell r="D302" t="str">
            <v>USD</v>
          </cell>
          <cell r="F302">
            <v>2.3173843700160002</v>
          </cell>
          <cell r="G302">
            <v>0.77968749999999998</v>
          </cell>
          <cell r="H302">
            <v>0.90125391849500003</v>
          </cell>
          <cell r="I302">
            <v>0.879499217527</v>
          </cell>
          <cell r="J302">
            <v>0.86666666666699999</v>
          </cell>
          <cell r="K302">
            <v>3.4270101483220001</v>
          </cell>
          <cell r="L302">
            <v>0.47449768160700001</v>
          </cell>
          <cell r="M302">
            <v>0.61750000000000005</v>
          </cell>
          <cell r="N302">
            <v>0.43416666666699999</v>
          </cell>
          <cell r="O302">
            <v>0.44041666666700002</v>
          </cell>
          <cell r="P302">
            <v>1.8941595832189999</v>
          </cell>
          <cell r="Q302">
            <v>0.49737434358600002</v>
          </cell>
          <cell r="R302">
            <v>0.92868852458999995</v>
          </cell>
          <cell r="S302">
            <v>0.54571428571400005</v>
          </cell>
          <cell r="T302">
            <v>0.53215686274499996</v>
          </cell>
          <cell r="U302">
            <v>2.377863100755</v>
          </cell>
          <cell r="V302">
            <v>0.68</v>
          </cell>
          <cell r="W302">
            <v>0.79320000000000002</v>
          </cell>
          <cell r="X302">
            <v>0.37588235294099998</v>
          </cell>
          <cell r="Y302">
            <v>0.431764705882</v>
          </cell>
          <cell r="Z302">
            <v>2.0520593080720002</v>
          </cell>
          <cell r="AA302">
            <v>0.42960784313700001</v>
          </cell>
          <cell r="AB302">
            <v>0.468461538462</v>
          </cell>
          <cell r="AC302">
            <v>0.45865384615400001</v>
          </cell>
          <cell r="AD302">
            <v>0.45885714285700002</v>
          </cell>
          <cell r="AE302">
            <v>1.816096385542</v>
          </cell>
          <cell r="AF302">
            <v>0.41630496320100002</v>
          </cell>
          <cell r="AG302">
            <v>0.49230769230799998</v>
          </cell>
          <cell r="AH302">
            <v>0.45933283358299998</v>
          </cell>
          <cell r="AI302">
            <v>1.2079539118999999E-2</v>
          </cell>
          <cell r="AJ302">
            <v>1.376557668884</v>
          </cell>
          <cell r="AK302">
            <v>0.23768062245300001</v>
          </cell>
          <cell r="AL302">
            <v>0.42316960148299998</v>
          </cell>
          <cell r="AM302">
            <v>0.50563250230800005</v>
          </cell>
          <cell r="AN302">
            <v>0.28162511542000002</v>
          </cell>
          <cell r="AO302">
            <v>1.4482726726170001</v>
          </cell>
          <cell r="AP302">
            <v>0.19005493993899999</v>
          </cell>
          <cell r="AQ302">
            <v>0.17425021022100001</v>
          </cell>
          <cell r="AR302">
            <v>0.19990667288799999</v>
          </cell>
          <cell r="AS302">
            <v>0.13812051783599999</v>
          </cell>
          <cell r="AT302">
            <v>0.70228936448000001</v>
          </cell>
          <cell r="AU302">
            <v>0.241790768662</v>
          </cell>
          <cell r="AV302">
            <v>0.14329324699400001</v>
          </cell>
          <cell r="AW302">
            <v>0.121928604543</v>
          </cell>
          <cell r="AX302">
            <v>0.24893577642100001</v>
          </cell>
          <cell r="AY302">
            <v>0.75608627233199999</v>
          </cell>
          <cell r="AZ302">
            <v>0.23250252920100001</v>
          </cell>
          <cell r="BA302">
            <v>0.31837822929100001</v>
          </cell>
          <cell r="BB302">
            <v>0.23609064112</v>
          </cell>
          <cell r="BC302">
            <v>0.34418604651200002</v>
          </cell>
          <cell r="BD302">
            <v>1.130547098441</v>
          </cell>
          <cell r="BE302">
            <v>0.29366118175</v>
          </cell>
          <cell r="BF302">
            <v>0.34592803030300001</v>
          </cell>
          <cell r="BG302">
            <v>0.28894496748499998</v>
          </cell>
          <cell r="BH302">
            <v>0.27763597094100001</v>
          </cell>
          <cell r="BI302">
            <v>1.207234399329</v>
          </cell>
          <cell r="BJ302">
            <v>0.35028703796999999</v>
          </cell>
          <cell r="BK302">
            <v>0.26779500000000001</v>
          </cell>
          <cell r="BL302">
            <v>0.50652956298200003</v>
          </cell>
          <cell r="BM302">
            <v>0.31923845587499999</v>
          </cell>
          <cell r="BN302">
            <v>1.443785767444</v>
          </cell>
          <cell r="BO302">
            <v>0.45724946695099999</v>
          </cell>
          <cell r="BP302">
            <v>0.50283089413500004</v>
          </cell>
          <cell r="BQ302">
            <v>0.471473084775</v>
          </cell>
          <cell r="BR302">
            <v>0.46383851467999998</v>
          </cell>
          <cell r="BS302">
            <v>1.895475986278</v>
          </cell>
          <cell r="BT302">
            <v>0.48139586085399999</v>
          </cell>
          <cell r="BU302">
            <v>0.46883073121399998</v>
          </cell>
          <cell r="BV302">
            <v>0.33483297716799998</v>
          </cell>
          <cell r="BW302">
            <v>0.34209639366400002</v>
          </cell>
          <cell r="BX302">
            <v>1.628776656698</v>
          </cell>
          <cell r="BY302">
            <v>0.400942337895</v>
          </cell>
          <cell r="BZ302">
            <v>0.75225835591699997</v>
          </cell>
          <cell r="CA302">
            <v>0.45694080072999999</v>
          </cell>
          <cell r="CB302">
            <v>0.51859504132199996</v>
          </cell>
          <cell r="CC302">
            <v>2.1288547192829999</v>
          </cell>
          <cell r="CD302">
            <v>0.628047364755</v>
          </cell>
          <cell r="CE302">
            <v>0.78074614569800005</v>
          </cell>
          <cell r="CF302">
            <v>0.62137767220899998</v>
          </cell>
          <cell r="CG302">
            <v>0.69687981967000001</v>
          </cell>
          <cell r="CH302">
            <v>2.726737338045</v>
          </cell>
          <cell r="CI302">
            <v>0.68374642516700002</v>
          </cell>
          <cell r="CJ302">
            <v>0.78838371816200004</v>
          </cell>
          <cell r="CK302">
            <v>0.60802285442199999</v>
          </cell>
          <cell r="CL302">
            <v>-5.8655221745E-2</v>
          </cell>
          <cell r="CM302">
            <v>2.0222136199860001</v>
          </cell>
          <cell r="CN302">
            <v>0.53191996188699997</v>
          </cell>
          <cell r="CO302">
            <v>0.75979983319400002</v>
          </cell>
          <cell r="CP302">
            <v>0.72393591583000005</v>
          </cell>
          <cell r="CQ302">
            <v>0.59496704613499996</v>
          </cell>
          <cell r="CR302">
            <v>2.6106633231830001</v>
          </cell>
          <cell r="CS302">
            <v>0.628852380381</v>
          </cell>
          <cell r="CT302">
            <v>0.78765313475900001</v>
          </cell>
          <cell r="CU302">
            <v>0.68324480927099995</v>
          </cell>
          <cell r="CV302">
            <v>0.55930147950499998</v>
          </cell>
          <cell r="CW302">
            <v>2.6599186624489999</v>
          </cell>
          <cell r="CX302">
            <v>0.55036974178700004</v>
          </cell>
          <cell r="CY302">
            <v>0.71256684492</v>
          </cell>
          <cell r="CZ302">
            <v>0.61038324966299995</v>
          </cell>
          <cell r="DA302">
            <v>-0.39635280982499999</v>
          </cell>
          <cell r="DB302">
            <v>1.491270447944</v>
          </cell>
          <cell r="DC302">
            <v>0.57778889444699999</v>
          </cell>
          <cell r="DD302">
            <v>0.62757408337499998</v>
          </cell>
          <cell r="DE302">
            <v>0.47574414186199998</v>
          </cell>
          <cell r="DF302">
            <v>0.398112726345</v>
          </cell>
          <cell r="DG302">
            <v>2.0817112029530001</v>
          </cell>
          <cell r="DH302">
            <v>0.72756451405800004</v>
          </cell>
          <cell r="DI302">
            <v>0.80812379110300003</v>
          </cell>
          <cell r="DJ302">
            <v>0.71016181229800002</v>
          </cell>
          <cell r="DK302">
            <v>1.045884640311</v>
          </cell>
          <cell r="DL302">
            <v>3.2906016008260002</v>
          </cell>
          <cell r="DM302">
            <v>0.85313959522600002</v>
          </cell>
          <cell r="DN302">
            <v>-0.81738002594000003</v>
          </cell>
          <cell r="DO302">
            <v>0.96440633930899999</v>
          </cell>
          <cell r="DP302">
            <v>1.1548874137709999</v>
          </cell>
          <cell r="DQ302">
            <v>2.1521477970060001</v>
          </cell>
          <cell r="DR302">
            <v>1.150006516356</v>
          </cell>
          <cell r="DS302">
            <v>1.0946437857510001</v>
          </cell>
          <cell r="DT302">
            <v>1.148201251303</v>
          </cell>
          <cell r="DU302">
            <v>1.722664924886</v>
          </cell>
          <cell r="DV302">
            <v>5.11403623094</v>
          </cell>
          <cell r="DW302">
            <v>1.398742467907</v>
          </cell>
          <cell r="DX302">
            <v>1.5285395617369999</v>
          </cell>
          <cell r="DY302">
            <v>1.414364640884</v>
          </cell>
          <cell r="DZ302">
            <v>1.4778364116089999</v>
          </cell>
          <cell r="EA302">
            <v>5.8193645891510002</v>
          </cell>
          <cell r="EB302">
            <v>1.836241078509</v>
          </cell>
          <cell r="EC302">
            <v>2.046724023825</v>
          </cell>
          <cell r="ED302">
            <v>2.0502719193529999</v>
          </cell>
          <cell r="EE302">
            <v>2.1865284974089998</v>
          </cell>
          <cell r="EF302">
            <v>8.1185901682790007</v>
          </cell>
          <cell r="EG302">
            <v>2.7292692666049998</v>
          </cell>
          <cell r="EH302">
            <v>2.5003331112590002</v>
          </cell>
          <cell r="EI302">
            <v>2.2324836514080002</v>
          </cell>
          <cell r="EJ302">
            <v>2.239764516992</v>
          </cell>
          <cell r="EK302">
            <v>9.703575240128</v>
          </cell>
          <cell r="EL302">
            <v>2.3542979750569999</v>
          </cell>
          <cell r="EM302">
            <v>2.2044020936790001</v>
          </cell>
          <cell r="EN302">
            <v>2.4592124714420001</v>
          </cell>
          <cell r="EO302">
            <v>2.7012375571699998</v>
          </cell>
          <cell r="EP302">
            <v>9.7181036798279994</v>
          </cell>
          <cell r="EQ302">
            <v>3.0005384304749998</v>
          </cell>
          <cell r="ER302">
            <v>2.9426803013990002</v>
          </cell>
          <cell r="ES302">
            <v>2.9523617278969998</v>
          </cell>
          <cell r="ET302">
            <v>3.0476589064250001</v>
          </cell>
          <cell r="EU302">
            <v>11.943254566421</v>
          </cell>
          <cell r="EV302">
            <v>3.353766108206</v>
          </cell>
          <cell r="EW302">
            <v>3.4968823249510002</v>
          </cell>
          <cell r="EX302">
            <v>3.4780901192889999</v>
          </cell>
          <cell r="EY302">
            <v>3.7143225249639999</v>
          </cell>
          <cell r="EZ302">
            <v>14.042948296164001</v>
          </cell>
          <cell r="FA302">
            <v>3.9595200732109999</v>
          </cell>
          <cell r="FB302">
            <v>4.1346233273640003</v>
          </cell>
          <cell r="FC302">
            <v>4.1271763108170001</v>
          </cell>
          <cell r="FD302">
            <v>4.4166051569259999</v>
          </cell>
          <cell r="FE302">
            <v>16.637010155805999</v>
          </cell>
        </row>
        <row r="303">
          <cell r="B303" t="str">
            <v>EPS (pre-exceptionals, diluted)</v>
          </cell>
          <cell r="C303" t="str">
            <v>EPS_FUL_DIL</v>
          </cell>
          <cell r="D303" t="str">
            <v>USD</v>
          </cell>
          <cell r="F303">
            <v>2.3173843700160002</v>
          </cell>
          <cell r="G303">
            <v>0.77968749999999998</v>
          </cell>
          <cell r="H303">
            <v>0.90125391849500003</v>
          </cell>
          <cell r="I303">
            <v>0.879499217527</v>
          </cell>
          <cell r="J303">
            <v>0.86666666666699999</v>
          </cell>
          <cell r="K303">
            <v>3.4270101483220001</v>
          </cell>
          <cell r="L303">
            <v>0.47230769230800002</v>
          </cell>
          <cell r="M303">
            <v>0.56999999999999995</v>
          </cell>
          <cell r="N303">
            <v>0.40076923076900001</v>
          </cell>
          <cell r="O303">
            <v>0.39886792452800002</v>
          </cell>
          <cell r="P303">
            <v>1.76</v>
          </cell>
          <cell r="Q303">
            <v>0.49477611940299998</v>
          </cell>
          <cell r="R303">
            <v>0.84552238806000002</v>
          </cell>
          <cell r="S303">
            <v>0.49518518518499999</v>
          </cell>
          <cell r="T303">
            <v>0.48464285714299998</v>
          </cell>
          <cell r="U303">
            <v>2.1955990220050001</v>
          </cell>
          <cell r="V303">
            <v>0.62333333333300001</v>
          </cell>
          <cell r="W303">
            <v>0.73444444444400003</v>
          </cell>
          <cell r="X303">
            <v>0.34854545454500002</v>
          </cell>
          <cell r="Y303">
            <v>0.39884078971199999</v>
          </cell>
          <cell r="Z303">
            <v>1.896352231898</v>
          </cell>
          <cell r="AA303">
            <v>0.39836363636400002</v>
          </cell>
          <cell r="AB303">
            <v>0.44290909090899999</v>
          </cell>
          <cell r="AC303">
            <v>0.433636363636</v>
          </cell>
          <cell r="AD303">
            <v>0.435073144302</v>
          </cell>
          <cell r="AE303">
            <v>1.710033126106</v>
          </cell>
          <cell r="AF303">
            <v>0.39697678603600001</v>
          </cell>
          <cell r="AG303">
            <v>0.471095152603</v>
          </cell>
          <cell r="AH303">
            <v>0.440589609923</v>
          </cell>
          <cell r="AI303">
            <v>1.1623748212000001E-2</v>
          </cell>
          <cell r="AJ303">
            <v>1.3187326092809999</v>
          </cell>
          <cell r="AK303">
            <v>0.23046524160199999</v>
          </cell>
          <cell r="AL303">
            <v>0.41090712743000002</v>
          </cell>
          <cell r="AM303">
            <v>0.492092020129</v>
          </cell>
          <cell r="AN303">
            <v>0.27576853526200001</v>
          </cell>
          <cell r="AO303">
            <v>1.409551244542</v>
          </cell>
          <cell r="AP303">
            <v>0.186682520809</v>
          </cell>
          <cell r="AQ303">
            <v>0.171952793657</v>
          </cell>
          <cell r="AR303">
            <v>0.197656177909</v>
          </cell>
          <cell r="AS303">
            <v>0.13653102559399999</v>
          </cell>
          <cell r="AT303">
            <v>0.69285615713699999</v>
          </cell>
          <cell r="AU303">
            <v>0.24014699127200001</v>
          </cell>
          <cell r="AV303">
            <v>0.14212313056199999</v>
          </cell>
          <cell r="AW303">
            <v>0.121131171702</v>
          </cell>
          <cell r="AX303">
            <v>0.247606774669</v>
          </cell>
          <cell r="AY303">
            <v>0.75101140124999999</v>
          </cell>
          <cell r="AZ303">
            <v>0.23150183150199999</v>
          </cell>
          <cell r="BA303">
            <v>0.316082511866</v>
          </cell>
          <cell r="BB303">
            <v>0.23447077120099999</v>
          </cell>
          <cell r="BC303">
            <v>0.34199094186200002</v>
          </cell>
          <cell r="BD303">
            <v>1.1235501765</v>
          </cell>
          <cell r="BE303">
            <v>0.29158930560700003</v>
          </cell>
          <cell r="BF303">
            <v>0.34339161496499998</v>
          </cell>
          <cell r="BG303">
            <v>0.28583773403700002</v>
          </cell>
          <cell r="BH303">
            <v>0.27576791808899997</v>
          </cell>
          <cell r="BI303">
            <v>1.197623574144</v>
          </cell>
          <cell r="BJ303">
            <v>0.34745300000000001</v>
          </cell>
          <cell r="BK303">
            <v>0.26413199999999998</v>
          </cell>
          <cell r="BL303">
            <v>0.49949300344800002</v>
          </cell>
          <cell r="BM303">
            <v>0.31427979703800002</v>
          </cell>
          <cell r="BN303">
            <v>1.4253502571509999</v>
          </cell>
          <cell r="BO303">
            <v>0.45085672238000002</v>
          </cell>
          <cell r="BP303">
            <v>0.49531726823099997</v>
          </cell>
          <cell r="BQ303">
            <v>0.465422146797</v>
          </cell>
          <cell r="BR303">
            <v>0.45810234541599998</v>
          </cell>
          <cell r="BS303">
            <v>1.869818104907</v>
          </cell>
          <cell r="BT303">
            <v>0.47620603288699997</v>
          </cell>
          <cell r="BU303">
            <v>0.46825218756999998</v>
          </cell>
          <cell r="BV303">
            <v>0.33434411500400002</v>
          </cell>
          <cell r="BW303">
            <v>0.34106182795700002</v>
          </cell>
          <cell r="BX303">
            <v>1.6219766762229999</v>
          </cell>
          <cell r="BY303">
            <v>0.39786262941099998</v>
          </cell>
          <cell r="BZ303">
            <v>0.744274382751</v>
          </cell>
          <cell r="CA303">
            <v>0.45132942767000001</v>
          </cell>
          <cell r="CB303">
            <v>0.51218682688999995</v>
          </cell>
          <cell r="CC303">
            <v>2.1060312649099999</v>
          </cell>
          <cell r="CD303">
            <v>0.62219666475000002</v>
          </cell>
          <cell r="CE303">
            <v>0.77409568261399997</v>
          </cell>
          <cell r="CF303">
            <v>0.61480611045800004</v>
          </cell>
          <cell r="CG303">
            <v>0.68935570942400004</v>
          </cell>
          <cell r="CH303">
            <v>2.7000233263350002</v>
          </cell>
          <cell r="CI303">
            <v>0.67585394581900005</v>
          </cell>
          <cell r="CJ303">
            <v>0.78251624335500003</v>
          </cell>
          <cell r="CK303">
            <v>0.60108260767199995</v>
          </cell>
          <cell r="CL303">
            <v>-5.8655221745E-2</v>
          </cell>
          <cell r="CM303">
            <v>2.0067964894650001</v>
          </cell>
          <cell r="CN303">
            <v>0.52578290557999996</v>
          </cell>
          <cell r="CO303">
            <v>0.75521080056800005</v>
          </cell>
          <cell r="CP303">
            <v>0.718353304069</v>
          </cell>
          <cell r="CQ303">
            <v>0.58813077469800001</v>
          </cell>
          <cell r="CR303">
            <v>2.5866485255409999</v>
          </cell>
          <cell r="CS303">
            <v>0.62176903011600004</v>
          </cell>
          <cell r="CT303">
            <v>0.78117927337699999</v>
          </cell>
          <cell r="CU303">
            <v>0.67646707302499998</v>
          </cell>
          <cell r="CV303">
            <v>0.55266626722599999</v>
          </cell>
          <cell r="CW303">
            <v>2.6324796517690001</v>
          </cell>
          <cell r="CX303">
            <v>0.54364746736900005</v>
          </cell>
          <cell r="CY303">
            <v>0.70664095456200005</v>
          </cell>
          <cell r="CZ303">
            <v>0.60519606652900004</v>
          </cell>
          <cell r="DA303">
            <v>-0.39635280982499999</v>
          </cell>
          <cell r="DB303">
            <v>1.4803618041640001</v>
          </cell>
          <cell r="DC303">
            <v>0.57277460947199998</v>
          </cell>
          <cell r="DD303">
            <v>0.622571001495</v>
          </cell>
          <cell r="DE303">
            <v>0.47038196618700001</v>
          </cell>
          <cell r="DF303">
            <v>0.39374448227999997</v>
          </cell>
          <cell r="DG303">
            <v>2.061484628843</v>
          </cell>
          <cell r="DH303">
            <v>0.71952767902500003</v>
          </cell>
          <cell r="DI303">
            <v>0.80038314176199998</v>
          </cell>
          <cell r="DJ303">
            <v>0.70216306156399999</v>
          </cell>
          <cell r="DK303">
            <v>1.03369203177</v>
          </cell>
          <cell r="DL303">
            <v>3.2547805267359999</v>
          </cell>
          <cell r="DM303">
            <v>0.84318502372100002</v>
          </cell>
          <cell r="DN303">
            <v>-0.81738002594000003</v>
          </cell>
          <cell r="DO303">
            <v>0.95252758532199999</v>
          </cell>
          <cell r="DP303">
            <v>1.1412218649520001</v>
          </cell>
          <cell r="DQ303">
            <v>2.1328270802499998</v>
          </cell>
          <cell r="DR303">
            <v>1.1362348699460001</v>
          </cell>
          <cell r="DS303">
            <v>1.083934088568</v>
          </cell>
          <cell r="DT303">
            <v>1.137525826446</v>
          </cell>
          <cell r="DU303">
            <v>1.7059508408799999</v>
          </cell>
          <cell r="DV303">
            <v>5.061919504644</v>
          </cell>
          <cell r="DW303">
            <v>1.3849546044100001</v>
          </cell>
          <cell r="DX303">
            <v>1.5146274866730001</v>
          </cell>
          <cell r="DY303">
            <v>1.400912052117</v>
          </cell>
          <cell r="DZ303">
            <v>1.4643137254900001</v>
          </cell>
          <cell r="EA303">
            <v>5.7646293041719998</v>
          </cell>
          <cell r="EB303">
            <v>1.8191698310860001</v>
          </cell>
          <cell r="EC303">
            <v>2.0303308823530002</v>
          </cell>
          <cell r="ED303">
            <v>2.0346189285239999</v>
          </cell>
          <cell r="EE303">
            <v>2.1709537000400001</v>
          </cell>
          <cell r="EF303">
            <v>8.0534963196639993</v>
          </cell>
          <cell r="EG303">
            <v>2.709792520153</v>
          </cell>
          <cell r="EH303">
            <v>2.4837855724689999</v>
          </cell>
          <cell r="EI303">
            <v>2.2203344836740002</v>
          </cell>
          <cell r="EJ303">
            <v>2.2302158273380002</v>
          </cell>
          <cell r="EK303">
            <v>9.6469496021219996</v>
          </cell>
          <cell r="EL303">
            <v>2.3454909819640002</v>
          </cell>
          <cell r="EM303">
            <v>2.1979124849459999</v>
          </cell>
          <cell r="EN303">
            <v>2.4516345123260002</v>
          </cell>
          <cell r="EO303">
            <v>2.6892995848400001</v>
          </cell>
          <cell r="EP303">
            <v>9.6842880085649998</v>
          </cell>
          <cell r="EQ303">
            <v>2.9872688287320002</v>
          </cell>
          <cell r="ER303">
            <v>2.9284949116229999</v>
          </cell>
          <cell r="ES303">
            <v>2.9361616702359998</v>
          </cell>
          <cell r="ET303">
            <v>3.037684725029</v>
          </cell>
          <cell r="EU303">
            <v>11.889494898546999</v>
          </cell>
          <cell r="EV303">
            <v>3.3453595750509999</v>
          </cell>
          <cell r="EW303">
            <v>3.4943009930460001</v>
          </cell>
          <cell r="EX303">
            <v>3.4797709650900002</v>
          </cell>
          <cell r="EY303">
            <v>3.7181251466259999</v>
          </cell>
          <cell r="EZ303">
            <v>14.036819677774</v>
          </cell>
          <cell r="FA303">
            <v>3.9630896177210002</v>
          </cell>
          <cell r="FB303">
            <v>4.1378412573460004</v>
          </cell>
          <cell r="FC303">
            <v>4.1298755910949998</v>
          </cell>
          <cell r="FD303">
            <v>4.418929149737</v>
          </cell>
          <cell r="FE303">
            <v>16.648908869616001</v>
          </cell>
        </row>
        <row r="304">
          <cell r="B304" t="str">
            <v>EPS (post-exceptionals, basic)</v>
          </cell>
          <cell r="C304" t="str">
            <v>EPS_POST_BASIC</v>
          </cell>
          <cell r="D304" t="str">
            <v>USD</v>
          </cell>
          <cell r="F304">
            <v>2.3173843700160002</v>
          </cell>
          <cell r="G304">
            <v>0.77968749999999998</v>
          </cell>
          <cell r="H304">
            <v>0.90125391849500003</v>
          </cell>
          <cell r="I304">
            <v>0.879499217527</v>
          </cell>
          <cell r="J304">
            <v>0.86666666666699999</v>
          </cell>
          <cell r="K304">
            <v>3.4270101483220001</v>
          </cell>
          <cell r="L304">
            <v>0.47449768160700001</v>
          </cell>
          <cell r="M304">
            <v>0.61750000000000005</v>
          </cell>
          <cell r="N304">
            <v>0.43416666666699999</v>
          </cell>
          <cell r="O304">
            <v>0.44041666666700002</v>
          </cell>
          <cell r="P304">
            <v>1.8941595832189999</v>
          </cell>
          <cell r="Q304">
            <v>0.49737434358600002</v>
          </cell>
          <cell r="R304">
            <v>0.92868852458999995</v>
          </cell>
          <cell r="S304">
            <v>0.54571428571400005</v>
          </cell>
          <cell r="T304">
            <v>0.53215686274499996</v>
          </cell>
          <cell r="U304">
            <v>2.377863100755</v>
          </cell>
          <cell r="V304">
            <v>0.68</v>
          </cell>
          <cell r="W304">
            <v>0.79320000000000002</v>
          </cell>
          <cell r="X304">
            <v>0.37588235294099998</v>
          </cell>
          <cell r="Y304">
            <v>0.431764705882</v>
          </cell>
          <cell r="Z304">
            <v>2.0520593080720002</v>
          </cell>
          <cell r="AA304">
            <v>0.42960784313700001</v>
          </cell>
          <cell r="AB304">
            <v>0.468461538462</v>
          </cell>
          <cell r="AC304">
            <v>0.45865384615400001</v>
          </cell>
          <cell r="AD304">
            <v>0.45885714285700002</v>
          </cell>
          <cell r="AE304">
            <v>1.816096385542</v>
          </cell>
          <cell r="AF304">
            <v>0.41630496320100002</v>
          </cell>
          <cell r="AG304">
            <v>0.49230769230799998</v>
          </cell>
          <cell r="AH304">
            <v>0.45933283358299998</v>
          </cell>
          <cell r="AI304">
            <v>1.2079539118999999E-2</v>
          </cell>
          <cell r="AJ304">
            <v>1.376557668884</v>
          </cell>
          <cell r="AK304">
            <v>0.23768062245300001</v>
          </cell>
          <cell r="AL304">
            <v>0.42316960148299998</v>
          </cell>
          <cell r="AM304">
            <v>0.50563250230800005</v>
          </cell>
          <cell r="AN304">
            <v>0.28162511542000002</v>
          </cell>
          <cell r="AO304">
            <v>1.4482726726170001</v>
          </cell>
          <cell r="AP304">
            <v>0.19005493993899999</v>
          </cell>
          <cell r="AQ304">
            <v>0.17425021022100001</v>
          </cell>
          <cell r="AR304">
            <v>0.19990667288799999</v>
          </cell>
          <cell r="AS304">
            <v>0.13812051783599999</v>
          </cell>
          <cell r="AT304">
            <v>0.70228936448000001</v>
          </cell>
          <cell r="AU304">
            <v>0.241790768662</v>
          </cell>
          <cell r="AV304">
            <v>0.14329324699400001</v>
          </cell>
          <cell r="AW304">
            <v>0.121928604543</v>
          </cell>
          <cell r="AX304">
            <v>0.24893577642100001</v>
          </cell>
          <cell r="AY304">
            <v>0.75608627233199999</v>
          </cell>
          <cell r="AZ304">
            <v>0.23250252920100001</v>
          </cell>
          <cell r="BA304">
            <v>0.31837822929100001</v>
          </cell>
          <cell r="BB304">
            <v>0.23609064112</v>
          </cell>
          <cell r="BC304">
            <v>0.34418604651200002</v>
          </cell>
          <cell r="BD304">
            <v>1.130547098441</v>
          </cell>
          <cell r="BE304">
            <v>0.29366118175</v>
          </cell>
          <cell r="BF304">
            <v>0.34592803030300001</v>
          </cell>
          <cell r="BG304">
            <v>0.28894496748499998</v>
          </cell>
          <cell r="BH304">
            <v>0.27763597094100001</v>
          </cell>
          <cell r="BI304">
            <v>1.207234399329</v>
          </cell>
          <cell r="BJ304">
            <v>0.35028703796999999</v>
          </cell>
          <cell r="BK304">
            <v>0.26779522741200001</v>
          </cell>
          <cell r="BL304">
            <v>0.50652956298200003</v>
          </cell>
          <cell r="BM304">
            <v>0.31923845587499999</v>
          </cell>
          <cell r="BN304">
            <v>1.443785767444</v>
          </cell>
          <cell r="BO304">
            <v>0.45724946695099999</v>
          </cell>
          <cell r="BP304">
            <v>0.50283089413500004</v>
          </cell>
          <cell r="BQ304">
            <v>0.471473084775</v>
          </cell>
          <cell r="BR304">
            <v>0.46383851467999998</v>
          </cell>
          <cell r="BS304">
            <v>1.895475986278</v>
          </cell>
          <cell r="BT304">
            <v>0.48139586085399999</v>
          </cell>
          <cell r="BU304">
            <v>0.46883073121399998</v>
          </cell>
          <cell r="BV304">
            <v>0.33483297716799998</v>
          </cell>
          <cell r="BW304">
            <v>0.34209639366400002</v>
          </cell>
          <cell r="BX304">
            <v>1.628776656698</v>
          </cell>
          <cell r="BY304">
            <v>0.400942337895</v>
          </cell>
          <cell r="BZ304">
            <v>0.75225835591699997</v>
          </cell>
          <cell r="CA304">
            <v>0.45694080072999999</v>
          </cell>
          <cell r="CB304">
            <v>0.51859504132199996</v>
          </cell>
          <cell r="CC304">
            <v>2.1288547192829999</v>
          </cell>
          <cell r="CD304">
            <v>0.628047364755</v>
          </cell>
          <cell r="CE304">
            <v>0.78074614569800005</v>
          </cell>
          <cell r="CF304">
            <v>0.62137767220899998</v>
          </cell>
          <cell r="CG304">
            <v>0.69687981967000001</v>
          </cell>
          <cell r="CH304">
            <v>2.726737338045</v>
          </cell>
          <cell r="CI304">
            <v>0.68374642516700002</v>
          </cell>
          <cell r="CJ304">
            <v>0.78838371816200004</v>
          </cell>
          <cell r="CK304">
            <v>0.60802285442199999</v>
          </cell>
          <cell r="CL304">
            <v>-5.8655221745E-2</v>
          </cell>
          <cell r="CM304">
            <v>2.0222136199860001</v>
          </cell>
          <cell r="CN304">
            <v>0.53191996188699997</v>
          </cell>
          <cell r="CO304">
            <v>0.75979983319400002</v>
          </cell>
          <cell r="CP304">
            <v>0.72393591583000005</v>
          </cell>
          <cell r="CQ304">
            <v>0.59496704613499996</v>
          </cell>
          <cell r="CR304">
            <v>2.6106633231830001</v>
          </cell>
          <cell r="CS304">
            <v>0.628852380381</v>
          </cell>
          <cell r="CT304">
            <v>0.78765313475900001</v>
          </cell>
          <cell r="CU304">
            <v>0.68324480927099995</v>
          </cell>
          <cell r="CV304">
            <v>0.55930147950499998</v>
          </cell>
          <cell r="CW304">
            <v>2.6599186624489999</v>
          </cell>
          <cell r="CX304">
            <v>0.55036974178700004</v>
          </cell>
          <cell r="CY304">
            <v>0.71256684492</v>
          </cell>
          <cell r="CZ304">
            <v>0.61038324966299995</v>
          </cell>
          <cell r="DA304">
            <v>-0.39635280982499999</v>
          </cell>
          <cell r="DB304">
            <v>1.491270447944</v>
          </cell>
          <cell r="DC304">
            <v>0.57778889444699999</v>
          </cell>
          <cell r="DD304">
            <v>0.62757408337499998</v>
          </cell>
          <cell r="DE304">
            <v>0.47574414186199998</v>
          </cell>
          <cell r="DF304">
            <v>0.398112726345</v>
          </cell>
          <cell r="DG304">
            <v>2.0817112029530001</v>
          </cell>
          <cell r="DH304">
            <v>0.72756451405800004</v>
          </cell>
          <cell r="DI304">
            <v>0.80812379110300003</v>
          </cell>
          <cell r="DJ304">
            <v>0.71016181229800002</v>
          </cell>
          <cell r="DK304">
            <v>1.045884640311</v>
          </cell>
          <cell r="DL304">
            <v>3.2906016008260002</v>
          </cell>
          <cell r="DM304">
            <v>0.85313959522600002</v>
          </cell>
          <cell r="DN304">
            <v>-0.81738002594000003</v>
          </cell>
          <cell r="DO304">
            <v>0.96440633930899999</v>
          </cell>
          <cell r="DP304">
            <v>1.1548874137709999</v>
          </cell>
          <cell r="DQ304">
            <v>2.1521477970060001</v>
          </cell>
          <cell r="DR304">
            <v>1.150006516356</v>
          </cell>
          <cell r="DS304">
            <v>1.0946437857510001</v>
          </cell>
          <cell r="DT304">
            <v>1.148201251303</v>
          </cell>
          <cell r="DU304">
            <v>1.722664924886</v>
          </cell>
          <cell r="DV304">
            <v>5.11403623094</v>
          </cell>
          <cell r="DW304">
            <v>1.398742467907</v>
          </cell>
          <cell r="DX304">
            <v>1.5285395617369999</v>
          </cell>
          <cell r="DY304">
            <v>1.414364640884</v>
          </cell>
          <cell r="DZ304">
            <v>1.4778364116089999</v>
          </cell>
          <cell r="EA304">
            <v>5.8193645891510002</v>
          </cell>
          <cell r="EB304">
            <v>1.836241078509</v>
          </cell>
          <cell r="EC304">
            <v>2.046724023825</v>
          </cell>
          <cell r="ED304">
            <v>2.0502719193529999</v>
          </cell>
          <cell r="EE304">
            <v>2.1865284974089998</v>
          </cell>
          <cell r="EF304">
            <v>8.1185901682790007</v>
          </cell>
          <cell r="EG304">
            <v>2.7292692666049998</v>
          </cell>
          <cell r="EH304">
            <v>2.5003331112590002</v>
          </cell>
          <cell r="EI304">
            <v>2.2324836514080002</v>
          </cell>
          <cell r="EJ304">
            <v>2.239764516992</v>
          </cell>
          <cell r="EK304">
            <v>9.703575240128</v>
          </cell>
          <cell r="EL304">
            <v>2.3542979750569999</v>
          </cell>
          <cell r="EM304">
            <v>2.2044020936790001</v>
          </cell>
          <cell r="EN304">
            <v>2.4592124714420001</v>
          </cell>
          <cell r="EO304">
            <v>2.7012375571699998</v>
          </cell>
          <cell r="EP304">
            <v>9.7181036798279994</v>
          </cell>
          <cell r="EQ304">
            <v>3.0005384304749998</v>
          </cell>
          <cell r="ER304">
            <v>2.9426803013990002</v>
          </cell>
          <cell r="ES304">
            <v>2.9523617278969998</v>
          </cell>
          <cell r="ET304">
            <v>3.0476589064250001</v>
          </cell>
          <cell r="EU304">
            <v>11.943254566421</v>
          </cell>
          <cell r="EV304">
            <v>3.353766108206</v>
          </cell>
          <cell r="EW304">
            <v>3.4968823249510002</v>
          </cell>
          <cell r="EX304">
            <v>3.4780901192889999</v>
          </cell>
          <cell r="EY304">
            <v>3.7143225249639999</v>
          </cell>
          <cell r="EZ304">
            <v>14.042948296164001</v>
          </cell>
          <cell r="FA304">
            <v>3.9595200732109999</v>
          </cell>
          <cell r="FB304">
            <v>4.1346233273640003</v>
          </cell>
          <cell r="FC304">
            <v>4.1271763108170001</v>
          </cell>
          <cell r="FD304">
            <v>4.4166051569259999</v>
          </cell>
          <cell r="FE304">
            <v>16.637010155805999</v>
          </cell>
        </row>
        <row r="305">
          <cell r="B305" t="str">
            <v>EPS (post-exceptionals, diluted)</v>
          </cell>
          <cell r="C305" t="str">
            <v>FULLY_DIL_EPS</v>
          </cell>
          <cell r="D305" t="str">
            <v>USD</v>
          </cell>
          <cell r="F305">
            <v>2.3173843700160002</v>
          </cell>
          <cell r="G305">
            <v>0.77968749999999998</v>
          </cell>
          <cell r="H305">
            <v>0.90125391849500003</v>
          </cell>
          <cell r="I305">
            <v>0.879499217527</v>
          </cell>
          <cell r="J305">
            <v>0.86666666666699999</v>
          </cell>
          <cell r="K305">
            <v>3.4270101483220001</v>
          </cell>
          <cell r="L305">
            <v>0.47230769230800002</v>
          </cell>
          <cell r="M305">
            <v>0.56999999999999995</v>
          </cell>
          <cell r="N305">
            <v>0.40076923076900001</v>
          </cell>
          <cell r="O305">
            <v>0.39886792452800002</v>
          </cell>
          <cell r="P305">
            <v>1.76</v>
          </cell>
          <cell r="Q305">
            <v>0.49477611940299998</v>
          </cell>
          <cell r="R305">
            <v>0.84552238806000002</v>
          </cell>
          <cell r="S305">
            <v>0.49518518518499999</v>
          </cell>
          <cell r="T305">
            <v>0.48464285714299998</v>
          </cell>
          <cell r="U305">
            <v>2.1955990220050001</v>
          </cell>
          <cell r="V305">
            <v>0.62333333333300001</v>
          </cell>
          <cell r="W305">
            <v>0.73444444444400003</v>
          </cell>
          <cell r="X305">
            <v>0.34854545454500002</v>
          </cell>
          <cell r="Y305">
            <v>0.39884078971199999</v>
          </cell>
          <cell r="Z305">
            <v>1.896352231898</v>
          </cell>
          <cell r="AA305">
            <v>0.39836363636400002</v>
          </cell>
          <cell r="AB305">
            <v>0.44290909090899999</v>
          </cell>
          <cell r="AC305">
            <v>0.433636363636</v>
          </cell>
          <cell r="AD305">
            <v>0.435073144302</v>
          </cell>
          <cell r="AE305">
            <v>1.710033126106</v>
          </cell>
          <cell r="AF305">
            <v>0.39697678603600001</v>
          </cell>
          <cell r="AG305">
            <v>0.471095152603</v>
          </cell>
          <cell r="AH305">
            <v>0.440589609923</v>
          </cell>
          <cell r="AI305">
            <v>1.1623748212000001E-2</v>
          </cell>
          <cell r="AJ305">
            <v>1.3187326092809999</v>
          </cell>
          <cell r="AK305">
            <v>0.23046524160199999</v>
          </cell>
          <cell r="AL305">
            <v>0.41090712743000002</v>
          </cell>
          <cell r="AM305">
            <v>0.492092020129</v>
          </cell>
          <cell r="AN305">
            <v>0.27576853526200001</v>
          </cell>
          <cell r="AO305">
            <v>1.409551244542</v>
          </cell>
          <cell r="AP305">
            <v>0.186682520809</v>
          </cell>
          <cell r="AQ305">
            <v>0.171952793657</v>
          </cell>
          <cell r="AR305">
            <v>0.197656177909</v>
          </cell>
          <cell r="AS305">
            <v>0.13653102559399999</v>
          </cell>
          <cell r="AT305">
            <v>0.69285615713699999</v>
          </cell>
          <cell r="AU305">
            <v>0.24014699127200001</v>
          </cell>
          <cell r="AV305">
            <v>0.14212313056199999</v>
          </cell>
          <cell r="AW305">
            <v>0.121131171702</v>
          </cell>
          <cell r="AX305">
            <v>0.247606774669</v>
          </cell>
          <cell r="AY305">
            <v>0.75101140124999999</v>
          </cell>
          <cell r="AZ305">
            <v>0.23150183150199999</v>
          </cell>
          <cell r="BA305">
            <v>0.316082511866</v>
          </cell>
          <cell r="BB305">
            <v>0.23447077120099999</v>
          </cell>
          <cell r="BC305">
            <v>0.34199094186200002</v>
          </cell>
          <cell r="BD305">
            <v>1.1235501765</v>
          </cell>
          <cell r="BE305">
            <v>0.29158930560700003</v>
          </cell>
          <cell r="BF305">
            <v>0.34339161496499998</v>
          </cell>
          <cell r="BG305">
            <v>0.28583773403700002</v>
          </cell>
          <cell r="BH305">
            <v>0.27576791808899997</v>
          </cell>
          <cell r="BI305">
            <v>1.197623574144</v>
          </cell>
          <cell r="BJ305">
            <v>0.34745254745300003</v>
          </cell>
          <cell r="BK305">
            <v>0.26413196539900002</v>
          </cell>
          <cell r="BL305">
            <v>0.49949300344800002</v>
          </cell>
          <cell r="BM305">
            <v>0.31427979703800002</v>
          </cell>
          <cell r="BN305">
            <v>1.4253502571509999</v>
          </cell>
          <cell r="BO305">
            <v>0.45085672238000002</v>
          </cell>
          <cell r="BP305">
            <v>0.49531726823099997</v>
          </cell>
          <cell r="BQ305">
            <v>0.465422146797</v>
          </cell>
          <cell r="BR305">
            <v>0.45810234541599998</v>
          </cell>
          <cell r="BS305">
            <v>1.869818104907</v>
          </cell>
          <cell r="BT305">
            <v>0.47620603288699997</v>
          </cell>
          <cell r="BU305">
            <v>0.46825218756999998</v>
          </cell>
          <cell r="BV305">
            <v>0.33434411500400002</v>
          </cell>
          <cell r="BW305">
            <v>0.34106182795700002</v>
          </cell>
          <cell r="BX305">
            <v>1.6219766762229999</v>
          </cell>
          <cell r="BY305">
            <v>0.39786262941099998</v>
          </cell>
          <cell r="BZ305">
            <v>0.744274382751</v>
          </cell>
          <cell r="CA305">
            <v>0.45132942767000001</v>
          </cell>
          <cell r="CB305">
            <v>0.51218682688999995</v>
          </cell>
          <cell r="CC305">
            <v>2.1060312649099999</v>
          </cell>
          <cell r="CD305">
            <v>0.62219666475000002</v>
          </cell>
          <cell r="CE305">
            <v>0.77409568261399997</v>
          </cell>
          <cell r="CF305">
            <v>0.61480611045800004</v>
          </cell>
          <cell r="CG305">
            <v>0.68935570942400004</v>
          </cell>
          <cell r="CH305">
            <v>2.7000233263350002</v>
          </cell>
          <cell r="CI305">
            <v>0.67585394581900005</v>
          </cell>
          <cell r="CJ305">
            <v>0.78251624335500003</v>
          </cell>
          <cell r="CK305">
            <v>0.60108260767199995</v>
          </cell>
          <cell r="CL305">
            <v>-5.8655221745E-2</v>
          </cell>
          <cell r="CM305">
            <v>2.0067964894650001</v>
          </cell>
          <cell r="CN305">
            <v>0.52578290557999996</v>
          </cell>
          <cell r="CO305">
            <v>0.75521080056800005</v>
          </cell>
          <cell r="CP305">
            <v>0.718353304069</v>
          </cell>
          <cell r="CQ305">
            <v>0.58813077469800001</v>
          </cell>
          <cell r="CR305">
            <v>2.5866485255409999</v>
          </cell>
          <cell r="CS305">
            <v>0.62176903011600004</v>
          </cell>
          <cell r="CT305">
            <v>0.78117927337699999</v>
          </cell>
          <cell r="CU305">
            <v>0.67646707302499998</v>
          </cell>
          <cell r="CV305">
            <v>0.55266626722599999</v>
          </cell>
          <cell r="CW305">
            <v>2.6324796517690001</v>
          </cell>
          <cell r="CX305">
            <v>0.54364746736900005</v>
          </cell>
          <cell r="CY305">
            <v>0.70664095456200005</v>
          </cell>
          <cell r="CZ305">
            <v>0.60519606652900004</v>
          </cell>
          <cell r="DA305">
            <v>-0.39635280982499999</v>
          </cell>
          <cell r="DB305">
            <v>1.4803618041640001</v>
          </cell>
          <cell r="DC305">
            <v>0.57277460947199998</v>
          </cell>
          <cell r="DD305">
            <v>0.622571001495</v>
          </cell>
          <cell r="DE305">
            <v>0.47038196618700001</v>
          </cell>
          <cell r="DF305">
            <v>0.39374448227999997</v>
          </cell>
          <cell r="DG305">
            <v>2.061484628843</v>
          </cell>
          <cell r="DH305">
            <v>0.71952767902500003</v>
          </cell>
          <cell r="DI305">
            <v>0.80038314176199998</v>
          </cell>
          <cell r="DJ305">
            <v>0.70216306156399999</v>
          </cell>
          <cell r="DK305">
            <v>1.03369203177</v>
          </cell>
          <cell r="DL305">
            <v>3.2547805267359999</v>
          </cell>
          <cell r="DM305">
            <v>0.84318502372100002</v>
          </cell>
          <cell r="DN305">
            <v>-0.81738002594000003</v>
          </cell>
          <cell r="DO305">
            <v>0.95252758532199999</v>
          </cell>
          <cell r="DP305">
            <v>1.1412218649520001</v>
          </cell>
          <cell r="DQ305">
            <v>2.1328270802499998</v>
          </cell>
          <cell r="DR305">
            <v>1.1362348699460001</v>
          </cell>
          <cell r="DS305">
            <v>1.083934088568</v>
          </cell>
          <cell r="DT305">
            <v>1.137525826446</v>
          </cell>
          <cell r="DU305">
            <v>1.7059508408799999</v>
          </cell>
          <cell r="DV305">
            <v>5.061919504644</v>
          </cell>
          <cell r="DW305">
            <v>1.3849546044100001</v>
          </cell>
          <cell r="DX305">
            <v>1.5146274866730001</v>
          </cell>
          <cell r="DY305">
            <v>1.400912052117</v>
          </cell>
          <cell r="DZ305">
            <v>1.4643137254900001</v>
          </cell>
          <cell r="EA305">
            <v>5.7646293041719998</v>
          </cell>
          <cell r="EB305">
            <v>1.8191698310860001</v>
          </cell>
          <cell r="EC305">
            <v>2.0303308823530002</v>
          </cell>
          <cell r="ED305">
            <v>2.0346189285239999</v>
          </cell>
          <cell r="EE305">
            <v>2.1709537000400001</v>
          </cell>
          <cell r="EF305">
            <v>8.0534963196639993</v>
          </cell>
          <cell r="EG305">
            <v>2.709792520153</v>
          </cell>
          <cell r="EH305">
            <v>2.4837855724689999</v>
          </cell>
          <cell r="EI305">
            <v>2.2203344836740002</v>
          </cell>
          <cell r="EJ305">
            <v>2.2302158273380002</v>
          </cell>
          <cell r="EK305">
            <v>9.6469496021219996</v>
          </cell>
          <cell r="EL305">
            <v>2.3454909819640002</v>
          </cell>
          <cell r="EM305">
            <v>2.1979124849459999</v>
          </cell>
          <cell r="EN305">
            <v>2.4516345123260002</v>
          </cell>
          <cell r="EO305">
            <v>2.6892995848400001</v>
          </cell>
          <cell r="EP305">
            <v>9.6842880085649998</v>
          </cell>
          <cell r="EQ305">
            <v>2.9872688287320002</v>
          </cell>
          <cell r="ER305">
            <v>2.9284949116229999</v>
          </cell>
          <cell r="ES305">
            <v>2.9361616702359998</v>
          </cell>
          <cell r="ET305">
            <v>3.037684725029</v>
          </cell>
          <cell r="EU305">
            <v>11.889494898546999</v>
          </cell>
          <cell r="EV305">
            <v>3.3453595750509999</v>
          </cell>
          <cell r="EW305">
            <v>3.4943009930460001</v>
          </cell>
          <cell r="EX305">
            <v>3.4797709650900002</v>
          </cell>
          <cell r="EY305">
            <v>3.7181251466259999</v>
          </cell>
          <cell r="EZ305">
            <v>14.036819677774</v>
          </cell>
          <cell r="FA305">
            <v>3.9630896177210002</v>
          </cell>
          <cell r="FB305">
            <v>4.1378412573460004</v>
          </cell>
          <cell r="FC305">
            <v>4.1298755910949998</v>
          </cell>
          <cell r="FD305">
            <v>4.418929149737</v>
          </cell>
          <cell r="FE305">
            <v>16.648908869616001</v>
          </cell>
        </row>
        <row r="306">
          <cell r="B306" t="str">
            <v>Common dividends paid</v>
          </cell>
          <cell r="C306" t="str">
            <v>COMMON_DIV_PAID</v>
          </cell>
          <cell r="D306" t="str">
            <v>USD</v>
          </cell>
        </row>
        <row r="307">
          <cell r="B307" t="str">
            <v>DPS, dividend per share</v>
          </cell>
          <cell r="C307" t="str">
            <v>DPS</v>
          </cell>
          <cell r="D307" t="str">
            <v>USD</v>
          </cell>
        </row>
        <row r="308">
          <cell r="B308" t="str">
            <v>Weighted average shares outstanding, basic</v>
          </cell>
          <cell r="C308" t="str">
            <v>SH</v>
          </cell>
          <cell r="F308">
            <v>627</v>
          </cell>
          <cell r="G308">
            <v>640</v>
          </cell>
          <cell r="H308">
            <v>638</v>
          </cell>
          <cell r="I308">
            <v>639</v>
          </cell>
          <cell r="J308">
            <v>645</v>
          </cell>
          <cell r="K308">
            <v>640.5</v>
          </cell>
          <cell r="L308">
            <v>1294</v>
          </cell>
          <cell r="M308">
            <v>1200</v>
          </cell>
          <cell r="N308">
            <v>2400</v>
          </cell>
          <cell r="O308">
            <v>2400</v>
          </cell>
          <cell r="P308">
            <v>1823.5</v>
          </cell>
          <cell r="Q308">
            <v>1333</v>
          </cell>
          <cell r="R308">
            <v>1220</v>
          </cell>
          <cell r="S308">
            <v>2450</v>
          </cell>
          <cell r="T308">
            <v>2550</v>
          </cell>
          <cell r="U308">
            <v>1888.25</v>
          </cell>
          <cell r="V308">
            <v>2475</v>
          </cell>
          <cell r="W308">
            <v>2500</v>
          </cell>
          <cell r="X308">
            <v>5100</v>
          </cell>
          <cell r="Y308">
            <v>5100</v>
          </cell>
          <cell r="Z308">
            <v>3793.75</v>
          </cell>
          <cell r="AA308">
            <v>5100</v>
          </cell>
          <cell r="AB308">
            <v>5200</v>
          </cell>
          <cell r="AC308">
            <v>5200</v>
          </cell>
          <cell r="AD308">
            <v>5250</v>
          </cell>
          <cell r="AE308">
            <v>5187.5</v>
          </cell>
          <cell r="AF308">
            <v>5299</v>
          </cell>
          <cell r="AG308">
            <v>5330</v>
          </cell>
          <cell r="AH308">
            <v>5336</v>
          </cell>
          <cell r="AI308">
            <v>5381</v>
          </cell>
          <cell r="AJ308">
            <v>5336.5</v>
          </cell>
          <cell r="AK308">
            <v>5398</v>
          </cell>
          <cell r="AL308">
            <v>5395</v>
          </cell>
          <cell r="AM308">
            <v>5415</v>
          </cell>
          <cell r="AN308">
            <v>5415</v>
          </cell>
          <cell r="AO308">
            <v>5405.75</v>
          </cell>
          <cell r="AP308">
            <v>10739</v>
          </cell>
          <cell r="AQ308">
            <v>10703</v>
          </cell>
          <cell r="AR308">
            <v>10715</v>
          </cell>
          <cell r="AS308">
            <v>10737</v>
          </cell>
          <cell r="AT308">
            <v>10723.5</v>
          </cell>
          <cell r="AU308">
            <v>10811</v>
          </cell>
          <cell r="AV308">
            <v>10810</v>
          </cell>
          <cell r="AW308">
            <v>10785</v>
          </cell>
          <cell r="AX308">
            <v>10806</v>
          </cell>
          <cell r="AY308">
            <v>10803</v>
          </cell>
          <cell r="AZ308">
            <v>10873</v>
          </cell>
          <cell r="BA308">
            <v>10877</v>
          </cell>
          <cell r="BB308">
            <v>10856</v>
          </cell>
          <cell r="BC308">
            <v>10750</v>
          </cell>
          <cell r="BD308">
            <v>10839</v>
          </cell>
          <cell r="BE308">
            <v>10696</v>
          </cell>
          <cell r="BF308">
            <v>10560</v>
          </cell>
          <cell r="BG308">
            <v>10303</v>
          </cell>
          <cell r="BH308">
            <v>10186</v>
          </cell>
          <cell r="BI308">
            <v>10436.25</v>
          </cell>
          <cell r="BJ308">
            <v>9929</v>
          </cell>
          <cell r="BK308">
            <v>9806</v>
          </cell>
          <cell r="BL308">
            <v>9725</v>
          </cell>
          <cell r="BM308">
            <v>9507</v>
          </cell>
          <cell r="BN308">
            <v>9741.75</v>
          </cell>
          <cell r="BO308">
            <v>9380</v>
          </cell>
          <cell r="BP308">
            <v>9361</v>
          </cell>
          <cell r="BQ308">
            <v>9307</v>
          </cell>
          <cell r="BR308">
            <v>9264</v>
          </cell>
          <cell r="BS308">
            <v>9328</v>
          </cell>
          <cell r="BT308">
            <v>9084</v>
          </cell>
          <cell r="BU308">
            <v>8903</v>
          </cell>
          <cell r="BV308">
            <v>8891</v>
          </cell>
          <cell r="BW308">
            <v>8901</v>
          </cell>
          <cell r="BX308">
            <v>8944.75</v>
          </cell>
          <cell r="BY308">
            <v>8914</v>
          </cell>
          <cell r="BZ308">
            <v>8856</v>
          </cell>
          <cell r="CA308">
            <v>8767</v>
          </cell>
          <cell r="CB308">
            <v>8712</v>
          </cell>
          <cell r="CC308">
            <v>8812.25</v>
          </cell>
          <cell r="CD308">
            <v>8614</v>
          </cell>
          <cell r="CE308">
            <v>8497</v>
          </cell>
          <cell r="CF308">
            <v>8420</v>
          </cell>
          <cell r="CG308">
            <v>8429</v>
          </cell>
          <cell r="CH308">
            <v>8490</v>
          </cell>
          <cell r="CI308">
            <v>8392</v>
          </cell>
          <cell r="CJ308">
            <v>8402</v>
          </cell>
          <cell r="CK308">
            <v>8401</v>
          </cell>
          <cell r="CL308">
            <v>8388</v>
          </cell>
          <cell r="CM308">
            <v>8395.75</v>
          </cell>
          <cell r="CN308">
            <v>8396</v>
          </cell>
          <cell r="CO308">
            <v>8393</v>
          </cell>
          <cell r="CP308">
            <v>8364</v>
          </cell>
          <cell r="CQ308">
            <v>8345</v>
          </cell>
          <cell r="CR308">
            <v>8374.5</v>
          </cell>
          <cell r="CS308">
            <v>8339</v>
          </cell>
          <cell r="CT308">
            <v>8326</v>
          </cell>
          <cell r="CU308">
            <v>8284</v>
          </cell>
          <cell r="CV308">
            <v>8246</v>
          </cell>
          <cell r="CW308">
            <v>8298.75</v>
          </cell>
          <cell r="CX308">
            <v>8249</v>
          </cell>
          <cell r="CY308">
            <v>8228</v>
          </cell>
          <cell r="CZ308">
            <v>8167</v>
          </cell>
          <cell r="DA308">
            <v>8061</v>
          </cell>
          <cell r="DB308">
            <v>8176.25</v>
          </cell>
          <cell r="DC308">
            <v>7996</v>
          </cell>
          <cell r="DD308">
            <v>7964</v>
          </cell>
          <cell r="DE308">
            <v>7895</v>
          </cell>
          <cell r="DF308">
            <v>7842</v>
          </cell>
          <cell r="DG308">
            <v>7924.25</v>
          </cell>
          <cell r="DH308">
            <v>7789</v>
          </cell>
          <cell r="DI308">
            <v>7755</v>
          </cell>
          <cell r="DJ308">
            <v>7725</v>
          </cell>
          <cell r="DK308">
            <v>7715</v>
          </cell>
          <cell r="DL308">
            <v>7746</v>
          </cell>
          <cell r="DM308">
            <v>7708</v>
          </cell>
          <cell r="DN308">
            <v>7710</v>
          </cell>
          <cell r="DO308">
            <v>7698</v>
          </cell>
          <cell r="DP308">
            <v>7683</v>
          </cell>
          <cell r="DQ308">
            <v>7699.75</v>
          </cell>
          <cell r="DR308">
            <v>7673</v>
          </cell>
          <cell r="DS308">
            <v>7692</v>
          </cell>
          <cell r="DT308">
            <v>7672</v>
          </cell>
          <cell r="DU308">
            <v>7655</v>
          </cell>
          <cell r="DV308">
            <v>7673</v>
          </cell>
          <cell r="DW308">
            <v>7634</v>
          </cell>
          <cell r="DX308">
            <v>7621</v>
          </cell>
          <cell r="DY308">
            <v>7602</v>
          </cell>
          <cell r="DZ308">
            <v>7580</v>
          </cell>
          <cell r="EA308">
            <v>7609.25</v>
          </cell>
          <cell r="EB308">
            <v>7566</v>
          </cell>
          <cell r="EC308">
            <v>7555</v>
          </cell>
          <cell r="ED308">
            <v>7539</v>
          </cell>
          <cell r="EE308">
            <v>7527</v>
          </cell>
          <cell r="EF308">
            <v>7547</v>
          </cell>
          <cell r="EG308">
            <v>7513</v>
          </cell>
          <cell r="EH308">
            <v>7505</v>
          </cell>
          <cell r="EI308">
            <v>7493</v>
          </cell>
          <cell r="EJ308">
            <v>7474</v>
          </cell>
          <cell r="EK308">
            <v>7496</v>
          </cell>
          <cell r="EL308">
            <v>7457</v>
          </cell>
          <cell r="EM308">
            <v>7451</v>
          </cell>
          <cell r="EN308">
            <v>7441</v>
          </cell>
          <cell r="EO308">
            <v>7434</v>
          </cell>
          <cell r="EP308">
            <v>7446</v>
          </cell>
          <cell r="EQ308">
            <v>7429</v>
          </cell>
          <cell r="ER308">
            <v>7432</v>
          </cell>
          <cell r="ES308">
            <v>7431</v>
          </cell>
          <cell r="ET308">
            <v>7434</v>
          </cell>
          <cell r="EU308">
            <v>7431.5</v>
          </cell>
          <cell r="EV308">
            <v>7429</v>
          </cell>
          <cell r="EW308">
            <v>7432</v>
          </cell>
          <cell r="EX308">
            <v>7431</v>
          </cell>
          <cell r="EY308">
            <v>7425.40940097771</v>
          </cell>
          <cell r="EZ308">
            <v>7429.3523502444305</v>
          </cell>
          <cell r="FA308">
            <v>7414.66828763998</v>
          </cell>
          <cell r="FB308">
            <v>7404.4902135659704</v>
          </cell>
          <cell r="FC308">
            <v>7394.4105783766699</v>
          </cell>
          <cell r="FD308">
            <v>7384.8152449128602</v>
          </cell>
          <cell r="FE308">
            <v>7399.5960811238701</v>
          </cell>
        </row>
        <row r="309">
          <cell r="B309" t="str">
            <v>Diluted average shares outstanding (mn)</v>
          </cell>
          <cell r="C309" t="str">
            <v>DILUTE_SHARES</v>
          </cell>
          <cell r="F309">
            <v>627</v>
          </cell>
          <cell r="G309">
            <v>640</v>
          </cell>
          <cell r="H309">
            <v>638</v>
          </cell>
          <cell r="I309">
            <v>639</v>
          </cell>
          <cell r="J309">
            <v>645</v>
          </cell>
          <cell r="K309">
            <v>640.5</v>
          </cell>
          <cell r="L309">
            <v>1300</v>
          </cell>
          <cell r="M309">
            <v>1300</v>
          </cell>
          <cell r="N309">
            <v>2600</v>
          </cell>
          <cell r="O309">
            <v>2650</v>
          </cell>
          <cell r="P309">
            <v>1962.5</v>
          </cell>
          <cell r="Q309">
            <v>1340</v>
          </cell>
          <cell r="R309">
            <v>1340</v>
          </cell>
          <cell r="S309">
            <v>2700</v>
          </cell>
          <cell r="T309">
            <v>2800</v>
          </cell>
          <cell r="U309">
            <v>2045</v>
          </cell>
          <cell r="V309">
            <v>2700</v>
          </cell>
          <cell r="W309">
            <v>2700</v>
          </cell>
          <cell r="X309">
            <v>5500</v>
          </cell>
          <cell r="Y309">
            <v>5521</v>
          </cell>
          <cell r="Z309">
            <v>4105.25</v>
          </cell>
          <cell r="AA309">
            <v>5500</v>
          </cell>
          <cell r="AB309">
            <v>5500</v>
          </cell>
          <cell r="AC309">
            <v>5500</v>
          </cell>
          <cell r="AD309">
            <v>5537</v>
          </cell>
          <cell r="AE309">
            <v>5509.25</v>
          </cell>
          <cell r="AF309">
            <v>5557</v>
          </cell>
          <cell r="AG309">
            <v>5570</v>
          </cell>
          <cell r="AH309">
            <v>5563</v>
          </cell>
          <cell r="AI309">
            <v>5592</v>
          </cell>
          <cell r="AJ309">
            <v>5570.5</v>
          </cell>
          <cell r="AK309">
            <v>5567</v>
          </cell>
          <cell r="AL309">
            <v>5556</v>
          </cell>
          <cell r="AM309">
            <v>5564</v>
          </cell>
          <cell r="AN309">
            <v>5530</v>
          </cell>
          <cell r="AO309">
            <v>5554.25</v>
          </cell>
          <cell r="AP309">
            <v>10933</v>
          </cell>
          <cell r="AQ309">
            <v>10846</v>
          </cell>
          <cell r="AR309">
            <v>10837</v>
          </cell>
          <cell r="AS309">
            <v>10862</v>
          </cell>
          <cell r="AT309">
            <v>10869.5</v>
          </cell>
          <cell r="AU309">
            <v>10885</v>
          </cell>
          <cell r="AV309">
            <v>10899</v>
          </cell>
          <cell r="AW309">
            <v>10856</v>
          </cell>
          <cell r="AX309">
            <v>10864</v>
          </cell>
          <cell r="AY309">
            <v>10876</v>
          </cell>
          <cell r="AZ309">
            <v>10920</v>
          </cell>
          <cell r="BA309">
            <v>10956</v>
          </cell>
          <cell r="BB309">
            <v>10931</v>
          </cell>
          <cell r="BC309">
            <v>10819</v>
          </cell>
          <cell r="BD309">
            <v>10906.5</v>
          </cell>
          <cell r="BE309">
            <v>10772</v>
          </cell>
          <cell r="BF309">
            <v>10638</v>
          </cell>
          <cell r="BG309">
            <v>10415</v>
          </cell>
          <cell r="BH309">
            <v>10255</v>
          </cell>
          <cell r="BI309">
            <v>10520</v>
          </cell>
          <cell r="BJ309">
            <v>10010</v>
          </cell>
          <cell r="BK309">
            <v>9942</v>
          </cell>
          <cell r="BL309">
            <v>9862</v>
          </cell>
          <cell r="BM309">
            <v>9657</v>
          </cell>
          <cell r="BN309">
            <v>9867.75</v>
          </cell>
          <cell r="BO309">
            <v>9513</v>
          </cell>
          <cell r="BP309">
            <v>9503</v>
          </cell>
          <cell r="BQ309">
            <v>9428</v>
          </cell>
          <cell r="BR309">
            <v>9380</v>
          </cell>
          <cell r="BS309">
            <v>9456</v>
          </cell>
          <cell r="BT309">
            <v>9183</v>
          </cell>
          <cell r="BU309">
            <v>8914</v>
          </cell>
          <cell r="BV309">
            <v>8904</v>
          </cell>
          <cell r="BW309">
            <v>8928</v>
          </cell>
          <cell r="BX309">
            <v>8982.25</v>
          </cell>
          <cell r="BY309">
            <v>8983</v>
          </cell>
          <cell r="BZ309">
            <v>8951</v>
          </cell>
          <cell r="CA309">
            <v>8876</v>
          </cell>
          <cell r="CB309">
            <v>8821</v>
          </cell>
          <cell r="CC309">
            <v>8907.75</v>
          </cell>
          <cell r="CD309">
            <v>8695</v>
          </cell>
          <cell r="CE309">
            <v>8570</v>
          </cell>
          <cell r="CF309">
            <v>8510</v>
          </cell>
          <cell r="CG309">
            <v>8521</v>
          </cell>
          <cell r="CH309">
            <v>8574</v>
          </cell>
          <cell r="CI309">
            <v>8490</v>
          </cell>
          <cell r="CJ309">
            <v>8465</v>
          </cell>
          <cell r="CK309">
            <v>8498</v>
          </cell>
          <cell r="CL309">
            <v>8388</v>
          </cell>
          <cell r="CM309">
            <v>8460.25</v>
          </cell>
          <cell r="CN309">
            <v>8494</v>
          </cell>
          <cell r="CO309">
            <v>8444</v>
          </cell>
          <cell r="CP309">
            <v>8429</v>
          </cell>
          <cell r="CQ309">
            <v>8442</v>
          </cell>
          <cell r="CR309">
            <v>8452.25</v>
          </cell>
          <cell r="CS309">
            <v>8434</v>
          </cell>
          <cell r="CT309">
            <v>8395</v>
          </cell>
          <cell r="CU309">
            <v>8367</v>
          </cell>
          <cell r="CV309">
            <v>8345</v>
          </cell>
          <cell r="CW309">
            <v>8385.25</v>
          </cell>
          <cell r="CX309">
            <v>8351</v>
          </cell>
          <cell r="CY309">
            <v>8297</v>
          </cell>
          <cell r="CZ309">
            <v>8237</v>
          </cell>
          <cell r="DA309">
            <v>8061</v>
          </cell>
          <cell r="DB309">
            <v>8236.5</v>
          </cell>
          <cell r="DC309">
            <v>8066</v>
          </cell>
          <cell r="DD309">
            <v>8028</v>
          </cell>
          <cell r="DE309">
            <v>7985</v>
          </cell>
          <cell r="DF309">
            <v>7929</v>
          </cell>
          <cell r="DG309">
            <v>8002</v>
          </cell>
          <cell r="DH309">
            <v>7876</v>
          </cell>
          <cell r="DI309">
            <v>7830</v>
          </cell>
          <cell r="DJ309">
            <v>7813</v>
          </cell>
          <cell r="DK309">
            <v>7806</v>
          </cell>
          <cell r="DL309">
            <v>7831.25</v>
          </cell>
          <cell r="DM309">
            <v>7799</v>
          </cell>
          <cell r="DN309">
            <v>7710</v>
          </cell>
          <cell r="DO309">
            <v>7794</v>
          </cell>
          <cell r="DP309">
            <v>7775</v>
          </cell>
          <cell r="DQ309">
            <v>7769.5</v>
          </cell>
          <cell r="DR309">
            <v>7766</v>
          </cell>
          <cell r="DS309">
            <v>7768</v>
          </cell>
          <cell r="DT309">
            <v>7744</v>
          </cell>
          <cell r="DU309">
            <v>7730</v>
          </cell>
          <cell r="DV309">
            <v>7752</v>
          </cell>
          <cell r="DW309">
            <v>7710</v>
          </cell>
          <cell r="DX309">
            <v>7691</v>
          </cell>
          <cell r="DY309">
            <v>7675</v>
          </cell>
          <cell r="DZ309">
            <v>7650</v>
          </cell>
          <cell r="EA309">
            <v>7681.5</v>
          </cell>
          <cell r="EB309">
            <v>7637</v>
          </cell>
          <cell r="EC309">
            <v>7616</v>
          </cell>
          <cell r="ED309">
            <v>7597</v>
          </cell>
          <cell r="EE309">
            <v>7581</v>
          </cell>
          <cell r="EF309">
            <v>7608</v>
          </cell>
          <cell r="EG309">
            <v>7567</v>
          </cell>
          <cell r="EH309">
            <v>7555</v>
          </cell>
          <cell r="EI309">
            <v>7534</v>
          </cell>
          <cell r="EJ309">
            <v>7506</v>
          </cell>
          <cell r="EK309">
            <v>7540</v>
          </cell>
          <cell r="EL309">
            <v>7485</v>
          </cell>
          <cell r="EM309">
            <v>7473</v>
          </cell>
          <cell r="EN309">
            <v>7464</v>
          </cell>
          <cell r="EO309">
            <v>7467</v>
          </cell>
          <cell r="EP309">
            <v>7472</v>
          </cell>
          <cell r="EQ309">
            <v>7462</v>
          </cell>
          <cell r="ER309">
            <v>7468</v>
          </cell>
          <cell r="ES309">
            <v>7472</v>
          </cell>
          <cell r="ET309">
            <v>7458.40940097771</v>
          </cell>
          <cell r="EU309">
            <v>7465.1023502444305</v>
          </cell>
          <cell r="EV309">
            <v>7447.66828763998</v>
          </cell>
          <cell r="EW309">
            <v>7437.4902135659704</v>
          </cell>
          <cell r="EX309">
            <v>7427.4105783766699</v>
          </cell>
          <cell r="EY309">
            <v>7417.8152449128602</v>
          </cell>
          <cell r="EZ309">
            <v>7432.5960811238701</v>
          </cell>
          <cell r="FA309">
            <v>7407.9899152005801</v>
          </cell>
          <cell r="FB309">
            <v>7398.7318652928097</v>
          </cell>
          <cell r="FC309">
            <v>7389.5776030973302</v>
          </cell>
          <cell r="FD309">
            <v>7380.9314402713599</v>
          </cell>
          <cell r="FE309">
            <v>7394.3077059655197</v>
          </cell>
        </row>
        <row r="310">
          <cell r="B310" t="str">
            <v>Period-end shares outstanding</v>
          </cell>
          <cell r="C310" t="str">
            <v>NON_OP_ADD</v>
          </cell>
          <cell r="F310">
            <v>627</v>
          </cell>
          <cell r="G310">
            <v>640</v>
          </cell>
          <cell r="H310">
            <v>638</v>
          </cell>
          <cell r="I310">
            <v>639</v>
          </cell>
          <cell r="J310">
            <v>645</v>
          </cell>
          <cell r="K310">
            <v>640.5</v>
          </cell>
          <cell r="L310">
            <v>1294</v>
          </cell>
          <cell r="M310">
            <v>1200</v>
          </cell>
          <cell r="N310">
            <v>2400</v>
          </cell>
          <cell r="O310">
            <v>2400</v>
          </cell>
          <cell r="P310">
            <v>1823.5</v>
          </cell>
          <cell r="Q310">
            <v>1333</v>
          </cell>
          <cell r="R310">
            <v>1220</v>
          </cell>
          <cell r="S310">
            <v>2450</v>
          </cell>
          <cell r="T310">
            <v>2550</v>
          </cell>
          <cell r="U310">
            <v>1888.25</v>
          </cell>
          <cell r="V310">
            <v>2475</v>
          </cell>
          <cell r="W310">
            <v>2500</v>
          </cell>
          <cell r="X310">
            <v>5100</v>
          </cell>
          <cell r="Y310">
            <v>5100</v>
          </cell>
          <cell r="Z310">
            <v>3793.75</v>
          </cell>
          <cell r="AA310">
            <v>5100</v>
          </cell>
          <cell r="AB310">
            <v>5200</v>
          </cell>
          <cell r="AC310">
            <v>5200</v>
          </cell>
          <cell r="AD310">
            <v>5250</v>
          </cell>
          <cell r="AE310">
            <v>5187.5</v>
          </cell>
          <cell r="AF310">
            <v>5299</v>
          </cell>
          <cell r="AG310">
            <v>5330</v>
          </cell>
          <cell r="AH310">
            <v>5336</v>
          </cell>
          <cell r="AI310">
            <v>5381</v>
          </cell>
          <cell r="AJ310">
            <v>5336.5</v>
          </cell>
          <cell r="AK310">
            <v>5398</v>
          </cell>
          <cell r="AL310">
            <v>5395</v>
          </cell>
          <cell r="AM310">
            <v>5415</v>
          </cell>
          <cell r="AN310">
            <v>5415</v>
          </cell>
          <cell r="AO310">
            <v>5405.75</v>
          </cell>
          <cell r="AP310">
            <v>10739</v>
          </cell>
          <cell r="AQ310">
            <v>10703</v>
          </cell>
          <cell r="AR310">
            <v>10715</v>
          </cell>
          <cell r="AS310">
            <v>10737</v>
          </cell>
          <cell r="AT310">
            <v>10723.5</v>
          </cell>
          <cell r="AU310">
            <v>10811</v>
          </cell>
          <cell r="AV310">
            <v>10810</v>
          </cell>
          <cell r="AW310">
            <v>10785</v>
          </cell>
          <cell r="AX310">
            <v>10806</v>
          </cell>
          <cell r="AY310">
            <v>10803</v>
          </cell>
          <cell r="AZ310">
            <v>10873</v>
          </cell>
          <cell r="BA310">
            <v>10877</v>
          </cell>
          <cell r="BB310">
            <v>10856</v>
          </cell>
          <cell r="BC310">
            <v>10750</v>
          </cell>
          <cell r="BD310">
            <v>10839</v>
          </cell>
          <cell r="BE310">
            <v>10696</v>
          </cell>
          <cell r="BF310">
            <v>10560</v>
          </cell>
          <cell r="BG310">
            <v>10303</v>
          </cell>
          <cell r="BH310">
            <v>10186</v>
          </cell>
          <cell r="BI310">
            <v>10436.25</v>
          </cell>
          <cell r="BJ310">
            <v>9929</v>
          </cell>
          <cell r="BK310">
            <v>9806</v>
          </cell>
          <cell r="BL310">
            <v>9725</v>
          </cell>
          <cell r="BM310">
            <v>9507</v>
          </cell>
          <cell r="BN310">
            <v>9741.75</v>
          </cell>
          <cell r="BO310">
            <v>9380</v>
          </cell>
          <cell r="BP310">
            <v>9361</v>
          </cell>
          <cell r="BQ310">
            <v>9307</v>
          </cell>
          <cell r="BR310">
            <v>9264</v>
          </cell>
          <cell r="BS310">
            <v>9328</v>
          </cell>
          <cell r="BT310">
            <v>9084</v>
          </cell>
          <cell r="BU310">
            <v>8903</v>
          </cell>
          <cell r="BV310">
            <v>8891</v>
          </cell>
          <cell r="BW310">
            <v>8901</v>
          </cell>
          <cell r="BX310">
            <v>8944.75</v>
          </cell>
          <cell r="BY310">
            <v>8914</v>
          </cell>
          <cell r="BZ310">
            <v>8856</v>
          </cell>
          <cell r="CA310">
            <v>8767</v>
          </cell>
          <cell r="CB310">
            <v>8712</v>
          </cell>
          <cell r="CC310">
            <v>8812.25</v>
          </cell>
          <cell r="CD310">
            <v>8614</v>
          </cell>
          <cell r="CE310">
            <v>8497</v>
          </cell>
          <cell r="CF310">
            <v>8420</v>
          </cell>
          <cell r="CG310">
            <v>8429</v>
          </cell>
          <cell r="CH310">
            <v>8490</v>
          </cell>
          <cell r="CI310">
            <v>8392</v>
          </cell>
          <cell r="CJ310">
            <v>8402</v>
          </cell>
          <cell r="CK310">
            <v>8401</v>
          </cell>
          <cell r="CL310">
            <v>8388</v>
          </cell>
          <cell r="CM310">
            <v>8395.75</v>
          </cell>
          <cell r="CN310">
            <v>8396</v>
          </cell>
          <cell r="CO310">
            <v>8393</v>
          </cell>
          <cell r="CP310">
            <v>8364</v>
          </cell>
          <cell r="CQ310">
            <v>8345</v>
          </cell>
          <cell r="CR310">
            <v>8374.5</v>
          </cell>
          <cell r="CS310">
            <v>8339</v>
          </cell>
          <cell r="CT310">
            <v>8326</v>
          </cell>
          <cell r="CU310">
            <v>8284</v>
          </cell>
          <cell r="CV310">
            <v>8246</v>
          </cell>
          <cell r="CW310">
            <v>8298.75</v>
          </cell>
          <cell r="CX310">
            <v>8249</v>
          </cell>
          <cell r="CY310">
            <v>8228</v>
          </cell>
          <cell r="CZ310">
            <v>8167</v>
          </cell>
          <cell r="DA310">
            <v>8061</v>
          </cell>
          <cell r="DB310">
            <v>8176.25</v>
          </cell>
          <cell r="DC310">
            <v>7996</v>
          </cell>
          <cell r="DD310">
            <v>7964</v>
          </cell>
          <cell r="DE310">
            <v>7895</v>
          </cell>
          <cell r="DF310">
            <v>7842</v>
          </cell>
          <cell r="DG310">
            <v>7924.25</v>
          </cell>
          <cell r="DH310">
            <v>7789</v>
          </cell>
          <cell r="DI310">
            <v>7755</v>
          </cell>
          <cell r="DJ310">
            <v>7725</v>
          </cell>
          <cell r="DK310">
            <v>7715</v>
          </cell>
          <cell r="DL310">
            <v>7746</v>
          </cell>
          <cell r="DM310">
            <v>7708</v>
          </cell>
          <cell r="DN310">
            <v>7710</v>
          </cell>
          <cell r="DO310">
            <v>7698</v>
          </cell>
          <cell r="DP310">
            <v>7683</v>
          </cell>
          <cell r="DQ310">
            <v>7699.75</v>
          </cell>
          <cell r="DR310">
            <v>7673</v>
          </cell>
          <cell r="DS310">
            <v>7692</v>
          </cell>
          <cell r="DT310">
            <v>7672</v>
          </cell>
          <cell r="DU310">
            <v>7655</v>
          </cell>
          <cell r="DV310">
            <v>7673</v>
          </cell>
          <cell r="DW310">
            <v>7634</v>
          </cell>
          <cell r="DX310">
            <v>7621</v>
          </cell>
          <cell r="DY310">
            <v>7602</v>
          </cell>
          <cell r="DZ310">
            <v>7580</v>
          </cell>
          <cell r="EA310">
            <v>7609.25</v>
          </cell>
          <cell r="EB310">
            <v>7566</v>
          </cell>
          <cell r="EC310">
            <v>7555</v>
          </cell>
          <cell r="ED310">
            <v>7539</v>
          </cell>
          <cell r="EE310">
            <v>7527</v>
          </cell>
          <cell r="EF310">
            <v>7547</v>
          </cell>
          <cell r="EG310">
            <v>7513</v>
          </cell>
          <cell r="EH310">
            <v>7505</v>
          </cell>
          <cell r="EI310">
            <v>7493</v>
          </cell>
          <cell r="EJ310">
            <v>7474</v>
          </cell>
          <cell r="EK310">
            <v>7496</v>
          </cell>
          <cell r="EL310">
            <v>7457</v>
          </cell>
          <cell r="EM310">
            <v>7451</v>
          </cell>
          <cell r="EN310">
            <v>7441</v>
          </cell>
          <cell r="EO310">
            <v>7434</v>
          </cell>
          <cell r="EP310">
            <v>7446</v>
          </cell>
          <cell r="EQ310">
            <v>7429</v>
          </cell>
          <cell r="ER310">
            <v>7432</v>
          </cell>
          <cell r="ES310">
            <v>7431</v>
          </cell>
          <cell r="ET310">
            <v>7434</v>
          </cell>
          <cell r="EU310">
            <v>7431.5</v>
          </cell>
          <cell r="EV310">
            <v>7429</v>
          </cell>
          <cell r="EW310">
            <v>7432</v>
          </cell>
          <cell r="EX310">
            <v>7431</v>
          </cell>
          <cell r="EY310">
            <v>7425.40940097771</v>
          </cell>
          <cell r="EZ310">
            <v>7429.3523502444305</v>
          </cell>
          <cell r="FA310">
            <v>7414.66828763998</v>
          </cell>
          <cell r="FB310">
            <v>7404.4902135659704</v>
          </cell>
          <cell r="FC310">
            <v>7394.4105783766699</v>
          </cell>
          <cell r="FD310">
            <v>7384.8152449128602</v>
          </cell>
          <cell r="FE310">
            <v>7399.5960811238701</v>
          </cell>
        </row>
        <row r="311">
          <cell r="A311" t="str">
            <v>Additional Income Statement Items</v>
          </cell>
        </row>
        <row r="312">
          <cell r="B312" t="str">
            <v>Marginal tax rate</v>
          </cell>
          <cell r="C312" t="str">
            <v>MARGIN_TAX_RATE</v>
          </cell>
          <cell r="F312">
            <v>0.32948777111200001</v>
          </cell>
          <cell r="G312">
            <v>0.351948051948</v>
          </cell>
          <cell r="H312">
            <v>0.35028248587600003</v>
          </cell>
          <cell r="I312">
            <v>0.34953703703700001</v>
          </cell>
          <cell r="J312">
            <v>0.35</v>
          </cell>
          <cell r="K312">
            <v>0.35039952648700001</v>
          </cell>
          <cell r="L312">
            <v>0.35026455026499997</v>
          </cell>
          <cell r="M312">
            <v>0.35</v>
          </cell>
          <cell r="N312">
            <v>0.34996880848400003</v>
          </cell>
          <cell r="O312">
            <v>0.34993849938499999</v>
          </cell>
          <cell r="P312">
            <v>0.350018818216</v>
          </cell>
          <cell r="Q312">
            <v>0.44841930116500001</v>
          </cell>
          <cell r="R312">
            <v>0.35988700564999998</v>
          </cell>
          <cell r="S312">
            <v>0.35002430724400002</v>
          </cell>
          <cell r="T312">
            <v>0.35009578544100001</v>
          </cell>
          <cell r="U312">
            <v>0.36911620064599998</v>
          </cell>
          <cell r="V312">
            <v>0.327606871754</v>
          </cell>
          <cell r="W312">
            <v>0.35004916420799997</v>
          </cell>
          <cell r="X312">
            <v>0.34994913529999999</v>
          </cell>
          <cell r="Y312">
            <v>0.35005903187699999</v>
          </cell>
          <cell r="Z312">
            <v>0.34530317046499998</v>
          </cell>
          <cell r="AA312">
            <v>0.340060240964</v>
          </cell>
          <cell r="AB312">
            <v>0.34001625575700001</v>
          </cell>
          <cell r="AC312">
            <v>0.33988375311399999</v>
          </cell>
          <cell r="AD312">
            <v>0.34018077239099997</v>
          </cell>
          <cell r="AE312">
            <v>0.34003502626999998</v>
          </cell>
          <cell r="AF312">
            <v>0.32995846313600002</v>
          </cell>
          <cell r="AG312">
            <v>0.33009956599399998</v>
          </cell>
          <cell r="AH312">
            <v>0.32996172771999999</v>
          </cell>
          <cell r="AI312">
            <v>0.33673469387799998</v>
          </cell>
          <cell r="AJ312">
            <v>0.33006507592200002</v>
          </cell>
          <cell r="AK312">
            <v>0.320084790673</v>
          </cell>
          <cell r="AL312">
            <v>0.319928507596</v>
          </cell>
          <cell r="AM312">
            <v>0.319920516642</v>
          </cell>
          <cell r="AN312">
            <v>0.32010699955400002</v>
          </cell>
          <cell r="AO312">
            <v>0.31998610266700001</v>
          </cell>
          <cell r="AP312">
            <v>0.33016081391500002</v>
          </cell>
          <cell r="AQ312">
            <v>0.28158705701100001</v>
          </cell>
          <cell r="AR312">
            <v>0.32999687206799999</v>
          </cell>
          <cell r="AS312">
            <v>0.33017163505000002</v>
          </cell>
          <cell r="AT312">
            <v>0.31870815994200002</v>
          </cell>
          <cell r="AU312">
            <v>0.32991540630600003</v>
          </cell>
          <cell r="AV312">
            <v>0.33001730103799998</v>
          </cell>
          <cell r="AW312">
            <v>0.42299254058800001</v>
          </cell>
          <cell r="AX312">
            <v>0.27375809935200002</v>
          </cell>
          <cell r="AY312">
            <v>0.33027222039999998</v>
          </cell>
          <cell r="AZ312">
            <v>0.32997614630299998</v>
          </cell>
          <cell r="BA312">
            <v>0.33004449603399999</v>
          </cell>
          <cell r="BB312">
            <v>0.32993464052299998</v>
          </cell>
          <cell r="BC312">
            <v>4.1699041699000003E-2</v>
          </cell>
          <cell r="BD312">
            <v>0.26305027664199998</v>
          </cell>
          <cell r="BE312">
            <v>0.30997363796100003</v>
          </cell>
          <cell r="BF312">
            <v>0.288884562974</v>
          </cell>
          <cell r="BG312">
            <v>0.31008111239899999</v>
          </cell>
          <cell r="BH312">
            <v>0.33583842179399997</v>
          </cell>
          <cell r="BI312">
            <v>0.31009747015700001</v>
          </cell>
          <cell r="BJ312">
            <v>0.310058</v>
          </cell>
          <cell r="BK312">
            <v>0.30985499999999999</v>
          </cell>
          <cell r="BL312">
            <v>0.29335819824999998</v>
          </cell>
          <cell r="BM312">
            <v>0.291549953315</v>
          </cell>
          <cell r="BN312">
            <v>0.30028356798200001</v>
          </cell>
          <cell r="BO312">
            <v>0.310006435006</v>
          </cell>
          <cell r="BP312">
            <v>0.30982404692100002</v>
          </cell>
          <cell r="BQ312">
            <v>8.7733887733999996E-2</v>
          </cell>
          <cell r="BR312">
            <v>0.27999329758699998</v>
          </cell>
          <cell r="BS312">
            <v>0.25753758293399998</v>
          </cell>
          <cell r="BT312">
            <v>0.270071774328</v>
          </cell>
          <cell r="BU312">
            <v>0.25966654842100001</v>
          </cell>
          <cell r="BV312">
            <v>0.264938271605</v>
          </cell>
          <cell r="BW312">
            <v>0.26484789956499999</v>
          </cell>
          <cell r="BX312">
            <v>0.26497149487900001</v>
          </cell>
          <cell r="BY312">
            <v>0.249947534103</v>
          </cell>
          <cell r="BZ312">
            <v>0.25002814364499998</v>
          </cell>
          <cell r="CA312">
            <v>0.24995319228599999</v>
          </cell>
          <cell r="CB312">
            <v>0.25</v>
          </cell>
          <cell r="CC312">
            <v>0.24998963785100001</v>
          </cell>
          <cell r="CD312">
            <v>0.25172890733100001</v>
          </cell>
          <cell r="CE312">
            <v>0.21925385430200001</v>
          </cell>
          <cell r="CF312">
            <v>0.13161825726099999</v>
          </cell>
          <cell r="CG312">
            <v>7.0422535211000004E-2</v>
          </cell>
          <cell r="CH312">
            <v>0.17530547540200001</v>
          </cell>
          <cell r="CI312">
            <v>0.21461812209100001</v>
          </cell>
          <cell r="CJ312">
            <v>0.19601893433699999</v>
          </cell>
          <cell r="CK312">
            <v>0.197234009115</v>
          </cell>
          <cell r="CL312">
            <v>1</v>
          </cell>
          <cell r="CM312">
            <v>0.23752638433600001</v>
          </cell>
          <cell r="CN312">
            <v>0.19298879653100001</v>
          </cell>
          <cell r="CO312">
            <v>0.179279279279</v>
          </cell>
          <cell r="CP312">
            <v>0.203603840589</v>
          </cell>
          <cell r="CQ312">
            <v>0.19202603742900001</v>
          </cell>
          <cell r="CR312">
            <v>0.191815762236</v>
          </cell>
          <cell r="CS312">
            <v>0.18164794007499999</v>
          </cell>
          <cell r="CT312">
            <v>0.16755521706000001</v>
          </cell>
          <cell r="CU312">
            <v>0.186430932873</v>
          </cell>
          <cell r="CV312">
            <v>0.29876843545699999</v>
          </cell>
          <cell r="CW312">
            <v>0.20654205607500001</v>
          </cell>
          <cell r="CX312">
            <v>0.229986431479</v>
          </cell>
          <cell r="CY312">
            <v>0.253121019108</v>
          </cell>
          <cell r="CZ312">
            <v>0.23507748964200001</v>
          </cell>
          <cell r="DA312">
            <v>0</v>
          </cell>
          <cell r="DB312">
            <v>0.34116820662500003</v>
          </cell>
          <cell r="DC312">
            <v>0.16198077271899999</v>
          </cell>
          <cell r="DD312">
            <v>0.146370623399</v>
          </cell>
          <cell r="DE312">
            <v>0.25416997617199999</v>
          </cell>
          <cell r="DF312">
            <v>6.7224380042000001E-2</v>
          </cell>
          <cell r="DG312">
            <v>0.16480178218800001</v>
          </cell>
          <cell r="DH312">
            <v>0.16991357843900001</v>
          </cell>
          <cell r="DI312">
            <v>0.21877337322400001</v>
          </cell>
          <cell r="DJ312">
            <v>0.226670425712</v>
          </cell>
          <cell r="DL312">
            <v>0.147553593525</v>
          </cell>
          <cell r="DM312">
            <v>0.17635270541100001</v>
          </cell>
          <cell r="DN312">
            <v>1</v>
          </cell>
          <cell r="DO312">
            <v>0.140840180535</v>
          </cell>
          <cell r="DP312">
            <v>0.16919475655399999</v>
          </cell>
          <cell r="DQ312">
            <v>0.54567637220999998</v>
          </cell>
          <cell r="DR312">
            <v>0.136679385579</v>
          </cell>
          <cell r="DS312">
            <v>0.18921521425099999</v>
          </cell>
          <cell r="DT312">
            <v>0.159927522411</v>
          </cell>
          <cell r="DU312">
            <v>0</v>
          </cell>
          <cell r="DV312">
            <v>0.10181285478800001</v>
          </cell>
          <cell r="DW312">
            <v>0.158284723317</v>
          </cell>
          <cell r="DX312">
            <v>0.17294994675200001</v>
          </cell>
          <cell r="DY312">
            <v>0.162812427003</v>
          </cell>
          <cell r="DZ312">
            <v>0.16540008940500001</v>
          </cell>
          <cell r="EA312">
            <v>0.165076551776</v>
          </cell>
          <cell r="EB312">
            <v>0.13836516993299999</v>
          </cell>
          <cell r="EC312">
            <v>0.15673228990599999</v>
          </cell>
          <cell r="ED312">
            <v>0.103214202831</v>
          </cell>
          <cell r="EE312">
            <v>0.151868075238</v>
          </cell>
          <cell r="EF312">
            <v>0.138266152851</v>
          </cell>
          <cell r="EG312">
            <v>9.2574546900000003E-4</v>
          </cell>
          <cell r="EH312">
            <v>0.16655562958</v>
          </cell>
          <cell r="EI312">
            <v>0.17147102525999999</v>
          </cell>
          <cell r="EJ312">
            <v>0.18289647093299999</v>
          </cell>
          <cell r="EK312">
            <v>0.131133833437</v>
          </cell>
          <cell r="EL312">
            <v>0.18616725384800001</v>
          </cell>
          <cell r="EM312">
            <v>0.192438172968</v>
          </cell>
          <cell r="EN312">
            <v>0.192916685044</v>
          </cell>
          <cell r="EO312">
            <v>0.18789177821799999</v>
          </cell>
          <cell r="EP312">
            <v>0.18978625253299999</v>
          </cell>
          <cell r="EQ312">
            <v>0.18300102624199999</v>
          </cell>
          <cell r="ER312">
            <v>0.17552589911800001</v>
          </cell>
          <cell r="ES312">
            <v>0.17914468515000001</v>
          </cell>
          <cell r="ET312">
            <v>0.18</v>
          </cell>
          <cell r="EU312">
            <v>0.17944844357100001</v>
          </cell>
          <cell r="EV312">
            <v>0.18</v>
          </cell>
          <cell r="EW312">
            <v>0.18</v>
          </cell>
          <cell r="EX312">
            <v>0.18</v>
          </cell>
          <cell r="EY312">
            <v>0.18</v>
          </cell>
          <cell r="EZ312">
            <v>0.18</v>
          </cell>
          <cell r="FA312">
            <v>0.18</v>
          </cell>
          <cell r="FB312">
            <v>0.18</v>
          </cell>
          <cell r="FC312">
            <v>0.18</v>
          </cell>
          <cell r="FD312">
            <v>0.18</v>
          </cell>
          <cell r="FE312">
            <v>0.18</v>
          </cell>
        </row>
        <row r="313">
          <cell r="A313" t="str">
            <v>ESO</v>
          </cell>
        </row>
        <row r="314">
          <cell r="B314" t="str">
            <v>Fair value of grant</v>
          </cell>
          <cell r="C314" t="str">
            <v>FV_GRANT</v>
          </cell>
          <cell r="D314" t="str">
            <v>USD</v>
          </cell>
        </row>
        <row r="315">
          <cell r="B315" t="str">
            <v>ESO expense (post-tax)</v>
          </cell>
          <cell r="C315" t="str">
            <v>ESO_POST_TAX</v>
          </cell>
          <cell r="D315" t="str">
            <v>USD</v>
          </cell>
        </row>
        <row r="316">
          <cell r="B316" t="str">
            <v>EPS (excl. ESO expense, basic)</v>
          </cell>
          <cell r="C316" t="str">
            <v>EPS_EX_ESO_B</v>
          </cell>
          <cell r="D316" t="str">
            <v>USD</v>
          </cell>
        </row>
        <row r="317">
          <cell r="B317" t="str">
            <v>EPS (excl. ESO expense, diluted)</v>
          </cell>
          <cell r="C317" t="str">
            <v>EPS_EX_ESO_D</v>
          </cell>
          <cell r="D317" t="str">
            <v>USD</v>
          </cell>
        </row>
        <row r="318">
          <cell r="B318" t="str">
            <v>Year that ESO expense takes effect</v>
          </cell>
          <cell r="C318" t="str">
            <v>ESO_YEAR</v>
          </cell>
        </row>
        <row r="319">
          <cell r="A319" t="str">
            <v>Balance Sheet</v>
          </cell>
        </row>
        <row r="320">
          <cell r="B320" t="str">
            <v>BVPS, book value per share</v>
          </cell>
          <cell r="C320" t="str">
            <v>BVPS</v>
          </cell>
          <cell r="D320" t="str">
            <v>USD</v>
          </cell>
          <cell r="F320">
            <v>9.3508771929820007</v>
          </cell>
          <cell r="G320">
            <v>10.0015625</v>
          </cell>
          <cell r="H320">
            <v>10.760188087774001</v>
          </cell>
          <cell r="I320">
            <v>11.464788732394</v>
          </cell>
          <cell r="J320">
            <v>11.888372093022999</v>
          </cell>
          <cell r="K320">
            <v>11.971896955503</v>
          </cell>
          <cell r="L320">
            <v>6.2418856259659998</v>
          </cell>
          <cell r="M320">
            <v>8.0350000000000001</v>
          </cell>
          <cell r="N320">
            <v>3.8058333333330001</v>
          </cell>
          <cell r="O320">
            <v>4.4904166666669996</v>
          </cell>
          <cell r="P320">
            <v>5.9100630655330004</v>
          </cell>
          <cell r="Q320">
            <v>8.6001500375089996</v>
          </cell>
          <cell r="R320">
            <v>10.118032786884999</v>
          </cell>
          <cell r="S320">
            <v>5.9902040816330002</v>
          </cell>
          <cell r="T320">
            <v>6.5203921568630001</v>
          </cell>
          <cell r="U320">
            <v>8.8055077452670005</v>
          </cell>
          <cell r="V320">
            <v>7.7268686868690004</v>
          </cell>
          <cell r="W320">
            <v>9.0312000000000001</v>
          </cell>
          <cell r="X320">
            <v>5.0435294117650002</v>
          </cell>
          <cell r="Y320">
            <v>5.5760784313730003</v>
          </cell>
          <cell r="Z320">
            <v>7.4960131795720004</v>
          </cell>
          <cell r="AA320">
            <v>6.1450980392160002</v>
          </cell>
          <cell r="AB320">
            <v>6.6517307692310004</v>
          </cell>
          <cell r="AC320">
            <v>7.6523076923079998</v>
          </cell>
          <cell r="AD320">
            <v>7.750285714286</v>
          </cell>
          <cell r="AE320">
            <v>7.843662650602</v>
          </cell>
          <cell r="AF320">
            <v>8.5568975278349999</v>
          </cell>
          <cell r="AG320">
            <v>8.7095684802999997</v>
          </cell>
          <cell r="AH320">
            <v>9.0123688155919996</v>
          </cell>
          <cell r="AI320">
            <v>8.7881434677569992</v>
          </cell>
          <cell r="AJ320">
            <v>8.861426028296</v>
          </cell>
          <cell r="AK320">
            <v>8.9857354575770003</v>
          </cell>
          <cell r="AL320">
            <v>9.5547729379049997</v>
          </cell>
          <cell r="AM320">
            <v>10.027700831024999</v>
          </cell>
          <cell r="AN320">
            <v>9.6361957525390007</v>
          </cell>
          <cell r="AO320">
            <v>9.652684641354</v>
          </cell>
          <cell r="AP320">
            <v>4.9833317813580003</v>
          </cell>
          <cell r="AQ320">
            <v>5.2146127254039998</v>
          </cell>
          <cell r="AR320">
            <v>5.4392907139520004</v>
          </cell>
          <cell r="AS320">
            <v>5.6831517183570002</v>
          </cell>
          <cell r="AT320">
            <v>5.690306336551</v>
          </cell>
          <cell r="AU320">
            <v>6.1677920636390002</v>
          </cell>
          <cell r="AV320">
            <v>6.4147086031449998</v>
          </cell>
          <cell r="AW320">
            <v>6.5442744552620002</v>
          </cell>
          <cell r="AX320">
            <v>6.9243938552659996</v>
          </cell>
          <cell r="AY320">
            <v>6.9263167638620002</v>
          </cell>
          <cell r="AZ320">
            <v>7.0191299549339998</v>
          </cell>
          <cell r="BA320">
            <v>4.3423738163100003</v>
          </cell>
          <cell r="BB320">
            <v>4.3637619749449996</v>
          </cell>
          <cell r="BC320">
            <v>4.4758139534880002</v>
          </cell>
          <cell r="BD320">
            <v>4.4390626441550003</v>
          </cell>
          <cell r="BE320">
            <v>4.5182311144350003</v>
          </cell>
          <cell r="BF320">
            <v>4.1863636363639998</v>
          </cell>
          <cell r="BG320">
            <v>4.0801708240319998</v>
          </cell>
          <cell r="BH320">
            <v>3.9371686628710001</v>
          </cell>
          <cell r="BI320">
            <v>3.84275961193</v>
          </cell>
          <cell r="BJ320">
            <v>3.6359149964749999</v>
          </cell>
          <cell r="BK320">
            <v>3.7358759942890001</v>
          </cell>
          <cell r="BL320">
            <v>3.5961953727510001</v>
          </cell>
          <cell r="BM320">
            <v>3.2709582412959999</v>
          </cell>
          <cell r="BN320">
            <v>3.192136936382</v>
          </cell>
          <cell r="BO320">
            <v>3.4259061833689999</v>
          </cell>
          <cell r="BP320">
            <v>3.6781326781330002</v>
          </cell>
          <cell r="BQ320">
            <v>4.0350273987319998</v>
          </cell>
          <cell r="BR320">
            <v>3.9168825561310001</v>
          </cell>
          <cell r="BS320">
            <v>3.890008576329</v>
          </cell>
          <cell r="BT320">
            <v>3.6981505944520001</v>
          </cell>
          <cell r="BU320">
            <v>3.8726272043129999</v>
          </cell>
          <cell r="BV320">
            <v>4.155100663592</v>
          </cell>
          <cell r="BW320">
            <v>4.4442197505900003</v>
          </cell>
          <cell r="BX320">
            <v>4.4224824617790004</v>
          </cell>
          <cell r="BY320">
            <v>4.6232892079869998</v>
          </cell>
          <cell r="BZ320">
            <v>5.0003387533880002</v>
          </cell>
          <cell r="CA320">
            <v>5.2138701950500002</v>
          </cell>
          <cell r="CB320">
            <v>5.3001606978879998</v>
          </cell>
          <cell r="CC320">
            <v>5.2398649607080001</v>
          </cell>
          <cell r="CD320">
            <v>5.4495008126310003</v>
          </cell>
          <cell r="CE320">
            <v>5.7056608214660001</v>
          </cell>
          <cell r="CF320">
            <v>6.3482185273159999</v>
          </cell>
          <cell r="CG320">
            <v>6.7722149721199996</v>
          </cell>
          <cell r="CH320">
            <v>6.7235571260310003</v>
          </cell>
          <cell r="CI320">
            <v>7.0770972354620003</v>
          </cell>
          <cell r="CJ320">
            <v>7.6316353249229998</v>
          </cell>
          <cell r="CK320">
            <v>8.1727175336270008</v>
          </cell>
          <cell r="CL320">
            <v>7.9116595135910002</v>
          </cell>
          <cell r="CM320">
            <v>7.9043563707829998</v>
          </cell>
          <cell r="CN320">
            <v>8.1986660314440005</v>
          </cell>
          <cell r="CO320">
            <v>8.6472060050039996</v>
          </cell>
          <cell r="CP320">
            <v>9.1688187470110005</v>
          </cell>
          <cell r="CQ320">
            <v>9.4600359496700008</v>
          </cell>
          <cell r="CR320">
            <v>9.4267120425099993</v>
          </cell>
          <cell r="CS320">
            <v>9.7902626214169999</v>
          </cell>
          <cell r="CT320">
            <v>10.220994475137999</v>
          </cell>
          <cell r="CU320">
            <v>10.553355866731</v>
          </cell>
          <cell r="CV320">
            <v>10.888188212467</v>
          </cell>
          <cell r="CW320">
            <v>10.818978761862001</v>
          </cell>
          <cell r="CX320">
            <v>10.931021942054</v>
          </cell>
          <cell r="CY320">
            <v>11.166626154594001</v>
          </cell>
          <cell r="CZ320">
            <v>11.036120974654001</v>
          </cell>
          <cell r="DA320">
            <v>9.9346234958440007</v>
          </cell>
          <cell r="DB320">
            <v>9.7945879834890004</v>
          </cell>
          <cell r="DC320">
            <v>9.6854677338670001</v>
          </cell>
          <cell r="DD320">
            <v>9.6408839779009998</v>
          </cell>
          <cell r="DE320">
            <v>9.4751108296390001</v>
          </cell>
          <cell r="DF320">
            <v>9.1809487375670003</v>
          </cell>
          <cell r="DG320">
            <v>9.0856547938290007</v>
          </cell>
          <cell r="DH320">
            <v>10.586981640775001</v>
          </cell>
          <cell r="DI320">
            <v>10.551773049645</v>
          </cell>
          <cell r="DJ320">
            <v>10.80789644013</v>
          </cell>
          <cell r="DK320">
            <v>11.368891769280999</v>
          </cell>
          <cell r="DL320">
            <v>11.323392718822999</v>
          </cell>
          <cell r="DM320">
            <v>11.630384016606</v>
          </cell>
          <cell r="DN320">
            <v>10.163424124514</v>
          </cell>
          <cell r="DO320">
            <v>10.293452844895</v>
          </cell>
          <cell r="DP320">
            <v>10.766367304438001</v>
          </cell>
          <cell r="DQ320">
            <v>10.742946199552</v>
          </cell>
          <cell r="DR320">
            <v>11.203831617360001</v>
          </cell>
          <cell r="DS320">
            <v>11.977119084763</v>
          </cell>
          <cell r="DT320">
            <v>12.364963503649999</v>
          </cell>
          <cell r="DU320">
            <v>13.367733507511</v>
          </cell>
          <cell r="DV320">
            <v>13.336374299492</v>
          </cell>
          <cell r="DW320">
            <v>13.893240764999</v>
          </cell>
          <cell r="DX320">
            <v>14.448103923370001</v>
          </cell>
          <cell r="DY320">
            <v>15.061957379637001</v>
          </cell>
          <cell r="DZ320">
            <v>15.607387862796999</v>
          </cell>
          <cell r="EA320">
            <v>15.547392975655001</v>
          </cell>
          <cell r="EB320">
            <v>16.308749669573999</v>
          </cell>
          <cell r="EC320">
            <v>17.238385175381001</v>
          </cell>
          <cell r="ED320">
            <v>17.841225626741</v>
          </cell>
          <cell r="EE320">
            <v>18.863823568487</v>
          </cell>
          <cell r="EF320">
            <v>18.813833311248999</v>
          </cell>
          <cell r="EG320">
            <v>20.228670304805</v>
          </cell>
          <cell r="EH320">
            <v>21.320453031311999</v>
          </cell>
          <cell r="EI320">
            <v>21.743493927666002</v>
          </cell>
          <cell r="EJ320">
            <v>22.282847203639001</v>
          </cell>
          <cell r="EK320">
            <v>22.217449306296999</v>
          </cell>
          <cell r="EL320">
            <v>23.275579991954</v>
          </cell>
          <cell r="EM320">
            <v>24.578714266540999</v>
          </cell>
          <cell r="EN320">
            <v>26.163553285849002</v>
          </cell>
          <cell r="EO320">
            <v>27.740516545601</v>
          </cell>
          <cell r="EP320">
            <v>27.695809830782</v>
          </cell>
          <cell r="EQ320">
            <v>29.709785973886</v>
          </cell>
          <cell r="ER320">
            <v>32.059741657696001</v>
          </cell>
          <cell r="ES320">
            <v>34.067016552280997</v>
          </cell>
          <cell r="ET320">
            <v>36.744738297128997</v>
          </cell>
          <cell r="EU320">
            <v>36.757099441682001</v>
          </cell>
          <cell r="EV320">
            <v>39.775415385008003</v>
          </cell>
          <cell r="EW320">
            <v>42.858108633683997</v>
          </cell>
          <cell r="EX320">
            <v>45.944954223507999</v>
          </cell>
          <cell r="EY320">
            <v>49.319474768840998</v>
          </cell>
          <cell r="EZ320">
            <v>49.293299649165</v>
          </cell>
          <cell r="FA320">
            <v>52.957753501667</v>
          </cell>
          <cell r="FB320">
            <v>56.715600440336999</v>
          </cell>
          <cell r="FC320">
            <v>60.471954385787001</v>
          </cell>
          <cell r="FD320">
            <v>64.544308578975006</v>
          </cell>
          <cell r="FE320">
            <v>64.415380074905002</v>
          </cell>
        </row>
        <row r="321">
          <cell r="A321" t="str">
            <v>Additional Balance Sheet Items</v>
          </cell>
        </row>
        <row r="322">
          <cell r="B322" t="str">
            <v>Total repurchase authorization</v>
          </cell>
          <cell r="C322" t="str">
            <v>REPUR_TOT_AUTH</v>
          </cell>
          <cell r="D322" t="str">
            <v>USD</v>
          </cell>
        </row>
        <row r="323">
          <cell r="B323" t="str">
            <v>Remaining repurchase authorization</v>
          </cell>
          <cell r="C323" t="str">
            <v>REPUR_REMAINING</v>
          </cell>
          <cell r="D323" t="str">
            <v>USD</v>
          </cell>
        </row>
        <row r="324">
          <cell r="B324" t="str">
            <v>Suspended repurchase authorization</v>
          </cell>
          <cell r="C324" t="str">
            <v>REPUR_SUSPENDED</v>
          </cell>
          <cell r="D324" t="str">
            <v>USD</v>
          </cell>
        </row>
        <row r="325">
          <cell r="B325" t="str">
            <v>Shares repurchased during period</v>
          </cell>
          <cell r="C325" t="str">
            <v>REPUR_ACTUAL</v>
          </cell>
          <cell r="D325" t="str">
            <v>USD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32.18229306888</v>
          </cell>
          <cell r="EG325">
            <v>30.442318954783001</v>
          </cell>
          <cell r="EH325">
            <v>29.913216041738998</v>
          </cell>
          <cell r="EI325">
            <v>28.329601935645002</v>
          </cell>
          <cell r="EJ325">
            <v>120.867430001047</v>
          </cell>
          <cell r="EK325">
            <v>26.426345563226</v>
          </cell>
          <cell r="EL325">
            <v>22.982565297128001</v>
          </cell>
          <cell r="EM325">
            <v>29.472874645640999</v>
          </cell>
          <cell r="EN325">
            <v>32.297085764999999</v>
          </cell>
          <cell r="EO325">
            <v>111.178871270995</v>
          </cell>
          <cell r="EP325">
            <v>20.950784858696</v>
          </cell>
          <cell r="EQ325">
            <v>22.802244186738999</v>
          </cell>
          <cell r="ER325">
            <v>21.774526093477999</v>
          </cell>
          <cell r="ES325">
            <v>18.323794960000001</v>
          </cell>
          <cell r="ET325">
            <v>83.851350098913002</v>
          </cell>
          <cell r="EU325">
            <v>14.539931265168001</v>
          </cell>
          <cell r="EV325">
            <v>10.871347142856999</v>
          </cell>
          <cell r="EW325">
            <v>10.436916057856999</v>
          </cell>
          <cell r="EX325">
            <v>12.754478359264001</v>
          </cell>
          <cell r="EY325">
            <v>48.602672825147003</v>
          </cell>
          <cell r="EZ325">
            <v>17.970894870251001</v>
          </cell>
          <cell r="FA325">
            <v>17.792965218070002</v>
          </cell>
          <cell r="FB325">
            <v>17.616797245613999</v>
          </cell>
          <cell r="FC325">
            <v>17.442373510509</v>
          </cell>
          <cell r="FD325">
            <v>70.823030844444006</v>
          </cell>
          <cell r="FE325">
            <v>17.269676743078001</v>
          </cell>
        </row>
        <row r="326">
          <cell r="A326" t="str">
            <v>Cash Flow Statement</v>
          </cell>
        </row>
        <row r="327">
          <cell r="B327" t="str">
            <v>Net income (pre-preferred dividends)</v>
          </cell>
          <cell r="C327" t="str">
            <v>CF_NI_PRE_PREF</v>
          </cell>
          <cell r="D327" t="str">
            <v>USD</v>
          </cell>
          <cell r="F327">
            <v>1453</v>
          </cell>
          <cell r="G327">
            <v>499</v>
          </cell>
          <cell r="H327">
            <v>575</v>
          </cell>
          <cell r="I327">
            <v>562</v>
          </cell>
          <cell r="J327">
            <v>559</v>
          </cell>
          <cell r="K327">
            <v>2195</v>
          </cell>
          <cell r="L327">
            <v>614</v>
          </cell>
          <cell r="M327">
            <v>741</v>
          </cell>
          <cell r="N327">
            <v>1042</v>
          </cell>
          <cell r="O327">
            <v>1057</v>
          </cell>
          <cell r="P327">
            <v>3454</v>
          </cell>
          <cell r="Q327">
            <v>663</v>
          </cell>
          <cell r="R327">
            <v>1133</v>
          </cell>
          <cell r="S327">
            <v>1337</v>
          </cell>
          <cell r="T327">
            <v>1357</v>
          </cell>
          <cell r="U327">
            <v>4490</v>
          </cell>
          <cell r="V327">
            <v>1683</v>
          </cell>
          <cell r="W327">
            <v>1983</v>
          </cell>
          <cell r="X327">
            <v>1917</v>
          </cell>
          <cell r="Y327">
            <v>2202</v>
          </cell>
          <cell r="Z327">
            <v>7785</v>
          </cell>
          <cell r="AA327">
            <v>2191</v>
          </cell>
          <cell r="AB327">
            <v>2436</v>
          </cell>
          <cell r="AC327">
            <v>2385</v>
          </cell>
          <cell r="AD327">
            <v>2409</v>
          </cell>
          <cell r="AE327">
            <v>9421</v>
          </cell>
          <cell r="AF327">
            <v>2206</v>
          </cell>
          <cell r="AG327">
            <v>2624</v>
          </cell>
          <cell r="AH327">
            <v>2451</v>
          </cell>
          <cell r="AI327">
            <v>65</v>
          </cell>
          <cell r="AJ327">
            <v>7346</v>
          </cell>
          <cell r="AK327">
            <v>1283</v>
          </cell>
          <cell r="AL327">
            <v>2283</v>
          </cell>
          <cell r="AM327">
            <v>2738</v>
          </cell>
          <cell r="AN327">
            <v>1525</v>
          </cell>
          <cell r="AO327">
            <v>7829</v>
          </cell>
          <cell r="AP327">
            <v>2041</v>
          </cell>
          <cell r="AQ327">
            <v>1865</v>
          </cell>
          <cell r="AR327">
            <v>2142</v>
          </cell>
          <cell r="AS327">
            <v>1483</v>
          </cell>
          <cell r="AT327">
            <v>7531</v>
          </cell>
          <cell r="AU327">
            <v>2614</v>
          </cell>
          <cell r="AV327">
            <v>1549</v>
          </cell>
          <cell r="AW327">
            <v>1315</v>
          </cell>
          <cell r="AX327">
            <v>2690</v>
          </cell>
          <cell r="AY327">
            <v>8168</v>
          </cell>
          <cell r="AZ327">
            <v>2528</v>
          </cell>
          <cell r="BA327">
            <v>3463</v>
          </cell>
          <cell r="BB327">
            <v>2563</v>
          </cell>
          <cell r="BC327">
            <v>3700</v>
          </cell>
          <cell r="BD327">
            <v>12254</v>
          </cell>
          <cell r="BE327">
            <v>3141</v>
          </cell>
          <cell r="BF327">
            <v>3653</v>
          </cell>
          <cell r="BG327">
            <v>2977</v>
          </cell>
          <cell r="BH327">
            <v>2828</v>
          </cell>
          <cell r="BI327">
            <v>12599</v>
          </cell>
          <cell r="BJ327">
            <v>3478</v>
          </cell>
          <cell r="BK327">
            <v>2626</v>
          </cell>
          <cell r="BL327">
            <v>4926</v>
          </cell>
          <cell r="BM327">
            <v>3035</v>
          </cell>
          <cell r="BN327">
            <v>14065</v>
          </cell>
          <cell r="BO327">
            <v>4289</v>
          </cell>
          <cell r="BP327">
            <v>4707</v>
          </cell>
          <cell r="BQ327">
            <v>4388</v>
          </cell>
          <cell r="BR327">
            <v>4297</v>
          </cell>
          <cell r="BS327">
            <v>17681</v>
          </cell>
          <cell r="BT327">
            <v>4373</v>
          </cell>
          <cell r="BU327">
            <v>4174</v>
          </cell>
          <cell r="BV327">
            <v>2977</v>
          </cell>
          <cell r="BW327">
            <v>3045</v>
          </cell>
          <cell r="BX327">
            <v>14569</v>
          </cell>
          <cell r="BY327">
            <v>3574</v>
          </cell>
          <cell r="BZ327">
            <v>6662</v>
          </cell>
          <cell r="CA327">
            <v>4006</v>
          </cell>
          <cell r="CB327">
            <v>4518</v>
          </cell>
          <cell r="CC327">
            <v>18760</v>
          </cell>
          <cell r="CD327">
            <v>5410</v>
          </cell>
          <cell r="CE327">
            <v>6634</v>
          </cell>
          <cell r="CF327">
            <v>5232</v>
          </cell>
          <cell r="CG327">
            <v>5874</v>
          </cell>
          <cell r="CH327">
            <v>23150</v>
          </cell>
          <cell r="CI327">
            <v>5738</v>
          </cell>
          <cell r="CJ327">
            <v>6624</v>
          </cell>
          <cell r="CK327">
            <v>5108</v>
          </cell>
          <cell r="CL327">
            <v>-492</v>
          </cell>
          <cell r="CM327">
            <v>16978</v>
          </cell>
          <cell r="CN327">
            <v>4466</v>
          </cell>
          <cell r="CO327">
            <v>6377</v>
          </cell>
          <cell r="CP327">
            <v>6055</v>
          </cell>
          <cell r="CQ327">
            <v>4965</v>
          </cell>
          <cell r="CR327">
            <v>21863</v>
          </cell>
          <cell r="CS327">
            <v>5244</v>
          </cell>
          <cell r="CT327">
            <v>6558</v>
          </cell>
          <cell r="CU327">
            <v>5660</v>
          </cell>
          <cell r="CV327">
            <v>4612</v>
          </cell>
          <cell r="CW327">
            <v>22074</v>
          </cell>
          <cell r="CX327">
            <v>4540</v>
          </cell>
          <cell r="CY327">
            <v>5863</v>
          </cell>
          <cell r="CZ327">
            <v>4985</v>
          </cell>
          <cell r="DA327">
            <v>-3195</v>
          </cell>
          <cell r="DB327">
            <v>12193</v>
          </cell>
          <cell r="DC327">
            <v>4620</v>
          </cell>
          <cell r="DD327">
            <v>4998</v>
          </cell>
          <cell r="DE327">
            <v>3756</v>
          </cell>
          <cell r="DF327">
            <v>3122</v>
          </cell>
          <cell r="DG327">
            <v>16496</v>
          </cell>
          <cell r="DH327">
            <v>5667</v>
          </cell>
          <cell r="DI327">
            <v>6267</v>
          </cell>
          <cell r="DJ327">
            <v>5486</v>
          </cell>
          <cell r="DK327">
            <v>8069</v>
          </cell>
          <cell r="DL327">
            <v>25489</v>
          </cell>
          <cell r="DM327">
            <v>6576</v>
          </cell>
          <cell r="DN327">
            <v>-6302</v>
          </cell>
          <cell r="DO327">
            <v>7424</v>
          </cell>
          <cell r="DP327">
            <v>8873</v>
          </cell>
          <cell r="DQ327">
            <v>16571</v>
          </cell>
          <cell r="DR327">
            <v>8824</v>
          </cell>
          <cell r="DS327">
            <v>8420</v>
          </cell>
          <cell r="DT327">
            <v>8809</v>
          </cell>
          <cell r="DU327">
            <v>13187</v>
          </cell>
          <cell r="DV327">
            <v>39240</v>
          </cell>
          <cell r="DW327">
            <v>10678</v>
          </cell>
          <cell r="DX327">
            <v>11649</v>
          </cell>
          <cell r="DY327">
            <v>10752</v>
          </cell>
          <cell r="DZ327">
            <v>11202</v>
          </cell>
          <cell r="EA327">
            <v>44281</v>
          </cell>
          <cell r="EB327">
            <v>13893</v>
          </cell>
          <cell r="EC327">
            <v>15463</v>
          </cell>
          <cell r="ED327">
            <v>15457</v>
          </cell>
          <cell r="EE327">
            <v>16458</v>
          </cell>
          <cell r="EF327">
            <v>61271</v>
          </cell>
          <cell r="EG327">
            <v>20505</v>
          </cell>
          <cell r="EH327">
            <v>18765</v>
          </cell>
          <cell r="EI327">
            <v>16728</v>
          </cell>
          <cell r="EJ327">
            <v>16740</v>
          </cell>
          <cell r="EK327">
            <v>72738</v>
          </cell>
          <cell r="EL327">
            <v>17556</v>
          </cell>
          <cell r="EM327">
            <v>16425</v>
          </cell>
          <cell r="EN327">
            <v>18299</v>
          </cell>
          <cell r="EO327">
            <v>20081</v>
          </cell>
          <cell r="EP327">
            <v>72361</v>
          </cell>
          <cell r="EQ327">
            <v>22291</v>
          </cell>
          <cell r="ER327">
            <v>21870</v>
          </cell>
          <cell r="ES327">
            <v>21939</v>
          </cell>
          <cell r="ET327">
            <v>22656.296310360602</v>
          </cell>
          <cell r="EU327">
            <v>88756.296310360602</v>
          </cell>
          <cell r="EV327">
            <v>24915.128417862001</v>
          </cell>
          <cell r="EW327">
            <v>25988.8294390351</v>
          </cell>
          <cell r="EX327">
            <v>25845.687676435198</v>
          </cell>
          <cell r="EY327">
            <v>27580.365395133998</v>
          </cell>
          <cell r="EZ327">
            <v>104330.010928466</v>
          </cell>
          <cell r="FA327">
            <v>29358.527921110999</v>
          </cell>
          <cell r="FB327">
            <v>30614.777964249999</v>
          </cell>
          <cell r="FC327">
            <v>30518.0361715322</v>
          </cell>
          <cell r="FD327">
            <v>32615.8130936282</v>
          </cell>
          <cell r="FE327">
            <v>123107.15515052099</v>
          </cell>
        </row>
        <row r="328">
          <cell r="A328" t="str">
            <v>Other Items</v>
          </cell>
        </row>
        <row r="329">
          <cell r="B329" t="str">
            <v>Beta</v>
          </cell>
          <cell r="C329" t="str">
            <v>BETA_ANALYST</v>
          </cell>
        </row>
        <row r="330">
          <cell r="B330" t="str">
            <v>Market equity risk premium</v>
          </cell>
          <cell r="C330" t="str">
            <v>MKT_EQ_RISK_PREM</v>
          </cell>
        </row>
        <row r="331">
          <cell r="B331" t="str">
            <v>Risk-free rate</v>
          </cell>
          <cell r="C331" t="str">
            <v>RISK_FR_RATE</v>
          </cell>
        </row>
      </sheetData>
      <sheetData sheetId="5">
        <row r="1">
          <cell r="A1" t="str">
            <v>fa33ed7b-7e41-4ee5-9855-d58a21e5a452</v>
          </cell>
        </row>
        <row r="2">
          <cell r="A2" t="str">
            <v>\\firmwide.corp.gs.com\root\Projects\Research\ny\Software and Internet\Models - Current Coverage\MSFT\[MSFT Model - updates for capex note.xlsx]MSFT_Validation_Sheet</v>
          </cell>
        </row>
        <row r="7">
          <cell r="A7" t="str">
            <v>Scalar|||208000430|||ISSR|||CURRENCY_ISO|||False|||</v>
          </cell>
          <cell r="C7" t="str">
            <v>V_KEYWORD_ISSR_208000430_CURRENCY_ISO</v>
          </cell>
        </row>
        <row r="9">
          <cell r="A9" t="str">
            <v>Scalar|||208000430|||ISSR|||MA_PROB|||False|||</v>
          </cell>
          <cell r="C9" t="str">
            <v>V_KEYWORD_ISSR_208000430_MA_PROB</v>
          </cell>
        </row>
        <row r="11">
          <cell r="A11" t="str">
            <v>Vector|||208000430|||ISSR|||SALES|||False|||</v>
          </cell>
          <cell r="C11" t="str">
            <v>V_KEYWORD_ISSR_208000430_SALES</v>
          </cell>
        </row>
        <row r="12">
          <cell r="A12" t="str">
            <v>Vector|||208000430|||ISSR|||COST_GD_SD|||False|||</v>
          </cell>
          <cell r="C12" t="str">
            <v>V_KEYWORD_ISSR_208000430_COST_GD_SD</v>
          </cell>
        </row>
        <row r="13">
          <cell r="A13" t="str">
            <v>Vector|||208000430|||ISSR|||SEL_GL_AD|||False|||</v>
          </cell>
          <cell r="C13" t="str">
            <v>V_KEYWORD_ISSR_208000430_SEL_GL_AD</v>
          </cell>
        </row>
        <row r="14">
          <cell r="A14" t="str">
            <v>Vector|||208000430|||ISSR|||OP_COST|||False|||</v>
          </cell>
          <cell r="C14" t="str">
            <v>V_KEYWORD_ISSR_208000430_OP_COST</v>
          </cell>
        </row>
        <row r="15">
          <cell r="A15" t="str">
            <v>Vector|||208000430|||ISSR|||RD_EXP|||False|||</v>
          </cell>
          <cell r="C15" t="str">
            <v>V_KEYWORD_ISSR_208000430_RD_EXP</v>
          </cell>
        </row>
        <row r="16">
          <cell r="A16" t="str">
            <v>Vector|||208000430|||ISSR|||ESO_PRE_TAX|||False|||</v>
          </cell>
          <cell r="C16" t="str">
            <v>V_KEYWORD_ISSR_208000430_ESO_PRE_TAX</v>
          </cell>
        </row>
        <row r="17">
          <cell r="A17" t="str">
            <v>Vector|||208000430|||ISSR|||OTH_OP_INC_EXP|||False|||</v>
          </cell>
          <cell r="C17" t="str">
            <v>V_KEYWORD_ISSR_208000430_OTH_OP_INC_EXP</v>
          </cell>
        </row>
        <row r="18">
          <cell r="A18" t="str">
            <v>Vector|||208000430|||ISSR|||TOT_OPS_EXP_DDA|||False|||</v>
          </cell>
          <cell r="C18" t="str">
            <v>V_KEYWORD_ISSR_208000430_TOT_OPS_EXP_DDA</v>
          </cell>
        </row>
        <row r="19">
          <cell r="A19" t="str">
            <v>Vector|||208000430|||ISSR|||TOT_OPS_EXP|||False|||</v>
          </cell>
          <cell r="C19" t="str">
            <v>V_KEYWORD_ISSR_208000430_TOT_OPS_EXP</v>
          </cell>
        </row>
        <row r="20">
          <cell r="A20" t="str">
            <v>Vector|||208000430|||ISSR|||EBITDA_CALC|||False|||</v>
          </cell>
          <cell r="C20" t="str">
            <v>V_KEYWORD_ISSR_208000430_EBITDA_CALC</v>
          </cell>
        </row>
        <row r="21">
          <cell r="A21" t="str">
            <v>Vector|||208000430|||ISSR|||DEPREC|||False|||</v>
          </cell>
          <cell r="C21" t="str">
            <v>V_KEYWORD_ISSR_208000430_DEPREC</v>
          </cell>
        </row>
        <row r="22">
          <cell r="A22" t="str">
            <v>Vector|||208000430|||ISSR|||GOODWILL_AMORT|||False|||</v>
          </cell>
          <cell r="C22" t="str">
            <v>V_KEYWORD_ISSR_208000430_GOODWILL_AMORT</v>
          </cell>
        </row>
        <row r="23">
          <cell r="A23" t="str">
            <v>Vector|||208000430|||ISSR|||EBIT|||False|||</v>
          </cell>
          <cell r="C23" t="str">
            <v>V_KEYWORD_ISSR_208000430_EBIT</v>
          </cell>
        </row>
        <row r="24">
          <cell r="A24" t="str">
            <v>Vector|||208000430|||ISSR|||INT_INC_IND|||False|||</v>
          </cell>
          <cell r="C24" t="str">
            <v>V_KEYWORD_ISSR_208000430_INT_INC_IND</v>
          </cell>
        </row>
        <row r="25">
          <cell r="A25" t="str">
            <v>Vector|||208000430|||ISSR|||INT_EXP_IND|||False|||</v>
          </cell>
          <cell r="C25" t="str">
            <v>V_KEYWORD_ISSR_208000430_INT_EXP_IND</v>
          </cell>
        </row>
        <row r="26">
          <cell r="A26" t="str">
            <v>Vector|||208000430|||ISSR|||NET_INT_EXP|||False|||</v>
          </cell>
          <cell r="C26" t="str">
            <v>V_KEYWORD_ISSR_208000430_NET_INT_EXP</v>
          </cell>
        </row>
        <row r="27">
          <cell r="A27" t="str">
            <v>Vector|||208000430|||ISSR|||ASSOCIATE|||False|||</v>
          </cell>
          <cell r="C27" t="str">
            <v>V_KEYWORD_ISSR_208000430_ASSOCIATE</v>
          </cell>
        </row>
        <row r="28">
          <cell r="A28" t="str">
            <v>Vector|||208000430|||ISSR|||PROFIT_ON_DISP|||False|||</v>
          </cell>
          <cell r="C28" t="str">
            <v>V_KEYWORD_ISSR_208000430_PROFIT_ON_DISP</v>
          </cell>
        </row>
        <row r="29">
          <cell r="A29" t="str">
            <v>Vector|||208000430|||ISSR|||OTH_COST_INC|||False|||</v>
          </cell>
          <cell r="C29" t="str">
            <v>V_KEYWORD_ISSR_208000430_OTH_COST_INC</v>
          </cell>
        </row>
        <row r="30">
          <cell r="A30" t="str">
            <v>Vector|||208000430|||ISSR|||PT_PROF|||False|||</v>
          </cell>
          <cell r="C30" t="str">
            <v>V_KEYWORD_ISSR_208000430_PT_PROF</v>
          </cell>
        </row>
        <row r="32">
          <cell r="A32" t="str">
            <v>Vector|||208000430|||ISSR|||LEASE_PAY|||False|||</v>
          </cell>
          <cell r="C32" t="str">
            <v>V_KEYWORD_ISSR_208000430_LEASE_PAY</v>
          </cell>
        </row>
        <row r="33">
          <cell r="A33" t="str">
            <v>Vector|||208000430|||ISSR|||LEASE_DEEM_INT|||False|||</v>
          </cell>
          <cell r="C33" t="str">
            <v>V_KEYWORD_ISSR_208000430_LEASE_DEEM_INT</v>
          </cell>
        </row>
        <row r="34">
          <cell r="A34" t="str">
            <v>Vector|||208000430|||ISSR|||LEASE_DEEM_DEPR|||False|||</v>
          </cell>
          <cell r="C34" t="str">
            <v>V_KEYWORD_ISSR_208000430_LEASE_DEEM_DEPR</v>
          </cell>
        </row>
        <row r="35">
          <cell r="A35" t="str">
            <v>Vector|||208000430|||ISSR|||NET_INT_CH|||False|||</v>
          </cell>
          <cell r="C35" t="str">
            <v>V_KEYWORD_ISSR_208000430_NET_INT_CH</v>
          </cell>
        </row>
        <row r="36">
          <cell r="A36" t="str">
            <v>Vector|||208000430|||ISSR|||ASSOCIATE_OP|||False|||</v>
          </cell>
          <cell r="C36" t="str">
            <v>V_KEYWORD_ISSR_208000430_ASSOCIATE_OP</v>
          </cell>
        </row>
        <row r="37">
          <cell r="A37" t="str">
            <v>Vector|||208000430|||ISSR|||DEPR_ROU_ASSETS|||False|||</v>
          </cell>
          <cell r="C37" t="str">
            <v>V_KEYWORD_ISSR_208000430_DEPR_ROU_ASSETS</v>
          </cell>
        </row>
        <row r="38">
          <cell r="A38" t="str">
            <v>Vector|||208000430|||ISSR|||LEASE_INT_CHG|||False|||</v>
          </cell>
          <cell r="C38" t="str">
            <v>V_KEYWORD_ISSR_208000430_LEASE_INT_CHG</v>
          </cell>
        </row>
        <row r="39">
          <cell r="A39" t="str">
            <v>Scalar|||208000430|||ISSR|||LEASE_ADOPT|||False|||</v>
          </cell>
          <cell r="C39" t="str">
            <v>V_KEYWORD_ISSR_208000430_LEASE_ADOPT</v>
          </cell>
        </row>
        <row r="40">
          <cell r="A40" t="str">
            <v>Vector|||208000430|||ISSR|||SBC_COST_OF_GOODS_SOLD|||False|||</v>
          </cell>
          <cell r="C40" t="str">
            <v>V_KEYWORD_ISSR_208000430_SBC_COST_OF_GOODS_SOLD</v>
          </cell>
        </row>
        <row r="41">
          <cell r="A41" t="str">
            <v>Vector|||208000430|||ISSR|||SBC_SALES_MARKETING|||False|||</v>
          </cell>
          <cell r="C41" t="str">
            <v>V_KEYWORD_ISSR_208000430_SBC_SALES_MARKETING</v>
          </cell>
        </row>
        <row r="42">
          <cell r="A42" t="str">
            <v>Vector|||208000430|||ISSR|||SBC_RESEARCH_DEVELOPMENT|||False|||</v>
          </cell>
          <cell r="C42" t="str">
            <v>V_KEYWORD_ISSR_208000430_SBC_RESEARCH_DEVELOPMENT</v>
          </cell>
        </row>
        <row r="43">
          <cell r="A43" t="str">
            <v>Vector|||208000430|||ISSR|||SBC_GEN_ADMINISTRATIVE|||False|||</v>
          </cell>
          <cell r="C43" t="str">
            <v>V_KEYWORD_ISSR_208000430_SBC_GEN_ADMINISTRATIVE</v>
          </cell>
        </row>
        <row r="44">
          <cell r="A44" t="str">
            <v>Vector|||208000430|||ISSR|||SBC_TOTAL|||False|||</v>
          </cell>
          <cell r="C44" t="str">
            <v>V_KEYWORD_ISSR_208000430_SBC_TOTAL</v>
          </cell>
        </row>
        <row r="45">
          <cell r="A45" t="str">
            <v>Vector|||208000430|||ISSR|||COGS_N_GAAP|||False|||</v>
          </cell>
          <cell r="C45" t="str">
            <v>V_KEYWORD_ISSR_208000430_COGS_N_GAAP</v>
          </cell>
        </row>
        <row r="46">
          <cell r="A46" t="str">
            <v>Vector|||208000430|||ISSR|||GROSS_PROFIT_N_GAAP|||False|||</v>
          </cell>
          <cell r="C46" t="str">
            <v>V_KEYWORD_ISSR_208000430_GROSS_PROFIT_N_GAAP</v>
          </cell>
        </row>
        <row r="47">
          <cell r="A47" t="str">
            <v>Vector|||208000430|||ISSR|||GEN_ADMIN_N_GAAP|||False|||</v>
          </cell>
          <cell r="C47" t="str">
            <v>V_KEYWORD_ISSR_208000430_GEN_ADMIN_N_GAAP</v>
          </cell>
        </row>
        <row r="48">
          <cell r="A48" t="str">
            <v>Vector|||208000430|||ISSR|||SALES_MARKETING_N_GAAP|||False|||</v>
          </cell>
          <cell r="C48" t="str">
            <v>V_KEYWORD_ISSR_208000430_SALES_MARKETING_N_GAAP</v>
          </cell>
        </row>
        <row r="49">
          <cell r="A49" t="str">
            <v>Vector|||208000430|||ISSR|||RD_N_GAAP|||False|||</v>
          </cell>
          <cell r="C49" t="str">
            <v>V_KEYWORD_ISSR_208000430_RD_N_GAAP</v>
          </cell>
        </row>
        <row r="50">
          <cell r="A50" t="str">
            <v>Vector|||208000430|||ISSR|||OPS_EXP_N_GAAP|||False|||</v>
          </cell>
          <cell r="C50" t="str">
            <v>V_KEYWORD_ISSR_208000430_OPS_EXP_N_GAAP</v>
          </cell>
        </row>
        <row r="51">
          <cell r="A51" t="str">
            <v>Vector|||208000430|||ISSR|||OP_INC_N_GAAP|||False|||</v>
          </cell>
          <cell r="C51" t="str">
            <v>V_KEYWORD_ISSR_208000430_OP_INC_N_GAAP</v>
          </cell>
        </row>
        <row r="52">
          <cell r="A52" t="str">
            <v>Vector|||208000430|||ISSR|||NET_INC_N_GAAP|||False|||</v>
          </cell>
          <cell r="C52" t="str">
            <v>V_KEYWORD_ISSR_208000430_NET_INC_N_GAAP</v>
          </cell>
        </row>
        <row r="54">
          <cell r="A54" t="str">
            <v>Vector|||208000430|||ISSR|||CASH_EQ|||False|||</v>
          </cell>
          <cell r="C54" t="str">
            <v>V_KEYWORD_ISSR_208000430_CASH_EQ</v>
          </cell>
        </row>
        <row r="55">
          <cell r="A55" t="str">
            <v>Vector|||208000430|||ISSR|||DEBTORS|||False|||</v>
          </cell>
          <cell r="C55" t="str">
            <v>V_KEYWORD_ISSR_208000430_DEBTORS</v>
          </cell>
        </row>
        <row r="56">
          <cell r="A56" t="str">
            <v>Vector|||208000430|||ISSR|||STOCKS|||False|||</v>
          </cell>
          <cell r="C56" t="str">
            <v>V_KEYWORD_ISSR_208000430_STOCKS</v>
          </cell>
        </row>
        <row r="57">
          <cell r="A57" t="str">
            <v>Vector|||208000430|||ISSR|||OTH_CUR_ASS|||False|||</v>
          </cell>
          <cell r="C57" t="str">
            <v>V_KEYWORD_ISSR_208000430_OTH_CUR_ASS</v>
          </cell>
        </row>
        <row r="58">
          <cell r="A58" t="str">
            <v>Vector|||208000430|||ISSR|||CUR_ASS|||False|||</v>
          </cell>
          <cell r="C58" t="str">
            <v>V_KEYWORD_ISSR_208000430_CUR_ASS</v>
          </cell>
        </row>
        <row r="59">
          <cell r="A59" t="str">
            <v>Vector|||208000430|||ISSR|||GR_FIX_ASS|||False|||</v>
          </cell>
          <cell r="C59" t="str">
            <v>V_KEYWORD_ISSR_208000430_GR_FIX_ASS</v>
          </cell>
        </row>
        <row r="60">
          <cell r="A60" t="str">
            <v>Vector|||208000430|||ISSR|||ACC_DDA|||False|||</v>
          </cell>
          <cell r="C60" t="str">
            <v>V_KEYWORD_ISSR_208000430_ACC_DDA</v>
          </cell>
        </row>
        <row r="61">
          <cell r="A61" t="str">
            <v>Vector|||208000430|||ISSR|||NET_FIX_ASS|||False|||</v>
          </cell>
          <cell r="C61" t="str">
            <v>V_KEYWORD_ISSR_208000430_NET_FIX_ASS</v>
          </cell>
        </row>
        <row r="62">
          <cell r="A62" t="str">
            <v>Vector|||208000430|||ISSR|||GR_INTANG|||False|||</v>
          </cell>
          <cell r="C62" t="str">
            <v>V_KEYWORD_ISSR_208000430_GR_INTANG</v>
          </cell>
        </row>
        <row r="63">
          <cell r="A63" t="str">
            <v>Vector|||208000430|||ISSR|||ACC_AMORT|||False|||</v>
          </cell>
          <cell r="C63" t="str">
            <v>V_KEYWORD_ISSR_208000430_ACC_AMORT</v>
          </cell>
        </row>
        <row r="64">
          <cell r="A64" t="str">
            <v>Vector|||208000430|||ISSR|||NET_INTANG|||False|||</v>
          </cell>
          <cell r="C64" t="str">
            <v>V_KEYWORD_ISSR_208000430_NET_INTANG</v>
          </cell>
        </row>
        <row r="65">
          <cell r="A65" t="str">
            <v>Vector|||208000430|||ISSR|||FIX_ASS_INV|||False|||</v>
          </cell>
          <cell r="C65" t="str">
            <v>V_KEYWORD_ISSR_208000430_FIX_ASS_INV</v>
          </cell>
        </row>
        <row r="66">
          <cell r="A66" t="str">
            <v>Vector|||208000430|||ISSR|||INV_SECUR|||False|||</v>
          </cell>
          <cell r="C66" t="str">
            <v>V_KEYWORD_ISSR_208000430_INV_SECUR</v>
          </cell>
        </row>
        <row r="67">
          <cell r="A67" t="str">
            <v>Vector|||208000430|||ISSR|||OTH_LT_ASS|||False|||</v>
          </cell>
          <cell r="C67" t="str">
            <v>V_KEYWORD_ISSR_208000430_OTH_LT_ASS</v>
          </cell>
        </row>
        <row r="68">
          <cell r="A68" t="str">
            <v>Vector|||208000430|||ISSR|||TOT_ASSET|||False|||</v>
          </cell>
          <cell r="C68" t="str">
            <v>V_KEYWORD_ISSR_208000430_TOT_ASSET</v>
          </cell>
        </row>
        <row r="69">
          <cell r="A69" t="str">
            <v>Vector|||208000430|||ISSR|||ACC_PAY_GQ|||False|||</v>
          </cell>
          <cell r="C69" t="str">
            <v>V_KEYWORD_ISSR_208000430_ACC_PAY_GQ</v>
          </cell>
        </row>
        <row r="70">
          <cell r="A70" t="str">
            <v>Vector|||208000430|||ISSR|||SHORT_T_DEBT|||False|||</v>
          </cell>
          <cell r="C70" t="str">
            <v>V_KEYWORD_ISSR_208000430_SHORT_T_DEBT</v>
          </cell>
        </row>
        <row r="71">
          <cell r="A71" t="str">
            <v>Vector|||208000430|||ISSR|||ST_LEASE_LIAB|||False|||</v>
          </cell>
          <cell r="C71" t="str">
            <v>V_KEYWORD_ISSR_208000430_ST_LEASE_LIAB</v>
          </cell>
        </row>
        <row r="72">
          <cell r="A72" t="str">
            <v>Vector|||208000430|||ISSR|||OTH_CUR_LIABS|||False|||</v>
          </cell>
          <cell r="C72" t="str">
            <v>V_KEYWORD_ISSR_208000430_OTH_CUR_LIABS</v>
          </cell>
        </row>
        <row r="73">
          <cell r="A73" t="str">
            <v>Vector|||208000430|||ISSR|||SHORT_TERM_LIABS|||False|||</v>
          </cell>
          <cell r="C73" t="str">
            <v>V_KEYWORD_ISSR_208000430_SHORT_TERM_LIABS</v>
          </cell>
        </row>
        <row r="74">
          <cell r="A74" t="str">
            <v>Vector|||208000430|||ISSR|||TOT_DEF_REV|||False|||</v>
          </cell>
          <cell r="C74" t="str">
            <v>V_KEYWORD_ISSR_208000430_TOT_DEF_REV</v>
          </cell>
        </row>
        <row r="75">
          <cell r="A75" t="str">
            <v>Vector|||208000430|||ISSR|||LT_DEBT|||False|||</v>
          </cell>
          <cell r="C75" t="str">
            <v>V_KEYWORD_ISSR_208000430_LT_DEBT</v>
          </cell>
        </row>
        <row r="76">
          <cell r="A76" t="str">
            <v>Vector|||208000430|||ISSR|||LT_LEASE_LIAB|||False|||</v>
          </cell>
          <cell r="C76" t="str">
            <v>V_KEYWORD_ISSR_208000430_LT_LEASE_LIAB</v>
          </cell>
        </row>
        <row r="77">
          <cell r="A77" t="str">
            <v>Vector|||208000430|||ISSR|||OTH_LT_CRED_GQ|||False|||</v>
          </cell>
          <cell r="C77" t="str">
            <v>V_KEYWORD_ISSR_208000430_OTH_LT_CRED_GQ</v>
          </cell>
        </row>
        <row r="78">
          <cell r="A78" t="str">
            <v>Vector|||208000430|||ISSR|||TOT_LT_LIAB|||False|||</v>
          </cell>
          <cell r="C78" t="str">
            <v>V_KEYWORD_ISSR_208000430_TOT_LT_LIAB</v>
          </cell>
        </row>
        <row r="79">
          <cell r="A79" t="str">
            <v>Vector|||208000430|||ISSR|||TOT_LIAB|||False|||</v>
          </cell>
          <cell r="C79" t="str">
            <v>V_KEYWORD_ISSR_208000430_TOT_LIAB</v>
          </cell>
        </row>
        <row r="80">
          <cell r="A80" t="str">
            <v>Vector|||208000430|||ISSR|||PREF_SH|||False|||</v>
          </cell>
          <cell r="C80" t="str">
            <v>V_KEYWORD_ISSR_208000430_PREF_SH</v>
          </cell>
        </row>
        <row r="81">
          <cell r="A81" t="str">
            <v>Vector|||208000430|||ISSR|||ORD_SH_FUND|||False|||</v>
          </cell>
          <cell r="C81" t="str">
            <v>V_KEYWORD_ISSR_208000430_ORD_SH_FUND</v>
          </cell>
        </row>
        <row r="82">
          <cell r="A82" t="str">
            <v>Vector|||208000430|||ISSR|||MINORITIES|||False|||</v>
          </cell>
          <cell r="C82" t="str">
            <v>V_KEYWORD_ISSR_208000430_MINORITIES</v>
          </cell>
        </row>
        <row r="83">
          <cell r="A83" t="str">
            <v>Vector|||208000430|||ISSR|||EQ|||False|||</v>
          </cell>
          <cell r="C83" t="str">
            <v>V_KEYWORD_ISSR_208000430_EQ</v>
          </cell>
        </row>
        <row r="84">
          <cell r="A84" t="str">
            <v>Vector|||208000430|||ISSR|||TOT_LIAB_EQ|||False|||</v>
          </cell>
          <cell r="C84" t="str">
            <v>V_KEYWORD_ISSR_208000430_TOT_LIAB_EQ</v>
          </cell>
        </row>
        <row r="86">
          <cell r="A86" t="str">
            <v>Vector|||208000430|||ISSR|||TOT_USD_DEBT|||False|||</v>
          </cell>
          <cell r="C86" t="str">
            <v>V_KEYWORD_ISSR_208000430_TOT_USD_DEBT</v>
          </cell>
        </row>
        <row r="87">
          <cell r="A87" t="str">
            <v>Vector|||208000430|||ISSR|||TOT_PCT_USD_DEBT_HEDGED|||False|||</v>
          </cell>
          <cell r="C87" t="str">
            <v>V_KEYWORD_ISSR_208000430_TOT_PCT_USD_DEBT_HEDGED</v>
          </cell>
        </row>
        <row r="88">
          <cell r="A88" t="str">
            <v>Vector|||208000430|||ISSR|||FLOATING_PCT_LOCAL_DEBT|||False|||</v>
          </cell>
          <cell r="C88" t="str">
            <v>V_KEYWORD_ISSR_208000430_FLOATING_PCT_LOCAL_DEBT</v>
          </cell>
        </row>
        <row r="89">
          <cell r="A89" t="str">
            <v>Vector|||208000430|||ISSR|||FLOATING_PCT_LOCAL_DEBT_HEDGED|||False|||</v>
          </cell>
          <cell r="C89" t="str">
            <v>V_KEYWORD_ISSR_208000430_FLOATING_PCT_LOCAL_DEBT_HEDGED</v>
          </cell>
        </row>
        <row r="90">
          <cell r="A90" t="str">
            <v>Vector|||208000430|||ISSR|||NET_DEBT|||False|||</v>
          </cell>
          <cell r="C90" t="str">
            <v>V_KEYWORD_ISSR_208000430_NET_DEBT</v>
          </cell>
        </row>
        <row r="91">
          <cell r="A91" t="str">
            <v>Vector|||208000430|||ISSR|||CAP_LEASES|||False|||</v>
          </cell>
          <cell r="C91" t="str">
            <v>V_KEYWORD_ISSR_208000430_CAP_LEASES</v>
          </cell>
        </row>
        <row r="92">
          <cell r="A92" t="str">
            <v>Vector|||208000430|||ISSR|||DEF_INC_TAX|||False|||</v>
          </cell>
          <cell r="C92" t="str">
            <v>V_KEYWORD_ISSR_208000430_DEF_INC_TAX</v>
          </cell>
        </row>
        <row r="93">
          <cell r="A93" t="str">
            <v>Vector|||208000430|||ISSR|||NET_OP_LOSS_CFWD|||False|||</v>
          </cell>
          <cell r="C93" t="str">
            <v>V_KEYWORD_ISSR_208000430_NET_OP_LOSS_CFWD</v>
          </cell>
        </row>
        <row r="94">
          <cell r="A94" t="str">
            <v>Vector|||208000430|||ISSR|||MV_ASSOCIATES|||False|||</v>
          </cell>
          <cell r="C94" t="str">
            <v>V_KEYWORD_ISSR_208000430_MV_ASSOCIATES</v>
          </cell>
        </row>
        <row r="95">
          <cell r="A95" t="str">
            <v>Vector|||208000430|||ISSR|||NET_DEBT_ADJ|||False|||</v>
          </cell>
          <cell r="C95" t="str">
            <v>V_KEYWORD_ISSR_208000430_NET_DEBT_ADJ</v>
          </cell>
        </row>
        <row r="96">
          <cell r="A96" t="str">
            <v>Vector|||208000430|||ISSR|||CO_BOR_MARGIN|||False|||</v>
          </cell>
          <cell r="C96" t="str">
            <v>V_KEYWORD_ISSR_208000430_CO_BOR_MARGIN</v>
          </cell>
        </row>
        <row r="97">
          <cell r="A97" t="str">
            <v>Vector|||208000430|||ISSR|||UNF_PENS|||False|||</v>
          </cell>
          <cell r="C97" t="str">
            <v>V_KEYWORD_ISSR_208000430_UNF_PENS</v>
          </cell>
        </row>
        <row r="98">
          <cell r="A98" t="str">
            <v>Vector|||208000430|||ISSR|||UNF_PENS_OFF|||False|||</v>
          </cell>
          <cell r="C98" t="str">
            <v>V_KEYWORD_ISSR_208000430_UNF_PENS_OFF</v>
          </cell>
        </row>
        <row r="99">
          <cell r="A99" t="str">
            <v>Vector|||208000430|||ISSR|||UNF_PENS_LIAB_OTH|||False|||</v>
          </cell>
          <cell r="C99" t="str">
            <v>V_KEYWORD_ISSR_208000430_UNF_PENS_LIAB_OTH</v>
          </cell>
        </row>
        <row r="100">
          <cell r="A100" t="str">
            <v>Vector|||208000430|||ISSR|||ADJ_UNF_PENS_GOOD|||False|||</v>
          </cell>
          <cell r="C100" t="str">
            <v>V_KEYWORD_ISSR_208000430_ADJ_UNF_PENS_GOOD</v>
          </cell>
        </row>
        <row r="101">
          <cell r="A101" t="str">
            <v>Vector|||208000430|||ISSR|||OTH_GCI_ADJ|||False|||</v>
          </cell>
          <cell r="C101" t="str">
            <v>V_KEYWORD_ISSR_208000430_OTH_GCI_ADJ</v>
          </cell>
        </row>
        <row r="102">
          <cell r="A102" t="str">
            <v>Vector|||208000430|||ISSR|||GCI_INFL|||False|||</v>
          </cell>
          <cell r="C102" t="str">
            <v>V_KEYWORD_ISSR_208000430_GCI_INFL</v>
          </cell>
        </row>
        <row r="103">
          <cell r="A103" t="str">
            <v>Vector|||208000430|||ISSR|||BAL_MINO_INT|||False|||</v>
          </cell>
          <cell r="C103" t="str">
            <v>V_KEYWORD_ISSR_208000430_BAL_MINO_INT</v>
          </cell>
        </row>
        <row r="104">
          <cell r="A104" t="str">
            <v>Vector|||208000430|||ISSR|||ROU_ASSET|||False|||</v>
          </cell>
          <cell r="C104" t="str">
            <v>V_KEYWORD_ISSR_208000430_ROU_ASSET</v>
          </cell>
        </row>
        <row r="106">
          <cell r="A106" t="str">
            <v>Vector|||208000430|||ISSR|||CF_INC_MINORITY|||False|||</v>
          </cell>
          <cell r="C106" t="str">
            <v>V_KEYWORD_ISSR_208000430_CF_INC_MINORITY</v>
          </cell>
        </row>
        <row r="107">
          <cell r="A107" t="str">
            <v>Vector|||208000430|||ISSR|||DEPR_AMORT|||False|||</v>
          </cell>
          <cell r="C107" t="str">
            <v>V_KEYWORD_ISSR_208000430_DEPR_AMORT</v>
          </cell>
        </row>
        <row r="108">
          <cell r="A108" t="str">
            <v>Vector|||208000430|||ISSR|||WORK_CAP|||False|||</v>
          </cell>
          <cell r="C108" t="str">
            <v>V_KEYWORD_ISSR_208000430_WORK_CAP</v>
          </cell>
        </row>
        <row r="109">
          <cell r="A109" t="str">
            <v>Vector|||208000430|||ISSR|||OTH_OP_CF|||False|||</v>
          </cell>
          <cell r="C109" t="str">
            <v>V_KEYWORD_ISSR_208000430_OTH_OP_CF</v>
          </cell>
        </row>
        <row r="110">
          <cell r="A110" t="str">
            <v>Vector|||208000430|||ISSR|||CF_OPS|||False|||</v>
          </cell>
          <cell r="C110" t="str">
            <v>V_KEYWORD_ISSR_208000430_CF_OPS</v>
          </cell>
        </row>
        <row r="111">
          <cell r="A111" t="str">
            <v>Vector|||208000430|||ISSR|||CAPEX|||False|||</v>
          </cell>
          <cell r="C111" t="str">
            <v>V_KEYWORD_ISSR_208000430_CAPEX</v>
          </cell>
        </row>
        <row r="112">
          <cell r="A112" t="str">
            <v>Vector|||208000430|||ISSR|||ACQ|||False|||</v>
          </cell>
          <cell r="C112" t="str">
            <v>V_KEYWORD_ISSR_208000430_ACQ</v>
          </cell>
        </row>
        <row r="113">
          <cell r="A113" t="str">
            <v>Vector|||208000430|||ISSR|||DIVEST|||False|||</v>
          </cell>
          <cell r="C113" t="str">
            <v>V_KEYWORD_ISSR_208000430_DIVEST</v>
          </cell>
        </row>
        <row r="114">
          <cell r="A114" t="str">
            <v>Vector|||208000430|||ISSR|||OTH_INV_CF|||False|||</v>
          </cell>
          <cell r="C114" t="str">
            <v>V_KEYWORD_ISSR_208000430_OTH_INV_CF</v>
          </cell>
        </row>
        <row r="115">
          <cell r="A115" t="str">
            <v>Vector|||208000430|||ISSR|||CF_INV|||False|||</v>
          </cell>
          <cell r="C115" t="str">
            <v>V_KEYWORD_ISSR_208000430_CF_INV</v>
          </cell>
        </row>
        <row r="116">
          <cell r="A116" t="str">
            <v>Vector|||208000430|||ISSR|||DIV_PAID|||False|||</v>
          </cell>
          <cell r="C116" t="str">
            <v>V_KEYWORD_ISSR_208000430_DIV_PAID</v>
          </cell>
        </row>
        <row r="117">
          <cell r="A117" t="str">
            <v>Vector|||208000430|||ISSR|||SH_REPUR|||False|||</v>
          </cell>
          <cell r="C117" t="str">
            <v>V_KEYWORD_ISSR_208000430_SH_REPUR</v>
          </cell>
        </row>
        <row r="118">
          <cell r="A118" t="str">
            <v>Vector|||208000430|||ISSR|||CHG_LT_DEBT|||False|||</v>
          </cell>
          <cell r="C118" t="str">
            <v>V_KEYWORD_ISSR_208000430_CHG_LT_DEBT</v>
          </cell>
        </row>
        <row r="119">
          <cell r="A119" t="str">
            <v>Vector|||208000430|||ISSR|||LEASE_PRINCIPAL_CASH|||False|||</v>
          </cell>
          <cell r="C119" t="str">
            <v>V_KEYWORD_ISSR_208000430_LEASE_PRINCIPAL_CASH</v>
          </cell>
        </row>
        <row r="120">
          <cell r="A120" t="str">
            <v>Vector|||208000430|||ISSR|||OTH_FIN_CF|||False|||</v>
          </cell>
          <cell r="C120" t="str">
            <v>V_KEYWORD_ISSR_208000430_OTH_FIN_CF</v>
          </cell>
        </row>
        <row r="121">
          <cell r="A121" t="str">
            <v>Vector|||208000430|||ISSR|||CF_FIN|||False|||</v>
          </cell>
          <cell r="C121" t="str">
            <v>V_KEYWORD_ISSR_208000430_CF_FIN</v>
          </cell>
        </row>
        <row r="122">
          <cell r="A122" t="str">
            <v>Vector|||208000430|||ISSR|||TOT_CF|||False|||</v>
          </cell>
          <cell r="C122" t="str">
            <v>V_KEYWORD_ISSR_208000430_TOT_CF</v>
          </cell>
        </row>
        <row r="124">
          <cell r="A124" t="str">
            <v>Vector|||208000430|||ISSR|||ASSOC_JV_ADDBK|||False|||</v>
          </cell>
          <cell r="C124" t="str">
            <v>V_KEYWORD_ISSR_208000430_ASSOC_JV_ADDBK</v>
          </cell>
        </row>
        <row r="125">
          <cell r="A125" t="str">
            <v>Vector|||208000430|||ISSR|||PL_SALE_ASSETS|||False|||</v>
          </cell>
          <cell r="C125" t="str">
            <v>V_KEYWORD_ISSR_208000430_PL_SALE_ASSETS</v>
          </cell>
        </row>
        <row r="126">
          <cell r="A126" t="str">
            <v>Vector|||208000430|||ISSR|||OTH_NONCASH_ADJ|||False|||</v>
          </cell>
          <cell r="C126" t="str">
            <v>V_KEYWORD_ISSR_208000430_OTH_NONCASH_ADJ</v>
          </cell>
        </row>
        <row r="127">
          <cell r="A127" t="str">
            <v>Vector|||208000430|||ISSR|||OTH_DACF_ADJ|||False|||</v>
          </cell>
          <cell r="C127" t="str">
            <v>V_KEYWORD_ISSR_208000430_OTH_DACF_ADJ</v>
          </cell>
        </row>
        <row r="128">
          <cell r="A128" t="str">
            <v>Vector|||208000430|||ISSR|||CHG_DEF_TAX_CF|||False|||</v>
          </cell>
          <cell r="C128" t="str">
            <v>V_KEYWORD_ISSR_208000430_CHG_DEF_TAX_CF</v>
          </cell>
        </row>
        <row r="129">
          <cell r="A129" t="str">
            <v>Vector|||208000430|||ISSR|||OTH_ADJ_CASH_TAX|||False|||</v>
          </cell>
          <cell r="C129" t="str">
            <v>V_KEYWORD_ISSR_208000430_OTH_ADJ_CASH_TAX</v>
          </cell>
        </row>
        <row r="130">
          <cell r="A130" t="str">
            <v>Vector|||208000430|||ISSR|||CASH_INT_EXP|||False|||</v>
          </cell>
          <cell r="C130" t="str">
            <v>V_KEYWORD_ISSR_208000430_CASH_INT_EXP</v>
          </cell>
        </row>
        <row r="131">
          <cell r="A131" t="str">
            <v>Vector|||208000430|||ISSR|||CASH_TAX_EXP|||False|||</v>
          </cell>
          <cell r="C131" t="str">
            <v>V_KEYWORD_ISSR_208000430_CASH_TAX_EXP</v>
          </cell>
        </row>
        <row r="132">
          <cell r="A132" t="str">
            <v>Vector|||208000430|||ISSR|||DIVDS_ASSOC_JV|||False|||</v>
          </cell>
          <cell r="C132" t="str">
            <v>V_KEYWORD_ISSR_208000430_DIVDS_ASSOC_JV</v>
          </cell>
        </row>
        <row r="133">
          <cell r="A133" t="str">
            <v>Vector|||208000430|||ISSR|||CAPEX_MAINTENANCE|||False|||</v>
          </cell>
          <cell r="C133" t="str">
            <v>V_KEYWORD_ISSR_208000430_CAPEX_MAINTENANCE</v>
          </cell>
        </row>
        <row r="134">
          <cell r="A134" t="str">
            <v>Vector|||208000430|||ISSR|||CAPEX_EXPANSION|||False|||</v>
          </cell>
          <cell r="C134" t="str">
            <v>V_KEYWORD_ISSR_208000430_CAPEX_EXPANSION</v>
          </cell>
        </row>
        <row r="135">
          <cell r="A135" t="str">
            <v>Vector|||208000430|||ISSR|||NONPPE_CAPEX|||False|||</v>
          </cell>
          <cell r="C135" t="str">
            <v>V_KEYWORD_ISSR_208000430_NONPPE_CAPEX</v>
          </cell>
        </row>
        <row r="136">
          <cell r="A136" t="str">
            <v>Vector|||208000430|||ISSR|||DIVDS_PD_MINORITIES|||False|||</v>
          </cell>
          <cell r="C136" t="str">
            <v>V_KEYWORD_ISSR_208000430_DIVDS_PD_MINORITIES</v>
          </cell>
        </row>
        <row r="137">
          <cell r="A137" t="str">
            <v>Vector|||208000430|||ISSR|||FCF_UNLEVERED|||False|||</v>
          </cell>
          <cell r="C137" t="str">
            <v>V_KEYWORD_ISSR_208000430_FCF_UNLEVERED</v>
          </cell>
        </row>
        <row r="139">
          <cell r="A139" t="str">
            <v>Vector|||208000430|||ISSR|||LICENSE_REV|||False|||</v>
          </cell>
          <cell r="C139" t="str">
            <v>V_KEYWORD_ISSR_208000430_LICENSE_REV</v>
          </cell>
        </row>
        <row r="140">
          <cell r="A140" t="str">
            <v>Vector|||208000430|||ISSR|||MAINTEN_REV|||False|||</v>
          </cell>
          <cell r="C140" t="str">
            <v>V_KEYWORD_ISSR_208000430_MAINTEN_REV</v>
          </cell>
        </row>
        <row r="141">
          <cell r="A141" t="str">
            <v>Vector|||208000430|||ISSR|||EMPLOYEES|||False|||</v>
          </cell>
          <cell r="C141" t="str">
            <v>V_KEYWORD_ISSR_208000430_EMPLOYEES</v>
          </cell>
        </row>
        <row r="142">
          <cell r="A142" t="str">
            <v>Vector|||208000430|||ISSR|||TOT_BILLINGS|||False|||</v>
          </cell>
          <cell r="C142" t="str">
            <v>V_KEYWORD_ISSR_208000430_TOT_BILLINGS</v>
          </cell>
        </row>
        <row r="143">
          <cell r="A143" t="str">
            <v>Vector|||208000430|||ISSR|||ST_BILLINGS|||False|||</v>
          </cell>
          <cell r="C143" t="str">
            <v>V_KEYWORD_ISSR_208000430_ST_BILLINGS</v>
          </cell>
        </row>
        <row r="144">
          <cell r="A144" t="str">
            <v>Vector|||208000430|||ISSR|||REM_PERF_OBLIG|||False|||</v>
          </cell>
          <cell r="C144" t="str">
            <v>V_KEYWORD_ISSR_208000430_REM_PERF_OBLIG</v>
          </cell>
        </row>
        <row r="145">
          <cell r="A145" t="str">
            <v>Vector|||208000430|||ISSR|||CUR_REM_PERF_OBLIG|||False|||</v>
          </cell>
          <cell r="C145" t="str">
            <v>V_KEYWORD_ISSR_208000430_CUR_REM_PERF_OBLIG</v>
          </cell>
        </row>
        <row r="146">
          <cell r="A146" t="str">
            <v>Scalar|||208000430|||ISSR|||SEGMENT1_REV_NAME|||False|||</v>
          </cell>
          <cell r="C146" t="str">
            <v>V_KEYWORD_ISSR_208000430_SEGMENT1_REV_NAME</v>
          </cell>
        </row>
        <row r="147">
          <cell r="A147" t="str">
            <v>Vector|||208000430|||ISSR|||SEGMENT1_REV_VALUE|||False|||</v>
          </cell>
          <cell r="C147" t="str">
            <v>V_KEYWORD_ISSR_208000430_SEGMENT1_REV_VALUE</v>
          </cell>
        </row>
        <row r="148">
          <cell r="A148" t="str">
            <v>Scalar|||208000430|||ISSR|||SEGMENT2_REV_NAME|||False|||</v>
          </cell>
          <cell r="C148" t="str">
            <v>V_KEYWORD_ISSR_208000430_SEGMENT2_REV_NAME</v>
          </cell>
        </row>
        <row r="149">
          <cell r="A149" t="str">
            <v>Vector|||208000430|||ISSR|||SEGMENT2_REV_VALUE|||False|||</v>
          </cell>
          <cell r="C149" t="str">
            <v>V_KEYWORD_ISSR_208000430_SEGMENT2_REV_VALUE</v>
          </cell>
        </row>
        <row r="150">
          <cell r="A150" t="str">
            <v>Scalar|||208000430|||ISSR|||SEGMENT3_REV_NAME|||False|||</v>
          </cell>
          <cell r="C150" t="str">
            <v>V_KEYWORD_ISSR_208000430_SEGMENT3_REV_NAME</v>
          </cell>
        </row>
        <row r="151">
          <cell r="A151" t="str">
            <v>Vector|||208000430|||ISSR|||SEGMENT3_REV_VALUE|||False|||</v>
          </cell>
          <cell r="C151" t="str">
            <v>V_KEYWORD_ISSR_208000430_SEGMENT3_REV_VALUE</v>
          </cell>
        </row>
        <row r="152">
          <cell r="A152" t="str">
            <v>Scalar|||208000430|||ISSR|||SEGMENT4_REV_NAME|||False|||</v>
          </cell>
          <cell r="C152" t="str">
            <v>V_KEYWORD_ISSR_208000430_SEGMENT4_REV_NAME</v>
          </cell>
        </row>
        <row r="153">
          <cell r="A153" t="str">
            <v>Vector|||208000430|||ISSR|||SEGMENT4_REV_VALUE|||False|||</v>
          </cell>
          <cell r="C153" t="str">
            <v>V_KEYWORD_ISSR_208000430_SEGMENT4_REV_VALUE</v>
          </cell>
        </row>
        <row r="154">
          <cell r="A154" t="str">
            <v>Scalar|||208000430|||ISSR|||SEGMENT5_REV_NAME|||False|||</v>
          </cell>
          <cell r="C154" t="str">
            <v>V_KEYWORD_ISSR_208000430_SEGMENT5_REV_NAME</v>
          </cell>
        </row>
        <row r="155">
          <cell r="A155" t="str">
            <v>Vector|||208000430|||ISSR|||SEGMENT5_REV_VALUE|||False|||</v>
          </cell>
          <cell r="C155" t="str">
            <v>V_KEYWORD_ISSR_208000430_SEGMENT5_REV_VALUE</v>
          </cell>
        </row>
        <row r="156">
          <cell r="A156" t="str">
            <v>Scalar|||208000430|||ISSR|||SEGMENT6_REV_NAME|||False|||</v>
          </cell>
          <cell r="C156" t="str">
            <v>V_KEYWORD_ISSR_208000430_SEGMENT6_REV_NAME</v>
          </cell>
        </row>
        <row r="157">
          <cell r="A157" t="str">
            <v>Vector|||208000430|||ISSR|||SEGMENT6_REV_VALUE|||False|||</v>
          </cell>
          <cell r="C157" t="str">
            <v>V_KEYWORD_ISSR_208000430_SEGMENT6_REV_VALUE</v>
          </cell>
        </row>
        <row r="158">
          <cell r="A158" t="str">
            <v>Scalar|||208000430|||ISSR|||SEGMENT7_REV_NAME|||False|||</v>
          </cell>
          <cell r="C158" t="str">
            <v>V_KEYWORD_ISSR_208000430_SEGMENT7_REV_NAME</v>
          </cell>
        </row>
        <row r="159">
          <cell r="A159" t="str">
            <v>Vector|||208000430|||ISSR|||SEGMENT7_REV_VALUE|||False|||</v>
          </cell>
          <cell r="C159" t="str">
            <v>V_KEYWORD_ISSR_208000430_SEGMENT7_REV_VALUE</v>
          </cell>
        </row>
        <row r="160">
          <cell r="A160" t="str">
            <v>Scalar|||208000430|||ISSR|||SEGMENT8_REV_NAME|||False|||</v>
          </cell>
          <cell r="C160" t="str">
            <v>V_KEYWORD_ISSR_208000430_SEGMENT8_REV_NAME</v>
          </cell>
        </row>
        <row r="161">
          <cell r="A161" t="str">
            <v>Vector|||208000430|||ISSR|||SEGMENT8_REV_VALUE|||False|||</v>
          </cell>
          <cell r="C161" t="str">
            <v>V_KEYWORD_ISSR_208000430_SEGMENT8_REV_VALUE</v>
          </cell>
        </row>
        <row r="162">
          <cell r="A162" t="str">
            <v>Scalar|||208000430|||ISSR|||SEGMENT9_REV_NAME|||False|||</v>
          </cell>
          <cell r="C162" t="str">
            <v>V_KEYWORD_ISSR_208000430_SEGMENT9_REV_NAME</v>
          </cell>
        </row>
        <row r="163">
          <cell r="A163" t="str">
            <v>Vector|||208000430|||ISSR|||SEGMENT9_REV_VALUE|||False|||</v>
          </cell>
          <cell r="C163" t="str">
            <v>V_KEYWORD_ISSR_208000430_SEGMENT9_REV_VALUE</v>
          </cell>
        </row>
        <row r="164">
          <cell r="A164" t="str">
            <v>Scalar|||208000430|||ISSR|||SEGMENT10_REV_NAME|||False|||</v>
          </cell>
          <cell r="C164" t="str">
            <v>V_KEYWORD_ISSR_208000430_SEGMENT10_REV_NAME</v>
          </cell>
        </row>
        <row r="165">
          <cell r="A165" t="str">
            <v>Vector|||208000430|||ISSR|||SEGMENT10_REV_VALUE|||False|||</v>
          </cell>
          <cell r="C165" t="str">
            <v>V_KEYWORD_ISSR_208000430_SEGMENT10_REV_VALUE</v>
          </cell>
        </row>
        <row r="167">
          <cell r="A167" t="str">
            <v>Vector|||208000430|||ISSR|||SALES_CANADA|||False|||</v>
          </cell>
          <cell r="C167" t="str">
            <v>V_KEYWORD_ISSR_208000430_SALES_CANADA</v>
          </cell>
        </row>
        <row r="168">
          <cell r="A168" t="str">
            <v>Vector|||208000430|||ISSR|||SALES_US|||False|||</v>
          </cell>
          <cell r="C168" t="str">
            <v>V_KEYWORD_ISSR_208000430_SALES_US</v>
          </cell>
        </row>
        <row r="169">
          <cell r="A169" t="str">
            <v>Vector|||208000430|||ISSR|||SALES_OTH_NO_AMER|||False|||</v>
          </cell>
          <cell r="C169" t="str">
            <v>V_KEYWORD_ISSR_208000430_SALES_OTH_NO_AMER</v>
          </cell>
        </row>
        <row r="170">
          <cell r="A170" t="str">
            <v>Vector|||208000430|||ISSR|||SALES_ARGENTINA|||False|||</v>
          </cell>
          <cell r="C170" t="str">
            <v>V_KEYWORD_ISSR_208000430_SALES_ARGENTINA</v>
          </cell>
        </row>
        <row r="171">
          <cell r="A171" t="str">
            <v>Vector|||208000430|||ISSR|||SALES_BRAZIL|||False|||</v>
          </cell>
          <cell r="C171" t="str">
            <v>V_KEYWORD_ISSR_208000430_SALES_BRAZIL</v>
          </cell>
        </row>
        <row r="172">
          <cell r="A172" t="str">
            <v>Vector|||208000430|||ISSR|||SALES_CHILE|||False|||</v>
          </cell>
          <cell r="C172" t="str">
            <v>V_KEYWORD_ISSR_208000430_SALES_CHILE</v>
          </cell>
        </row>
        <row r="173">
          <cell r="A173" t="str">
            <v>Vector|||208000430|||ISSR|||SALES_COLOMBIA|||False|||</v>
          </cell>
          <cell r="C173" t="str">
            <v>V_KEYWORD_ISSR_208000430_SALES_COLOMBIA</v>
          </cell>
        </row>
        <row r="174">
          <cell r="A174" t="str">
            <v>Vector|||208000430|||ISSR|||SALES_MEXICO|||False|||</v>
          </cell>
          <cell r="C174" t="str">
            <v>V_KEYWORD_ISSR_208000430_SALES_MEXICO</v>
          </cell>
        </row>
        <row r="175">
          <cell r="A175" t="str">
            <v>Vector|||208000430|||ISSR|||SALES_VENEZUELA|||False|||</v>
          </cell>
          <cell r="C175" t="str">
            <v>V_KEYWORD_ISSR_208000430_SALES_VENEZUELA</v>
          </cell>
        </row>
        <row r="176">
          <cell r="A176" t="str">
            <v>Vector|||208000430|||ISSR|||SALES_OTH_LATAM|||False|||</v>
          </cell>
          <cell r="C176" t="str">
            <v>V_KEYWORD_ISSR_208000430_SALES_OTH_LATAM</v>
          </cell>
        </row>
        <row r="177">
          <cell r="A177" t="str">
            <v>Vector|||208000430|||ISSR|||SALES_AUSTRIA|||False|||</v>
          </cell>
          <cell r="C177" t="str">
            <v>V_KEYWORD_ISSR_208000430_SALES_AUSTRIA</v>
          </cell>
        </row>
        <row r="178">
          <cell r="A178" t="str">
            <v>Vector|||208000430|||ISSR|||SALES_BEL|||False|||</v>
          </cell>
          <cell r="C178" t="str">
            <v>V_KEYWORD_ISSR_208000430_SALES_BEL</v>
          </cell>
        </row>
        <row r="179">
          <cell r="A179" t="str">
            <v>Vector|||208000430|||ISSR|||SALES_FRA|||False|||</v>
          </cell>
          <cell r="C179" t="str">
            <v>V_KEYWORD_ISSR_208000430_SALES_FRA</v>
          </cell>
        </row>
        <row r="180">
          <cell r="A180" t="str">
            <v>Vector|||208000430|||ISSR|||SALES_GER|||False|||</v>
          </cell>
          <cell r="C180" t="str">
            <v>V_KEYWORD_ISSR_208000430_SALES_GER</v>
          </cell>
        </row>
        <row r="181">
          <cell r="A181" t="str">
            <v>Vector|||208000430|||ISSR|||SALES_GRE|||False|||</v>
          </cell>
          <cell r="C181" t="str">
            <v>V_KEYWORD_ISSR_208000430_SALES_GRE</v>
          </cell>
        </row>
        <row r="182">
          <cell r="A182" t="str">
            <v>Vector|||208000430|||ISSR|||SALES_IRE|||False|||</v>
          </cell>
          <cell r="C182" t="str">
            <v>V_KEYWORD_ISSR_208000430_SALES_IRE</v>
          </cell>
        </row>
        <row r="183">
          <cell r="A183" t="str">
            <v>Vector|||208000430|||ISSR|||SALES_ITA|||False|||</v>
          </cell>
          <cell r="C183" t="str">
            <v>V_KEYWORD_ISSR_208000430_SALES_ITA</v>
          </cell>
        </row>
        <row r="184">
          <cell r="A184" t="str">
            <v>Vector|||208000430|||ISSR|||SALES_NETH|||False|||</v>
          </cell>
          <cell r="C184" t="str">
            <v>V_KEYWORD_ISSR_208000430_SALES_NETH</v>
          </cell>
        </row>
        <row r="185">
          <cell r="A185" t="str">
            <v>Vector|||208000430|||ISSR|||SALES_NOR|||False|||</v>
          </cell>
          <cell r="C185" t="str">
            <v>V_KEYWORD_ISSR_208000430_SALES_NOR</v>
          </cell>
        </row>
        <row r="186">
          <cell r="A186" t="str">
            <v>Vector|||208000430|||ISSR|||SALES_POR|||False|||</v>
          </cell>
          <cell r="C186" t="str">
            <v>V_KEYWORD_ISSR_208000430_SALES_POR</v>
          </cell>
        </row>
        <row r="187">
          <cell r="A187" t="str">
            <v>Vector|||208000430|||ISSR|||SALES_SPA|||False|||</v>
          </cell>
          <cell r="C187" t="str">
            <v>V_KEYWORD_ISSR_208000430_SALES_SPA</v>
          </cell>
        </row>
        <row r="188">
          <cell r="A188" t="str">
            <v>Vector|||208000430|||ISSR|||SALES_SWE|||False|||</v>
          </cell>
          <cell r="C188" t="str">
            <v>V_KEYWORD_ISSR_208000430_SALES_SWE</v>
          </cell>
        </row>
        <row r="189">
          <cell r="A189" t="str">
            <v>Vector|||208000430|||ISSR|||SALES_SWIT|||False|||</v>
          </cell>
          <cell r="C189" t="str">
            <v>V_KEYWORD_ISSR_208000430_SALES_SWIT</v>
          </cell>
        </row>
        <row r="190">
          <cell r="A190" t="str">
            <v>Vector|||208000430|||ISSR|||SALES_UK|||False|||</v>
          </cell>
          <cell r="C190" t="str">
            <v>V_KEYWORD_ISSR_208000430_SALES_UK</v>
          </cell>
        </row>
        <row r="191">
          <cell r="A191" t="str">
            <v>Vector|||208000430|||ISSR|||SALES_OTH_WEST_EURO|||False|||</v>
          </cell>
          <cell r="C191" t="str">
            <v>V_KEYWORD_ISSR_208000430_SALES_OTH_WEST_EURO</v>
          </cell>
        </row>
        <row r="192">
          <cell r="A192" t="str">
            <v>Vector|||208000430|||ISSR|||SALES_POLAND|||False|||</v>
          </cell>
          <cell r="C192" t="str">
            <v>V_KEYWORD_ISSR_208000430_SALES_POLAND</v>
          </cell>
        </row>
        <row r="193">
          <cell r="A193" t="str">
            <v>Vector|||208000430|||ISSR|||SALES_RUSSIA|||False|||</v>
          </cell>
          <cell r="C193" t="str">
            <v>V_KEYWORD_ISSR_208000430_SALES_RUSSIA</v>
          </cell>
        </row>
        <row r="194">
          <cell r="A194" t="str">
            <v>Vector|||208000430|||ISSR|||SALES_TURKEY|||False|||</v>
          </cell>
          <cell r="C194" t="str">
            <v>V_KEYWORD_ISSR_208000430_SALES_TURKEY</v>
          </cell>
        </row>
        <row r="195">
          <cell r="A195" t="str">
            <v>Vector|||208000430|||ISSR|||SALES_OTH_CEE|||False|||</v>
          </cell>
          <cell r="C195" t="str">
            <v>V_KEYWORD_ISSR_208000430_SALES_OTH_CEE</v>
          </cell>
        </row>
        <row r="196">
          <cell r="A196" t="str">
            <v>Vector|||208000430|||ISSR|||SALES_SAUDI_ARABIA|||False|||</v>
          </cell>
          <cell r="C196" t="str">
            <v>V_KEYWORD_ISSR_208000430_SALES_SAUDI_ARABIA</v>
          </cell>
        </row>
        <row r="197">
          <cell r="A197" t="str">
            <v>Vector|||208000430|||ISSR|||SALES_UAE|||False|||</v>
          </cell>
          <cell r="C197" t="str">
            <v>V_KEYWORD_ISSR_208000430_SALES_UAE</v>
          </cell>
        </row>
        <row r="198">
          <cell r="A198" t="str">
            <v>Vector|||208000430|||ISSR|||SALES_OTH_ME|||False|||</v>
          </cell>
          <cell r="C198" t="str">
            <v>V_KEYWORD_ISSR_208000430_SALES_OTH_ME</v>
          </cell>
        </row>
        <row r="199">
          <cell r="A199" t="str">
            <v>Vector|||208000430|||ISSR|||SALES_NIGERIA|||False|||</v>
          </cell>
          <cell r="C199" t="str">
            <v>V_KEYWORD_ISSR_208000430_SALES_NIGERIA</v>
          </cell>
        </row>
        <row r="200">
          <cell r="A200" t="str">
            <v>Vector|||208000430|||ISSR|||SALES_SO_AFRICA|||False|||</v>
          </cell>
          <cell r="C200" t="str">
            <v>V_KEYWORD_ISSR_208000430_SALES_SO_AFRICA</v>
          </cell>
        </row>
        <row r="201">
          <cell r="A201" t="str">
            <v>Vector|||208000430|||ISSR|||SALES_OTH_AFRICA|||False|||</v>
          </cell>
          <cell r="C201" t="str">
            <v>V_KEYWORD_ISSR_208000430_SALES_OTH_AFRICA</v>
          </cell>
        </row>
        <row r="202">
          <cell r="A202" t="str">
            <v>Vector|||208000430|||ISSR|||SALES_HONG_KONG|||False|||</v>
          </cell>
          <cell r="C202" t="str">
            <v>V_KEYWORD_ISSR_208000430_SALES_HONG_KONG</v>
          </cell>
        </row>
        <row r="203">
          <cell r="A203" t="str">
            <v>Vector|||208000430|||ISSR|||SALES_JAPAN|||False|||</v>
          </cell>
          <cell r="C203" t="str">
            <v>V_KEYWORD_ISSR_208000430_SALES_JAPAN</v>
          </cell>
        </row>
        <row r="204">
          <cell r="A204" t="str">
            <v>Vector|||208000430|||ISSR|||SALES_SINGAPORE|||False|||</v>
          </cell>
          <cell r="C204" t="str">
            <v>V_KEYWORD_ISSR_208000430_SALES_SINGAPORE</v>
          </cell>
        </row>
        <row r="205">
          <cell r="A205" t="str">
            <v>Vector|||208000430|||ISSR|||SALES_SK|||False|||</v>
          </cell>
          <cell r="C205" t="str">
            <v>V_KEYWORD_ISSR_208000430_SALES_SK</v>
          </cell>
        </row>
        <row r="206">
          <cell r="A206" t="str">
            <v>Vector|||208000430|||ISSR|||SALES_TAIWAN|||False|||</v>
          </cell>
          <cell r="C206" t="str">
            <v>V_KEYWORD_ISSR_208000430_SALES_TAIWAN</v>
          </cell>
        </row>
        <row r="207">
          <cell r="A207" t="str">
            <v>Vector|||208000430|||ISSR|||SALES_OTH_DEV_ASIA|||False|||</v>
          </cell>
          <cell r="C207" t="str">
            <v>V_KEYWORD_ISSR_208000430_SALES_OTH_DEV_ASIA</v>
          </cell>
        </row>
        <row r="208">
          <cell r="A208" t="str">
            <v>Vector|||208000430|||ISSR|||SALES_CHINA|||False|||</v>
          </cell>
          <cell r="C208" t="str">
            <v>V_KEYWORD_ISSR_208000430_SALES_CHINA</v>
          </cell>
        </row>
        <row r="209">
          <cell r="A209" t="str">
            <v>Vector|||208000430|||ISSR|||SALES_INDIA|||False|||</v>
          </cell>
          <cell r="C209" t="str">
            <v>V_KEYWORD_ISSR_208000430_SALES_INDIA</v>
          </cell>
        </row>
        <row r="210">
          <cell r="A210" t="str">
            <v>Vector|||208000430|||ISSR|||SALES_INDONESIA|||False|||</v>
          </cell>
          <cell r="C210" t="str">
            <v>V_KEYWORD_ISSR_208000430_SALES_INDONESIA</v>
          </cell>
        </row>
        <row r="211">
          <cell r="A211" t="str">
            <v>Vector|||208000430|||ISSR|||SALES_THAILAND|||False|||</v>
          </cell>
          <cell r="C211" t="str">
            <v>V_KEYWORD_ISSR_208000430_SALES_THAILAND</v>
          </cell>
        </row>
        <row r="212">
          <cell r="A212" t="str">
            <v>Vector|||208000430|||ISSR|||SALES_OTH_EMERG_ASIA|||False|||</v>
          </cell>
          <cell r="C212" t="str">
            <v>V_KEYWORD_ISSR_208000430_SALES_OTH_EMERG_ASIA</v>
          </cell>
        </row>
        <row r="213">
          <cell r="A213" t="str">
            <v>Vector|||208000430|||ISSR|||SALES_AUSTRA|||False|||</v>
          </cell>
          <cell r="C213" t="str">
            <v>V_KEYWORD_ISSR_208000430_SALES_AUSTRA</v>
          </cell>
        </row>
        <row r="214">
          <cell r="A214" t="str">
            <v>Vector|||208000430|||ISSR|||SALES_NZ|||False|||</v>
          </cell>
          <cell r="C214" t="str">
            <v>V_KEYWORD_ISSR_208000430_SALES_NZ</v>
          </cell>
        </row>
        <row r="215">
          <cell r="A215" t="str">
            <v>Vector|||208000430|||ISSR|||SALES_OTHER|||False|||</v>
          </cell>
          <cell r="C215" t="str">
            <v>V_KEYWORD_ISSR_208000430_SALES_OTHER</v>
          </cell>
        </row>
        <row r="216">
          <cell r="A216" t="str">
            <v>Vector|||208000430|||ISSR|||COGS_PCT_US|||False|||</v>
          </cell>
          <cell r="C216" t="str">
            <v>V_KEYWORD_ISSR_208000430_COGS_PCT_US</v>
          </cell>
        </row>
        <row r="217">
          <cell r="A217" t="str">
            <v>Vector|||208000430|||ISSR|||COGS_PCT_ROW|||False|||</v>
          </cell>
          <cell r="C217" t="str">
            <v>V_KEYWORD_ISSR_208000430_COGS_PCT_ROW</v>
          </cell>
        </row>
        <row r="218">
          <cell r="A218" t="str">
            <v>Vector|||208000430|||ISSR|||SGA_PCT_US|||False|||</v>
          </cell>
          <cell r="C218" t="str">
            <v>V_KEYWORD_ISSR_208000430_SGA_PCT_US</v>
          </cell>
        </row>
        <row r="219">
          <cell r="A219" t="str">
            <v>Vector|||208000430|||ISSR|||SGA_PCT_ROW|||False|||</v>
          </cell>
          <cell r="C219" t="str">
            <v>V_KEYWORD_ISSR_208000430_SGA_PCT_ROW</v>
          </cell>
        </row>
        <row r="220">
          <cell r="A220" t="str">
            <v>Vector|||208000430|||ISSR|||SALES_CONS|||False|||</v>
          </cell>
          <cell r="C220" t="str">
            <v>V_KEYWORD_ISSR_208000430_SALES_CONS</v>
          </cell>
        </row>
        <row r="221">
          <cell r="A221" t="str">
            <v>Vector|||208000430|||ISSR|||SALES_IND|||False|||</v>
          </cell>
          <cell r="C221" t="str">
            <v>V_KEYWORD_ISSR_208000430_SALES_IND</v>
          </cell>
        </row>
        <row r="222">
          <cell r="A222" t="str">
            <v>Vector|||208000430|||ISSR|||SALES_GOV|||False|||</v>
          </cell>
          <cell r="C222" t="str">
            <v>V_KEYWORD_ISSR_208000430_SALES_GOV</v>
          </cell>
        </row>
        <row r="223">
          <cell r="A223" t="str">
            <v>Vector|||208000430|||ISSR|||SALES_FINAN|||False|||</v>
          </cell>
          <cell r="C223" t="str">
            <v>V_KEYWORD_ISSR_208000430_SALES_FINAN</v>
          </cell>
        </row>
        <row r="224">
          <cell r="A224" t="str">
            <v>Vector|||208000430|||ISSR|||SALES_OIL_GAS|||False|||</v>
          </cell>
          <cell r="C224" t="str">
            <v>V_KEYWORD_ISSR_208000430_SALES_OIL_GAS</v>
          </cell>
        </row>
        <row r="225">
          <cell r="A225" t="str">
            <v>Vector|||208000430|||ISSR|||SALES_SMB|||False|||</v>
          </cell>
          <cell r="C225" t="str">
            <v>V_KEYWORD_ISSR_208000430_SALES_SMB</v>
          </cell>
        </row>
        <row r="226">
          <cell r="A226" t="str">
            <v>Vector|||208000430|||ISSR|||CASH_PCT_OS_US|||False|||</v>
          </cell>
          <cell r="C226" t="str">
            <v>V_KEYWORD_ISSR_208000430_CASH_PCT_OS_US</v>
          </cell>
        </row>
        <row r="227">
          <cell r="A227" t="str">
            <v>Vector|||208000430|||ISSR|||REV_FIN_SEGMENT|||False|||</v>
          </cell>
          <cell r="C227" t="str">
            <v>V_KEYWORD_ISSR_208000430_REV_FIN_SEGMENT</v>
          </cell>
        </row>
        <row r="228">
          <cell r="A228" t="str">
            <v>Vector|||208000430|||ISSR|||EBIT_FIN_SEGMENT|||False|||</v>
          </cell>
          <cell r="C228" t="str">
            <v>V_KEYWORD_ISSR_208000430_EBIT_FIN_SEGMENT</v>
          </cell>
        </row>
        <row r="230">
          <cell r="A230" t="str">
            <v>Vector|||208000430|||ISSR|||EXP_OIL_PETRO_FUEL|||False|||</v>
          </cell>
          <cell r="C230" t="str">
            <v>V_KEYWORD_ISSR_208000430_EXP_OIL_PETRO_FUEL</v>
          </cell>
        </row>
        <row r="231">
          <cell r="A231" t="str">
            <v>Vector|||208000430|||ISSR|||EXP_OIL_DERIV_NGLS_PLASTICS|||False|||</v>
          </cell>
          <cell r="C231" t="str">
            <v>V_KEYWORD_ISSR_208000430_EXP_OIL_DERIV_NGLS_PLASTICS</v>
          </cell>
        </row>
        <row r="233">
          <cell r="A233" t="str">
            <v>Vector|||208000430|||ISSR|||SALES_FX_GPB|||False|||</v>
          </cell>
          <cell r="C233" t="str">
            <v>V_KEYWORD_ISSR_208000430_SALES_FX_GPB</v>
          </cell>
        </row>
        <row r="234">
          <cell r="A234" t="str">
            <v>Vector|||208000430|||ISSR|||SALES_FX_EUR|||False|||</v>
          </cell>
          <cell r="C234" t="str">
            <v>V_KEYWORD_ISSR_208000430_SALES_FX_EUR</v>
          </cell>
        </row>
        <row r="235">
          <cell r="A235" t="str">
            <v>Vector|||208000430|||ISSR|||SALES_FX_RUB|||False|||</v>
          </cell>
          <cell r="C235" t="str">
            <v>V_KEYWORD_ISSR_208000430_SALES_FX_RUB</v>
          </cell>
        </row>
        <row r="236">
          <cell r="A236" t="str">
            <v>Vector|||208000430|||ISSR|||SALES_FX_USD|||False|||</v>
          </cell>
          <cell r="C236" t="str">
            <v>V_KEYWORD_ISSR_208000430_SALES_FX_USD</v>
          </cell>
        </row>
        <row r="237">
          <cell r="A237" t="str">
            <v>Vector|||208000430|||ISSR|||SALES_FX_BRL|||False|||</v>
          </cell>
          <cell r="C237" t="str">
            <v>V_KEYWORD_ISSR_208000430_SALES_FX_BRL</v>
          </cell>
        </row>
        <row r="238">
          <cell r="A238" t="str">
            <v>Vector|||208000430|||ISSR|||SALES_FX_YEN|||False|||</v>
          </cell>
          <cell r="C238" t="str">
            <v>V_KEYWORD_ISSR_208000430_SALES_FX_YEN</v>
          </cell>
        </row>
        <row r="239">
          <cell r="A239" t="str">
            <v>Vector|||208000430|||ISSR|||SALES_FX_CNY|||False|||</v>
          </cell>
          <cell r="C239" t="str">
            <v>V_KEYWORD_ISSR_208000430_SALES_FX_CNY</v>
          </cell>
        </row>
        <row r="240">
          <cell r="A240" t="str">
            <v>Vector|||208000430|||ISSR|||SALES_FX_INR|||False|||</v>
          </cell>
          <cell r="C240" t="str">
            <v>V_KEYWORD_ISSR_208000430_SALES_FX_INR</v>
          </cell>
        </row>
        <row r="241">
          <cell r="A241" t="str">
            <v>Vector|||208000430|||ISSR|||SALES_FX_CAD|||False|||</v>
          </cell>
          <cell r="C241" t="str">
            <v>V_KEYWORD_ISSR_208000430_SALES_FX_CAD</v>
          </cell>
        </row>
        <row r="242">
          <cell r="A242" t="str">
            <v>Vector|||208000430|||ISSR|||SALES_FX_MXN|||False|||</v>
          </cell>
          <cell r="C242" t="str">
            <v>V_KEYWORD_ISSR_208000430_SALES_FX_MXN</v>
          </cell>
        </row>
        <row r="243">
          <cell r="A243" t="str">
            <v>Vector|||208000430|||ISSR|||SALES_FX_COP|||False|||</v>
          </cell>
          <cell r="C243" t="str">
            <v>V_KEYWORD_ISSR_208000430_SALES_FX_COP</v>
          </cell>
        </row>
        <row r="244">
          <cell r="A244" t="str">
            <v>Vector|||208000430|||ISSR|||SALES_FX_ARS|||False|||</v>
          </cell>
          <cell r="C244" t="str">
            <v>V_KEYWORD_ISSR_208000430_SALES_FX_ARS</v>
          </cell>
        </row>
        <row r="245">
          <cell r="A245" t="str">
            <v>Vector|||208000430|||ISSR|||SALES_FX_CLP|||False|||</v>
          </cell>
          <cell r="C245" t="str">
            <v>V_KEYWORD_ISSR_208000430_SALES_FX_CLP</v>
          </cell>
        </row>
        <row r="246">
          <cell r="A246" t="str">
            <v>Vector|||208000430|||ISSR|||SALES_FX_VEF|||False|||</v>
          </cell>
          <cell r="C246" t="str">
            <v>V_KEYWORD_ISSR_208000430_SALES_FX_VEF</v>
          </cell>
        </row>
        <row r="247">
          <cell r="A247" t="str">
            <v>Vector|||208000430|||ISSR|||SALES_FX_OTH|||False|||</v>
          </cell>
          <cell r="C247" t="str">
            <v>V_KEYWORD_ISSR_208000430_SALES_FX_OTH</v>
          </cell>
        </row>
        <row r="249">
          <cell r="A249" t="str">
            <v>Vector|||208000430|||ISSR|||SALES_TOT_AM|||False|||</v>
          </cell>
          <cell r="C249" t="str">
            <v>V_KEYWORD_ISSR_208000430_SALES_TOT_AM</v>
          </cell>
        </row>
        <row r="250">
          <cell r="A250" t="str">
            <v>Vector|||208000430|||ISSR|||SALES_OTH_AM|||False|||</v>
          </cell>
          <cell r="C250" t="str">
            <v>V_KEYWORD_ISSR_208000430_SALES_OTH_AM</v>
          </cell>
        </row>
        <row r="251">
          <cell r="A251" t="str">
            <v>Vector|||208000430|||ISSR|||SALES_TOT_EMEA|||False|||</v>
          </cell>
          <cell r="C251" t="str">
            <v>V_KEYWORD_ISSR_208000430_SALES_TOT_EMEA</v>
          </cell>
        </row>
        <row r="252">
          <cell r="A252" t="str">
            <v>Vector|||208000430|||ISSR|||SALES_EU_EX_UK|||False|||</v>
          </cell>
          <cell r="C252" t="str">
            <v>V_KEYWORD_ISSR_208000430_SALES_EU_EX_UK</v>
          </cell>
        </row>
        <row r="253">
          <cell r="A253" t="str">
            <v>Vector|||208000430|||ISSR|||SALES_CEE|||False|||</v>
          </cell>
          <cell r="C253" t="str">
            <v>V_KEYWORD_ISSR_208000430_SALES_CEE</v>
          </cell>
        </row>
        <row r="254">
          <cell r="A254" t="str">
            <v>Vector|||208000430|||ISSR|||SALES_ME|||False|||</v>
          </cell>
          <cell r="C254" t="str">
            <v>V_KEYWORD_ISSR_208000430_SALES_ME</v>
          </cell>
        </row>
        <row r="255">
          <cell r="A255" t="str">
            <v>Vector|||208000430|||ISSR|||SALES_TOT_AFRICA|||False|||</v>
          </cell>
          <cell r="C255" t="str">
            <v>V_KEYWORD_ISSR_208000430_SALES_TOT_AFRICA</v>
          </cell>
        </row>
        <row r="256">
          <cell r="A256" t="str">
            <v>Vector|||208000430|||ISSR|||SALES_OTH_EMEA|||False|||</v>
          </cell>
          <cell r="C256" t="str">
            <v>V_KEYWORD_ISSR_208000430_SALES_OTH_EMEA</v>
          </cell>
        </row>
        <row r="257">
          <cell r="A257" t="str">
            <v>Vector|||208000430|||ISSR|||SALES_TOT_ASIA|||False|||</v>
          </cell>
          <cell r="C257" t="str">
            <v>V_KEYWORD_ISSR_208000430_SALES_TOT_ASIA</v>
          </cell>
        </row>
        <row r="258">
          <cell r="A258" t="str">
            <v>Vector|||208000430|||ISSR|||SALES_OTH_AEJ|||False|||</v>
          </cell>
          <cell r="C258" t="str">
            <v>V_KEYWORD_ISSR_208000430_SALES_OTH_AEJ</v>
          </cell>
        </row>
        <row r="264">
          <cell r="A264" t="str">
            <v>Scalar|||200001320|||EQTY|||PUB_CURRENCY_ISO|||False|||</v>
          </cell>
          <cell r="C264" t="str">
            <v>V_KEYWORD_EQTY_200001320_PUB_CURRENCY_ISO</v>
          </cell>
        </row>
        <row r="265">
          <cell r="A265" t="str">
            <v>Scalar|||200001320|||EQTY|||PRICE_CURRENCY_ISO|||False|||</v>
          </cell>
          <cell r="C265" t="str">
            <v>V_KEYWORD_EQTY_200001320_PRICE_CURRENCY_ISO</v>
          </cell>
        </row>
        <row r="266">
          <cell r="A266" t="str">
            <v>Scalar|||200001320|||EQTY|||CURRENCY_ISO|||False|||</v>
          </cell>
          <cell r="C266" t="str">
            <v>V_KEYWORD_EQTY_200001320_CURRENCY_ISO</v>
          </cell>
        </row>
        <row r="268">
          <cell r="A268" t="str">
            <v>Scalar|||200001320|||EQTY|||AMER_LIST|||False|||</v>
          </cell>
          <cell r="C268" t="str">
            <v>V_KEYWORD_EQTY_200001320_AMER_LIST</v>
          </cell>
        </row>
        <row r="269">
          <cell r="A269" t="str">
            <v>Scalar|||200001320|||EQTY|||NOT IN USE|||False|||</v>
          </cell>
          <cell r="C269" t="str">
            <v>V_KEYWORD_EQTY_200001320_NOT_IN_USE</v>
          </cell>
        </row>
        <row r="270">
          <cell r="A270" t="str">
            <v>Scalar|||200001320|||EQTY|||LEGAL_RATING|||False|||</v>
          </cell>
          <cell r="C270" t="str">
            <v>V_KEYWORD_EQTY_200001320_LEGAL_RATING</v>
          </cell>
        </row>
        <row r="271">
          <cell r="A271" t="str">
            <v>Scalar|||200001320|||EQTY|||TARGET_PRICE|||False|||</v>
          </cell>
          <cell r="C271" t="str">
            <v>V_KEYWORD_EQTY_200001320_TARGET_PRICE</v>
          </cell>
        </row>
        <row r="272">
          <cell r="A272" t="str">
            <v>Scalar|||200001320|||EQTY|||TP_PERIOD|||False|||</v>
          </cell>
          <cell r="C272" t="str">
            <v>V_KEYWORD_EQTY_200001320_TP_PERIOD</v>
          </cell>
        </row>
        <row r="273">
          <cell r="A273" t="str">
            <v>Scalar|||200001320|||EQTY|||TARGET_PRICE_FUNDAMENTAL|||False|||</v>
          </cell>
          <cell r="C273" t="str">
            <v>V_KEYWORD_EQTY_200001320_TARGET_PRICE_FUNDAMENTAL</v>
          </cell>
        </row>
        <row r="274">
          <cell r="A274" t="str">
            <v>Scalar|||200001320|||EQTY|||TARGET_PRICE_MA|||False|||</v>
          </cell>
          <cell r="C274" t="str">
            <v>V_KEYWORD_EQTY_200001320_TARGET_PRICE_MA</v>
          </cell>
        </row>
        <row r="275">
          <cell r="A275" t="str">
            <v>Scalar|||200001320|||EQTY|||NUM_SH|||False|||</v>
          </cell>
          <cell r="C275" t="str">
            <v>V_KEYWORD_EQTY_200001320_NUM_SH</v>
          </cell>
        </row>
        <row r="276">
          <cell r="A276" t="str">
            <v>Scalar|||200001320|||EQTY|||FREE_FLOAT|||False|||</v>
          </cell>
          <cell r="C276" t="str">
            <v>V_KEYWORD_EQTY_200001320_FREE_FLOAT</v>
          </cell>
        </row>
        <row r="278">
          <cell r="A278" t="str">
            <v>Vector|||200001320|||EQTY|||BVPS_PUB|||False|||</v>
          </cell>
          <cell r="C278" t="str">
            <v>V_KEYWORD_EQTY_200001320_BVPS_PUB</v>
          </cell>
        </row>
        <row r="279">
          <cell r="A279" t="str">
            <v>Vector|||200001320|||EQTY|||DPS_PUB|||False|||</v>
          </cell>
          <cell r="C279" t="str">
            <v>V_KEYWORD_EQTY_200001320_DPS_PUB</v>
          </cell>
        </row>
        <row r="280">
          <cell r="A280" t="str">
            <v>Vector|||200001320|||EQTY|||DPS_SPECIAL_PUB|||False|||</v>
          </cell>
          <cell r="C280" t="str">
            <v>V_KEYWORD_EQTY_200001320_DPS_SPECIAL_PUB</v>
          </cell>
        </row>
        <row r="281">
          <cell r="A281" t="str">
            <v>Vector|||200001320|||EQTY|||EBITDA_PUB|||False|||</v>
          </cell>
          <cell r="C281" t="str">
            <v>V_KEYWORD_EQTY_200001320_EBITDA_PUB</v>
          </cell>
        </row>
        <row r="282">
          <cell r="A282" t="str">
            <v>Vector|||200001320|||EQTY|||EPS_PUB|||False|||</v>
          </cell>
          <cell r="C282" t="str">
            <v>V_KEYWORD_EQTY_200001320_EPS_PUB</v>
          </cell>
        </row>
        <row r="283">
          <cell r="A283" t="str">
            <v>Vector|||200001320|||EQTY|||CEEE_EPS|||False|||</v>
          </cell>
          <cell r="C283" t="str">
            <v>V_KEYWORD_EQTY_200001320_CEEE_EPS</v>
          </cell>
        </row>
        <row r="284">
          <cell r="A284" t="str">
            <v>Vector|||200001320|||EQTY|||EPS_PUB_EX_ESO|||False|||</v>
          </cell>
          <cell r="C284" t="str">
            <v>V_KEYWORD_EQTY_200001320_EPS_PUB_EX_ESO</v>
          </cell>
        </row>
        <row r="285">
          <cell r="A285" t="str">
            <v>Vector|||200001320|||EQTY|||EV_ADJ_PUB|||False|||</v>
          </cell>
          <cell r="C285" t="str">
            <v>V_KEYWORD_EQTY_200001320_EV_ADJ_PUB</v>
          </cell>
        </row>
        <row r="286">
          <cell r="A286" t="str">
            <v>Vector|||200001320|||EQTY|||NET_DEBT_PUB|||False|||</v>
          </cell>
          <cell r="C286" t="str">
            <v>V_KEYWORD_EQTY_200001320_NET_DEBT_PUB</v>
          </cell>
        </row>
        <row r="287">
          <cell r="A287" t="str">
            <v>Vector|||200001320|||EQTY|||NET_DEBT_EX_LEASES_PUB|||False|||</v>
          </cell>
          <cell r="C287" t="str">
            <v>V_KEYWORD_EQTY_200001320_NET_DEBT_EX_LEASES_PUB</v>
          </cell>
        </row>
        <row r="288">
          <cell r="A288" t="str">
            <v>Vector|||200001320|||EQTY|||CEEE_NDEBT|||False|||</v>
          </cell>
          <cell r="C288" t="str">
            <v>V_KEYWORD_EQTY_200001320_CEEE_NDEBT</v>
          </cell>
        </row>
        <row r="289">
          <cell r="A289" t="str">
            <v>Vector|||200001320|||EQTY|||NI_PUB|||False|||</v>
          </cell>
          <cell r="C289" t="str">
            <v>V_KEYWORD_EQTY_200001320_NI_PUB</v>
          </cell>
        </row>
        <row r="290">
          <cell r="A290" t="str">
            <v>Vector|||200001320|||EQTY|||EBIT_PUB|||False|||</v>
          </cell>
          <cell r="C290" t="str">
            <v>V_KEYWORD_EQTY_200001320_EBIT_PUB</v>
          </cell>
        </row>
        <row r="291">
          <cell r="A291" t="str">
            <v>Vector|||200001320|||EQTY|||PTP_PUB|||False|||</v>
          </cell>
          <cell r="C291" t="str">
            <v>V_KEYWORD_EQTY_200001320_PTP_PUB</v>
          </cell>
        </row>
        <row r="292">
          <cell r="A292" t="str">
            <v>Vector|||200001320|||EQTY|||REVS_PUB|||False|||</v>
          </cell>
          <cell r="C292" t="str">
            <v>V_KEYWORD_EQTY_200001320_REVS_PUB</v>
          </cell>
        </row>
        <row r="293">
          <cell r="A293" t="str">
            <v>Vector|||200001320|||EQTY|||EQ_PUB|||False|||</v>
          </cell>
          <cell r="C293" t="str">
            <v>V_KEYWORD_EQTY_200001320_EQ_PUB</v>
          </cell>
        </row>
        <row r="295">
          <cell r="A295" t="str">
            <v>Vector|||200001320|||EQTY|||PROV_INC_TAX|||False|||</v>
          </cell>
          <cell r="C295" t="str">
            <v>V_KEYWORD_EQTY_200001320_PROV_INC_TAX</v>
          </cell>
        </row>
        <row r="296">
          <cell r="A296" t="str">
            <v>Vector|||200001320|||EQTY|||INC_MINORITY|||False|||</v>
          </cell>
          <cell r="C296" t="str">
            <v>V_KEYWORD_EQTY_200001320_INC_MINORITY</v>
          </cell>
        </row>
        <row r="297">
          <cell r="A297" t="str">
            <v>Vector|||200001320|||EQTY|||NI_PRE_PREF|||False|||</v>
          </cell>
          <cell r="C297" t="str">
            <v>V_KEYWORD_EQTY_200001320_NI_PRE_PREF</v>
          </cell>
        </row>
        <row r="298">
          <cell r="A298" t="str">
            <v>Vector|||200001320|||EQTY|||PREF_DIV|||False|||</v>
          </cell>
          <cell r="C298" t="str">
            <v>V_KEYWORD_EQTY_200001320_PREF_DIV</v>
          </cell>
        </row>
        <row r="299">
          <cell r="A299" t="str">
            <v>Vector|||200001320|||EQTY|||NET_EARNING|||False|||</v>
          </cell>
          <cell r="C299" t="str">
            <v>V_KEYWORD_EQTY_200001320_NET_EARNING</v>
          </cell>
        </row>
        <row r="300">
          <cell r="A300" t="str">
            <v>Vector|||200001320|||EQTY|||TAX_EXC|||False|||</v>
          </cell>
          <cell r="C300" t="str">
            <v>V_KEYWORD_EQTY_200001320_TAX_EXC</v>
          </cell>
        </row>
        <row r="301">
          <cell r="A301" t="str">
            <v>Vector|||200001320|||EQTY|||NET_INC|||False|||</v>
          </cell>
          <cell r="C301" t="str">
            <v>V_KEYWORD_EQTY_200001320_NET_INC</v>
          </cell>
        </row>
        <row r="302">
          <cell r="A302" t="str">
            <v>Vector|||200001320|||EQTY|||EPS|||False|||</v>
          </cell>
          <cell r="C302" t="str">
            <v>V_KEYWORD_EQTY_200001320_EPS</v>
          </cell>
        </row>
        <row r="303">
          <cell r="A303" t="str">
            <v>Vector|||200001320|||EQTY|||EPS_FUL_DIL|||False|||</v>
          </cell>
          <cell r="C303" t="str">
            <v>V_KEYWORD_EQTY_200001320_EPS_FUL_DIL</v>
          </cell>
        </row>
        <row r="304">
          <cell r="A304" t="str">
            <v>Vector|||200001320|||EQTY|||EPS_POST_BASIC|||False|||</v>
          </cell>
          <cell r="C304" t="str">
            <v>V_KEYWORD_EQTY_200001320_EPS_POST_BASIC</v>
          </cell>
        </row>
        <row r="305">
          <cell r="A305" t="str">
            <v>Vector|||200001320|||EQTY|||FULLY_DIL_EPS|||False|||</v>
          </cell>
          <cell r="C305" t="str">
            <v>V_KEYWORD_EQTY_200001320_FULLY_DIL_EPS</v>
          </cell>
        </row>
        <row r="306">
          <cell r="A306" t="str">
            <v>Vector|||200001320|||EQTY|||COMMON_DIV_PAID|||False|||</v>
          </cell>
          <cell r="C306" t="str">
            <v>V_KEYWORD_EQTY_200001320_COMMON_DIV_PAID</v>
          </cell>
        </row>
        <row r="307">
          <cell r="A307" t="str">
            <v>Vector|||200001320|||EQTY|||DPS|||False|||</v>
          </cell>
          <cell r="C307" t="str">
            <v>V_KEYWORD_EQTY_200001320_DPS</v>
          </cell>
        </row>
        <row r="308">
          <cell r="A308" t="str">
            <v>Vector|||200001320|||EQTY|||SH|||False|||</v>
          </cell>
          <cell r="C308" t="str">
            <v>V_KEYWORD_EQTY_200001320_SH</v>
          </cell>
        </row>
        <row r="309">
          <cell r="A309" t="str">
            <v>Vector|||200001320|||EQTY|||DILUTE_SHARES|||False|||</v>
          </cell>
          <cell r="C309" t="str">
            <v>V_KEYWORD_EQTY_200001320_DILUTE_SHARES</v>
          </cell>
        </row>
        <row r="310">
          <cell r="A310" t="str">
            <v>Vector|||200001320|||EQTY|||NON_OP_ADD|||False|||</v>
          </cell>
          <cell r="C310" t="str">
            <v>V_KEYWORD_EQTY_200001320_NON_OP_ADD</v>
          </cell>
        </row>
        <row r="312">
          <cell r="A312" t="str">
            <v>Vector|||200001320|||EQTY|||MARGIN_TAX_RATE|||False|||</v>
          </cell>
          <cell r="C312" t="str">
            <v>V_KEYWORD_EQTY_200001320_MARGIN_TAX_RATE</v>
          </cell>
        </row>
        <row r="314">
          <cell r="A314" t="str">
            <v>Vector|||200001320|||EQTY|||FV_GRANT|||False|||</v>
          </cell>
          <cell r="C314" t="str">
            <v>V_KEYWORD_EQTY_200001320_FV_GRANT</v>
          </cell>
        </row>
        <row r="315">
          <cell r="A315" t="str">
            <v>Vector|||200001320|||EQTY|||ESO_POST_TAX|||False|||</v>
          </cell>
          <cell r="C315" t="str">
            <v>V_KEYWORD_EQTY_200001320_ESO_POST_TAX</v>
          </cell>
        </row>
        <row r="316">
          <cell r="A316" t="str">
            <v>Vector|||200001320|||EQTY|||EPS_EX_ESO_B|||False|||</v>
          </cell>
          <cell r="C316" t="str">
            <v>V_KEYWORD_EQTY_200001320_EPS_EX_ESO_B</v>
          </cell>
        </row>
        <row r="317">
          <cell r="A317" t="str">
            <v>Vector|||200001320|||EQTY|||EPS_EX_ESO_D|||False|||</v>
          </cell>
          <cell r="C317" t="str">
            <v>V_KEYWORD_EQTY_200001320_EPS_EX_ESO_D</v>
          </cell>
        </row>
        <row r="318">
          <cell r="A318" t="str">
            <v>Scalar|||200001320|||EQTY|||ESO_YEAR|||False|||</v>
          </cell>
          <cell r="C318" t="str">
            <v>V_KEYWORD_EQTY_200001320_ESO_YEAR</v>
          </cell>
        </row>
        <row r="320">
          <cell r="A320" t="str">
            <v>Vector|||200001320|||EQTY|||BVPS|||False|||</v>
          </cell>
          <cell r="C320" t="str">
            <v>V_KEYWORD_EQTY_200001320_BVPS</v>
          </cell>
        </row>
        <row r="322">
          <cell r="A322" t="str">
            <v>Scalar|||200001320|||EQTY|||REPUR_TOT_AUTH|||False|||</v>
          </cell>
          <cell r="C322" t="str">
            <v>V_KEYWORD_EQTY_200001320_REPUR_TOT_AUTH</v>
          </cell>
        </row>
        <row r="323">
          <cell r="A323" t="str">
            <v>Scalar|||200001320|||EQTY|||REPUR_REMAINING|||False|||</v>
          </cell>
          <cell r="C323" t="str">
            <v>V_KEYWORD_EQTY_200001320_REPUR_REMAINING</v>
          </cell>
        </row>
        <row r="324">
          <cell r="A324" t="str">
            <v>Scalar|||200001320|||EQTY|||REPUR_SUSPENDED|||False|||</v>
          </cell>
          <cell r="C324" t="str">
            <v>V_KEYWORD_EQTY_200001320_REPUR_SUSPENDED</v>
          </cell>
        </row>
        <row r="325">
          <cell r="A325" t="str">
            <v>Vector|||200001320|||EQTY|||REPUR_ACTUAL|||False|||</v>
          </cell>
          <cell r="C325" t="str">
            <v>V_KEYWORD_EQTY_200001320_REPUR_ACTUAL</v>
          </cell>
        </row>
        <row r="327">
          <cell r="A327" t="str">
            <v>Vector|||200001320|||EQTY|||CF_NI_PRE_PREF|||False|||</v>
          </cell>
          <cell r="C327" t="str">
            <v>V_KEYWORD_EQTY_200001320_CF_NI_PRE_PREF</v>
          </cell>
        </row>
        <row r="329">
          <cell r="A329" t="str">
            <v>Scalar|||200001320|||EQTY|||BETA_ANALYST|||False|||</v>
          </cell>
          <cell r="C329" t="str">
            <v>V_KEYWORD_EQTY_200001320_BETA_ANALYST</v>
          </cell>
        </row>
        <row r="330">
          <cell r="A330" t="str">
            <v>Scalar|||200001320|||EQTY|||MKT_EQ_RISK_PREM|||False|||</v>
          </cell>
          <cell r="C330" t="str">
            <v>V_KEYWORD_EQTY_200001320_MKT_EQ_RISK_PREM</v>
          </cell>
        </row>
        <row r="331">
          <cell r="A331" t="str">
            <v>Scalar|||200001320|||EQTY|||RISK_FR_RATE|||False|||</v>
          </cell>
          <cell r="C331" t="str">
            <v>V_KEYWORD_EQTY_200001320_RISK_FR_RATE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Issuer: Microsoft Corp.</v>
          </cell>
          <cell r="F1">
            <v>1995</v>
          </cell>
          <cell r="G1" t="str">
            <v>1996 Q1</v>
          </cell>
          <cell r="H1" t="str">
            <v>1996 Q2</v>
          </cell>
          <cell r="I1" t="str">
            <v>1996 Q3</v>
          </cell>
          <cell r="J1" t="str">
            <v>1996 Q4</v>
          </cell>
          <cell r="K1">
            <v>1996</v>
          </cell>
          <cell r="L1" t="str">
            <v>1997 Q1</v>
          </cell>
          <cell r="M1" t="str">
            <v>1997 Q2</v>
          </cell>
          <cell r="N1" t="str">
            <v>1997 Q3</v>
          </cell>
          <cell r="O1" t="str">
            <v>1997 Q4</v>
          </cell>
          <cell r="P1">
            <v>1997</v>
          </cell>
          <cell r="Q1" t="str">
            <v>1998 Q1</v>
          </cell>
          <cell r="R1" t="str">
            <v>1998 Q2</v>
          </cell>
          <cell r="S1" t="str">
            <v>1998 Q3</v>
          </cell>
          <cell r="T1" t="str">
            <v>1998 Q4</v>
          </cell>
          <cell r="U1">
            <v>1998</v>
          </cell>
          <cell r="V1" t="str">
            <v>1999 Q1</v>
          </cell>
          <cell r="W1" t="str">
            <v>1999 Q2</v>
          </cell>
          <cell r="X1" t="str">
            <v>1999 Q3</v>
          </cell>
          <cell r="Y1" t="str">
            <v>1999 Q4</v>
          </cell>
          <cell r="Z1">
            <v>1999</v>
          </cell>
          <cell r="AA1" t="str">
            <v>2000 Q1</v>
          </cell>
          <cell r="AB1" t="str">
            <v>2000 Q2</v>
          </cell>
          <cell r="AC1" t="str">
            <v>2000 Q3</v>
          </cell>
          <cell r="AD1" t="str">
            <v>2000 Q4</v>
          </cell>
          <cell r="AE1">
            <v>2000</v>
          </cell>
          <cell r="AF1" t="str">
            <v>2001 Q1</v>
          </cell>
          <cell r="AG1" t="str">
            <v>2001 Q2</v>
          </cell>
          <cell r="AH1" t="str">
            <v>2001 Q3</v>
          </cell>
          <cell r="AI1" t="str">
            <v>2001 Q4</v>
          </cell>
          <cell r="AJ1">
            <v>2001</v>
          </cell>
          <cell r="AK1" t="str">
            <v>2002 Q1</v>
          </cell>
          <cell r="AL1" t="str">
            <v>2002 Q2</v>
          </cell>
          <cell r="AM1" t="str">
            <v>2002 Q3</v>
          </cell>
          <cell r="AN1" t="str">
            <v>2002 Q4</v>
          </cell>
          <cell r="AO1">
            <v>2002</v>
          </cell>
          <cell r="AP1" t="str">
            <v>2003 Q1</v>
          </cell>
          <cell r="AQ1" t="str">
            <v>2003 Q2</v>
          </cell>
          <cell r="AR1" t="str">
            <v>2003 Q3</v>
          </cell>
          <cell r="AS1" t="str">
            <v>2003 Q4</v>
          </cell>
          <cell r="AT1">
            <v>2003</v>
          </cell>
          <cell r="AU1" t="str">
            <v>2004 Q1</v>
          </cell>
          <cell r="AV1" t="str">
            <v>2004 Q2</v>
          </cell>
          <cell r="AW1" t="str">
            <v>2004 Q3</v>
          </cell>
          <cell r="AX1" t="str">
            <v>2004 Q4</v>
          </cell>
          <cell r="AY1">
            <v>2004</v>
          </cell>
          <cell r="AZ1" t="str">
            <v>2005 Q1</v>
          </cell>
          <cell r="BA1" t="str">
            <v>2005 Q2</v>
          </cell>
          <cell r="BB1" t="str">
            <v>2005 Q3</v>
          </cell>
          <cell r="BC1" t="str">
            <v>2005 Q4</v>
          </cell>
          <cell r="BD1">
            <v>2005</v>
          </cell>
          <cell r="BE1" t="str">
            <v>2006 Q1</v>
          </cell>
          <cell r="BF1" t="str">
            <v>2006 Q2</v>
          </cell>
          <cell r="BG1" t="str">
            <v>2006 Q3</v>
          </cell>
          <cell r="BH1" t="str">
            <v>2006 Q4</v>
          </cell>
          <cell r="BI1">
            <v>2006</v>
          </cell>
          <cell r="BJ1" t="str">
            <v>2007 Q1</v>
          </cell>
          <cell r="BK1" t="str">
            <v>2007 Q2</v>
          </cell>
          <cell r="BL1" t="str">
            <v>2007 Q3</v>
          </cell>
          <cell r="BM1" t="str">
            <v>2007 Q4</v>
          </cell>
          <cell r="BN1">
            <v>2007</v>
          </cell>
          <cell r="BO1" t="str">
            <v>2008 Q1</v>
          </cell>
          <cell r="BP1" t="str">
            <v>2008 Q2</v>
          </cell>
          <cell r="BQ1" t="str">
            <v>2008 Q3</v>
          </cell>
          <cell r="BR1" t="str">
            <v>2008 Q4</v>
          </cell>
          <cell r="BS1">
            <v>2008</v>
          </cell>
          <cell r="BT1" t="str">
            <v>2009 Q1</v>
          </cell>
          <cell r="BU1" t="str">
            <v>2009 Q2</v>
          </cell>
          <cell r="BV1" t="str">
            <v>2009 Q3</v>
          </cell>
          <cell r="BW1" t="str">
            <v>2009 Q4</v>
          </cell>
          <cell r="BX1">
            <v>2009</v>
          </cell>
          <cell r="BY1" t="str">
            <v>2010 Q1</v>
          </cell>
          <cell r="BZ1" t="str">
            <v>2010 Q2</v>
          </cell>
          <cell r="CA1" t="str">
            <v>2010 Q3</v>
          </cell>
          <cell r="CB1" t="str">
            <v>2010 Q4</v>
          </cell>
          <cell r="CC1">
            <v>2010</v>
          </cell>
          <cell r="CD1" t="str">
            <v>2011 Q1</v>
          </cell>
          <cell r="CE1" t="str">
            <v>2011 Q2</v>
          </cell>
          <cell r="CF1" t="str">
            <v>2011 Q3</v>
          </cell>
          <cell r="CG1" t="str">
            <v>2011 Q4</v>
          </cell>
          <cell r="CH1">
            <v>2011</v>
          </cell>
          <cell r="CI1" t="str">
            <v>2012 Q1</v>
          </cell>
          <cell r="CJ1" t="str">
            <v>2012 Q2</v>
          </cell>
          <cell r="CK1" t="str">
            <v>2012 Q3</v>
          </cell>
          <cell r="CL1" t="str">
            <v>2012 Q4</v>
          </cell>
          <cell r="CM1">
            <v>2012</v>
          </cell>
          <cell r="CN1" t="str">
            <v>2013 Q1</v>
          </cell>
          <cell r="CO1" t="str">
            <v>2013 Q2</v>
          </cell>
          <cell r="CP1" t="str">
            <v>2013 Q3</v>
          </cell>
          <cell r="CQ1" t="str">
            <v>2013 Q4</v>
          </cell>
          <cell r="CR1">
            <v>2013</v>
          </cell>
          <cell r="CS1" t="str">
            <v>2014 Q1</v>
          </cell>
          <cell r="CT1" t="str">
            <v>2014 Q2</v>
          </cell>
          <cell r="CU1" t="str">
            <v>2014 Q3</v>
          </cell>
          <cell r="CV1" t="str">
            <v>2014 Q4</v>
          </cell>
          <cell r="CW1">
            <v>2014</v>
          </cell>
          <cell r="CX1" t="str">
            <v>2015 Q1</v>
          </cell>
          <cell r="CY1" t="str">
            <v>2015 Q2</v>
          </cell>
          <cell r="CZ1" t="str">
            <v>2015 Q3</v>
          </cell>
          <cell r="DA1" t="str">
            <v>2015 Q4</v>
          </cell>
          <cell r="DB1">
            <v>2015</v>
          </cell>
          <cell r="DC1" t="str">
            <v>2016 Q1</v>
          </cell>
          <cell r="DD1" t="str">
            <v>2016 Q2</v>
          </cell>
          <cell r="DE1" t="str">
            <v>2016 Q3</v>
          </cell>
          <cell r="DF1" t="str">
            <v>2016 Q4</v>
          </cell>
          <cell r="DG1">
            <v>2016</v>
          </cell>
          <cell r="DH1" t="str">
            <v>2017 Q1</v>
          </cell>
          <cell r="DI1" t="str">
            <v>2017 Q2</v>
          </cell>
          <cell r="DJ1" t="str">
            <v>2017 Q3</v>
          </cell>
          <cell r="DK1" t="str">
            <v>2017 Q4</v>
          </cell>
          <cell r="DL1">
            <v>2017</v>
          </cell>
          <cell r="DM1" t="str">
            <v>2018 Q1</v>
          </cell>
          <cell r="DN1" t="str">
            <v>2018 Q2</v>
          </cell>
          <cell r="DO1" t="str">
            <v>2018 Q3</v>
          </cell>
          <cell r="DP1" t="str">
            <v>2018 Q4</v>
          </cell>
          <cell r="DQ1">
            <v>2018</v>
          </cell>
          <cell r="DR1" t="str">
            <v>2019 Q1</v>
          </cell>
          <cell r="DS1" t="str">
            <v>2019 Q2</v>
          </cell>
          <cell r="DT1" t="str">
            <v>2019 Q3</v>
          </cell>
          <cell r="DU1" t="str">
            <v>2019 Q4</v>
          </cell>
          <cell r="DV1">
            <v>2019</v>
          </cell>
          <cell r="DW1" t="str">
            <v>2020 Q1</v>
          </cell>
          <cell r="DX1" t="str">
            <v>2020 Q2</v>
          </cell>
          <cell r="DY1" t="str">
            <v>2020 Q3</v>
          </cell>
          <cell r="DZ1" t="str">
            <v>2020 Q4</v>
          </cell>
          <cell r="EA1">
            <v>2020</v>
          </cell>
          <cell r="EB1" t="str">
            <v>2021 Q1</v>
          </cell>
          <cell r="EC1" t="str">
            <v>2021 Q2</v>
          </cell>
          <cell r="ED1" t="str">
            <v>2021 Q3</v>
          </cell>
          <cell r="EE1" t="str">
            <v>2021 Q4</v>
          </cell>
          <cell r="EF1">
            <v>2021</v>
          </cell>
          <cell r="EG1" t="str">
            <v>2022 Q1</v>
          </cell>
          <cell r="EH1" t="str">
            <v>2022 Q2</v>
          </cell>
          <cell r="EI1" t="str">
            <v>2022 Q3</v>
          </cell>
          <cell r="EJ1" t="str">
            <v>2022 Q4</v>
          </cell>
          <cell r="EK1">
            <v>2022</v>
          </cell>
          <cell r="EL1" t="str">
            <v>2023 Q1</v>
          </cell>
          <cell r="EM1" t="str">
            <v>2023 Q2</v>
          </cell>
          <cell r="EN1" t="str">
            <v>2023 Q3</v>
          </cell>
          <cell r="EO1" t="str">
            <v>2023 Q4</v>
          </cell>
          <cell r="EP1">
            <v>2023</v>
          </cell>
          <cell r="EQ1" t="str">
            <v>2024 Q1</v>
          </cell>
          <cell r="ER1" t="str">
            <v>2024 Q2</v>
          </cell>
          <cell r="ES1" t="str">
            <v>2024 Q3</v>
          </cell>
          <cell r="ET1" t="str">
            <v>2024 Q4</v>
          </cell>
          <cell r="EU1">
            <v>2024</v>
          </cell>
          <cell r="EV1" t="str">
            <v>2025 Q1</v>
          </cell>
          <cell r="EW1" t="str">
            <v>2025 Q2</v>
          </cell>
          <cell r="EX1" t="str">
            <v>2025 Q3</v>
          </cell>
          <cell r="EY1" t="str">
            <v>2025 Q4</v>
          </cell>
          <cell r="EZ1">
            <v>2025</v>
          </cell>
          <cell r="FA1" t="str">
            <v>2026 Q1</v>
          </cell>
          <cell r="FB1" t="str">
            <v>2026 Q2</v>
          </cell>
          <cell r="FC1" t="str">
            <v>2026 Q3</v>
          </cell>
          <cell r="FD1" t="str">
            <v>2026 Q4</v>
          </cell>
          <cell r="FE1">
            <v>2026</v>
          </cell>
        </row>
        <row r="2">
          <cell r="F2" t="str">
            <v>Actual</v>
          </cell>
          <cell r="G2" t="str">
            <v>Actual</v>
          </cell>
          <cell r="H2" t="str">
            <v>Actual</v>
          </cell>
          <cell r="I2" t="str">
            <v>Actual</v>
          </cell>
          <cell r="J2" t="str">
            <v>Actual</v>
          </cell>
          <cell r="K2" t="str">
            <v>Actual</v>
          </cell>
          <cell r="L2" t="str">
            <v>Actual</v>
          </cell>
          <cell r="M2" t="str">
            <v>Actual</v>
          </cell>
          <cell r="N2" t="str">
            <v>Actual</v>
          </cell>
          <cell r="O2" t="str">
            <v>Actual</v>
          </cell>
          <cell r="P2" t="str">
            <v>Actual</v>
          </cell>
          <cell r="Q2" t="str">
            <v>Actual</v>
          </cell>
          <cell r="R2" t="str">
            <v>Actual</v>
          </cell>
          <cell r="S2" t="str">
            <v>Actual</v>
          </cell>
          <cell r="T2" t="str">
            <v>Actual</v>
          </cell>
          <cell r="U2" t="str">
            <v>Actual</v>
          </cell>
          <cell r="V2" t="str">
            <v>Actual</v>
          </cell>
          <cell r="W2" t="str">
            <v>Actual</v>
          </cell>
          <cell r="X2" t="str">
            <v>Actual</v>
          </cell>
          <cell r="Y2" t="str">
            <v>Actual</v>
          </cell>
          <cell r="Z2" t="str">
            <v>Actual</v>
          </cell>
          <cell r="AA2" t="str">
            <v>Actual</v>
          </cell>
          <cell r="AB2" t="str">
            <v>Actual</v>
          </cell>
          <cell r="AC2" t="str">
            <v>Actual</v>
          </cell>
          <cell r="AD2" t="str">
            <v>Actual</v>
          </cell>
          <cell r="AE2" t="str">
            <v>Actual</v>
          </cell>
          <cell r="AF2" t="str">
            <v>Actual</v>
          </cell>
          <cell r="AG2" t="str">
            <v>Actual</v>
          </cell>
          <cell r="AH2" t="str">
            <v>Actual</v>
          </cell>
          <cell r="AI2" t="str">
            <v>Actual</v>
          </cell>
          <cell r="AJ2" t="str">
            <v>Actual</v>
          </cell>
          <cell r="AK2" t="str">
            <v>Actual</v>
          </cell>
          <cell r="AL2" t="str">
            <v>Actual</v>
          </cell>
          <cell r="AM2" t="str">
            <v>Actual</v>
          </cell>
          <cell r="AN2" t="str">
            <v>Actual</v>
          </cell>
          <cell r="AO2" t="str">
            <v>Actual</v>
          </cell>
          <cell r="AP2" t="str">
            <v>Actual</v>
          </cell>
          <cell r="AQ2" t="str">
            <v>Actual</v>
          </cell>
          <cell r="AR2" t="str">
            <v>Actual</v>
          </cell>
          <cell r="AS2" t="str">
            <v>Actual</v>
          </cell>
          <cell r="AT2" t="str">
            <v>Actual</v>
          </cell>
          <cell r="AU2" t="str">
            <v>Actual</v>
          </cell>
          <cell r="AV2" t="str">
            <v>Actual</v>
          </cell>
          <cell r="AW2" t="str">
            <v>Actual</v>
          </cell>
          <cell r="AX2" t="str">
            <v>Actual</v>
          </cell>
          <cell r="AY2" t="str">
            <v>Actual</v>
          </cell>
          <cell r="AZ2" t="str">
            <v>Actual</v>
          </cell>
          <cell r="BA2" t="str">
            <v>Actual</v>
          </cell>
          <cell r="BB2" t="str">
            <v>Actual</v>
          </cell>
          <cell r="BC2" t="str">
            <v>Actual</v>
          </cell>
          <cell r="BD2" t="str">
            <v>Actual</v>
          </cell>
          <cell r="BE2" t="str">
            <v>Actual</v>
          </cell>
          <cell r="BF2" t="str">
            <v>Actual</v>
          </cell>
          <cell r="BG2" t="str">
            <v>Actual</v>
          </cell>
          <cell r="BH2" t="str">
            <v>Actual</v>
          </cell>
          <cell r="BI2" t="str">
            <v>Actual</v>
          </cell>
          <cell r="BJ2" t="str">
            <v>Actual</v>
          </cell>
          <cell r="BK2" t="str">
            <v>Actual</v>
          </cell>
          <cell r="BL2" t="str">
            <v>Actual</v>
          </cell>
          <cell r="BM2" t="str">
            <v>Actual</v>
          </cell>
          <cell r="BN2" t="str">
            <v>Actual</v>
          </cell>
          <cell r="BO2" t="str">
            <v>Actual</v>
          </cell>
          <cell r="BP2" t="str">
            <v>Actual</v>
          </cell>
          <cell r="BQ2" t="str">
            <v>Actual</v>
          </cell>
          <cell r="BR2" t="str">
            <v>Actual</v>
          </cell>
          <cell r="BS2" t="str">
            <v>Actual</v>
          </cell>
          <cell r="BT2" t="str">
            <v>Actual</v>
          </cell>
          <cell r="BU2" t="str">
            <v>Actual</v>
          </cell>
          <cell r="BV2" t="str">
            <v>Actual</v>
          </cell>
          <cell r="BW2" t="str">
            <v>Actual</v>
          </cell>
          <cell r="BX2" t="str">
            <v>Actual</v>
          </cell>
          <cell r="BY2" t="str">
            <v>Actual</v>
          </cell>
          <cell r="BZ2" t="str">
            <v>Actual</v>
          </cell>
          <cell r="CA2" t="str">
            <v>Actual</v>
          </cell>
          <cell r="CB2" t="str">
            <v>Actual</v>
          </cell>
          <cell r="CC2" t="str">
            <v>Actual</v>
          </cell>
          <cell r="CD2" t="str">
            <v>Actual</v>
          </cell>
          <cell r="CE2" t="str">
            <v>Actual</v>
          </cell>
          <cell r="CF2" t="str">
            <v>Actual</v>
          </cell>
          <cell r="CG2" t="str">
            <v>Actual</v>
          </cell>
          <cell r="CH2" t="str">
            <v>Actual</v>
          </cell>
          <cell r="CI2" t="str">
            <v>Actual</v>
          </cell>
          <cell r="CJ2" t="str">
            <v>Actual</v>
          </cell>
          <cell r="CK2" t="str">
            <v>Actual</v>
          </cell>
          <cell r="CL2" t="str">
            <v>Actual</v>
          </cell>
          <cell r="CM2" t="str">
            <v>Actual</v>
          </cell>
          <cell r="CN2" t="str">
            <v>Actual</v>
          </cell>
          <cell r="CO2" t="str">
            <v>Actual</v>
          </cell>
          <cell r="CP2" t="str">
            <v>Actual</v>
          </cell>
          <cell r="CQ2" t="str">
            <v>Actual</v>
          </cell>
          <cell r="CR2" t="str">
            <v>Actual</v>
          </cell>
          <cell r="CS2" t="str">
            <v>Actual</v>
          </cell>
          <cell r="CT2" t="str">
            <v>Actual</v>
          </cell>
          <cell r="CU2" t="str">
            <v>Actual</v>
          </cell>
          <cell r="CV2" t="str">
            <v>Actual</v>
          </cell>
          <cell r="CW2" t="str">
            <v>Actual</v>
          </cell>
          <cell r="CX2" t="str">
            <v>Actual</v>
          </cell>
          <cell r="CY2" t="str">
            <v>Actual</v>
          </cell>
          <cell r="CZ2" t="str">
            <v>Actual</v>
          </cell>
          <cell r="DA2" t="str">
            <v>Actual</v>
          </cell>
          <cell r="DB2" t="str">
            <v>Actual</v>
          </cell>
          <cell r="DC2" t="str">
            <v>Actual</v>
          </cell>
          <cell r="DD2" t="str">
            <v>Actual</v>
          </cell>
          <cell r="DE2" t="str">
            <v>Actual</v>
          </cell>
          <cell r="DF2" t="str">
            <v>Actual</v>
          </cell>
          <cell r="DG2" t="str">
            <v>Actual</v>
          </cell>
          <cell r="DH2" t="str">
            <v>Actual</v>
          </cell>
          <cell r="DI2" t="str">
            <v>Actual</v>
          </cell>
          <cell r="DJ2" t="str">
            <v>Actual</v>
          </cell>
          <cell r="DK2" t="str">
            <v>Actual</v>
          </cell>
          <cell r="DL2" t="str">
            <v>Actual</v>
          </cell>
          <cell r="DM2" t="str">
            <v>Actual</v>
          </cell>
          <cell r="DN2" t="str">
            <v>Actual</v>
          </cell>
          <cell r="DO2" t="str">
            <v>Actual</v>
          </cell>
          <cell r="DP2" t="str">
            <v>Actual</v>
          </cell>
          <cell r="DQ2" t="str">
            <v>Actual</v>
          </cell>
          <cell r="DR2" t="str">
            <v>Actual</v>
          </cell>
          <cell r="DS2" t="str">
            <v>Actual</v>
          </cell>
          <cell r="DT2" t="str">
            <v>Actual</v>
          </cell>
          <cell r="DU2" t="str">
            <v>Actual</v>
          </cell>
          <cell r="DV2" t="str">
            <v>Actual</v>
          </cell>
          <cell r="DW2" t="str">
            <v>Actual</v>
          </cell>
          <cell r="DX2" t="str">
            <v>Actual</v>
          </cell>
          <cell r="DY2" t="str">
            <v>Actual</v>
          </cell>
          <cell r="DZ2" t="str">
            <v>Actual</v>
          </cell>
          <cell r="EA2" t="str">
            <v>Actual</v>
          </cell>
          <cell r="EB2" t="str">
            <v>Actual</v>
          </cell>
          <cell r="EC2" t="str">
            <v>Actual</v>
          </cell>
          <cell r="ED2" t="str">
            <v>Actual</v>
          </cell>
          <cell r="EE2" t="str">
            <v>Actual</v>
          </cell>
          <cell r="EF2" t="str">
            <v>Actual</v>
          </cell>
          <cell r="EG2" t="str">
            <v>Actual</v>
          </cell>
          <cell r="EH2" t="str">
            <v>Actual</v>
          </cell>
          <cell r="EI2" t="str">
            <v>Actual</v>
          </cell>
          <cell r="EJ2" t="str">
            <v>Actual</v>
          </cell>
          <cell r="EK2" t="str">
            <v>Actual</v>
          </cell>
          <cell r="EL2" t="str">
            <v>Actual</v>
          </cell>
          <cell r="EM2" t="str">
            <v>Actual</v>
          </cell>
          <cell r="EN2" t="str">
            <v>Actual</v>
          </cell>
          <cell r="EO2" t="str">
            <v>Actual</v>
          </cell>
          <cell r="EP2" t="str">
            <v>Actual</v>
          </cell>
          <cell r="EQ2" t="str">
            <v>Actual</v>
          </cell>
          <cell r="ER2" t="str">
            <v>Actual</v>
          </cell>
          <cell r="ES2" t="str">
            <v>Actual</v>
          </cell>
          <cell r="ET2" t="str">
            <v>Estimate</v>
          </cell>
          <cell r="EU2" t="str">
            <v>Estimate</v>
          </cell>
          <cell r="EV2" t="str">
            <v>Estimate</v>
          </cell>
          <cell r="EW2" t="str">
            <v>Estimate</v>
          </cell>
          <cell r="EX2" t="str">
            <v>Estimate</v>
          </cell>
          <cell r="EY2" t="str">
            <v>Estimate</v>
          </cell>
          <cell r="EZ2" t="str">
            <v>Estimate</v>
          </cell>
          <cell r="FA2" t="str">
            <v>Estimate</v>
          </cell>
          <cell r="FB2" t="str">
            <v>Estimate</v>
          </cell>
          <cell r="FC2" t="str">
            <v>Estimate</v>
          </cell>
          <cell r="FD2" t="str">
            <v>Estimate</v>
          </cell>
          <cell r="FE2" t="str">
            <v>Estimate</v>
          </cell>
        </row>
        <row r="3">
          <cell r="F3">
            <v>34880</v>
          </cell>
          <cell r="G3">
            <v>34972</v>
          </cell>
          <cell r="H3">
            <v>35064</v>
          </cell>
          <cell r="I3">
            <v>35155</v>
          </cell>
          <cell r="J3">
            <v>35246</v>
          </cell>
          <cell r="K3">
            <v>35246</v>
          </cell>
          <cell r="L3">
            <v>35338</v>
          </cell>
          <cell r="M3">
            <v>35430</v>
          </cell>
          <cell r="N3">
            <v>35520</v>
          </cell>
          <cell r="O3">
            <v>35611</v>
          </cell>
          <cell r="P3">
            <v>35611</v>
          </cell>
          <cell r="Q3">
            <v>35703</v>
          </cell>
          <cell r="R3">
            <v>35795</v>
          </cell>
          <cell r="S3">
            <v>35885</v>
          </cell>
          <cell r="T3">
            <v>35976</v>
          </cell>
          <cell r="U3">
            <v>35976</v>
          </cell>
          <cell r="V3">
            <v>36068</v>
          </cell>
          <cell r="W3">
            <v>36160</v>
          </cell>
          <cell r="X3">
            <v>36250</v>
          </cell>
          <cell r="Y3">
            <v>36341</v>
          </cell>
          <cell r="Z3">
            <v>36341</v>
          </cell>
          <cell r="AA3">
            <v>36433</v>
          </cell>
          <cell r="AB3">
            <v>36525</v>
          </cell>
          <cell r="AC3">
            <v>36616</v>
          </cell>
          <cell r="AD3">
            <v>36707</v>
          </cell>
          <cell r="AE3">
            <v>36707</v>
          </cell>
          <cell r="AF3">
            <v>36799</v>
          </cell>
          <cell r="AG3">
            <v>36891</v>
          </cell>
          <cell r="AH3">
            <v>36981</v>
          </cell>
          <cell r="AI3">
            <v>37072</v>
          </cell>
          <cell r="AJ3">
            <v>37072</v>
          </cell>
          <cell r="AK3">
            <v>37164</v>
          </cell>
          <cell r="AL3">
            <v>37256</v>
          </cell>
          <cell r="AM3">
            <v>37346</v>
          </cell>
          <cell r="AN3">
            <v>37437</v>
          </cell>
          <cell r="AO3">
            <v>37437</v>
          </cell>
          <cell r="AP3">
            <v>37529</v>
          </cell>
          <cell r="AQ3">
            <v>37621</v>
          </cell>
          <cell r="AR3">
            <v>37711</v>
          </cell>
          <cell r="AS3">
            <v>37802</v>
          </cell>
          <cell r="AT3">
            <v>37802</v>
          </cell>
          <cell r="AU3">
            <v>37894</v>
          </cell>
          <cell r="AV3">
            <v>37986</v>
          </cell>
          <cell r="AW3">
            <v>38077</v>
          </cell>
          <cell r="AX3">
            <v>38168</v>
          </cell>
          <cell r="AY3">
            <v>38168</v>
          </cell>
          <cell r="AZ3">
            <v>38260</v>
          </cell>
          <cell r="BA3">
            <v>38352</v>
          </cell>
          <cell r="BB3">
            <v>38442</v>
          </cell>
          <cell r="BC3">
            <v>38533</v>
          </cell>
          <cell r="BD3">
            <v>38533</v>
          </cell>
          <cell r="BE3">
            <v>38625</v>
          </cell>
          <cell r="BF3">
            <v>38717</v>
          </cell>
          <cell r="BG3">
            <v>38807</v>
          </cell>
          <cell r="BH3">
            <v>38898</v>
          </cell>
          <cell r="BI3">
            <v>38898</v>
          </cell>
          <cell r="BJ3">
            <v>38990</v>
          </cell>
          <cell r="BK3">
            <v>39082</v>
          </cell>
          <cell r="BL3">
            <v>39172</v>
          </cell>
          <cell r="BM3">
            <v>39263</v>
          </cell>
          <cell r="BN3">
            <v>39263</v>
          </cell>
          <cell r="BO3">
            <v>39355</v>
          </cell>
          <cell r="BP3">
            <v>39447</v>
          </cell>
          <cell r="BQ3">
            <v>39538</v>
          </cell>
          <cell r="BR3">
            <v>39629</v>
          </cell>
          <cell r="BS3">
            <v>39629</v>
          </cell>
          <cell r="BT3">
            <v>39721</v>
          </cell>
          <cell r="BU3">
            <v>39813</v>
          </cell>
          <cell r="BV3">
            <v>39903</v>
          </cell>
          <cell r="BW3">
            <v>39994</v>
          </cell>
          <cell r="BX3">
            <v>39994</v>
          </cell>
          <cell r="BY3">
            <v>40086</v>
          </cell>
          <cell r="BZ3">
            <v>40178</v>
          </cell>
          <cell r="CA3">
            <v>40268</v>
          </cell>
          <cell r="CB3">
            <v>40359</v>
          </cell>
          <cell r="CC3">
            <v>40359</v>
          </cell>
          <cell r="CD3">
            <v>40451</v>
          </cell>
          <cell r="CE3">
            <v>40543</v>
          </cell>
          <cell r="CF3">
            <v>40633</v>
          </cell>
          <cell r="CG3">
            <v>40724</v>
          </cell>
          <cell r="CH3">
            <v>40724</v>
          </cell>
          <cell r="CI3">
            <v>40816</v>
          </cell>
          <cell r="CJ3">
            <v>40908</v>
          </cell>
          <cell r="CK3">
            <v>40999</v>
          </cell>
          <cell r="CL3">
            <v>41090</v>
          </cell>
          <cell r="CM3">
            <v>41090</v>
          </cell>
          <cell r="CN3">
            <v>41182</v>
          </cell>
          <cell r="CO3">
            <v>41274</v>
          </cell>
          <cell r="CP3">
            <v>41364</v>
          </cell>
          <cell r="CQ3">
            <v>41455</v>
          </cell>
          <cell r="CR3">
            <v>41455</v>
          </cell>
          <cell r="CS3">
            <v>41547</v>
          </cell>
          <cell r="CT3">
            <v>41639</v>
          </cell>
          <cell r="CU3">
            <v>41729</v>
          </cell>
          <cell r="CV3">
            <v>41820</v>
          </cell>
          <cell r="CW3">
            <v>41820</v>
          </cell>
          <cell r="CX3">
            <v>41912</v>
          </cell>
          <cell r="CY3">
            <v>42004</v>
          </cell>
          <cell r="CZ3">
            <v>42094</v>
          </cell>
          <cell r="DA3">
            <v>42185</v>
          </cell>
          <cell r="DB3">
            <v>42185</v>
          </cell>
          <cell r="DC3">
            <v>42277</v>
          </cell>
          <cell r="DD3">
            <v>42369</v>
          </cell>
          <cell r="DE3">
            <v>42460</v>
          </cell>
          <cell r="DF3">
            <v>42551</v>
          </cell>
          <cell r="DG3">
            <v>42551</v>
          </cell>
          <cell r="DH3">
            <v>42643</v>
          </cell>
          <cell r="DI3">
            <v>42735</v>
          </cell>
          <cell r="DJ3">
            <v>42825</v>
          </cell>
          <cell r="DK3">
            <v>42916</v>
          </cell>
          <cell r="DL3">
            <v>42916</v>
          </cell>
          <cell r="DM3">
            <v>43008</v>
          </cell>
          <cell r="DN3">
            <v>43100</v>
          </cell>
          <cell r="DO3">
            <v>43190</v>
          </cell>
          <cell r="DP3">
            <v>43281</v>
          </cell>
          <cell r="DQ3">
            <v>43281</v>
          </cell>
          <cell r="DR3">
            <v>43373</v>
          </cell>
          <cell r="DS3">
            <v>43465</v>
          </cell>
          <cell r="DT3">
            <v>43555</v>
          </cell>
          <cell r="DU3">
            <v>43646</v>
          </cell>
          <cell r="DV3">
            <v>43646</v>
          </cell>
          <cell r="DW3">
            <v>43738</v>
          </cell>
          <cell r="DX3">
            <v>43830</v>
          </cell>
          <cell r="DY3">
            <v>43921</v>
          </cell>
          <cell r="DZ3">
            <v>44012</v>
          </cell>
          <cell r="EA3">
            <v>44012</v>
          </cell>
          <cell r="EB3">
            <v>44104</v>
          </cell>
          <cell r="EC3">
            <v>44196</v>
          </cell>
          <cell r="ED3">
            <v>44286</v>
          </cell>
          <cell r="EE3">
            <v>44377</v>
          </cell>
          <cell r="EF3">
            <v>44377</v>
          </cell>
          <cell r="EG3">
            <v>44469</v>
          </cell>
          <cell r="EH3">
            <v>44561</v>
          </cell>
          <cell r="EI3">
            <v>44651</v>
          </cell>
          <cell r="EJ3">
            <v>44742</v>
          </cell>
          <cell r="EK3">
            <v>44742</v>
          </cell>
          <cell r="EL3">
            <v>44834</v>
          </cell>
          <cell r="EM3">
            <v>44926</v>
          </cell>
          <cell r="EN3">
            <v>45016</v>
          </cell>
          <cell r="EO3">
            <v>45107</v>
          </cell>
          <cell r="EP3">
            <v>45107</v>
          </cell>
          <cell r="EQ3">
            <v>45199</v>
          </cell>
          <cell r="ER3">
            <v>45291</v>
          </cell>
          <cell r="ES3">
            <v>45382</v>
          </cell>
          <cell r="ET3">
            <v>45473</v>
          </cell>
          <cell r="EU3">
            <v>45473</v>
          </cell>
          <cell r="EV3">
            <v>45565</v>
          </cell>
          <cell r="EW3">
            <v>45657</v>
          </cell>
          <cell r="EX3">
            <v>45747</v>
          </cell>
          <cell r="EY3">
            <v>45838</v>
          </cell>
          <cell r="EZ3">
            <v>45838</v>
          </cell>
          <cell r="FA3">
            <v>45930</v>
          </cell>
          <cell r="FB3">
            <v>46022</v>
          </cell>
          <cell r="FC3">
            <v>46112</v>
          </cell>
          <cell r="FD3">
            <v>46203</v>
          </cell>
          <cell r="FE3">
            <v>46203</v>
          </cell>
        </row>
        <row r="4">
          <cell r="A4" t="str">
            <v>Issuer: Microsoft Corp.</v>
          </cell>
        </row>
        <row r="5">
          <cell r="A5" t="str">
            <v>Reference Data</v>
          </cell>
        </row>
        <row r="6">
          <cell r="B6" t="str">
            <v>Issuer Name</v>
          </cell>
          <cell r="C6" t="str">
            <v>Issuer Name</v>
          </cell>
          <cell r="E6" t="str">
            <v>Microsoft Corp.</v>
          </cell>
        </row>
        <row r="7">
          <cell r="B7" t="str">
            <v>Reporting Currency</v>
          </cell>
          <cell r="C7" t="str">
            <v>CURRENCY_ISO</v>
          </cell>
          <cell r="E7" t="str">
            <v>USD</v>
          </cell>
        </row>
        <row r="8">
          <cell r="A8" t="str">
            <v>General Information</v>
          </cell>
        </row>
        <row r="9">
          <cell r="B9" t="str">
            <v>M&amp;A probability (1 = high, 3 = low)</v>
          </cell>
          <cell r="C9" t="str">
            <v>MA_PROB</v>
          </cell>
          <cell r="E9">
            <v>3</v>
          </cell>
        </row>
        <row r="10">
          <cell r="A10" t="str">
            <v>Income Statement</v>
          </cell>
          <cell r="CC10">
            <v>76772</v>
          </cell>
        </row>
        <row r="11">
          <cell r="B11" t="str">
            <v>Sales, net revenue</v>
          </cell>
          <cell r="C11" t="str">
            <v>SALES</v>
          </cell>
          <cell r="D11" t="str">
            <v>USD</v>
          </cell>
          <cell r="F11">
            <v>5937</v>
          </cell>
          <cell r="G11">
            <v>2016</v>
          </cell>
          <cell r="H11">
            <v>2195</v>
          </cell>
          <cell r="I11">
            <v>2205</v>
          </cell>
          <cell r="J11">
            <v>2255</v>
          </cell>
          <cell r="K11">
            <v>8671</v>
          </cell>
          <cell r="L11">
            <v>2295</v>
          </cell>
          <cell r="M11">
            <v>2680</v>
          </cell>
          <cell r="N11">
            <v>3208</v>
          </cell>
          <cell r="O11">
            <v>3175</v>
          </cell>
          <cell r="P11">
            <v>11358</v>
          </cell>
          <cell r="Q11">
            <v>3130</v>
          </cell>
          <cell r="R11">
            <v>3585</v>
          </cell>
          <cell r="S11">
            <v>3774</v>
          </cell>
          <cell r="T11">
            <v>3995</v>
          </cell>
          <cell r="U11">
            <v>14484</v>
          </cell>
          <cell r="V11">
            <v>4193</v>
          </cell>
          <cell r="W11">
            <v>5195</v>
          </cell>
          <cell r="X11">
            <v>4595</v>
          </cell>
          <cell r="Y11">
            <v>5764</v>
          </cell>
          <cell r="Z11">
            <v>19747</v>
          </cell>
          <cell r="AA11">
            <v>5384</v>
          </cell>
          <cell r="AB11">
            <v>6112</v>
          </cell>
          <cell r="AC11">
            <v>5656</v>
          </cell>
          <cell r="AD11">
            <v>5804</v>
          </cell>
          <cell r="AE11">
            <v>22956</v>
          </cell>
          <cell r="AF11">
            <v>5766</v>
          </cell>
          <cell r="AG11">
            <v>6550</v>
          </cell>
          <cell r="AH11">
            <v>6403</v>
          </cell>
          <cell r="AI11">
            <v>6577</v>
          </cell>
          <cell r="AJ11">
            <v>25296</v>
          </cell>
          <cell r="AK11">
            <v>6126</v>
          </cell>
          <cell r="AL11">
            <v>7741</v>
          </cell>
          <cell r="AM11">
            <v>7245</v>
          </cell>
          <cell r="AN11">
            <v>7253</v>
          </cell>
          <cell r="AO11">
            <v>28365</v>
          </cell>
          <cell r="AP11">
            <v>7746</v>
          </cell>
          <cell r="AQ11">
            <v>8541</v>
          </cell>
          <cell r="AR11">
            <v>7835</v>
          </cell>
          <cell r="AS11">
            <v>8065</v>
          </cell>
          <cell r="AT11">
            <v>32187</v>
          </cell>
          <cell r="AU11">
            <v>8215</v>
          </cell>
          <cell r="AV11">
            <v>10153</v>
          </cell>
          <cell r="AW11">
            <v>9175</v>
          </cell>
          <cell r="AX11">
            <v>9292</v>
          </cell>
          <cell r="AY11">
            <v>36835</v>
          </cell>
          <cell r="AZ11">
            <v>9189</v>
          </cell>
          <cell r="BA11">
            <v>10818</v>
          </cell>
          <cell r="BB11">
            <v>9620</v>
          </cell>
          <cell r="BC11">
            <v>10161</v>
          </cell>
          <cell r="BD11">
            <v>39788</v>
          </cell>
          <cell r="BE11">
            <v>9741</v>
          </cell>
          <cell r="BF11">
            <v>11837</v>
          </cell>
          <cell r="BG11">
            <v>10900</v>
          </cell>
          <cell r="BH11">
            <v>11804</v>
          </cell>
          <cell r="BI11">
            <v>44282</v>
          </cell>
          <cell r="BJ11">
            <v>10811</v>
          </cell>
          <cell r="BK11">
            <v>12542</v>
          </cell>
          <cell r="BL11">
            <v>14398</v>
          </cell>
          <cell r="BM11">
            <v>13371</v>
          </cell>
          <cell r="BN11">
            <v>51122</v>
          </cell>
          <cell r="BO11">
            <v>13762</v>
          </cell>
          <cell r="BP11">
            <v>16367</v>
          </cell>
          <cell r="BQ11">
            <v>14454</v>
          </cell>
          <cell r="BR11">
            <v>15837</v>
          </cell>
          <cell r="BS11">
            <v>60420</v>
          </cell>
          <cell r="BT11">
            <v>15061</v>
          </cell>
          <cell r="BU11">
            <v>16629</v>
          </cell>
          <cell r="BV11">
            <v>13648</v>
          </cell>
          <cell r="BW11">
            <v>13099</v>
          </cell>
          <cell r="BX11">
            <v>58437</v>
          </cell>
          <cell r="BY11">
            <v>12920</v>
          </cell>
          <cell r="BZ11">
            <v>19022</v>
          </cell>
          <cell r="CA11">
            <v>14503</v>
          </cell>
          <cell r="CB11">
            <v>16039</v>
          </cell>
          <cell r="CC11">
            <v>62484</v>
          </cell>
          <cell r="CD11">
            <v>16195</v>
          </cell>
          <cell r="CE11">
            <v>19953</v>
          </cell>
          <cell r="CF11">
            <v>16428</v>
          </cell>
          <cell r="CG11">
            <v>17367</v>
          </cell>
          <cell r="CH11">
            <v>69943</v>
          </cell>
          <cell r="CI11">
            <v>17372</v>
          </cell>
          <cell r="CJ11">
            <v>20885</v>
          </cell>
          <cell r="CK11">
            <v>17407</v>
          </cell>
          <cell r="CL11">
            <v>18059</v>
          </cell>
          <cell r="CM11">
            <v>73723</v>
          </cell>
          <cell r="CN11">
            <v>16008</v>
          </cell>
          <cell r="CO11">
            <v>21456</v>
          </cell>
          <cell r="CP11">
            <v>20489</v>
          </cell>
          <cell r="CQ11">
            <v>19896</v>
          </cell>
          <cell r="CR11">
            <v>77849</v>
          </cell>
          <cell r="CS11">
            <v>18529</v>
          </cell>
          <cell r="CT11">
            <v>24519</v>
          </cell>
          <cell r="CU11">
            <v>20403</v>
          </cell>
          <cell r="CV11">
            <v>23382</v>
          </cell>
          <cell r="CW11">
            <v>86833</v>
          </cell>
          <cell r="CX11">
            <v>23201</v>
          </cell>
          <cell r="CY11">
            <v>26470</v>
          </cell>
          <cell r="CZ11">
            <v>21729</v>
          </cell>
          <cell r="DA11">
            <v>22180</v>
          </cell>
          <cell r="DB11">
            <v>93580</v>
          </cell>
          <cell r="DC11">
            <v>20379</v>
          </cell>
          <cell r="DD11">
            <v>23796</v>
          </cell>
          <cell r="DE11">
            <v>20531</v>
          </cell>
          <cell r="DF11">
            <v>20614</v>
          </cell>
          <cell r="DG11">
            <v>85320</v>
          </cell>
          <cell r="DH11">
            <v>21928</v>
          </cell>
          <cell r="DI11">
            <v>25826</v>
          </cell>
          <cell r="DJ11">
            <v>23212</v>
          </cell>
          <cell r="DK11">
            <v>25605</v>
          </cell>
          <cell r="DL11">
            <v>96571</v>
          </cell>
          <cell r="DM11">
            <v>24538</v>
          </cell>
          <cell r="DN11">
            <v>28918</v>
          </cell>
          <cell r="DO11">
            <v>26819</v>
          </cell>
          <cell r="DP11">
            <v>30085</v>
          </cell>
          <cell r="DQ11">
            <v>110360</v>
          </cell>
          <cell r="DR11">
            <v>29084</v>
          </cell>
          <cell r="DS11">
            <v>32471</v>
          </cell>
          <cell r="DT11">
            <v>30571</v>
          </cell>
          <cell r="DU11">
            <v>33717</v>
          </cell>
          <cell r="DV11">
            <v>125843</v>
          </cell>
          <cell r="DW11">
            <v>33055</v>
          </cell>
          <cell r="DX11">
            <v>36906</v>
          </cell>
          <cell r="DY11">
            <v>35021</v>
          </cell>
          <cell r="DZ11">
            <v>38033</v>
          </cell>
          <cell r="EA11">
            <v>143015</v>
          </cell>
          <cell r="EB11">
            <v>37154</v>
          </cell>
          <cell r="EC11">
            <v>43076</v>
          </cell>
          <cell r="ED11">
            <v>41706</v>
          </cell>
          <cell r="EE11">
            <v>46152</v>
          </cell>
          <cell r="EF11">
            <v>168088</v>
          </cell>
          <cell r="EG11">
            <v>45317</v>
          </cell>
          <cell r="EH11">
            <v>51728</v>
          </cell>
          <cell r="EI11">
            <v>49360</v>
          </cell>
          <cell r="EJ11">
            <v>51865</v>
          </cell>
          <cell r="EK11">
            <v>198270</v>
          </cell>
          <cell r="EL11">
            <v>50122</v>
          </cell>
          <cell r="EM11">
            <v>52747</v>
          </cell>
          <cell r="EN11">
            <v>52857</v>
          </cell>
          <cell r="EO11">
            <v>56189</v>
          </cell>
          <cell r="EP11">
            <v>211915</v>
          </cell>
          <cell r="EQ11">
            <v>56517</v>
          </cell>
          <cell r="ER11">
            <v>62020</v>
          </cell>
          <cell r="ES11">
            <v>61858</v>
          </cell>
          <cell r="ET11">
            <v>64904.736469703712</v>
          </cell>
          <cell r="EU11">
            <v>245299.73646970373</v>
          </cell>
          <cell r="EV11">
            <v>66156.828369105264</v>
          </cell>
          <cell r="EW11">
            <v>70377.619938190008</v>
          </cell>
          <cell r="EX11">
            <v>70355.831979936978</v>
          </cell>
          <cell r="EY11">
            <v>73980.879966571185</v>
          </cell>
          <cell r="EZ11">
            <v>280871.16025380342</v>
          </cell>
          <cell r="FA11">
            <v>75055.961276820075</v>
          </cell>
          <cell r="FB11">
            <v>79842.010683144734</v>
          </cell>
          <cell r="FC11">
            <v>79966.703647055678</v>
          </cell>
          <cell r="FD11">
            <v>84303.218187392937</v>
          </cell>
          <cell r="FE11">
            <v>319167.89379441342</v>
          </cell>
        </row>
        <row r="12">
          <cell r="B12" t="str">
            <v>Cost of goods sold, COGS</v>
          </cell>
          <cell r="C12" t="str">
            <v>COST_GD_SD</v>
          </cell>
          <cell r="D12" t="str">
            <v>USD</v>
          </cell>
          <cell r="F12">
            <v>-877</v>
          </cell>
          <cell r="G12">
            <v>-322</v>
          </cell>
          <cell r="H12">
            <v>-330</v>
          </cell>
          <cell r="I12">
            <v>-295</v>
          </cell>
          <cell r="J12">
            <v>-241</v>
          </cell>
          <cell r="K12">
            <v>-1188</v>
          </cell>
          <cell r="L12">
            <v>-250</v>
          </cell>
          <cell r="M12">
            <v>-296</v>
          </cell>
          <cell r="N12">
            <v>-297</v>
          </cell>
          <cell r="O12">
            <v>-242</v>
          </cell>
          <cell r="P12">
            <v>-1085</v>
          </cell>
          <cell r="Q12">
            <v>-253</v>
          </cell>
          <cell r="R12">
            <v>-313</v>
          </cell>
          <cell r="S12">
            <v>-317</v>
          </cell>
          <cell r="T12">
            <v>-314</v>
          </cell>
          <cell r="U12">
            <v>-1197</v>
          </cell>
          <cell r="V12">
            <v>-649</v>
          </cell>
          <cell r="W12">
            <v>-788</v>
          </cell>
          <cell r="X12">
            <v>-708</v>
          </cell>
          <cell r="Y12">
            <v>-669</v>
          </cell>
          <cell r="Z12">
            <v>-2814</v>
          </cell>
          <cell r="AA12">
            <v>-712</v>
          </cell>
          <cell r="AB12">
            <v>-756</v>
          </cell>
          <cell r="AC12">
            <v>-752</v>
          </cell>
          <cell r="AD12">
            <v>-782</v>
          </cell>
          <cell r="AE12">
            <v>-3002</v>
          </cell>
          <cell r="AF12">
            <v>-825</v>
          </cell>
          <cell r="AG12">
            <v>-864</v>
          </cell>
          <cell r="AH12">
            <v>-899</v>
          </cell>
          <cell r="AI12">
            <v>-867</v>
          </cell>
          <cell r="AJ12">
            <v>-3455</v>
          </cell>
          <cell r="AK12">
            <v>-884</v>
          </cell>
          <cell r="AL12">
            <v>-1544</v>
          </cell>
          <cell r="AM12">
            <v>-1395</v>
          </cell>
          <cell r="AN12">
            <v>-1368</v>
          </cell>
          <cell r="AO12">
            <v>-5191</v>
          </cell>
          <cell r="AP12">
            <v>-1344</v>
          </cell>
          <cell r="AQ12">
            <v>-2137</v>
          </cell>
          <cell r="AR12">
            <v>-1274</v>
          </cell>
          <cell r="AS12">
            <v>-1304</v>
          </cell>
          <cell r="AT12">
            <v>-6059</v>
          </cell>
          <cell r="AU12">
            <v>-1480</v>
          </cell>
          <cell r="AV12">
            <v>-2344</v>
          </cell>
          <cell r="AW12">
            <v>-1411</v>
          </cell>
          <cell r="AX12">
            <v>-1481</v>
          </cell>
          <cell r="AY12">
            <v>-6716</v>
          </cell>
          <cell r="AZ12">
            <v>-1405</v>
          </cell>
          <cell r="BA12">
            <v>-1875</v>
          </cell>
          <cell r="BB12">
            <v>-1363</v>
          </cell>
          <cell r="BC12">
            <v>-1557</v>
          </cell>
          <cell r="BD12">
            <v>-6200</v>
          </cell>
          <cell r="BE12">
            <v>-1253</v>
          </cell>
          <cell r="BF12">
            <v>-2239</v>
          </cell>
          <cell r="BG12">
            <v>-2028</v>
          </cell>
          <cell r="BH12">
            <v>-2130</v>
          </cell>
          <cell r="BI12">
            <v>-7650</v>
          </cell>
          <cell r="BJ12">
            <v>-1696</v>
          </cell>
          <cell r="BK12">
            <v>-3620</v>
          </cell>
          <cell r="BL12">
            <v>-2140</v>
          </cell>
          <cell r="BM12">
            <v>-3237</v>
          </cell>
          <cell r="BN12">
            <v>-10693</v>
          </cell>
          <cell r="BO12">
            <v>-2675</v>
          </cell>
          <cell r="BP12">
            <v>-3543</v>
          </cell>
          <cell r="BQ12">
            <v>-2514</v>
          </cell>
          <cell r="BR12">
            <v>-2866</v>
          </cell>
          <cell r="BS12">
            <v>-11598</v>
          </cell>
          <cell r="BT12">
            <v>-2848</v>
          </cell>
          <cell r="BU12">
            <v>-3907</v>
          </cell>
          <cell r="BV12">
            <v>-2814</v>
          </cell>
          <cell r="BW12">
            <v>-2586</v>
          </cell>
          <cell r="BX12">
            <v>-12155</v>
          </cell>
          <cell r="BY12">
            <v>-2842</v>
          </cell>
          <cell r="BZ12">
            <v>-3628</v>
          </cell>
          <cell r="CA12">
            <v>-2755</v>
          </cell>
          <cell r="CB12">
            <v>-3170</v>
          </cell>
          <cell r="CC12">
            <v>-12395</v>
          </cell>
          <cell r="CD12">
            <v>-3139</v>
          </cell>
          <cell r="CE12">
            <v>-4833</v>
          </cell>
          <cell r="CF12">
            <v>-3897</v>
          </cell>
          <cell r="CG12">
            <v>-3708</v>
          </cell>
          <cell r="CH12">
            <v>-15577</v>
          </cell>
          <cell r="CI12">
            <v>-3777</v>
          </cell>
          <cell r="CJ12">
            <v>-5638</v>
          </cell>
          <cell r="CK12">
            <v>-3952</v>
          </cell>
          <cell r="CL12">
            <v>-4163</v>
          </cell>
          <cell r="CM12">
            <v>-17530</v>
          </cell>
          <cell r="CN12">
            <v>-4168</v>
          </cell>
          <cell r="CO12">
            <v>-5692</v>
          </cell>
          <cell r="CP12">
            <v>-4787</v>
          </cell>
          <cell r="CQ12">
            <v>-5602</v>
          </cell>
          <cell r="CR12">
            <v>-20249</v>
          </cell>
          <cell r="CS12">
            <v>-5145</v>
          </cell>
          <cell r="CT12">
            <v>-8322</v>
          </cell>
          <cell r="CU12">
            <v>-5978</v>
          </cell>
          <cell r="CV12">
            <v>-7633</v>
          </cell>
          <cell r="CW12">
            <v>-27078</v>
          </cell>
          <cell r="CX12">
            <v>-8273</v>
          </cell>
          <cell r="CY12">
            <v>-10136</v>
          </cell>
          <cell r="CZ12">
            <v>-7161</v>
          </cell>
          <cell r="DA12">
            <v>-7468</v>
          </cell>
          <cell r="DB12">
            <v>-33038</v>
          </cell>
          <cell r="DC12">
            <v>-7207</v>
          </cell>
          <cell r="DD12">
            <v>-9872</v>
          </cell>
          <cell r="DE12">
            <v>-7722</v>
          </cell>
          <cell r="DF12">
            <v>-7979</v>
          </cell>
          <cell r="DG12">
            <v>-32780</v>
          </cell>
          <cell r="DH12">
            <v>-7844</v>
          </cell>
          <cell r="DI12">
            <v>-9901</v>
          </cell>
          <cell r="DJ12">
            <v>-8060</v>
          </cell>
          <cell r="DK12">
            <v>-8456</v>
          </cell>
          <cell r="DL12">
            <v>-34261</v>
          </cell>
          <cell r="DM12">
            <v>-8278</v>
          </cell>
          <cell r="DN12">
            <v>-11064</v>
          </cell>
          <cell r="DO12">
            <v>-9269</v>
          </cell>
          <cell r="DP12">
            <v>-9742</v>
          </cell>
          <cell r="DQ12">
            <v>-38353</v>
          </cell>
          <cell r="DR12">
            <v>-9905</v>
          </cell>
          <cell r="DS12">
            <v>-12423</v>
          </cell>
          <cell r="DT12">
            <v>-10170</v>
          </cell>
          <cell r="DU12">
            <v>-10412</v>
          </cell>
          <cell r="DV12">
            <v>-42910</v>
          </cell>
          <cell r="DW12">
            <v>-10406</v>
          </cell>
          <cell r="DX12">
            <v>-12358</v>
          </cell>
          <cell r="DY12">
            <v>-10975</v>
          </cell>
          <cell r="DZ12">
            <v>-12339</v>
          </cell>
          <cell r="EA12">
            <v>-46078</v>
          </cell>
          <cell r="EB12">
            <v>-11002</v>
          </cell>
          <cell r="EC12">
            <v>-14194</v>
          </cell>
          <cell r="ED12">
            <v>-13045</v>
          </cell>
          <cell r="EE12">
            <v>-13991</v>
          </cell>
          <cell r="EF12">
            <v>-52232</v>
          </cell>
          <cell r="EG12">
            <v>-13646</v>
          </cell>
          <cell r="EH12">
            <v>-16960</v>
          </cell>
          <cell r="EI12">
            <v>-15615</v>
          </cell>
          <cell r="EJ12">
            <v>-16429</v>
          </cell>
          <cell r="EK12">
            <v>-62650</v>
          </cell>
          <cell r="EL12">
            <v>-15452</v>
          </cell>
          <cell r="EM12">
            <v>-17488</v>
          </cell>
          <cell r="EN12">
            <v>-16128</v>
          </cell>
          <cell r="EO12">
            <v>-16795</v>
          </cell>
          <cell r="EP12">
            <v>-65863</v>
          </cell>
          <cell r="EQ12">
            <v>-16302</v>
          </cell>
          <cell r="ER12">
            <v>-19623</v>
          </cell>
          <cell r="ES12">
            <v>-18505</v>
          </cell>
          <cell r="ET12">
            <v>-20134.017969026856</v>
          </cell>
          <cell r="EU12">
            <v>-74564.017969026856</v>
          </cell>
          <cell r="EV12">
            <v>-20291.827582122409</v>
          </cell>
          <cell r="EW12">
            <v>-21722.919095238525</v>
          </cell>
          <cell r="EX12">
            <v>-21465.177201491832</v>
          </cell>
          <cell r="EY12">
            <v>-22442.915069375551</v>
          </cell>
          <cell r="EZ12">
            <v>-85922.838948228309</v>
          </cell>
          <cell r="FA12">
            <v>-22970.365504699999</v>
          </cell>
          <cell r="FB12">
            <v>-24595.34794125786</v>
          </cell>
          <cell r="FC12">
            <v>-24336.701075866855</v>
          </cell>
          <cell r="FD12">
            <v>-25503.211033694919</v>
          </cell>
          <cell r="FE12">
            <v>-97405.625555519626</v>
          </cell>
        </row>
        <row r="13">
          <cell r="B13" t="str">
            <v>SG&amp;A, selling, general and admin. expense</v>
          </cell>
          <cell r="C13" t="str">
            <v>SEL_GL_AD</v>
          </cell>
          <cell r="D13" t="str">
            <v>USD</v>
          </cell>
          <cell r="F13">
            <v>-2162</v>
          </cell>
          <cell r="G13">
            <v>-684</v>
          </cell>
          <cell r="H13">
            <v>-766</v>
          </cell>
          <cell r="I13">
            <v>-772</v>
          </cell>
          <cell r="J13">
            <v>-751</v>
          </cell>
          <cell r="K13">
            <v>-2973</v>
          </cell>
          <cell r="L13">
            <v>-711</v>
          </cell>
          <cell r="M13">
            <v>-818</v>
          </cell>
          <cell r="N13">
            <v>-851</v>
          </cell>
          <cell r="O13">
            <v>-838</v>
          </cell>
          <cell r="P13">
            <v>-3218</v>
          </cell>
          <cell r="Q13">
            <v>-883</v>
          </cell>
          <cell r="R13">
            <v>-982</v>
          </cell>
          <cell r="S13">
            <v>-933</v>
          </cell>
          <cell r="T13">
            <v>-1047</v>
          </cell>
          <cell r="U13">
            <v>-3845</v>
          </cell>
          <cell r="V13">
            <v>-787</v>
          </cell>
          <cell r="W13">
            <v>-943</v>
          </cell>
          <cell r="X13">
            <v>-993</v>
          </cell>
          <cell r="Y13">
            <v>-1197</v>
          </cell>
          <cell r="Z13">
            <v>-3920</v>
          </cell>
          <cell r="AA13">
            <v>-1046</v>
          </cell>
          <cell r="AB13">
            <v>-1533</v>
          </cell>
          <cell r="AC13">
            <v>-1218</v>
          </cell>
          <cell r="AD13">
            <v>-1353</v>
          </cell>
          <cell r="AE13">
            <v>-5150</v>
          </cell>
          <cell r="AF13">
            <v>-1208</v>
          </cell>
          <cell r="AG13">
            <v>-1502</v>
          </cell>
          <cell r="AH13">
            <v>-1437</v>
          </cell>
          <cell r="AI13">
            <v>-1595</v>
          </cell>
          <cell r="AJ13">
            <v>-5742</v>
          </cell>
          <cell r="AK13">
            <v>-1332</v>
          </cell>
          <cell r="AL13">
            <v>-2312</v>
          </cell>
          <cell r="AM13">
            <v>-1486</v>
          </cell>
          <cell r="AN13">
            <v>-1827</v>
          </cell>
          <cell r="AO13">
            <v>-6957</v>
          </cell>
          <cell r="AP13">
            <v>-1667</v>
          </cell>
          <cell r="AQ13">
            <v>-2656</v>
          </cell>
          <cell r="AR13">
            <v>-2125</v>
          </cell>
          <cell r="AS13">
            <v>-3540</v>
          </cell>
          <cell r="AT13">
            <v>-9988</v>
          </cell>
          <cell r="AU13">
            <v>-1976</v>
          </cell>
          <cell r="AV13">
            <v>-3363</v>
          </cell>
          <cell r="AW13">
            <v>-4948</v>
          </cell>
          <cell r="AX13">
            <v>-3019</v>
          </cell>
          <cell r="AY13">
            <v>-13306</v>
          </cell>
          <cell r="AZ13">
            <v>-2760</v>
          </cell>
          <cell r="BA13">
            <v>-2773</v>
          </cell>
          <cell r="BB13">
            <v>-3446</v>
          </cell>
          <cell r="BC13">
            <v>-3864</v>
          </cell>
          <cell r="BD13">
            <v>-12843</v>
          </cell>
          <cell r="BE13">
            <v>-2927</v>
          </cell>
          <cell r="BF13">
            <v>-3350</v>
          </cell>
          <cell r="BG13">
            <v>-3367</v>
          </cell>
          <cell r="BH13">
            <v>-3932</v>
          </cell>
          <cell r="BI13">
            <v>-13576</v>
          </cell>
          <cell r="BJ13">
            <v>-2855</v>
          </cell>
          <cell r="BK13">
            <v>-3813</v>
          </cell>
          <cell r="BL13">
            <v>-3919</v>
          </cell>
          <cell r="BM13">
            <v>-4197</v>
          </cell>
          <cell r="BN13">
            <v>-14784</v>
          </cell>
          <cell r="BO13">
            <v>-3332</v>
          </cell>
          <cell r="BP13">
            <v>-4458</v>
          </cell>
          <cell r="BQ13">
            <v>-5496</v>
          </cell>
          <cell r="BR13">
            <v>-4880</v>
          </cell>
          <cell r="BS13">
            <v>-18166</v>
          </cell>
          <cell r="BT13">
            <v>-3931</v>
          </cell>
          <cell r="BU13">
            <v>-4493</v>
          </cell>
          <cell r="BV13">
            <v>-3894</v>
          </cell>
          <cell r="BW13">
            <v>-4261</v>
          </cell>
          <cell r="BX13">
            <v>-16579</v>
          </cell>
          <cell r="BY13">
            <v>-3531</v>
          </cell>
          <cell r="BZ13">
            <v>-4743</v>
          </cell>
          <cell r="CA13">
            <v>-4355</v>
          </cell>
          <cell r="CB13">
            <v>-4589</v>
          </cell>
          <cell r="CC13">
            <v>-17218</v>
          </cell>
          <cell r="CD13">
            <v>-3744</v>
          </cell>
          <cell r="CE13">
            <v>-4770</v>
          </cell>
          <cell r="CF13">
            <v>-4553</v>
          </cell>
          <cell r="CG13">
            <v>-5095</v>
          </cell>
          <cell r="CH13">
            <v>-18162</v>
          </cell>
          <cell r="CI13">
            <v>-4063</v>
          </cell>
          <cell r="CJ13">
            <v>-4882</v>
          </cell>
          <cell r="CK13">
            <v>-4564</v>
          </cell>
          <cell r="CL13">
            <v>-4917</v>
          </cell>
          <cell r="CM13">
            <v>-18426</v>
          </cell>
          <cell r="CN13">
            <v>-4072</v>
          </cell>
          <cell r="CO13">
            <v>-5465</v>
          </cell>
          <cell r="CP13">
            <v>-5450</v>
          </cell>
          <cell r="CQ13">
            <v>-5438</v>
          </cell>
          <cell r="CR13">
            <v>-20425</v>
          </cell>
          <cell r="CS13">
            <v>-4283</v>
          </cell>
          <cell r="CT13">
            <v>-5480</v>
          </cell>
          <cell r="CU13">
            <v>-4708</v>
          </cell>
          <cell r="CV13">
            <v>-6017</v>
          </cell>
          <cell r="CW13">
            <v>-20488</v>
          </cell>
          <cell r="CX13">
            <v>-4879</v>
          </cell>
          <cell r="CY13">
            <v>-5412</v>
          </cell>
          <cell r="CZ13">
            <v>-4800</v>
          </cell>
          <cell r="DA13">
            <v>-5233</v>
          </cell>
          <cell r="DB13">
            <v>-20324</v>
          </cell>
          <cell r="DC13">
            <v>-4417</v>
          </cell>
          <cell r="DD13">
            <v>-4998</v>
          </cell>
          <cell r="DE13">
            <v>-4546</v>
          </cell>
          <cell r="DF13">
            <v>-5299</v>
          </cell>
          <cell r="DG13">
            <v>-19260</v>
          </cell>
          <cell r="DH13">
            <v>-4263</v>
          </cell>
          <cell r="DI13">
            <v>-4958</v>
          </cell>
          <cell r="DJ13">
            <v>-5074</v>
          </cell>
          <cell r="DK13">
            <v>-5647</v>
          </cell>
          <cell r="DL13">
            <v>-19942</v>
          </cell>
          <cell r="DM13">
            <v>-4978</v>
          </cell>
          <cell r="DN13">
            <v>-5671</v>
          </cell>
          <cell r="DO13">
            <v>-5543</v>
          </cell>
          <cell r="DP13">
            <v>-6031</v>
          </cell>
          <cell r="DQ13">
            <v>-22223</v>
          </cell>
          <cell r="DR13">
            <v>-5247</v>
          </cell>
          <cell r="DS13">
            <v>-5720</v>
          </cell>
          <cell r="DT13">
            <v>-5744</v>
          </cell>
          <cell r="DU13">
            <v>-6387</v>
          </cell>
          <cell r="DV13">
            <v>-23098</v>
          </cell>
          <cell r="DW13">
            <v>-5398</v>
          </cell>
          <cell r="DX13">
            <v>-6054</v>
          </cell>
          <cell r="DY13">
            <v>-6184</v>
          </cell>
          <cell r="DZ13">
            <v>-7073</v>
          </cell>
          <cell r="EA13">
            <v>-24709</v>
          </cell>
          <cell r="EB13">
            <v>-5350</v>
          </cell>
          <cell r="EC13">
            <v>-6086</v>
          </cell>
          <cell r="ED13">
            <v>-6409</v>
          </cell>
          <cell r="EE13">
            <v>-7379</v>
          </cell>
          <cell r="EF13">
            <v>-25224</v>
          </cell>
          <cell r="EG13">
            <v>-5834</v>
          </cell>
          <cell r="EH13">
            <v>-6763</v>
          </cell>
          <cell r="EI13">
            <v>-7075</v>
          </cell>
          <cell r="EJ13">
            <v>-8053</v>
          </cell>
          <cell r="EK13">
            <v>-27725</v>
          </cell>
          <cell r="EL13">
            <v>-6524</v>
          </cell>
          <cell r="EM13">
            <v>-8016</v>
          </cell>
          <cell r="EN13">
            <v>-7393</v>
          </cell>
          <cell r="EO13">
            <v>-8401</v>
          </cell>
          <cell r="EP13">
            <v>-30334</v>
          </cell>
          <cell r="EQ13">
            <v>-6661</v>
          </cell>
          <cell r="ER13">
            <v>-8223</v>
          </cell>
          <cell r="ES13">
            <v>-8119</v>
          </cell>
          <cell r="ET13">
            <v>-8307.8062681220745</v>
          </cell>
          <cell r="EU13">
            <v>-31310.806268122076</v>
          </cell>
          <cell r="EV13">
            <v>-7938.8194042926316</v>
          </cell>
          <cell r="EW13">
            <v>-8867.580112211941</v>
          </cell>
          <cell r="EX13">
            <v>-8928.8236281269019</v>
          </cell>
          <cell r="EY13">
            <v>-9173.6291158548265</v>
          </cell>
          <cell r="EZ13">
            <v>-34908.852260486303</v>
          </cell>
          <cell r="FA13">
            <v>-8556.3795855574881</v>
          </cell>
          <cell r="FB13">
            <v>-9581.0412819773683</v>
          </cell>
          <cell r="FC13">
            <v>-9668.7343472328848</v>
          </cell>
          <cell r="FD13">
            <v>-9947.7797461123664</v>
          </cell>
          <cell r="FE13">
            <v>-37753.934960880106</v>
          </cell>
        </row>
        <row r="14">
          <cell r="B14" t="str">
            <v>Total operating expense</v>
          </cell>
          <cell r="C14" t="str">
            <v>OP_COST</v>
          </cell>
          <cell r="D14" t="str">
            <v>USD</v>
          </cell>
          <cell r="F14">
            <v>-3039</v>
          </cell>
          <cell r="G14">
            <v>-1006</v>
          </cell>
          <cell r="H14">
            <v>-1096</v>
          </cell>
          <cell r="I14">
            <v>-1067</v>
          </cell>
          <cell r="J14">
            <v>-992</v>
          </cell>
          <cell r="K14">
            <v>-4161</v>
          </cell>
          <cell r="L14">
            <v>-961</v>
          </cell>
          <cell r="M14">
            <v>-1114</v>
          </cell>
          <cell r="N14">
            <v>-1148</v>
          </cell>
          <cell r="O14">
            <v>-1080</v>
          </cell>
          <cell r="P14">
            <v>-4303</v>
          </cell>
          <cell r="Q14">
            <v>-1136</v>
          </cell>
          <cell r="R14">
            <v>-1295</v>
          </cell>
          <cell r="S14">
            <v>-1250</v>
          </cell>
          <cell r="T14">
            <v>-1361</v>
          </cell>
          <cell r="U14">
            <v>-5042</v>
          </cell>
          <cell r="V14">
            <v>-1436</v>
          </cell>
          <cell r="W14">
            <v>-1731</v>
          </cell>
          <cell r="X14">
            <v>-1701</v>
          </cell>
          <cell r="Y14">
            <v>-1866</v>
          </cell>
          <cell r="Z14">
            <v>-6734</v>
          </cell>
          <cell r="AA14">
            <v>-1758</v>
          </cell>
          <cell r="AB14">
            <v>-2289</v>
          </cell>
          <cell r="AC14">
            <v>-1970</v>
          </cell>
          <cell r="AD14">
            <v>-2135</v>
          </cell>
          <cell r="AE14">
            <v>-8152</v>
          </cell>
          <cell r="AF14">
            <v>-2033</v>
          </cell>
          <cell r="AG14">
            <v>-2366</v>
          </cell>
          <cell r="AH14">
            <v>-2336</v>
          </cell>
          <cell r="AI14">
            <v>-2462</v>
          </cell>
          <cell r="AJ14">
            <v>-9197</v>
          </cell>
          <cell r="AK14">
            <v>-2216</v>
          </cell>
          <cell r="AL14">
            <v>-3856</v>
          </cell>
          <cell r="AM14">
            <v>-2881</v>
          </cell>
          <cell r="AN14">
            <v>-3195</v>
          </cell>
          <cell r="AO14">
            <v>-12148</v>
          </cell>
          <cell r="AP14">
            <v>-3011</v>
          </cell>
          <cell r="AQ14">
            <v>-4793</v>
          </cell>
          <cell r="AR14">
            <v>-3399</v>
          </cell>
          <cell r="AS14">
            <v>-4844</v>
          </cell>
          <cell r="AT14">
            <v>-16047</v>
          </cell>
          <cell r="AU14">
            <v>-3456</v>
          </cell>
          <cell r="AV14">
            <v>-5707</v>
          </cell>
          <cell r="AW14">
            <v>-6359</v>
          </cell>
          <cell r="AX14">
            <v>-4500</v>
          </cell>
          <cell r="AY14">
            <v>-20022</v>
          </cell>
          <cell r="AZ14">
            <v>-4165</v>
          </cell>
          <cell r="BA14">
            <v>-4648</v>
          </cell>
          <cell r="BB14">
            <v>-4809</v>
          </cell>
          <cell r="BC14">
            <v>-5421</v>
          </cell>
          <cell r="BD14">
            <v>-19043</v>
          </cell>
          <cell r="BE14">
            <v>-4180</v>
          </cell>
          <cell r="BF14">
            <v>-5589</v>
          </cell>
          <cell r="BG14">
            <v>-5395</v>
          </cell>
          <cell r="BH14">
            <v>-6062</v>
          </cell>
          <cell r="BI14">
            <v>-21226</v>
          </cell>
          <cell r="BJ14">
            <v>-4551</v>
          </cell>
          <cell r="BK14">
            <v>-7433</v>
          </cell>
          <cell r="BL14">
            <v>-6059</v>
          </cell>
          <cell r="BM14">
            <v>-7434</v>
          </cell>
          <cell r="BN14">
            <v>-25477</v>
          </cell>
          <cell r="BO14">
            <v>-6007</v>
          </cell>
          <cell r="BP14">
            <v>-8001</v>
          </cell>
          <cell r="BQ14">
            <v>-8010</v>
          </cell>
          <cell r="BR14">
            <v>-7746</v>
          </cell>
          <cell r="BS14">
            <v>-29764</v>
          </cell>
          <cell r="BT14">
            <v>-6779</v>
          </cell>
          <cell r="BU14">
            <v>-8400</v>
          </cell>
          <cell r="BV14">
            <v>-6708</v>
          </cell>
          <cell r="BW14">
            <v>-6847</v>
          </cell>
          <cell r="BX14">
            <v>-28734</v>
          </cell>
          <cell r="BY14">
            <v>-6373</v>
          </cell>
          <cell r="BZ14">
            <v>-8371</v>
          </cell>
          <cell r="CA14">
            <v>-7110</v>
          </cell>
          <cell r="CB14">
            <v>-7759</v>
          </cell>
          <cell r="CC14">
            <v>-29613</v>
          </cell>
          <cell r="CD14">
            <v>-6883</v>
          </cell>
          <cell r="CE14">
            <v>-9603</v>
          </cell>
          <cell r="CF14">
            <v>-8450</v>
          </cell>
          <cell r="CG14">
            <v>-8803</v>
          </cell>
          <cell r="CH14">
            <v>-33739</v>
          </cell>
          <cell r="CI14">
            <v>-7840</v>
          </cell>
          <cell r="CJ14">
            <v>-10520</v>
          </cell>
          <cell r="CK14">
            <v>-8516</v>
          </cell>
          <cell r="CL14">
            <v>-9080</v>
          </cell>
          <cell r="CM14">
            <v>-35956</v>
          </cell>
          <cell r="CN14">
            <v>-8240</v>
          </cell>
          <cell r="CO14">
            <v>-11157</v>
          </cell>
          <cell r="CP14">
            <v>-10237</v>
          </cell>
          <cell r="CQ14">
            <v>-11040</v>
          </cell>
          <cell r="CR14">
            <v>-40674</v>
          </cell>
          <cell r="CS14">
            <v>-9428</v>
          </cell>
          <cell r="CT14">
            <v>-13802</v>
          </cell>
          <cell r="CU14">
            <v>-10686</v>
          </cell>
          <cell r="CV14">
            <v>-13650</v>
          </cell>
          <cell r="CW14">
            <v>-47566</v>
          </cell>
          <cell r="CX14">
            <v>-13152</v>
          </cell>
          <cell r="CY14">
            <v>-15548</v>
          </cell>
          <cell r="CZ14">
            <v>-11961</v>
          </cell>
          <cell r="DA14">
            <v>-12701</v>
          </cell>
          <cell r="DB14">
            <v>-53362</v>
          </cell>
          <cell r="DC14">
            <v>-11624</v>
          </cell>
          <cell r="DD14">
            <v>-14870</v>
          </cell>
          <cell r="DE14">
            <v>-12268</v>
          </cell>
          <cell r="DF14">
            <v>-13278</v>
          </cell>
          <cell r="DG14">
            <v>-52040</v>
          </cell>
          <cell r="DH14">
            <v>-12107</v>
          </cell>
          <cell r="DI14">
            <v>-14859</v>
          </cell>
          <cell r="DJ14">
            <v>-13134</v>
          </cell>
          <cell r="DK14">
            <v>-14103</v>
          </cell>
          <cell r="DL14">
            <v>-54203</v>
          </cell>
          <cell r="DM14">
            <v>-13256</v>
          </cell>
          <cell r="DN14">
            <v>-16735</v>
          </cell>
          <cell r="DO14">
            <v>-14812</v>
          </cell>
          <cell r="DP14">
            <v>-15773</v>
          </cell>
          <cell r="DQ14">
            <v>-60576</v>
          </cell>
          <cell r="DR14">
            <v>-15152</v>
          </cell>
          <cell r="DS14">
            <v>-18143</v>
          </cell>
          <cell r="DT14">
            <v>-15914</v>
          </cell>
          <cell r="DU14">
            <v>-16799</v>
          </cell>
          <cell r="DV14">
            <v>-66008</v>
          </cell>
          <cell r="DW14">
            <v>-15804</v>
          </cell>
          <cell r="DX14">
            <v>-18412</v>
          </cell>
          <cell r="DY14">
            <v>-17159</v>
          </cell>
          <cell r="DZ14">
            <v>-19412</v>
          </cell>
          <cell r="EA14">
            <v>-70787</v>
          </cell>
          <cell r="EB14">
            <v>-16352</v>
          </cell>
          <cell r="EC14">
            <v>-20280</v>
          </cell>
          <cell r="ED14">
            <v>-19454</v>
          </cell>
          <cell r="EE14">
            <v>-21370</v>
          </cell>
          <cell r="EF14">
            <v>-77456</v>
          </cell>
          <cell r="EG14">
            <v>-19480</v>
          </cell>
          <cell r="EH14">
            <v>-23723</v>
          </cell>
          <cell r="EI14">
            <v>-22690</v>
          </cell>
          <cell r="EJ14">
            <v>-24482</v>
          </cell>
          <cell r="EK14">
            <v>-90375</v>
          </cell>
          <cell r="EL14">
            <v>-21976</v>
          </cell>
          <cell r="EM14">
            <v>-25504</v>
          </cell>
          <cell r="EN14">
            <v>-23521</v>
          </cell>
          <cell r="EO14">
            <v>-25196</v>
          </cell>
          <cell r="EP14">
            <v>-96197</v>
          </cell>
          <cell r="EQ14">
            <v>-22963</v>
          </cell>
          <cell r="ER14">
            <v>-27846</v>
          </cell>
          <cell r="ES14">
            <v>-26624</v>
          </cell>
          <cell r="ET14">
            <v>-28441.824237148932</v>
          </cell>
          <cell r="EU14">
            <v>-105874.82423714892</v>
          </cell>
          <cell r="EV14">
            <v>-28230.646986415042</v>
          </cell>
          <cell r="EW14">
            <v>-30590.499207450466</v>
          </cell>
          <cell r="EX14">
            <v>-30394.000829618733</v>
          </cell>
          <cell r="EY14">
            <v>-31616.544185230377</v>
          </cell>
          <cell r="EZ14">
            <v>-120831.6912087146</v>
          </cell>
          <cell r="FA14">
            <v>-31526.745090257486</v>
          </cell>
          <cell r="FB14">
            <v>-34176.38922323523</v>
          </cell>
          <cell r="FC14">
            <v>-34005.435423099741</v>
          </cell>
          <cell r="FD14">
            <v>-35450.990779807282</v>
          </cell>
          <cell r="FE14">
            <v>-135159.56051639974</v>
          </cell>
        </row>
        <row r="15">
          <cell r="B15" t="str">
            <v>R&amp;D expense</v>
          </cell>
          <cell r="C15" t="str">
            <v>RD_EXP</v>
          </cell>
          <cell r="D15" t="str">
            <v>USD</v>
          </cell>
          <cell r="F15">
            <v>-860</v>
          </cell>
          <cell r="G15">
            <v>-302</v>
          </cell>
          <cell r="H15">
            <v>-313</v>
          </cell>
          <cell r="I15">
            <v>-364</v>
          </cell>
          <cell r="J15">
            <v>-453</v>
          </cell>
          <cell r="K15">
            <v>-1432</v>
          </cell>
          <cell r="L15">
            <v>-432</v>
          </cell>
          <cell r="M15">
            <v>-485</v>
          </cell>
          <cell r="N15">
            <v>-492</v>
          </cell>
          <cell r="O15">
            <v>-516</v>
          </cell>
          <cell r="P15">
            <v>-1925</v>
          </cell>
          <cell r="Q15">
            <v>-567</v>
          </cell>
          <cell r="R15">
            <v>-627</v>
          </cell>
          <cell r="S15">
            <v>-597</v>
          </cell>
          <cell r="T15">
            <v>-711</v>
          </cell>
          <cell r="U15">
            <v>-2502</v>
          </cell>
          <cell r="V15">
            <v>-651</v>
          </cell>
          <cell r="W15">
            <v>-715</v>
          </cell>
          <cell r="X15">
            <v>-664</v>
          </cell>
          <cell r="Y15">
            <v>-940</v>
          </cell>
          <cell r="Z15">
            <v>-2970</v>
          </cell>
          <cell r="AA15">
            <v>-834</v>
          </cell>
          <cell r="AB15">
            <v>-911</v>
          </cell>
          <cell r="AC15">
            <v>-990</v>
          </cell>
          <cell r="AD15">
            <v>-1040</v>
          </cell>
          <cell r="AE15">
            <v>-3775</v>
          </cell>
          <cell r="AF15">
            <v>-956</v>
          </cell>
          <cell r="AG15">
            <v>-990</v>
          </cell>
          <cell r="AH15">
            <v>-1069</v>
          </cell>
          <cell r="AI15">
            <v>-1364</v>
          </cell>
          <cell r="AJ15">
            <v>-4379</v>
          </cell>
          <cell r="AK15">
            <v>-1013</v>
          </cell>
          <cell r="AL15">
            <v>-1044</v>
          </cell>
          <cell r="AM15">
            <v>-1066</v>
          </cell>
          <cell r="AN15">
            <v>-1184</v>
          </cell>
          <cell r="AO15">
            <v>-4307</v>
          </cell>
          <cell r="AP15">
            <v>-1707</v>
          </cell>
          <cell r="AQ15">
            <v>-1515</v>
          </cell>
          <cell r="AR15">
            <v>-1692</v>
          </cell>
          <cell r="AS15">
            <v>-1681</v>
          </cell>
          <cell r="AT15">
            <v>-6595</v>
          </cell>
          <cell r="AU15">
            <v>-1611</v>
          </cell>
          <cell r="AV15">
            <v>-2971</v>
          </cell>
          <cell r="AW15">
            <v>-1538</v>
          </cell>
          <cell r="AX15">
            <v>-1659</v>
          </cell>
          <cell r="AY15">
            <v>-7779</v>
          </cell>
          <cell r="AZ15">
            <v>-1530</v>
          </cell>
          <cell r="BA15">
            <v>-1421</v>
          </cell>
          <cell r="BB15">
            <v>-1482</v>
          </cell>
          <cell r="BC15">
            <v>-1751</v>
          </cell>
          <cell r="BD15">
            <v>-6184</v>
          </cell>
          <cell r="BE15">
            <v>-1515</v>
          </cell>
          <cell r="BF15">
            <v>-1591</v>
          </cell>
          <cell r="BG15">
            <v>-1617</v>
          </cell>
          <cell r="BH15">
            <v>-1861</v>
          </cell>
          <cell r="BI15">
            <v>-6584</v>
          </cell>
          <cell r="BJ15">
            <v>-1786</v>
          </cell>
          <cell r="BK15">
            <v>-1637</v>
          </cell>
          <cell r="BL15">
            <v>-1750</v>
          </cell>
          <cell r="BM15">
            <v>-1948</v>
          </cell>
          <cell r="BN15">
            <v>-7121</v>
          </cell>
          <cell r="BO15">
            <v>-1837</v>
          </cell>
          <cell r="BP15">
            <v>-1885</v>
          </cell>
          <cell r="BQ15">
            <v>-2035</v>
          </cell>
          <cell r="BR15">
            <v>-2407</v>
          </cell>
          <cell r="BS15">
            <v>-8164</v>
          </cell>
          <cell r="BT15">
            <v>-2283</v>
          </cell>
          <cell r="BU15">
            <v>-2290</v>
          </cell>
          <cell r="BV15">
            <v>-2212</v>
          </cell>
          <cell r="BW15">
            <v>-2225</v>
          </cell>
          <cell r="BX15">
            <v>-9010</v>
          </cell>
          <cell r="BY15">
            <v>-2065</v>
          </cell>
          <cell r="BZ15">
            <v>-2079</v>
          </cell>
          <cell r="CA15">
            <v>-2220</v>
          </cell>
          <cell r="CB15">
            <v>-2350</v>
          </cell>
          <cell r="CC15">
            <v>-8714</v>
          </cell>
          <cell r="CD15">
            <v>-2196</v>
          </cell>
          <cell r="CE15">
            <v>-2185</v>
          </cell>
          <cell r="CF15">
            <v>-2269</v>
          </cell>
          <cell r="CG15">
            <v>-2393</v>
          </cell>
          <cell r="CH15">
            <v>-9043</v>
          </cell>
          <cell r="CI15">
            <v>-2329</v>
          </cell>
          <cell r="CJ15">
            <v>-2371</v>
          </cell>
          <cell r="CK15">
            <v>-2517</v>
          </cell>
          <cell r="CL15">
            <v>-2594</v>
          </cell>
          <cell r="CM15">
            <v>-9811</v>
          </cell>
          <cell r="CN15">
            <v>-2460</v>
          </cell>
          <cell r="CO15">
            <v>-2528</v>
          </cell>
          <cell r="CP15">
            <v>-2640</v>
          </cell>
          <cell r="CQ15">
            <v>-2783</v>
          </cell>
          <cell r="CR15">
            <v>-10411</v>
          </cell>
          <cell r="CS15">
            <v>-2767</v>
          </cell>
          <cell r="CT15">
            <v>-2748</v>
          </cell>
          <cell r="CU15">
            <v>-2743</v>
          </cell>
          <cell r="CV15">
            <v>-3123</v>
          </cell>
          <cell r="CW15">
            <v>-11381</v>
          </cell>
          <cell r="CX15">
            <v>-3065</v>
          </cell>
          <cell r="CY15">
            <v>-2903</v>
          </cell>
          <cell r="CZ15">
            <v>-2984</v>
          </cell>
          <cell r="DA15">
            <v>-3094</v>
          </cell>
          <cell r="DB15">
            <v>-12046</v>
          </cell>
          <cell r="DC15">
            <v>-2962</v>
          </cell>
          <cell r="DD15">
            <v>-2900</v>
          </cell>
          <cell r="DE15">
            <v>-2980</v>
          </cell>
          <cell r="DF15">
            <v>-3146</v>
          </cell>
          <cell r="DG15">
            <v>-11988</v>
          </cell>
          <cell r="DH15">
            <v>-3106</v>
          </cell>
          <cell r="DI15">
            <v>-3062</v>
          </cell>
          <cell r="DJ15">
            <v>-3355</v>
          </cell>
          <cell r="DK15">
            <v>-3514</v>
          </cell>
          <cell r="DL15">
            <v>-13037</v>
          </cell>
          <cell r="DM15">
            <v>-3574</v>
          </cell>
          <cell r="DN15">
            <v>-3504</v>
          </cell>
          <cell r="DO15">
            <v>-3715</v>
          </cell>
          <cell r="DP15">
            <v>-3933</v>
          </cell>
          <cell r="DQ15">
            <v>-14726</v>
          </cell>
          <cell r="DR15">
            <v>-3977</v>
          </cell>
          <cell r="DS15">
            <v>-4070</v>
          </cell>
          <cell r="DT15">
            <v>-4316</v>
          </cell>
          <cell r="DU15">
            <v>-4513</v>
          </cell>
          <cell r="DV15">
            <v>-16876</v>
          </cell>
          <cell r="DW15">
            <v>-4565</v>
          </cell>
          <cell r="DX15">
            <v>-4603</v>
          </cell>
          <cell r="DY15">
            <v>-4887</v>
          </cell>
          <cell r="DZ15">
            <v>-5214</v>
          </cell>
          <cell r="EA15">
            <v>-19269</v>
          </cell>
          <cell r="EB15">
            <v>-4926</v>
          </cell>
          <cell r="EC15">
            <v>-4899</v>
          </cell>
          <cell r="ED15">
            <v>-5204</v>
          </cell>
          <cell r="EE15">
            <v>-5687</v>
          </cell>
          <cell r="EF15">
            <v>-20716</v>
          </cell>
          <cell r="EG15">
            <v>-5599</v>
          </cell>
          <cell r="EH15">
            <v>-5758</v>
          </cell>
          <cell r="EI15">
            <v>-6306</v>
          </cell>
          <cell r="EJ15">
            <v>-6849</v>
          </cell>
          <cell r="EK15">
            <v>-24512</v>
          </cell>
          <cell r="EL15">
            <v>-6628</v>
          </cell>
          <cell r="EM15">
            <v>-6844</v>
          </cell>
          <cell r="EN15">
            <v>-6984</v>
          </cell>
          <cell r="EO15">
            <v>-6739</v>
          </cell>
          <cell r="EP15">
            <v>-27195</v>
          </cell>
          <cell r="EQ15">
            <v>-6659</v>
          </cell>
          <cell r="ER15">
            <v>-7142</v>
          </cell>
          <cell r="ES15">
            <v>-7653</v>
          </cell>
          <cell r="ET15">
            <v>-7983.2825857735561</v>
          </cell>
          <cell r="EU15">
            <v>-29437.282585773555</v>
          </cell>
          <cell r="EV15">
            <v>-7541.8784340780003</v>
          </cell>
          <cell r="EW15">
            <v>-8093.4262928918515</v>
          </cell>
          <cell r="EX15">
            <v>-8442.6998375924377</v>
          </cell>
          <cell r="EY15">
            <v>-8729.7438360553988</v>
          </cell>
          <cell r="EZ15">
            <v>-32807.748400617689</v>
          </cell>
          <cell r="FA15">
            <v>-8226.1333559394807</v>
          </cell>
          <cell r="FB15">
            <v>-8830.5263815558083</v>
          </cell>
          <cell r="FC15">
            <v>-9244.1509415996352</v>
          </cell>
          <cell r="FD15">
            <v>-9576.8455860878366</v>
          </cell>
          <cell r="FE15">
            <v>-35877.656265182763</v>
          </cell>
        </row>
        <row r="16">
          <cell r="B16" t="str">
            <v>ESO expense (pre-tax)</v>
          </cell>
          <cell r="C16" t="str">
            <v>ESO_PRE_TAX</v>
          </cell>
          <cell r="D16" t="str">
            <v>USD</v>
          </cell>
        </row>
        <row r="17">
          <cell r="B17" t="str">
            <v>Other operating income/(expense) (incl. leases)</v>
          </cell>
          <cell r="C17" t="str">
            <v>OTH_OP_INC_EXP</v>
          </cell>
          <cell r="D17" t="str">
            <v>USD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-290</v>
          </cell>
          <cell r="BW17">
            <v>-40</v>
          </cell>
          <cell r="BX17">
            <v>-330</v>
          </cell>
          <cell r="BY17">
            <v>0</v>
          </cell>
          <cell r="BZ17">
            <v>-59</v>
          </cell>
          <cell r="CA17">
            <v>0</v>
          </cell>
          <cell r="CB17">
            <v>0</v>
          </cell>
          <cell r="CC17">
            <v>-59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</row>
        <row r="18">
          <cell r="B18" t="str">
            <v>Total operating expense (incl. D&amp;A)</v>
          </cell>
          <cell r="C18" t="str">
            <v>TOT_OPS_EXP_DDA</v>
          </cell>
          <cell r="D18" t="str">
            <v>USD</v>
          </cell>
          <cell r="F18">
            <v>3899</v>
          </cell>
          <cell r="G18">
            <v>1308</v>
          </cell>
          <cell r="H18">
            <v>1409</v>
          </cell>
          <cell r="I18">
            <v>1431</v>
          </cell>
          <cell r="J18">
            <v>1445</v>
          </cell>
          <cell r="K18">
            <v>5593</v>
          </cell>
          <cell r="L18">
            <v>1393</v>
          </cell>
          <cell r="M18">
            <v>1599</v>
          </cell>
          <cell r="N18">
            <v>1640</v>
          </cell>
          <cell r="O18">
            <v>1596</v>
          </cell>
          <cell r="P18">
            <v>6228</v>
          </cell>
          <cell r="Q18">
            <v>1999</v>
          </cell>
          <cell r="R18">
            <v>1922</v>
          </cell>
          <cell r="S18">
            <v>1847</v>
          </cell>
          <cell r="T18">
            <v>2072</v>
          </cell>
          <cell r="U18">
            <v>7840</v>
          </cell>
          <cell r="V18">
            <v>2111</v>
          </cell>
          <cell r="W18">
            <v>2481</v>
          </cell>
          <cell r="X18">
            <v>2366</v>
          </cell>
          <cell r="Y18">
            <v>2861</v>
          </cell>
          <cell r="Z18">
            <v>9819</v>
          </cell>
          <cell r="AA18">
            <v>2617</v>
          </cell>
          <cell r="AB18">
            <v>3194</v>
          </cell>
          <cell r="AC18">
            <v>2928</v>
          </cell>
          <cell r="AD18">
            <v>3280</v>
          </cell>
          <cell r="AE18">
            <v>12019</v>
          </cell>
          <cell r="AF18">
            <v>2989</v>
          </cell>
          <cell r="AG18">
            <v>3356</v>
          </cell>
          <cell r="AH18">
            <v>3405</v>
          </cell>
          <cell r="AI18">
            <v>3826</v>
          </cell>
          <cell r="AJ18">
            <v>13576</v>
          </cell>
          <cell r="AK18">
            <v>3229</v>
          </cell>
          <cell r="AL18">
            <v>4900</v>
          </cell>
          <cell r="AM18">
            <v>3947</v>
          </cell>
          <cell r="AN18">
            <v>4379</v>
          </cell>
          <cell r="AO18">
            <v>16455</v>
          </cell>
          <cell r="AP18">
            <v>4718</v>
          </cell>
          <cell r="AQ18">
            <v>6308</v>
          </cell>
          <cell r="AR18">
            <v>5091</v>
          </cell>
          <cell r="AS18">
            <v>6525</v>
          </cell>
          <cell r="AT18">
            <v>22642</v>
          </cell>
          <cell r="AU18">
            <v>5067</v>
          </cell>
          <cell r="AV18">
            <v>8678</v>
          </cell>
          <cell r="AW18">
            <v>7897</v>
          </cell>
          <cell r="AX18">
            <v>6159</v>
          </cell>
          <cell r="AY18">
            <v>27801</v>
          </cell>
          <cell r="AZ18">
            <v>5695</v>
          </cell>
          <cell r="BA18">
            <v>6069</v>
          </cell>
          <cell r="BB18">
            <v>6291</v>
          </cell>
          <cell r="BC18">
            <v>7172</v>
          </cell>
          <cell r="BD18">
            <v>25227</v>
          </cell>
          <cell r="BE18">
            <v>5695</v>
          </cell>
          <cell r="BF18">
            <v>7180</v>
          </cell>
          <cell r="BG18">
            <v>7012</v>
          </cell>
          <cell r="BH18">
            <v>7923</v>
          </cell>
          <cell r="BI18">
            <v>27810</v>
          </cell>
          <cell r="BJ18">
            <v>6337</v>
          </cell>
          <cell r="BK18">
            <v>9070</v>
          </cell>
          <cell r="BL18">
            <v>7809</v>
          </cell>
          <cell r="BM18">
            <v>9382</v>
          </cell>
          <cell r="BN18">
            <v>32598</v>
          </cell>
          <cell r="BO18">
            <v>7844</v>
          </cell>
          <cell r="BP18">
            <v>9886</v>
          </cell>
          <cell r="BQ18">
            <v>10045</v>
          </cell>
          <cell r="BR18">
            <v>10153</v>
          </cell>
          <cell r="BS18">
            <v>37928</v>
          </cell>
          <cell r="BT18">
            <v>9062</v>
          </cell>
          <cell r="BU18">
            <v>10690</v>
          </cell>
          <cell r="BV18">
            <v>9210</v>
          </cell>
          <cell r="BW18">
            <v>9112</v>
          </cell>
          <cell r="BX18">
            <v>38074</v>
          </cell>
          <cell r="BY18">
            <v>8438</v>
          </cell>
          <cell r="BZ18">
            <v>10509</v>
          </cell>
          <cell r="CA18">
            <v>9330</v>
          </cell>
          <cell r="CB18">
            <v>10109</v>
          </cell>
          <cell r="CC18">
            <v>38386</v>
          </cell>
          <cell r="CD18">
            <v>9079</v>
          </cell>
          <cell r="CE18">
            <v>11788</v>
          </cell>
          <cell r="CF18">
            <v>10719</v>
          </cell>
          <cell r="CG18">
            <v>11196</v>
          </cell>
          <cell r="CH18">
            <v>42782</v>
          </cell>
          <cell r="CI18">
            <v>10169</v>
          </cell>
          <cell r="CJ18">
            <v>12891</v>
          </cell>
          <cell r="CK18">
            <v>11033</v>
          </cell>
          <cell r="CL18">
            <v>17867</v>
          </cell>
          <cell r="CM18">
            <v>51960</v>
          </cell>
          <cell r="CN18">
            <v>10700</v>
          </cell>
          <cell r="CO18">
            <v>13685</v>
          </cell>
          <cell r="CP18">
            <v>12877</v>
          </cell>
          <cell r="CQ18">
            <v>13823</v>
          </cell>
          <cell r="CR18">
            <v>51085</v>
          </cell>
          <cell r="CS18">
            <v>12195</v>
          </cell>
          <cell r="CT18">
            <v>16550</v>
          </cell>
          <cell r="CU18">
            <v>13429</v>
          </cell>
          <cell r="CV18">
            <v>16900</v>
          </cell>
          <cell r="CW18">
            <v>59074</v>
          </cell>
          <cell r="CX18">
            <v>17357</v>
          </cell>
          <cell r="CY18">
            <v>18694</v>
          </cell>
          <cell r="CZ18">
            <v>15135</v>
          </cell>
          <cell r="DA18">
            <v>24233</v>
          </cell>
          <cell r="DB18">
            <v>75419</v>
          </cell>
          <cell r="DC18">
            <v>14586</v>
          </cell>
          <cell r="DD18">
            <v>17770</v>
          </cell>
          <cell r="DE18">
            <v>15248</v>
          </cell>
          <cell r="DF18">
            <v>17534</v>
          </cell>
          <cell r="DG18">
            <v>65138</v>
          </cell>
          <cell r="DH18">
            <v>15213</v>
          </cell>
          <cell r="DI18">
            <v>17921</v>
          </cell>
          <cell r="DJ18">
            <v>16489</v>
          </cell>
          <cell r="DK18">
            <v>17923</v>
          </cell>
          <cell r="DL18">
            <v>67546</v>
          </cell>
          <cell r="DM18">
            <v>16830</v>
          </cell>
          <cell r="DN18">
            <v>20239</v>
          </cell>
          <cell r="DO18">
            <v>18527</v>
          </cell>
          <cell r="DP18">
            <v>19706</v>
          </cell>
          <cell r="DQ18">
            <v>75302</v>
          </cell>
          <cell r="DR18">
            <v>19129</v>
          </cell>
          <cell r="DS18">
            <v>22213</v>
          </cell>
          <cell r="DT18">
            <v>20230</v>
          </cell>
          <cell r="DU18">
            <v>21312</v>
          </cell>
          <cell r="DV18">
            <v>82884</v>
          </cell>
          <cell r="DW18">
            <v>20369</v>
          </cell>
          <cell r="DX18">
            <v>23015</v>
          </cell>
          <cell r="DY18">
            <v>22046</v>
          </cell>
          <cell r="DZ18">
            <v>24626</v>
          </cell>
          <cell r="EA18">
            <v>90056</v>
          </cell>
          <cell r="EB18">
            <v>21278</v>
          </cell>
          <cell r="EC18">
            <v>25179</v>
          </cell>
          <cell r="ED18">
            <v>24658</v>
          </cell>
          <cell r="EE18">
            <v>27057</v>
          </cell>
          <cell r="EF18">
            <v>98172</v>
          </cell>
          <cell r="EG18">
            <v>25079</v>
          </cell>
          <cell r="EH18">
            <v>29481</v>
          </cell>
          <cell r="EI18">
            <v>28996</v>
          </cell>
          <cell r="EJ18">
            <v>31331</v>
          </cell>
          <cell r="EK18">
            <v>114887</v>
          </cell>
          <cell r="EL18">
            <v>28604</v>
          </cell>
          <cell r="EM18">
            <v>32348</v>
          </cell>
          <cell r="EN18">
            <v>30505</v>
          </cell>
          <cell r="EO18">
            <v>31935</v>
          </cell>
          <cell r="EP18">
            <v>123392</v>
          </cell>
          <cell r="EQ18">
            <v>29622</v>
          </cell>
          <cell r="ER18">
            <v>34988</v>
          </cell>
          <cell r="ES18">
            <v>34277</v>
          </cell>
          <cell r="ET18">
            <v>36425.106822922484</v>
          </cell>
          <cell r="EU18">
            <v>135312.10682292248</v>
          </cell>
          <cell r="EV18">
            <v>35772.525420493039</v>
          </cell>
          <cell r="EW18">
            <v>38683.925500342317</v>
          </cell>
          <cell r="EX18">
            <v>38836.700667211175</v>
          </cell>
          <cell r="EY18">
            <v>40346.288021285778</v>
          </cell>
          <cell r="EZ18">
            <v>153639.4396093323</v>
          </cell>
          <cell r="FA18">
            <v>39752.878446196963</v>
          </cell>
          <cell r="FB18">
            <v>43006.915604791036</v>
          </cell>
          <cell r="FC18">
            <v>43249.586364699375</v>
          </cell>
          <cell r="FD18">
            <v>45027.83636589512</v>
          </cell>
          <cell r="FE18">
            <v>171037.21678158251</v>
          </cell>
        </row>
        <row r="19">
          <cell r="B19" t="str">
            <v>Total operating expense (excl. D&amp;A)</v>
          </cell>
          <cell r="C19" t="str">
            <v>TOT_OPS_EXP</v>
          </cell>
          <cell r="D19" t="str">
            <v>USD</v>
          </cell>
          <cell r="F19">
            <v>4168</v>
          </cell>
          <cell r="G19">
            <v>1377</v>
          </cell>
          <cell r="H19">
            <v>1487</v>
          </cell>
          <cell r="I19">
            <v>1620</v>
          </cell>
          <cell r="J19">
            <v>1589</v>
          </cell>
          <cell r="K19">
            <v>6073</v>
          </cell>
          <cell r="L19">
            <v>1393</v>
          </cell>
          <cell r="M19">
            <v>1599</v>
          </cell>
          <cell r="N19">
            <v>1640</v>
          </cell>
          <cell r="O19">
            <v>1596</v>
          </cell>
          <cell r="P19">
            <v>6228</v>
          </cell>
          <cell r="Q19">
            <v>1999</v>
          </cell>
          <cell r="R19">
            <v>1922</v>
          </cell>
          <cell r="S19">
            <v>1847</v>
          </cell>
          <cell r="T19">
            <v>2072</v>
          </cell>
          <cell r="U19">
            <v>7840</v>
          </cell>
          <cell r="V19">
            <v>2290</v>
          </cell>
          <cell r="W19">
            <v>2658</v>
          </cell>
          <cell r="X19">
            <v>2524</v>
          </cell>
          <cell r="Y19">
            <v>3273</v>
          </cell>
          <cell r="Z19">
            <v>10745</v>
          </cell>
          <cell r="AA19">
            <v>3057</v>
          </cell>
          <cell r="AB19">
            <v>3519</v>
          </cell>
          <cell r="AC19">
            <v>3203</v>
          </cell>
          <cell r="AD19">
            <v>2988</v>
          </cell>
          <cell r="AE19">
            <v>12767</v>
          </cell>
          <cell r="AF19">
            <v>3239</v>
          </cell>
          <cell r="AG19">
            <v>3595</v>
          </cell>
          <cell r="AH19">
            <v>3888</v>
          </cell>
          <cell r="AI19">
            <v>4390</v>
          </cell>
          <cell r="AJ19">
            <v>15112</v>
          </cell>
          <cell r="AK19">
            <v>3511</v>
          </cell>
          <cell r="AL19">
            <v>5195</v>
          </cell>
          <cell r="AM19">
            <v>4095</v>
          </cell>
          <cell r="AN19">
            <v>4738</v>
          </cell>
          <cell r="AO19">
            <v>17539</v>
          </cell>
          <cell r="AP19">
            <v>4991</v>
          </cell>
          <cell r="AQ19">
            <v>6583</v>
          </cell>
          <cell r="AR19">
            <v>5474</v>
          </cell>
          <cell r="AS19">
            <v>6987</v>
          </cell>
          <cell r="AT19">
            <v>24035</v>
          </cell>
          <cell r="AU19">
            <v>5395</v>
          </cell>
          <cell r="AV19">
            <v>8978</v>
          </cell>
          <cell r="AW19">
            <v>8146</v>
          </cell>
          <cell r="AX19">
            <v>6468</v>
          </cell>
          <cell r="AY19">
            <v>28987</v>
          </cell>
          <cell r="AZ19">
            <v>5878</v>
          </cell>
          <cell r="BA19">
            <v>6177</v>
          </cell>
          <cell r="BB19">
            <v>6573</v>
          </cell>
          <cell r="BC19">
            <v>7454</v>
          </cell>
          <cell r="BD19">
            <v>26082</v>
          </cell>
          <cell r="BE19">
            <v>5929</v>
          </cell>
          <cell r="BF19">
            <v>7411</v>
          </cell>
          <cell r="BG19">
            <v>7189</v>
          </cell>
          <cell r="BH19">
            <v>8184</v>
          </cell>
          <cell r="BI19">
            <v>28713</v>
          </cell>
          <cell r="BJ19">
            <v>6586</v>
          </cell>
          <cell r="BK19">
            <v>9435</v>
          </cell>
          <cell r="BL19">
            <v>8254</v>
          </cell>
          <cell r="BM19">
            <v>9763</v>
          </cell>
          <cell r="BN19">
            <v>34038</v>
          </cell>
          <cell r="BO19">
            <v>8279</v>
          </cell>
          <cell r="BP19">
            <v>10367</v>
          </cell>
          <cell r="BQ19">
            <v>10577</v>
          </cell>
          <cell r="BR19">
            <v>10761</v>
          </cell>
          <cell r="BS19">
            <v>39984</v>
          </cell>
          <cell r="BT19">
            <v>9647</v>
          </cell>
          <cell r="BU19">
            <v>11322</v>
          </cell>
          <cell r="BV19">
            <v>9874</v>
          </cell>
          <cell r="BW19">
            <v>9793</v>
          </cell>
          <cell r="BX19">
            <v>40636</v>
          </cell>
          <cell r="BY19">
            <v>9084</v>
          </cell>
          <cell r="BZ19">
            <v>11124</v>
          </cell>
          <cell r="CA19">
            <v>10024</v>
          </cell>
          <cell r="CB19">
            <v>10827</v>
          </cell>
          <cell r="CC19">
            <v>41059</v>
          </cell>
          <cell r="CD19">
            <v>9773</v>
          </cell>
          <cell r="CE19">
            <v>12451</v>
          </cell>
          <cell r="CF19">
            <v>11439</v>
          </cell>
          <cell r="CG19">
            <v>11885</v>
          </cell>
          <cell r="CH19">
            <v>45548</v>
          </cell>
          <cell r="CI19">
            <v>10895</v>
          </cell>
          <cell r="CJ19">
            <v>13569</v>
          </cell>
          <cell r="CK19">
            <v>11799</v>
          </cell>
          <cell r="CL19">
            <v>18664</v>
          </cell>
          <cell r="CM19">
            <v>54927</v>
          </cell>
          <cell r="CN19">
            <v>11410</v>
          </cell>
          <cell r="CO19">
            <v>14694</v>
          </cell>
          <cell r="CP19">
            <v>13930</v>
          </cell>
          <cell r="CQ19">
            <v>14806</v>
          </cell>
          <cell r="CR19">
            <v>54840</v>
          </cell>
          <cell r="CS19">
            <v>13149</v>
          </cell>
          <cell r="CT19">
            <v>17811</v>
          </cell>
          <cell r="CU19">
            <v>14684</v>
          </cell>
          <cell r="CV19">
            <v>18642</v>
          </cell>
          <cell r="CW19">
            <v>64286</v>
          </cell>
          <cell r="CX19">
            <v>18785</v>
          </cell>
          <cell r="CY19">
            <v>20215</v>
          </cell>
          <cell r="CZ19">
            <v>16650</v>
          </cell>
          <cell r="DA19">
            <v>25726</v>
          </cell>
          <cell r="DB19">
            <v>81376</v>
          </cell>
          <cell r="DC19">
            <v>16047</v>
          </cell>
          <cell r="DD19">
            <v>19314</v>
          </cell>
          <cell r="DE19">
            <v>16955</v>
          </cell>
          <cell r="DF19">
            <v>19444</v>
          </cell>
          <cell r="DG19">
            <v>71760</v>
          </cell>
          <cell r="DH19">
            <v>17029</v>
          </cell>
          <cell r="DI19">
            <v>20087</v>
          </cell>
          <cell r="DJ19">
            <v>18942</v>
          </cell>
          <cell r="DK19">
            <v>20266</v>
          </cell>
          <cell r="DL19">
            <v>76324</v>
          </cell>
          <cell r="DM19">
            <v>19329</v>
          </cell>
          <cell r="DN19">
            <v>22775</v>
          </cell>
          <cell r="DO19">
            <v>21237</v>
          </cell>
          <cell r="DP19">
            <v>22222</v>
          </cell>
          <cell r="DQ19">
            <v>85563</v>
          </cell>
          <cell r="DR19">
            <v>21966</v>
          </cell>
          <cell r="DS19">
            <v>25208</v>
          </cell>
          <cell r="DT19">
            <v>23156</v>
          </cell>
          <cell r="DU19">
            <v>24236</v>
          </cell>
          <cell r="DV19">
            <v>94566</v>
          </cell>
          <cell r="DW19">
            <v>23340</v>
          </cell>
          <cell r="DX19">
            <v>26218</v>
          </cell>
          <cell r="DY19">
            <v>25164</v>
          </cell>
          <cell r="DZ19">
            <v>28130</v>
          </cell>
          <cell r="EA19">
            <v>102852</v>
          </cell>
          <cell r="EB19">
            <v>23923</v>
          </cell>
          <cell r="EC19">
            <v>27940</v>
          </cell>
          <cell r="ED19">
            <v>27594</v>
          </cell>
          <cell r="EE19">
            <v>30401</v>
          </cell>
          <cell r="EF19">
            <v>109858</v>
          </cell>
          <cell r="EG19">
            <v>28291</v>
          </cell>
          <cell r="EH19">
            <v>32977</v>
          </cell>
          <cell r="EI19">
            <v>32769</v>
          </cell>
          <cell r="EJ19">
            <v>35310</v>
          </cell>
          <cell r="EK19">
            <v>129347</v>
          </cell>
          <cell r="EL19">
            <v>31394</v>
          </cell>
          <cell r="EM19">
            <v>35996</v>
          </cell>
          <cell r="EN19">
            <v>34054</v>
          </cell>
          <cell r="EO19">
            <v>35809</v>
          </cell>
          <cell r="EP19">
            <v>137253</v>
          </cell>
          <cell r="EQ19">
            <v>33543</v>
          </cell>
          <cell r="ER19">
            <v>40947</v>
          </cell>
          <cell r="ES19">
            <v>40304</v>
          </cell>
          <cell r="ET19">
            <v>41520.356822922484</v>
          </cell>
          <cell r="EU19">
            <v>156314.35682292248</v>
          </cell>
          <cell r="EV19">
            <v>41447.491091442142</v>
          </cell>
          <cell r="EW19">
            <v>45991.892712131106</v>
          </cell>
          <cell r="EX19">
            <v>45971.473452607155</v>
          </cell>
          <cell r="EY19">
            <v>46512.533113934682</v>
          </cell>
          <cell r="EZ19">
            <v>179923.39037011508</v>
          </cell>
          <cell r="FA19">
            <v>45851.77400592457</v>
          </cell>
          <cell r="FB19">
            <v>49384.379710813213</v>
          </cell>
          <cell r="FC19">
            <v>49864.595189466112</v>
          </cell>
          <cell r="FD19">
            <v>51873.870349772536</v>
          </cell>
          <cell r="FE19">
            <v>196974.61925597646</v>
          </cell>
        </row>
        <row r="20">
          <cell r="B20" t="str">
            <v>EBITDA</v>
          </cell>
          <cell r="C20" t="str">
            <v>EBITDA_CALC</v>
          </cell>
          <cell r="D20" t="str">
            <v>USD</v>
          </cell>
          <cell r="F20">
            <v>2307</v>
          </cell>
          <cell r="G20">
            <v>777</v>
          </cell>
          <cell r="H20">
            <v>864</v>
          </cell>
          <cell r="I20">
            <v>963</v>
          </cell>
          <cell r="J20">
            <v>954</v>
          </cell>
          <cell r="K20">
            <v>3558</v>
          </cell>
          <cell r="L20">
            <v>902</v>
          </cell>
          <cell r="M20">
            <v>1081</v>
          </cell>
          <cell r="N20">
            <v>1568</v>
          </cell>
          <cell r="O20">
            <v>1579</v>
          </cell>
          <cell r="P20">
            <v>5130</v>
          </cell>
          <cell r="Q20">
            <v>1131</v>
          </cell>
          <cell r="R20">
            <v>1663</v>
          </cell>
          <cell r="S20">
            <v>1927</v>
          </cell>
          <cell r="T20">
            <v>1923</v>
          </cell>
          <cell r="U20">
            <v>6644</v>
          </cell>
          <cell r="V20">
            <v>2261</v>
          </cell>
          <cell r="W20">
            <v>2891</v>
          </cell>
          <cell r="X20">
            <v>2387</v>
          </cell>
          <cell r="Y20">
            <v>3315</v>
          </cell>
          <cell r="Z20">
            <v>10854</v>
          </cell>
          <cell r="AA20">
            <v>3207</v>
          </cell>
          <cell r="AB20">
            <v>3243</v>
          </cell>
          <cell r="AC20">
            <v>3003</v>
          </cell>
          <cell r="AD20">
            <v>2232</v>
          </cell>
          <cell r="AE20">
            <v>11685</v>
          </cell>
          <cell r="AF20">
            <v>3027</v>
          </cell>
          <cell r="AG20">
            <v>3433</v>
          </cell>
          <cell r="AH20">
            <v>3481</v>
          </cell>
          <cell r="AI20">
            <v>3315</v>
          </cell>
          <cell r="AJ20">
            <v>13256</v>
          </cell>
          <cell r="AK20">
            <v>3179</v>
          </cell>
          <cell r="AL20">
            <v>3136</v>
          </cell>
          <cell r="AM20">
            <v>3446</v>
          </cell>
          <cell r="AN20">
            <v>3233</v>
          </cell>
          <cell r="AO20">
            <v>12994</v>
          </cell>
          <cell r="AP20">
            <v>3301</v>
          </cell>
          <cell r="AQ20">
            <v>2508</v>
          </cell>
          <cell r="AR20">
            <v>3127</v>
          </cell>
          <cell r="AS20">
            <v>2002</v>
          </cell>
          <cell r="AT20">
            <v>10938</v>
          </cell>
          <cell r="AU20">
            <v>3476</v>
          </cell>
          <cell r="AV20">
            <v>1775</v>
          </cell>
          <cell r="AW20">
            <v>1527</v>
          </cell>
          <cell r="AX20">
            <v>3442</v>
          </cell>
          <cell r="AY20">
            <v>10220</v>
          </cell>
          <cell r="AZ20">
            <v>3677</v>
          </cell>
          <cell r="BA20">
            <v>4857</v>
          </cell>
          <cell r="BB20">
            <v>3611</v>
          </cell>
          <cell r="BC20">
            <v>3271</v>
          </cell>
          <cell r="BD20">
            <v>15416</v>
          </cell>
          <cell r="BE20">
            <v>4280</v>
          </cell>
          <cell r="BF20">
            <v>4888</v>
          </cell>
          <cell r="BG20">
            <v>4065</v>
          </cell>
          <cell r="BH20">
            <v>4142</v>
          </cell>
          <cell r="BI20">
            <v>17375</v>
          </cell>
          <cell r="BJ20">
            <v>4723</v>
          </cell>
          <cell r="BK20">
            <v>3837</v>
          </cell>
          <cell r="BL20">
            <v>7034</v>
          </cell>
          <cell r="BM20">
            <v>4370</v>
          </cell>
          <cell r="BN20">
            <v>19964</v>
          </cell>
          <cell r="BO20">
            <v>6353</v>
          </cell>
          <cell r="BP20">
            <v>6962</v>
          </cell>
          <cell r="BQ20">
            <v>4941</v>
          </cell>
          <cell r="BR20">
            <v>6292</v>
          </cell>
          <cell r="BS20">
            <v>24548</v>
          </cell>
          <cell r="BT20">
            <v>6584</v>
          </cell>
          <cell r="BU20">
            <v>6571</v>
          </cell>
          <cell r="BV20">
            <v>5102</v>
          </cell>
          <cell r="BW20">
            <v>4668</v>
          </cell>
          <cell r="BX20">
            <v>22925</v>
          </cell>
          <cell r="BY20">
            <v>5128</v>
          </cell>
          <cell r="BZ20">
            <v>9128</v>
          </cell>
          <cell r="CA20">
            <v>5867</v>
          </cell>
          <cell r="CB20">
            <v>6648</v>
          </cell>
          <cell r="CC20">
            <v>26771</v>
          </cell>
          <cell r="CD20">
            <v>7810</v>
          </cell>
          <cell r="CE20">
            <v>8828</v>
          </cell>
          <cell r="CF20">
            <v>6429</v>
          </cell>
          <cell r="CG20">
            <v>6860</v>
          </cell>
          <cell r="CH20">
            <v>29927</v>
          </cell>
          <cell r="CI20">
            <v>7929</v>
          </cell>
          <cell r="CJ20">
            <v>8672</v>
          </cell>
          <cell r="CK20">
            <v>7140</v>
          </cell>
          <cell r="CL20">
            <v>989</v>
          </cell>
          <cell r="CM20">
            <v>24730</v>
          </cell>
          <cell r="CN20">
            <v>6018</v>
          </cell>
          <cell r="CO20">
            <v>8780</v>
          </cell>
          <cell r="CP20">
            <v>8665</v>
          </cell>
          <cell r="CQ20">
            <v>7056</v>
          </cell>
          <cell r="CR20">
            <v>30519</v>
          </cell>
          <cell r="CS20">
            <v>7288</v>
          </cell>
          <cell r="CT20">
            <v>9230</v>
          </cell>
          <cell r="CU20">
            <v>8229</v>
          </cell>
          <cell r="CV20">
            <v>8224</v>
          </cell>
          <cell r="CW20">
            <v>32971</v>
          </cell>
          <cell r="CX20">
            <v>7272</v>
          </cell>
          <cell r="CY20">
            <v>9297</v>
          </cell>
          <cell r="CZ20">
            <v>8109</v>
          </cell>
          <cell r="DA20">
            <v>-560</v>
          </cell>
          <cell r="DB20">
            <v>24118</v>
          </cell>
          <cell r="DC20">
            <v>7254</v>
          </cell>
          <cell r="DD20">
            <v>7570</v>
          </cell>
          <cell r="DE20">
            <v>6990</v>
          </cell>
          <cell r="DF20">
            <v>4990</v>
          </cell>
          <cell r="DG20">
            <v>26804</v>
          </cell>
          <cell r="DH20">
            <v>8531</v>
          </cell>
          <cell r="DI20">
            <v>10071</v>
          </cell>
          <cell r="DJ20">
            <v>9176</v>
          </cell>
          <cell r="DK20">
            <v>10025</v>
          </cell>
          <cell r="DL20">
            <v>37803</v>
          </cell>
          <cell r="DM20">
            <v>10207</v>
          </cell>
          <cell r="DN20">
            <v>11215</v>
          </cell>
          <cell r="DO20">
            <v>11002</v>
          </cell>
          <cell r="DP20">
            <v>12895</v>
          </cell>
          <cell r="DQ20">
            <v>45319</v>
          </cell>
          <cell r="DR20">
            <v>12792</v>
          </cell>
          <cell r="DS20">
            <v>13253</v>
          </cell>
          <cell r="DT20">
            <v>13267</v>
          </cell>
          <cell r="DU20">
            <v>15329</v>
          </cell>
          <cell r="DV20">
            <v>54641</v>
          </cell>
          <cell r="DW20">
            <v>15657</v>
          </cell>
          <cell r="DX20">
            <v>17094</v>
          </cell>
          <cell r="DY20">
            <v>16093</v>
          </cell>
          <cell r="DZ20">
            <v>16911</v>
          </cell>
          <cell r="EA20">
            <v>65755</v>
          </cell>
          <cell r="EB20">
            <v>18521</v>
          </cell>
          <cell r="EC20">
            <v>20658</v>
          </cell>
          <cell r="ED20">
            <v>19984</v>
          </cell>
          <cell r="EE20">
            <v>22439</v>
          </cell>
          <cell r="EF20">
            <v>81602</v>
          </cell>
          <cell r="EG20">
            <v>23450</v>
          </cell>
          <cell r="EH20">
            <v>25743</v>
          </cell>
          <cell r="EI20">
            <v>24137</v>
          </cell>
          <cell r="EJ20">
            <v>24513</v>
          </cell>
          <cell r="EK20">
            <v>97843</v>
          </cell>
          <cell r="EL20">
            <v>24308</v>
          </cell>
          <cell r="EM20">
            <v>24047</v>
          </cell>
          <cell r="EN20">
            <v>25901</v>
          </cell>
          <cell r="EO20">
            <v>28128</v>
          </cell>
          <cell r="EP20">
            <v>102384</v>
          </cell>
          <cell r="EQ20">
            <v>30816</v>
          </cell>
          <cell r="ER20">
            <v>32991</v>
          </cell>
          <cell r="ES20">
            <v>33608</v>
          </cell>
          <cell r="ET20">
            <v>33574.879646781228</v>
          </cell>
          <cell r="EU20">
            <v>130989.87964678122</v>
          </cell>
          <cell r="EV20">
            <v>36059.268619561328</v>
          </cell>
          <cell r="EW20">
            <v>39001.66164963648</v>
          </cell>
          <cell r="EX20">
            <v>38653.904098121784</v>
          </cell>
          <cell r="EY20">
            <v>39800.837037934311</v>
          </cell>
          <cell r="EZ20">
            <v>153515.6714052539</v>
          </cell>
          <cell r="FA20">
            <v>41401.97839035072</v>
          </cell>
          <cell r="FB20">
            <v>43212.559184375874</v>
          </cell>
          <cell r="FC20">
            <v>43332.12610712304</v>
          </cell>
          <cell r="FD20">
            <v>46121.415805375233</v>
          </cell>
          <cell r="FE20">
            <v>174068.07948722487</v>
          </cell>
        </row>
        <row r="21">
          <cell r="B21" t="str">
            <v>Depreciation</v>
          </cell>
          <cell r="C21" t="str">
            <v>DEPREC</v>
          </cell>
          <cell r="D21" t="str">
            <v>USD</v>
          </cell>
          <cell r="DH21">
            <v>-1602</v>
          </cell>
          <cell r="DI21">
            <v>-1851</v>
          </cell>
          <cell r="DJ21">
            <v>-1893</v>
          </cell>
          <cell r="DK21">
            <v>-1732</v>
          </cell>
          <cell r="DL21">
            <v>-7078</v>
          </cell>
          <cell r="DM21">
            <v>-1936</v>
          </cell>
          <cell r="DN21">
            <v>-1974</v>
          </cell>
          <cell r="DO21">
            <v>-2150</v>
          </cell>
          <cell r="DP21">
            <v>-2001</v>
          </cell>
          <cell r="DQ21">
            <v>-8061</v>
          </cell>
          <cell r="DR21">
            <v>-2281</v>
          </cell>
          <cell r="DS21">
            <v>-2465</v>
          </cell>
          <cell r="DT21">
            <v>-2495</v>
          </cell>
          <cell r="DU21">
            <v>-2541</v>
          </cell>
          <cell r="DV21">
            <v>-9782</v>
          </cell>
          <cell r="DW21">
            <v>-2537</v>
          </cell>
          <cell r="DX21">
            <v>-2792</v>
          </cell>
          <cell r="DY21">
            <v>-2762</v>
          </cell>
          <cell r="DZ21">
            <v>-3105</v>
          </cell>
          <cell r="EA21">
            <v>-11196</v>
          </cell>
          <cell r="EB21">
            <v>-2262</v>
          </cell>
          <cell r="EC21">
            <v>-2383</v>
          </cell>
          <cell r="ED21">
            <v>-2531</v>
          </cell>
          <cell r="EE21">
            <v>-2910</v>
          </cell>
          <cell r="EF21">
            <v>-10086</v>
          </cell>
          <cell r="EG21">
            <v>-2773</v>
          </cell>
          <cell r="EH21">
            <v>-3050</v>
          </cell>
          <cell r="EI21">
            <v>-3271</v>
          </cell>
          <cell r="EJ21">
            <v>-3366</v>
          </cell>
          <cell r="EK21">
            <v>-12460</v>
          </cell>
          <cell r="EL21">
            <v>-2157</v>
          </cell>
          <cell r="EM21">
            <v>-3016</v>
          </cell>
          <cell r="EN21">
            <v>-2937</v>
          </cell>
          <cell r="EO21">
            <v>-3251</v>
          </cell>
          <cell r="EP21">
            <v>-11361</v>
          </cell>
          <cell r="EQ21">
            <v>-3285</v>
          </cell>
          <cell r="ER21">
            <v>-4659</v>
          </cell>
          <cell r="ES21">
            <v>-4627</v>
          </cell>
          <cell r="ET21">
            <v>-3641.25</v>
          </cell>
          <cell r="EU21">
            <v>-16212.25</v>
          </cell>
          <cell r="EV21">
            <v>-4209.9656709491046</v>
          </cell>
          <cell r="EW21">
            <v>-5842.9672117887903</v>
          </cell>
          <cell r="EX21">
            <v>-5669.7727853959777</v>
          </cell>
          <cell r="EY21">
            <v>-4701.2450926489064</v>
          </cell>
          <cell r="EZ21">
            <v>-20423.95076078278</v>
          </cell>
          <cell r="FA21">
            <v>-4989.8955597276063</v>
          </cell>
          <cell r="FB21">
            <v>-5268.4641060221747</v>
          </cell>
          <cell r="FC21">
            <v>-5506.0088247667381</v>
          </cell>
          <cell r="FD21">
            <v>-5737.0339838774189</v>
          </cell>
          <cell r="FE21">
            <v>-21501.402474393937</v>
          </cell>
        </row>
        <row r="22">
          <cell r="B22" t="str">
            <v>Amortization</v>
          </cell>
          <cell r="C22" t="str">
            <v>GOODWILL_AMORT</v>
          </cell>
          <cell r="D22" t="str">
            <v>USD</v>
          </cell>
          <cell r="DH22">
            <v>-214</v>
          </cell>
          <cell r="DI22">
            <v>-315</v>
          </cell>
          <cell r="DJ22">
            <v>-560</v>
          </cell>
          <cell r="DK22">
            <v>-611</v>
          </cell>
          <cell r="DL22">
            <v>-1700</v>
          </cell>
          <cell r="DM22">
            <v>-563</v>
          </cell>
          <cell r="DN22">
            <v>-562</v>
          </cell>
          <cell r="DO22">
            <v>-560</v>
          </cell>
          <cell r="DP22">
            <v>-515</v>
          </cell>
          <cell r="DQ22">
            <v>-2200</v>
          </cell>
          <cell r="DR22">
            <v>-556</v>
          </cell>
          <cell r="DS22">
            <v>-530</v>
          </cell>
          <cell r="DT22">
            <v>-431</v>
          </cell>
          <cell r="DU22">
            <v>-383</v>
          </cell>
          <cell r="DV22">
            <v>-1900</v>
          </cell>
          <cell r="DW22">
            <v>-434</v>
          </cell>
          <cell r="DX22">
            <v>-411</v>
          </cell>
          <cell r="DY22">
            <v>-356</v>
          </cell>
          <cell r="DZ22">
            <v>-399</v>
          </cell>
          <cell r="EA22">
            <v>-1600</v>
          </cell>
          <cell r="EB22">
            <v>-383</v>
          </cell>
          <cell r="EC22">
            <v>-378</v>
          </cell>
          <cell r="ED22">
            <v>-405</v>
          </cell>
          <cell r="EE22">
            <v>-434</v>
          </cell>
          <cell r="EF22">
            <v>-1600</v>
          </cell>
          <cell r="EG22">
            <v>-439</v>
          </cell>
          <cell r="EH22">
            <v>-446</v>
          </cell>
          <cell r="EI22">
            <v>-502</v>
          </cell>
          <cell r="EJ22">
            <v>-613</v>
          </cell>
          <cell r="EK22">
            <v>-2000</v>
          </cell>
          <cell r="EL22">
            <v>-633</v>
          </cell>
          <cell r="EM22">
            <v>-632</v>
          </cell>
          <cell r="EN22">
            <v>-612</v>
          </cell>
          <cell r="EO22">
            <v>-623</v>
          </cell>
          <cell r="EP22">
            <v>-2500</v>
          </cell>
          <cell r="EQ22">
            <v>-636</v>
          </cell>
          <cell r="ER22">
            <v>-1300</v>
          </cell>
          <cell r="ES22">
            <v>-1400</v>
          </cell>
          <cell r="ET22">
            <v>-1454</v>
          </cell>
          <cell r="EU22">
            <v>-4790</v>
          </cell>
          <cell r="EV22">
            <v>-1465</v>
          </cell>
          <cell r="EW22">
            <v>-1465</v>
          </cell>
          <cell r="EX22">
            <v>-1465</v>
          </cell>
          <cell r="EY22">
            <v>-1465</v>
          </cell>
          <cell r="EZ22">
            <v>-5860</v>
          </cell>
          <cell r="FA22">
            <v>-1109</v>
          </cell>
          <cell r="FB22">
            <v>-1109</v>
          </cell>
          <cell r="FC22">
            <v>-1109</v>
          </cell>
          <cell r="FD22">
            <v>-1109</v>
          </cell>
          <cell r="FE22">
            <v>-4436</v>
          </cell>
        </row>
        <row r="23">
          <cell r="B23" t="str">
            <v>EBIT, operating profit</v>
          </cell>
          <cell r="C23" t="str">
            <v>EBIT</v>
          </cell>
          <cell r="D23" t="str">
            <v>USD</v>
          </cell>
          <cell r="F23">
            <v>2038</v>
          </cell>
          <cell r="G23">
            <v>708</v>
          </cell>
          <cell r="H23">
            <v>786</v>
          </cell>
          <cell r="I23">
            <v>774</v>
          </cell>
          <cell r="J23">
            <v>810</v>
          </cell>
          <cell r="K23">
            <v>3078</v>
          </cell>
          <cell r="L23">
            <v>902</v>
          </cell>
          <cell r="M23">
            <v>1081</v>
          </cell>
          <cell r="N23">
            <v>1568</v>
          </cell>
          <cell r="O23">
            <v>1579</v>
          </cell>
          <cell r="P23">
            <v>5130</v>
          </cell>
          <cell r="Q23">
            <v>1131</v>
          </cell>
          <cell r="R23">
            <v>1663</v>
          </cell>
          <cell r="S23">
            <v>1927</v>
          </cell>
          <cell r="T23">
            <v>1923</v>
          </cell>
          <cell r="U23">
            <v>6644</v>
          </cell>
          <cell r="V23">
            <v>2082</v>
          </cell>
          <cell r="W23">
            <v>2714</v>
          </cell>
          <cell r="X23">
            <v>2229</v>
          </cell>
          <cell r="Y23">
            <v>2903</v>
          </cell>
          <cell r="Z23">
            <v>9928</v>
          </cell>
          <cell r="AA23">
            <v>2767</v>
          </cell>
          <cell r="AB23">
            <v>2918</v>
          </cell>
          <cell r="AC23">
            <v>2728</v>
          </cell>
          <cell r="AD23">
            <v>2524</v>
          </cell>
          <cell r="AE23">
            <v>10937</v>
          </cell>
          <cell r="AF23">
            <v>2777</v>
          </cell>
          <cell r="AG23">
            <v>3194</v>
          </cell>
          <cell r="AH23">
            <v>2998</v>
          </cell>
          <cell r="AI23">
            <v>2751</v>
          </cell>
          <cell r="AJ23">
            <v>11720</v>
          </cell>
          <cell r="AK23">
            <v>2897</v>
          </cell>
          <cell r="AL23">
            <v>2841</v>
          </cell>
          <cell r="AM23">
            <v>3298</v>
          </cell>
          <cell r="AN23">
            <v>2874</v>
          </cell>
          <cell r="AO23">
            <v>11910</v>
          </cell>
          <cell r="AP23">
            <v>3028</v>
          </cell>
          <cell r="AQ23">
            <v>2233</v>
          </cell>
          <cell r="AR23">
            <v>2744</v>
          </cell>
          <cell r="AS23">
            <v>1540</v>
          </cell>
          <cell r="AT23">
            <v>9545</v>
          </cell>
          <cell r="AU23">
            <v>3148</v>
          </cell>
          <cell r="AV23">
            <v>1475</v>
          </cell>
          <cell r="AW23">
            <v>1278</v>
          </cell>
          <cell r="AX23">
            <v>3133</v>
          </cell>
          <cell r="AY23">
            <v>9034</v>
          </cell>
          <cell r="AZ23">
            <v>3494</v>
          </cell>
          <cell r="BA23">
            <v>4749</v>
          </cell>
          <cell r="BB23">
            <v>3329</v>
          </cell>
          <cell r="BC23">
            <v>2989</v>
          </cell>
          <cell r="BD23">
            <v>14561</v>
          </cell>
          <cell r="BE23">
            <v>4046</v>
          </cell>
          <cell r="BF23">
            <v>4657</v>
          </cell>
          <cell r="BG23">
            <v>3888</v>
          </cell>
          <cell r="BH23">
            <v>3881</v>
          </cell>
          <cell r="BI23">
            <v>16472</v>
          </cell>
          <cell r="BJ23">
            <v>4474</v>
          </cell>
          <cell r="BK23">
            <v>3472</v>
          </cell>
          <cell r="BL23">
            <v>6589</v>
          </cell>
          <cell r="BM23">
            <v>3989</v>
          </cell>
          <cell r="BN23">
            <v>18524</v>
          </cell>
          <cell r="BO23">
            <v>5918</v>
          </cell>
          <cell r="BP23">
            <v>6481</v>
          </cell>
          <cell r="BQ23">
            <v>4409</v>
          </cell>
          <cell r="BR23">
            <v>5684</v>
          </cell>
          <cell r="BS23">
            <v>22492</v>
          </cell>
          <cell r="BT23">
            <v>5999</v>
          </cell>
          <cell r="BU23">
            <v>5939</v>
          </cell>
          <cell r="BV23">
            <v>4438</v>
          </cell>
          <cell r="BW23">
            <v>3987</v>
          </cell>
          <cell r="BX23">
            <v>20363</v>
          </cell>
          <cell r="BY23">
            <v>4482</v>
          </cell>
          <cell r="BZ23">
            <v>8513</v>
          </cell>
          <cell r="CA23">
            <v>5173</v>
          </cell>
          <cell r="CB23">
            <v>5930</v>
          </cell>
          <cell r="CC23">
            <v>24098</v>
          </cell>
          <cell r="CD23">
            <v>7116</v>
          </cell>
          <cell r="CE23">
            <v>8165</v>
          </cell>
          <cell r="CF23">
            <v>5709</v>
          </cell>
          <cell r="CG23">
            <v>6171</v>
          </cell>
          <cell r="CH23">
            <v>27161</v>
          </cell>
          <cell r="CI23">
            <v>7203</v>
          </cell>
          <cell r="CJ23">
            <v>7994</v>
          </cell>
          <cell r="CK23">
            <v>6374</v>
          </cell>
          <cell r="CL23">
            <v>192</v>
          </cell>
          <cell r="CM23">
            <v>21763</v>
          </cell>
          <cell r="CN23">
            <v>5308</v>
          </cell>
          <cell r="CO23">
            <v>7771</v>
          </cell>
          <cell r="CP23">
            <v>7612</v>
          </cell>
          <cell r="CQ23">
            <v>6073</v>
          </cell>
          <cell r="CR23">
            <v>26764</v>
          </cell>
          <cell r="CS23">
            <v>6334</v>
          </cell>
          <cell r="CT23">
            <v>7969</v>
          </cell>
          <cell r="CU23">
            <v>6974</v>
          </cell>
          <cell r="CV23">
            <v>6482</v>
          </cell>
          <cell r="CW23">
            <v>27759</v>
          </cell>
          <cell r="CX23">
            <v>5844</v>
          </cell>
          <cell r="CY23">
            <v>7776</v>
          </cell>
          <cell r="CZ23">
            <v>6594</v>
          </cell>
          <cell r="DA23">
            <v>-2053</v>
          </cell>
          <cell r="DB23">
            <v>18161</v>
          </cell>
          <cell r="DC23">
            <v>5793</v>
          </cell>
          <cell r="DD23">
            <v>6026</v>
          </cell>
          <cell r="DE23">
            <v>5283</v>
          </cell>
          <cell r="DF23">
            <v>3080</v>
          </cell>
          <cell r="DG23">
            <v>20182</v>
          </cell>
          <cell r="DH23">
            <v>6715</v>
          </cell>
          <cell r="DI23">
            <v>7905</v>
          </cell>
          <cell r="DJ23">
            <v>6723</v>
          </cell>
          <cell r="DK23">
            <v>7682</v>
          </cell>
          <cell r="DL23">
            <v>29025</v>
          </cell>
          <cell r="DM23">
            <v>7708</v>
          </cell>
          <cell r="DN23">
            <v>8679</v>
          </cell>
          <cell r="DO23">
            <v>8292</v>
          </cell>
          <cell r="DP23">
            <v>10379</v>
          </cell>
          <cell r="DQ23">
            <v>35058</v>
          </cell>
          <cell r="DR23">
            <v>9955</v>
          </cell>
          <cell r="DS23">
            <v>10258</v>
          </cell>
          <cell r="DT23">
            <v>10341</v>
          </cell>
          <cell r="DU23">
            <v>12405</v>
          </cell>
          <cell r="DV23">
            <v>42959</v>
          </cell>
          <cell r="DW23">
            <v>12686</v>
          </cell>
          <cell r="DX23">
            <v>13891</v>
          </cell>
          <cell r="DY23">
            <v>12975</v>
          </cell>
          <cell r="DZ23">
            <v>13407</v>
          </cell>
          <cell r="EA23">
            <v>52959</v>
          </cell>
          <cell r="EB23">
            <v>15876</v>
          </cell>
          <cell r="EC23">
            <v>17897</v>
          </cell>
          <cell r="ED23">
            <v>17048</v>
          </cell>
          <cell r="EE23">
            <v>19095</v>
          </cell>
          <cell r="EF23">
            <v>69916</v>
          </cell>
          <cell r="EG23">
            <v>20238</v>
          </cell>
          <cell r="EH23">
            <v>22247</v>
          </cell>
          <cell r="EI23">
            <v>20364</v>
          </cell>
          <cell r="EJ23">
            <v>20534</v>
          </cell>
          <cell r="EK23">
            <v>83383</v>
          </cell>
          <cell r="EL23">
            <v>21518</v>
          </cell>
          <cell r="EM23">
            <v>20399</v>
          </cell>
          <cell r="EN23">
            <v>22352</v>
          </cell>
          <cell r="EO23">
            <v>24254</v>
          </cell>
          <cell r="EP23">
            <v>88523</v>
          </cell>
          <cell r="EQ23">
            <v>26895</v>
          </cell>
          <cell r="ER23">
            <v>27032</v>
          </cell>
          <cell r="ES23">
            <v>27581</v>
          </cell>
          <cell r="ET23">
            <v>28479.629646781228</v>
          </cell>
          <cell r="EU23">
            <v>109987.62964678122</v>
          </cell>
          <cell r="EV23">
            <v>30384.302948612225</v>
          </cell>
          <cell r="EW23">
            <v>31693.694437847691</v>
          </cell>
          <cell r="EX23">
            <v>31519.131312725807</v>
          </cell>
          <cell r="EY23">
            <v>33634.591945285407</v>
          </cell>
          <cell r="EZ23">
            <v>127231.72064447112</v>
          </cell>
          <cell r="FA23">
            <v>35303.082830623112</v>
          </cell>
          <cell r="FB23">
            <v>36835.095078353697</v>
          </cell>
          <cell r="FC23">
            <v>36717.117282356303</v>
          </cell>
          <cell r="FD23">
            <v>39275.381821497816</v>
          </cell>
          <cell r="FE23">
            <v>148130.67701283091</v>
          </cell>
        </row>
        <row r="24">
          <cell r="B24" t="str">
            <v>Interest income</v>
          </cell>
          <cell r="C24" t="str">
            <v>INT_INC_IND</v>
          </cell>
          <cell r="D24" t="str">
            <v>USD</v>
          </cell>
        </row>
        <row r="25">
          <cell r="B25" t="str">
            <v>Interest expense</v>
          </cell>
          <cell r="C25" t="str">
            <v>INT_EXP_IND</v>
          </cell>
          <cell r="D25" t="str">
            <v>USD</v>
          </cell>
        </row>
        <row r="26">
          <cell r="B26" t="str">
            <v>Net interest income/(expense)</v>
          </cell>
          <cell r="C26" t="str">
            <v>NET_INT_EXP</v>
          </cell>
          <cell r="D26" t="str">
            <v>USD</v>
          </cell>
        </row>
        <row r="27">
          <cell r="B27" t="str">
            <v>Income/(loss) from unconsolidated subs &amp; associates</v>
          </cell>
          <cell r="C27" t="str">
            <v>ASSOCIATE</v>
          </cell>
          <cell r="D27" t="str">
            <v>USD</v>
          </cell>
        </row>
        <row r="28">
          <cell r="B28" t="str">
            <v>Profit/(loss) on disposals of assets, pre-tax</v>
          </cell>
          <cell r="C28" t="str">
            <v>PROFIT_ON_DISP</v>
          </cell>
          <cell r="D28" t="str">
            <v>USD</v>
          </cell>
        </row>
        <row r="29">
          <cell r="B29" t="str">
            <v>Other non-ops income/(expense)</v>
          </cell>
          <cell r="C29" t="str">
            <v>OTH_COST_INC</v>
          </cell>
          <cell r="D29" t="str">
            <v>USD</v>
          </cell>
          <cell r="F29">
            <v>129</v>
          </cell>
          <cell r="G29">
            <v>62</v>
          </cell>
          <cell r="H29">
            <v>99</v>
          </cell>
          <cell r="I29">
            <v>90</v>
          </cell>
          <cell r="J29">
            <v>50</v>
          </cell>
          <cell r="K29">
            <v>301</v>
          </cell>
          <cell r="L29">
            <v>43</v>
          </cell>
          <cell r="M29">
            <v>59</v>
          </cell>
          <cell r="N29">
            <v>35</v>
          </cell>
          <cell r="O29">
            <v>47</v>
          </cell>
          <cell r="P29">
            <v>184</v>
          </cell>
          <cell r="Q29">
            <v>71</v>
          </cell>
          <cell r="R29">
            <v>107</v>
          </cell>
          <cell r="S29">
            <v>130</v>
          </cell>
          <cell r="T29">
            <v>165</v>
          </cell>
          <cell r="U29">
            <v>473</v>
          </cell>
          <cell r="V29">
            <v>421</v>
          </cell>
          <cell r="W29">
            <v>337</v>
          </cell>
          <cell r="X29">
            <v>720</v>
          </cell>
          <cell r="Y29">
            <v>485</v>
          </cell>
          <cell r="Z29">
            <v>1963</v>
          </cell>
          <cell r="AA29">
            <v>553</v>
          </cell>
          <cell r="AB29">
            <v>773</v>
          </cell>
          <cell r="AC29">
            <v>885</v>
          </cell>
          <cell r="AD29">
            <v>1127</v>
          </cell>
          <cell r="AE29">
            <v>3338</v>
          </cell>
          <cell r="AF29">
            <v>1075</v>
          </cell>
          <cell r="AG29">
            <v>723</v>
          </cell>
          <cell r="AH29">
            <v>660</v>
          </cell>
          <cell r="AI29">
            <v>-2653</v>
          </cell>
          <cell r="AJ29">
            <v>-195</v>
          </cell>
          <cell r="AK29">
            <v>-1010</v>
          </cell>
          <cell r="AL29">
            <v>516</v>
          </cell>
          <cell r="AM29">
            <v>728</v>
          </cell>
          <cell r="AN29">
            <v>-631</v>
          </cell>
          <cell r="AO29">
            <v>-397</v>
          </cell>
          <cell r="AP29">
            <v>19</v>
          </cell>
          <cell r="AQ29">
            <v>363</v>
          </cell>
          <cell r="AR29">
            <v>453</v>
          </cell>
          <cell r="AS29">
            <v>674</v>
          </cell>
          <cell r="AT29">
            <v>1509</v>
          </cell>
          <cell r="AU29">
            <v>753</v>
          </cell>
          <cell r="AV29">
            <v>837</v>
          </cell>
          <cell r="AW29">
            <v>1001</v>
          </cell>
          <cell r="AX29">
            <v>571</v>
          </cell>
          <cell r="AY29">
            <v>3162</v>
          </cell>
          <cell r="AZ29">
            <v>279</v>
          </cell>
          <cell r="BA29">
            <v>420</v>
          </cell>
          <cell r="BB29">
            <v>496</v>
          </cell>
          <cell r="BC29">
            <v>872</v>
          </cell>
          <cell r="BD29">
            <v>2067</v>
          </cell>
          <cell r="BE29">
            <v>506</v>
          </cell>
          <cell r="BF29">
            <v>480</v>
          </cell>
          <cell r="BG29">
            <v>427</v>
          </cell>
          <cell r="BH29">
            <v>377</v>
          </cell>
          <cell r="BI29">
            <v>1790</v>
          </cell>
          <cell r="BJ29">
            <v>567</v>
          </cell>
          <cell r="BK29">
            <v>333</v>
          </cell>
          <cell r="BL29">
            <v>382</v>
          </cell>
          <cell r="BM29">
            <v>295</v>
          </cell>
          <cell r="BN29">
            <v>1577</v>
          </cell>
          <cell r="BO29">
            <v>298</v>
          </cell>
          <cell r="BP29">
            <v>339</v>
          </cell>
          <cell r="BQ29">
            <v>401</v>
          </cell>
          <cell r="BR29">
            <v>284</v>
          </cell>
          <cell r="BS29">
            <v>1322</v>
          </cell>
          <cell r="BT29">
            <v>-8</v>
          </cell>
          <cell r="BU29">
            <v>-301</v>
          </cell>
          <cell r="BV29">
            <v>-388</v>
          </cell>
          <cell r="BW29">
            <v>155</v>
          </cell>
          <cell r="BX29">
            <v>-542</v>
          </cell>
          <cell r="BY29">
            <v>283</v>
          </cell>
          <cell r="BZ29">
            <v>370</v>
          </cell>
          <cell r="CA29">
            <v>168</v>
          </cell>
          <cell r="CB29">
            <v>94</v>
          </cell>
          <cell r="CC29">
            <v>915</v>
          </cell>
          <cell r="CD29">
            <v>114</v>
          </cell>
          <cell r="CE29">
            <v>332</v>
          </cell>
          <cell r="CF29">
            <v>316</v>
          </cell>
          <cell r="CG29">
            <v>148</v>
          </cell>
          <cell r="CH29">
            <v>910</v>
          </cell>
          <cell r="CI29">
            <v>103</v>
          </cell>
          <cell r="CJ29">
            <v>245</v>
          </cell>
          <cell r="CK29">
            <v>-11</v>
          </cell>
          <cell r="CL29">
            <v>167</v>
          </cell>
          <cell r="CM29">
            <v>504</v>
          </cell>
          <cell r="CN29">
            <v>226</v>
          </cell>
          <cell r="CO29">
            <v>-1</v>
          </cell>
          <cell r="CP29">
            <v>-9</v>
          </cell>
          <cell r="CQ29">
            <v>72</v>
          </cell>
          <cell r="CR29">
            <v>288</v>
          </cell>
          <cell r="CS29">
            <v>74</v>
          </cell>
          <cell r="CT29">
            <v>-91</v>
          </cell>
          <cell r="CU29">
            <v>-17</v>
          </cell>
          <cell r="CV29">
            <v>95</v>
          </cell>
          <cell r="CW29">
            <v>61</v>
          </cell>
          <cell r="CX29">
            <v>52</v>
          </cell>
          <cell r="CY29">
            <v>74</v>
          </cell>
          <cell r="CZ29">
            <v>-77</v>
          </cell>
          <cell r="DA29">
            <v>297</v>
          </cell>
          <cell r="DB29">
            <v>346</v>
          </cell>
          <cell r="DC29">
            <v>-280</v>
          </cell>
          <cell r="DD29">
            <v>-171</v>
          </cell>
          <cell r="DE29">
            <v>-247</v>
          </cell>
          <cell r="DF29">
            <v>267</v>
          </cell>
          <cell r="DG29">
            <v>-431</v>
          </cell>
          <cell r="DH29">
            <v>112</v>
          </cell>
          <cell r="DI29">
            <v>117</v>
          </cell>
          <cell r="DJ29">
            <v>371</v>
          </cell>
          <cell r="DK29">
            <v>276</v>
          </cell>
          <cell r="DL29">
            <v>876</v>
          </cell>
          <cell r="DM29">
            <v>276</v>
          </cell>
          <cell r="DN29">
            <v>490</v>
          </cell>
          <cell r="DO29">
            <v>349</v>
          </cell>
          <cell r="DP29">
            <v>301</v>
          </cell>
          <cell r="DQ29">
            <v>1416</v>
          </cell>
          <cell r="DR29">
            <v>266</v>
          </cell>
          <cell r="DS29">
            <v>127</v>
          </cell>
          <cell r="DT29">
            <v>145</v>
          </cell>
          <cell r="DU29">
            <v>191</v>
          </cell>
          <cell r="DV29">
            <v>729</v>
          </cell>
          <cell r="DW29">
            <v>0</v>
          </cell>
          <cell r="DX29">
            <v>194</v>
          </cell>
          <cell r="DY29">
            <v>-132</v>
          </cell>
          <cell r="DZ29">
            <v>15</v>
          </cell>
          <cell r="EA29">
            <v>77</v>
          </cell>
          <cell r="EB29">
            <v>248</v>
          </cell>
          <cell r="EC29">
            <v>440</v>
          </cell>
          <cell r="ED29">
            <v>188</v>
          </cell>
          <cell r="EE29">
            <v>310</v>
          </cell>
          <cell r="EF29">
            <v>1186</v>
          </cell>
          <cell r="EG29">
            <v>286</v>
          </cell>
          <cell r="EH29">
            <v>268</v>
          </cell>
          <cell r="EI29">
            <v>-174</v>
          </cell>
          <cell r="EJ29">
            <v>-47</v>
          </cell>
          <cell r="EK29">
            <v>333</v>
          </cell>
          <cell r="EL29">
            <v>54</v>
          </cell>
          <cell r="EM29">
            <v>-60</v>
          </cell>
          <cell r="EN29">
            <v>321</v>
          </cell>
          <cell r="EO29">
            <v>473</v>
          </cell>
          <cell r="EP29">
            <v>788</v>
          </cell>
          <cell r="EQ29">
            <v>389</v>
          </cell>
          <cell r="ER29">
            <v>-506</v>
          </cell>
          <cell r="ES29">
            <v>-854</v>
          </cell>
          <cell r="ET29">
            <v>-850</v>
          </cell>
          <cell r="EU29">
            <v>-1821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500</v>
          </cell>
          <cell r="FB29">
            <v>500</v>
          </cell>
          <cell r="FC29">
            <v>500</v>
          </cell>
          <cell r="FD29">
            <v>500</v>
          </cell>
          <cell r="FE29">
            <v>2000</v>
          </cell>
        </row>
        <row r="30">
          <cell r="B30" t="str">
            <v>Pre-tax profit</v>
          </cell>
          <cell r="C30" t="str">
            <v>PT_PROF</v>
          </cell>
          <cell r="D30" t="str">
            <v>USD</v>
          </cell>
          <cell r="F30">
            <v>2167</v>
          </cell>
          <cell r="G30">
            <v>770</v>
          </cell>
          <cell r="H30">
            <v>885</v>
          </cell>
          <cell r="I30">
            <v>864</v>
          </cell>
          <cell r="J30">
            <v>860</v>
          </cell>
          <cell r="K30">
            <v>3379</v>
          </cell>
          <cell r="L30">
            <v>945</v>
          </cell>
          <cell r="M30">
            <v>1140</v>
          </cell>
          <cell r="N30">
            <v>1603</v>
          </cell>
          <cell r="O30">
            <v>1626</v>
          </cell>
          <cell r="P30">
            <v>5314</v>
          </cell>
          <cell r="Q30">
            <v>1202</v>
          </cell>
          <cell r="R30">
            <v>1770</v>
          </cell>
          <cell r="S30">
            <v>2057</v>
          </cell>
          <cell r="T30">
            <v>2088</v>
          </cell>
          <cell r="U30">
            <v>7117</v>
          </cell>
          <cell r="V30">
            <v>2503</v>
          </cell>
          <cell r="W30">
            <v>3051</v>
          </cell>
          <cell r="X30">
            <v>2949</v>
          </cell>
          <cell r="Y30">
            <v>3388</v>
          </cell>
          <cell r="Z30">
            <v>11891</v>
          </cell>
          <cell r="AA30">
            <v>3320</v>
          </cell>
          <cell r="AB30">
            <v>3691</v>
          </cell>
          <cell r="AC30">
            <v>3613</v>
          </cell>
          <cell r="AD30">
            <v>3651</v>
          </cell>
          <cell r="AE30">
            <v>14275</v>
          </cell>
          <cell r="AF30">
            <v>3852</v>
          </cell>
          <cell r="AG30">
            <v>3917</v>
          </cell>
          <cell r="AH30">
            <v>3658</v>
          </cell>
          <cell r="AI30">
            <v>98</v>
          </cell>
          <cell r="AJ30">
            <v>11525</v>
          </cell>
          <cell r="AK30">
            <v>1887</v>
          </cell>
          <cell r="AL30">
            <v>3357</v>
          </cell>
          <cell r="AM30">
            <v>4026</v>
          </cell>
          <cell r="AN30">
            <v>2243</v>
          </cell>
          <cell r="AO30">
            <v>11513</v>
          </cell>
          <cell r="AP30">
            <v>3047</v>
          </cell>
          <cell r="AQ30">
            <v>2596</v>
          </cell>
          <cell r="AR30">
            <v>3197</v>
          </cell>
          <cell r="AS30">
            <v>2214</v>
          </cell>
          <cell r="AT30">
            <v>11054</v>
          </cell>
          <cell r="AU30">
            <v>3901</v>
          </cell>
          <cell r="AV30">
            <v>2312</v>
          </cell>
          <cell r="AW30">
            <v>2279</v>
          </cell>
          <cell r="AX30">
            <v>3704</v>
          </cell>
          <cell r="AY30">
            <v>12196</v>
          </cell>
          <cell r="AZ30">
            <v>3773</v>
          </cell>
          <cell r="BA30">
            <v>5169</v>
          </cell>
          <cell r="BB30">
            <v>3825</v>
          </cell>
          <cell r="BC30">
            <v>3861</v>
          </cell>
          <cell r="BD30">
            <v>16628</v>
          </cell>
          <cell r="BE30">
            <v>4552</v>
          </cell>
          <cell r="BF30">
            <v>5137</v>
          </cell>
          <cell r="BG30">
            <v>4315</v>
          </cell>
          <cell r="BH30">
            <v>4258</v>
          </cell>
          <cell r="BI30">
            <v>18262</v>
          </cell>
          <cell r="BJ30">
            <v>5041</v>
          </cell>
          <cell r="BK30">
            <v>3805</v>
          </cell>
          <cell r="BL30">
            <v>6971</v>
          </cell>
          <cell r="BM30">
            <v>4284</v>
          </cell>
          <cell r="BN30">
            <v>20101</v>
          </cell>
          <cell r="BO30">
            <v>6216</v>
          </cell>
          <cell r="BP30">
            <v>6820</v>
          </cell>
          <cell r="BQ30">
            <v>4810</v>
          </cell>
          <cell r="BR30">
            <v>5968</v>
          </cell>
          <cell r="BS30">
            <v>23814</v>
          </cell>
          <cell r="BT30">
            <v>5991</v>
          </cell>
          <cell r="BU30">
            <v>5638</v>
          </cell>
          <cell r="BV30">
            <v>4050</v>
          </cell>
          <cell r="BW30">
            <v>4142</v>
          </cell>
          <cell r="BX30">
            <v>19821</v>
          </cell>
          <cell r="BY30">
            <v>4765</v>
          </cell>
          <cell r="BZ30">
            <v>8883</v>
          </cell>
          <cell r="CA30">
            <v>5341</v>
          </cell>
          <cell r="CB30">
            <v>6024</v>
          </cell>
          <cell r="CC30">
            <v>25013</v>
          </cell>
          <cell r="CD30">
            <v>7230</v>
          </cell>
          <cell r="CE30">
            <v>8497</v>
          </cell>
          <cell r="CF30">
            <v>6025</v>
          </cell>
          <cell r="CG30">
            <v>6319</v>
          </cell>
          <cell r="CH30">
            <v>28071</v>
          </cell>
          <cell r="CI30">
            <v>7306</v>
          </cell>
          <cell r="CJ30">
            <v>8239</v>
          </cell>
          <cell r="CK30">
            <v>6363</v>
          </cell>
          <cell r="CL30">
            <v>359</v>
          </cell>
          <cell r="CM30">
            <v>22267</v>
          </cell>
          <cell r="CN30">
            <v>5534</v>
          </cell>
          <cell r="CO30">
            <v>7770</v>
          </cell>
          <cell r="CP30">
            <v>7603</v>
          </cell>
          <cell r="CQ30">
            <v>6145</v>
          </cell>
          <cell r="CR30">
            <v>27052</v>
          </cell>
          <cell r="CS30">
            <v>6408</v>
          </cell>
          <cell r="CT30">
            <v>7878</v>
          </cell>
          <cell r="CU30">
            <v>6957</v>
          </cell>
          <cell r="CV30">
            <v>6577</v>
          </cell>
          <cell r="CW30">
            <v>27820</v>
          </cell>
          <cell r="CX30">
            <v>5896</v>
          </cell>
          <cell r="CY30">
            <v>7850</v>
          </cell>
          <cell r="CZ30">
            <v>6517</v>
          </cell>
          <cell r="DA30">
            <v>-1756</v>
          </cell>
          <cell r="DB30">
            <v>18507</v>
          </cell>
          <cell r="DC30">
            <v>5513</v>
          </cell>
          <cell r="DD30">
            <v>5855</v>
          </cell>
          <cell r="DE30">
            <v>5036</v>
          </cell>
          <cell r="DF30">
            <v>3347</v>
          </cell>
          <cell r="DG30">
            <v>19751</v>
          </cell>
          <cell r="DH30">
            <v>6827</v>
          </cell>
          <cell r="DI30">
            <v>8022</v>
          </cell>
          <cell r="DJ30">
            <v>7094</v>
          </cell>
          <cell r="DK30">
            <v>7958</v>
          </cell>
          <cell r="DL30">
            <v>29901</v>
          </cell>
          <cell r="DM30">
            <v>7984</v>
          </cell>
          <cell r="DN30">
            <v>9169</v>
          </cell>
          <cell r="DO30">
            <v>8641</v>
          </cell>
          <cell r="DP30">
            <v>10680</v>
          </cell>
          <cell r="DQ30">
            <v>36474</v>
          </cell>
          <cell r="DR30">
            <v>10221</v>
          </cell>
          <cell r="DS30">
            <v>10385</v>
          </cell>
          <cell r="DT30">
            <v>10486</v>
          </cell>
          <cell r="DU30">
            <v>12596</v>
          </cell>
          <cell r="DV30">
            <v>43688</v>
          </cell>
          <cell r="DW30">
            <v>12686</v>
          </cell>
          <cell r="DX30">
            <v>14085</v>
          </cell>
          <cell r="DY30">
            <v>12843</v>
          </cell>
          <cell r="DZ30">
            <v>13422</v>
          </cell>
          <cell r="EA30">
            <v>53036</v>
          </cell>
          <cell r="EB30">
            <v>16124</v>
          </cell>
          <cell r="EC30">
            <v>18337</v>
          </cell>
          <cell r="ED30">
            <v>17236</v>
          </cell>
          <cell r="EE30">
            <v>19405</v>
          </cell>
          <cell r="EF30">
            <v>71102</v>
          </cell>
          <cell r="EG30">
            <v>20524</v>
          </cell>
          <cell r="EH30">
            <v>22515</v>
          </cell>
          <cell r="EI30">
            <v>20190</v>
          </cell>
          <cell r="EJ30">
            <v>20487</v>
          </cell>
          <cell r="EK30">
            <v>83716</v>
          </cell>
          <cell r="EL30">
            <v>21572</v>
          </cell>
          <cell r="EM30">
            <v>20339</v>
          </cell>
          <cell r="EN30">
            <v>22673</v>
          </cell>
          <cell r="EO30">
            <v>24727</v>
          </cell>
          <cell r="EP30">
            <v>89311</v>
          </cell>
          <cell r="EQ30">
            <v>27284</v>
          </cell>
          <cell r="ER30">
            <v>26526</v>
          </cell>
          <cell r="ES30">
            <v>26727</v>
          </cell>
          <cell r="ET30">
            <v>27629.629646781228</v>
          </cell>
          <cell r="EU30">
            <v>108166.62964678122</v>
          </cell>
          <cell r="EV30">
            <v>30384.302948612225</v>
          </cell>
          <cell r="EW30">
            <v>31693.694437847691</v>
          </cell>
          <cell r="EX30">
            <v>31519.131312725807</v>
          </cell>
          <cell r="EY30">
            <v>33634.591945285407</v>
          </cell>
          <cell r="EZ30">
            <v>127231.72064447112</v>
          </cell>
          <cell r="FA30">
            <v>35803.082830623112</v>
          </cell>
          <cell r="FB30">
            <v>37335.095078353697</v>
          </cell>
          <cell r="FC30">
            <v>37217.117282356303</v>
          </cell>
          <cell r="FD30">
            <v>39775.381821497816</v>
          </cell>
          <cell r="FE30">
            <v>150130.67701283091</v>
          </cell>
        </row>
        <row r="31">
          <cell r="A31" t="str">
            <v>Additional Income Statement Items</v>
          </cell>
        </row>
        <row r="32">
          <cell r="B32" t="str">
            <v>Operating lease cost</v>
          </cell>
          <cell r="C32" t="str">
            <v>LEASE_PAY</v>
          </cell>
          <cell r="D32" t="str">
            <v>USD</v>
          </cell>
        </row>
        <row r="33">
          <cell r="B33" t="str">
            <v>Lease payments (deemed interest portion)</v>
          </cell>
          <cell r="C33" t="str">
            <v>LEASE_DEEM_INT</v>
          </cell>
          <cell r="D33" t="str">
            <v>USD</v>
          </cell>
        </row>
        <row r="34">
          <cell r="B34" t="str">
            <v>Lease payments (deemed depreciation portion)</v>
          </cell>
          <cell r="C34" t="str">
            <v>LEASE_DEEM_DEPR</v>
          </cell>
          <cell r="D34" t="str">
            <v>USD</v>
          </cell>
        </row>
        <row r="35">
          <cell r="B35" t="str">
            <v>Gross interest charge</v>
          </cell>
          <cell r="C35" t="str">
            <v>NET_INT_CH</v>
          </cell>
          <cell r="D35" t="str">
            <v>USD</v>
          </cell>
        </row>
        <row r="36">
          <cell r="B36" t="str">
            <v>Income from associates (operating)</v>
          </cell>
          <cell r="C36" t="str">
            <v>ASSOCIATE_OP</v>
          </cell>
          <cell r="D36" t="str">
            <v>USD</v>
          </cell>
        </row>
        <row r="37">
          <cell r="B37" t="str">
            <v>Depreciation ROU assets   (applicable to IFRS cos.)</v>
          </cell>
          <cell r="C37" t="str">
            <v>DEPR_ROU_ASSETS</v>
          </cell>
          <cell r="D37" t="str">
            <v>USD</v>
          </cell>
        </row>
        <row r="38">
          <cell r="B38" t="str">
            <v>Lease interest charge  (applicable to IFRS cos.)</v>
          </cell>
          <cell r="C38" t="str">
            <v>LEASE_INT_CHG</v>
          </cell>
          <cell r="D38" t="str">
            <v>USD</v>
          </cell>
        </row>
        <row r="39">
          <cell r="B39" t="str">
            <v>Lease standard adopted (US GAAP ASC 842/ IFRS 16)</v>
          </cell>
          <cell r="C39" t="str">
            <v>LEASE_ADOPT</v>
          </cell>
          <cell r="E39" t="str">
            <v>Y</v>
          </cell>
        </row>
        <row r="40">
          <cell r="B40" t="str">
            <v>Stock-based compensation related to cost of goods sold (Americas software)</v>
          </cell>
          <cell r="C40" t="str">
            <v>SBC_COST_OF_GOODS_SOLD</v>
          </cell>
          <cell r="D40" t="str">
            <v>USD</v>
          </cell>
        </row>
        <row r="41">
          <cell r="B41" t="str">
            <v>Stock-based compensation related to sales &amp; marketing (Americas software)</v>
          </cell>
          <cell r="C41" t="str">
            <v>SBC_SALES_MARKETING</v>
          </cell>
          <cell r="D41" t="str">
            <v>USD</v>
          </cell>
        </row>
        <row r="42">
          <cell r="B42" t="str">
            <v>Stock-based compensation related to research &amp; development (Americas software)</v>
          </cell>
          <cell r="C42" t="str">
            <v>SBC_RESEARCH_DEVELOPMENT</v>
          </cell>
          <cell r="D42" t="str">
            <v>USD</v>
          </cell>
        </row>
        <row r="43">
          <cell r="B43" t="str">
            <v>Stock-based compensation related to general &amp; administrative (Americas software)</v>
          </cell>
          <cell r="C43" t="str">
            <v>SBC_GEN_ADMINISTRATIVE</v>
          </cell>
          <cell r="D43" t="str">
            <v>USD</v>
          </cell>
        </row>
        <row r="44">
          <cell r="B44" t="str">
            <v>Total stock-based compensation (Americas software)</v>
          </cell>
          <cell r="C44" t="str">
            <v>SBC_TOTAL</v>
          </cell>
          <cell r="D44" t="str">
            <v>USD</v>
          </cell>
        </row>
        <row r="45">
          <cell r="B45" t="str">
            <v>Non-GAAP cost of goods sold</v>
          </cell>
          <cell r="C45" t="str">
            <v>COGS_N_GAAP</v>
          </cell>
          <cell r="D45" t="str">
            <v>USD</v>
          </cell>
        </row>
        <row r="46">
          <cell r="B46" t="str">
            <v>Non-GAAP gross profit</v>
          </cell>
          <cell r="C46" t="str">
            <v>GROSS_PROFIT_N_GAAP</v>
          </cell>
          <cell r="D46" t="str">
            <v>USD</v>
          </cell>
        </row>
        <row r="47">
          <cell r="B47" t="str">
            <v>Non-GAAP general and administrative expenses</v>
          </cell>
          <cell r="C47" t="str">
            <v>GEN_ADMIN_N_GAAP</v>
          </cell>
          <cell r="D47" t="str">
            <v>USD</v>
          </cell>
        </row>
        <row r="48">
          <cell r="B48" t="str">
            <v>Non-GAAP sales &amp; marketing</v>
          </cell>
          <cell r="C48" t="str">
            <v>SALES_MARKETING_N_GAAP</v>
          </cell>
          <cell r="D48" t="str">
            <v>USD</v>
          </cell>
        </row>
        <row r="49">
          <cell r="B49" t="str">
            <v>Non-GAAP research &amp; development</v>
          </cell>
          <cell r="C49" t="str">
            <v>RD_N_GAAP</v>
          </cell>
          <cell r="D49" t="str">
            <v>USD</v>
          </cell>
        </row>
        <row r="50">
          <cell r="B50" t="str">
            <v>Non-GAAP operating expenses</v>
          </cell>
          <cell r="C50" t="str">
            <v>OPS_EXP_N_GAAP</v>
          </cell>
          <cell r="D50" t="str">
            <v>USD</v>
          </cell>
        </row>
        <row r="51">
          <cell r="B51" t="str">
            <v>Non-GAAP operating income</v>
          </cell>
          <cell r="C51" t="str">
            <v>OP_INC_N_GAAP</v>
          </cell>
          <cell r="D51" t="str">
            <v>USD</v>
          </cell>
        </row>
        <row r="52">
          <cell r="B52" t="str">
            <v>Non-GAAP net income</v>
          </cell>
          <cell r="C52" t="str">
            <v>NET_INC_N_GAAP</v>
          </cell>
          <cell r="D52" t="str">
            <v>USD</v>
          </cell>
        </row>
        <row r="53">
          <cell r="A53" t="str">
            <v>Balance Sheet</v>
          </cell>
        </row>
        <row r="54">
          <cell r="B54" t="str">
            <v>Cash &amp; cash equivalents</v>
          </cell>
          <cell r="C54" t="str">
            <v>CASH_EQ</v>
          </cell>
          <cell r="D54" t="str">
            <v>USD</v>
          </cell>
          <cell r="F54">
            <v>1962</v>
          </cell>
          <cell r="G54">
            <v>1906</v>
          </cell>
          <cell r="H54">
            <v>2323</v>
          </cell>
          <cell r="I54">
            <v>2937</v>
          </cell>
          <cell r="J54">
            <v>2601</v>
          </cell>
          <cell r="K54">
            <v>2601</v>
          </cell>
          <cell r="L54">
            <v>3018</v>
          </cell>
          <cell r="M54">
            <v>3096</v>
          </cell>
          <cell r="N54">
            <v>3852</v>
          </cell>
          <cell r="O54">
            <v>3706</v>
          </cell>
          <cell r="P54">
            <v>3706</v>
          </cell>
          <cell r="Q54">
            <v>3945</v>
          </cell>
          <cell r="R54">
            <v>2582</v>
          </cell>
          <cell r="S54">
            <v>4110</v>
          </cell>
          <cell r="T54">
            <v>3839</v>
          </cell>
          <cell r="U54">
            <v>3839</v>
          </cell>
          <cell r="V54">
            <v>5191</v>
          </cell>
          <cell r="W54">
            <v>6113</v>
          </cell>
          <cell r="X54">
            <v>6203</v>
          </cell>
          <cell r="Y54">
            <v>4975</v>
          </cell>
          <cell r="Z54">
            <v>4975</v>
          </cell>
          <cell r="AA54">
            <v>4789</v>
          </cell>
          <cell r="AB54">
            <v>5032</v>
          </cell>
          <cell r="AC54">
            <v>5192</v>
          </cell>
          <cell r="AD54">
            <v>4846</v>
          </cell>
          <cell r="AE54">
            <v>4846</v>
          </cell>
          <cell r="AF54">
            <v>2641</v>
          </cell>
          <cell r="AG54">
            <v>3531</v>
          </cell>
          <cell r="AH54">
            <v>4149</v>
          </cell>
          <cell r="AI54">
            <v>3922</v>
          </cell>
          <cell r="AJ54">
            <v>3922</v>
          </cell>
          <cell r="AK54">
            <v>3113</v>
          </cell>
          <cell r="AL54">
            <v>5256</v>
          </cell>
          <cell r="AM54">
            <v>5116</v>
          </cell>
          <cell r="AN54">
            <v>3016</v>
          </cell>
          <cell r="AO54">
            <v>3016</v>
          </cell>
          <cell r="AP54">
            <v>5338</v>
          </cell>
          <cell r="AQ54">
            <v>5552</v>
          </cell>
          <cell r="AR54">
            <v>4300</v>
          </cell>
          <cell r="AS54">
            <v>6438</v>
          </cell>
          <cell r="AT54">
            <v>6438</v>
          </cell>
          <cell r="AU54">
            <v>5768</v>
          </cell>
          <cell r="AV54">
            <v>6149</v>
          </cell>
          <cell r="AW54">
            <v>9348</v>
          </cell>
          <cell r="AX54">
            <v>15982</v>
          </cell>
          <cell r="AY54">
            <v>15982</v>
          </cell>
          <cell r="AZ54">
            <v>11141</v>
          </cell>
          <cell r="BA54">
            <v>4556</v>
          </cell>
          <cell r="BB54">
            <v>3782</v>
          </cell>
          <cell r="BC54">
            <v>4851</v>
          </cell>
          <cell r="BD54">
            <v>4851</v>
          </cell>
          <cell r="BE54">
            <v>2974</v>
          </cell>
          <cell r="BF54">
            <v>4083</v>
          </cell>
          <cell r="BG54">
            <v>4351</v>
          </cell>
          <cell r="BH54">
            <v>6714</v>
          </cell>
          <cell r="BI54">
            <v>6714</v>
          </cell>
          <cell r="BJ54">
            <v>9076</v>
          </cell>
          <cell r="BK54">
            <v>6859</v>
          </cell>
          <cell r="BL54">
            <v>7611</v>
          </cell>
          <cell r="BM54">
            <v>6111</v>
          </cell>
          <cell r="BN54">
            <v>6111</v>
          </cell>
          <cell r="BO54">
            <v>6637</v>
          </cell>
          <cell r="BP54">
            <v>7460</v>
          </cell>
          <cell r="BQ54">
            <v>11820</v>
          </cell>
          <cell r="BR54">
            <v>10339</v>
          </cell>
          <cell r="BS54">
            <v>10339</v>
          </cell>
          <cell r="BT54">
            <v>9004</v>
          </cell>
          <cell r="BU54">
            <v>8346</v>
          </cell>
          <cell r="BV54">
            <v>7285</v>
          </cell>
          <cell r="BW54">
            <v>6076</v>
          </cell>
          <cell r="BX54">
            <v>6076</v>
          </cell>
          <cell r="BY54">
            <v>8823</v>
          </cell>
          <cell r="BZ54">
            <v>9422</v>
          </cell>
          <cell r="CA54">
            <v>8155</v>
          </cell>
          <cell r="CB54">
            <v>5505</v>
          </cell>
          <cell r="CC54">
            <v>5505</v>
          </cell>
          <cell r="CD54">
            <v>8161</v>
          </cell>
          <cell r="CE54">
            <v>4023</v>
          </cell>
          <cell r="CF54">
            <v>7021</v>
          </cell>
          <cell r="CG54">
            <v>9610</v>
          </cell>
          <cell r="CH54">
            <v>9610</v>
          </cell>
          <cell r="CI54">
            <v>12881</v>
          </cell>
          <cell r="CJ54">
            <v>10610</v>
          </cell>
          <cell r="CK54">
            <v>6388</v>
          </cell>
          <cell r="CL54">
            <v>6938</v>
          </cell>
          <cell r="CM54">
            <v>6938</v>
          </cell>
          <cell r="CN54">
            <v>5036</v>
          </cell>
          <cell r="CO54">
            <v>6017</v>
          </cell>
          <cell r="CP54">
            <v>5240</v>
          </cell>
          <cell r="CQ54">
            <v>3804</v>
          </cell>
          <cell r="CR54">
            <v>3804</v>
          </cell>
          <cell r="CS54">
            <v>4023</v>
          </cell>
          <cell r="CT54">
            <v>10059</v>
          </cell>
          <cell r="CU54">
            <v>11572</v>
          </cell>
          <cell r="CV54">
            <v>8669</v>
          </cell>
          <cell r="CW54">
            <v>8669</v>
          </cell>
          <cell r="CX54">
            <v>6302</v>
          </cell>
          <cell r="CY54">
            <v>6426</v>
          </cell>
          <cell r="CZ54">
            <v>7414</v>
          </cell>
          <cell r="DA54">
            <v>5595</v>
          </cell>
          <cell r="DB54">
            <v>5595</v>
          </cell>
          <cell r="DC54">
            <v>5431</v>
          </cell>
          <cell r="DD54">
            <v>7185</v>
          </cell>
          <cell r="DE54">
            <v>7170</v>
          </cell>
          <cell r="DF54">
            <v>6510</v>
          </cell>
          <cell r="DG54">
            <v>6510</v>
          </cell>
          <cell r="DH54">
            <v>13928</v>
          </cell>
          <cell r="DI54">
            <v>8468</v>
          </cell>
          <cell r="DJ54">
            <v>6713</v>
          </cell>
          <cell r="DK54">
            <v>7663</v>
          </cell>
          <cell r="DL54">
            <v>7663</v>
          </cell>
          <cell r="DM54">
            <v>6884</v>
          </cell>
          <cell r="DN54">
            <v>12859</v>
          </cell>
          <cell r="DO54">
            <v>9221</v>
          </cell>
          <cell r="DP54">
            <v>11946</v>
          </cell>
          <cell r="DQ54">
            <v>11946</v>
          </cell>
          <cell r="DR54">
            <v>15137</v>
          </cell>
          <cell r="DS54">
            <v>6638</v>
          </cell>
          <cell r="DT54">
            <v>11212</v>
          </cell>
          <cell r="DU54">
            <v>11356</v>
          </cell>
          <cell r="DV54">
            <v>11356</v>
          </cell>
          <cell r="DW54">
            <v>13117</v>
          </cell>
          <cell r="DX54">
            <v>8864</v>
          </cell>
          <cell r="DY54">
            <v>11710</v>
          </cell>
          <cell r="DZ54">
            <v>13576</v>
          </cell>
          <cell r="EA54">
            <v>13576</v>
          </cell>
          <cell r="EB54">
            <v>17205</v>
          </cell>
          <cell r="EC54">
            <v>14432</v>
          </cell>
          <cell r="ED54">
            <v>13702</v>
          </cell>
          <cell r="EE54">
            <v>14224</v>
          </cell>
          <cell r="EF54">
            <v>14224</v>
          </cell>
          <cell r="EG54">
            <v>19165</v>
          </cell>
          <cell r="EH54">
            <v>20604</v>
          </cell>
          <cell r="EI54">
            <v>12498</v>
          </cell>
          <cell r="EJ54">
            <v>13931</v>
          </cell>
          <cell r="EK54">
            <v>13931</v>
          </cell>
          <cell r="EL54">
            <v>22884</v>
          </cell>
          <cell r="EM54">
            <v>15646</v>
          </cell>
          <cell r="EN54">
            <v>26562</v>
          </cell>
          <cell r="EO54">
            <v>34704</v>
          </cell>
          <cell r="EP54">
            <v>34704</v>
          </cell>
          <cell r="EQ54">
            <v>80452</v>
          </cell>
          <cell r="ER54">
            <v>17305</v>
          </cell>
          <cell r="ES54">
            <v>19634</v>
          </cell>
          <cell r="ET54">
            <v>44699.735657951234</v>
          </cell>
          <cell r="EU54">
            <v>44699.735657951234</v>
          </cell>
          <cell r="EV54">
            <v>60604.706481614798</v>
          </cell>
          <cell r="EW54">
            <v>65300.888504219445</v>
          </cell>
          <cell r="EX54">
            <v>82752.066479660105</v>
          </cell>
          <cell r="EY54">
            <v>103152.59696720802</v>
          </cell>
          <cell r="EZ54">
            <v>103152.59696720802</v>
          </cell>
          <cell r="FA54">
            <v>130493.63357554603</v>
          </cell>
          <cell r="FB54">
            <v>133394.91006710843</v>
          </cell>
          <cell r="FC54">
            <v>162527.7500097545</v>
          </cell>
          <cell r="FD54">
            <v>186899.08823530487</v>
          </cell>
          <cell r="FE54">
            <v>186899.08823530487</v>
          </cell>
        </row>
        <row r="55">
          <cell r="B55" t="str">
            <v>Accounts receivable</v>
          </cell>
          <cell r="C55" t="str">
            <v>DEBTORS</v>
          </cell>
          <cell r="D55" t="str">
            <v>USD</v>
          </cell>
          <cell r="F55">
            <v>581</v>
          </cell>
          <cell r="G55">
            <v>1052</v>
          </cell>
          <cell r="H55">
            <v>771</v>
          </cell>
          <cell r="I55">
            <v>681</v>
          </cell>
          <cell r="J55">
            <v>639</v>
          </cell>
          <cell r="K55">
            <v>639</v>
          </cell>
          <cell r="L55">
            <v>855</v>
          </cell>
          <cell r="M55">
            <v>975</v>
          </cell>
          <cell r="N55">
            <v>866</v>
          </cell>
          <cell r="O55">
            <v>980</v>
          </cell>
          <cell r="P55">
            <v>980</v>
          </cell>
          <cell r="Q55">
            <v>788</v>
          </cell>
          <cell r="R55">
            <v>1081</v>
          </cell>
          <cell r="S55">
            <v>1055</v>
          </cell>
          <cell r="T55">
            <v>1460</v>
          </cell>
          <cell r="U55">
            <v>1460</v>
          </cell>
          <cell r="V55">
            <v>1153</v>
          </cell>
          <cell r="W55">
            <v>2029</v>
          </cell>
          <cell r="X55">
            <v>1689</v>
          </cell>
          <cell r="Y55">
            <v>2245</v>
          </cell>
          <cell r="Z55">
            <v>2245</v>
          </cell>
          <cell r="AA55">
            <v>2207</v>
          </cell>
          <cell r="AB55">
            <v>3284</v>
          </cell>
          <cell r="AC55">
            <v>2902</v>
          </cell>
          <cell r="AD55">
            <v>3250</v>
          </cell>
          <cell r="AE55">
            <v>3250</v>
          </cell>
          <cell r="AF55">
            <v>3172</v>
          </cell>
          <cell r="AG55">
            <v>4143</v>
          </cell>
          <cell r="AH55">
            <v>3532</v>
          </cell>
          <cell r="AI55">
            <v>3671</v>
          </cell>
          <cell r="AJ55">
            <v>3671</v>
          </cell>
          <cell r="AK55">
            <v>3615</v>
          </cell>
          <cell r="AL55">
            <v>5095</v>
          </cell>
          <cell r="AM55">
            <v>4230</v>
          </cell>
          <cell r="AN55">
            <v>5129</v>
          </cell>
          <cell r="AO55">
            <v>5129</v>
          </cell>
          <cell r="AP55">
            <v>4450</v>
          </cell>
          <cell r="AQ55">
            <v>4894</v>
          </cell>
          <cell r="AR55">
            <v>4075</v>
          </cell>
          <cell r="AS55">
            <v>5196</v>
          </cell>
          <cell r="AT55">
            <v>5196</v>
          </cell>
          <cell r="AU55">
            <v>4533</v>
          </cell>
          <cell r="AV55">
            <v>5608</v>
          </cell>
          <cell r="AW55">
            <v>4937</v>
          </cell>
          <cell r="AX55">
            <v>5890</v>
          </cell>
          <cell r="AY55">
            <v>5890</v>
          </cell>
          <cell r="AZ55">
            <v>5106</v>
          </cell>
          <cell r="BA55">
            <v>6646</v>
          </cell>
          <cell r="BB55">
            <v>5610</v>
          </cell>
          <cell r="BC55">
            <v>7180</v>
          </cell>
          <cell r="BD55">
            <v>7180</v>
          </cell>
          <cell r="BE55">
            <v>5799</v>
          </cell>
          <cell r="BF55">
            <v>7758</v>
          </cell>
          <cell r="BG55">
            <v>6818</v>
          </cell>
          <cell r="BH55">
            <v>9316</v>
          </cell>
          <cell r="BI55">
            <v>9316</v>
          </cell>
          <cell r="BJ55">
            <v>6879</v>
          </cell>
          <cell r="BK55">
            <v>9895</v>
          </cell>
          <cell r="BL55">
            <v>8454</v>
          </cell>
          <cell r="BM55">
            <v>11338</v>
          </cell>
          <cell r="BN55">
            <v>11338</v>
          </cell>
          <cell r="BO55">
            <v>8982</v>
          </cell>
          <cell r="BP55">
            <v>11621</v>
          </cell>
          <cell r="BQ55">
            <v>9871</v>
          </cell>
          <cell r="BR55">
            <v>13589</v>
          </cell>
          <cell r="BS55">
            <v>13589</v>
          </cell>
          <cell r="BT55">
            <v>9535</v>
          </cell>
          <cell r="BU55">
            <v>10953</v>
          </cell>
          <cell r="BV55">
            <v>9182</v>
          </cell>
          <cell r="BW55">
            <v>11192</v>
          </cell>
          <cell r="BX55">
            <v>11192</v>
          </cell>
          <cell r="BY55">
            <v>8587</v>
          </cell>
          <cell r="BZ55">
            <v>11196</v>
          </cell>
          <cell r="CA55">
            <v>9137</v>
          </cell>
          <cell r="CB55">
            <v>13014</v>
          </cell>
          <cell r="CC55">
            <v>13014</v>
          </cell>
          <cell r="CD55">
            <v>9646</v>
          </cell>
          <cell r="CE55">
            <v>12874</v>
          </cell>
          <cell r="CF55">
            <v>10033</v>
          </cell>
          <cell r="CG55">
            <v>14987</v>
          </cell>
          <cell r="CH55">
            <v>14987</v>
          </cell>
          <cell r="CI55">
            <v>10153</v>
          </cell>
          <cell r="CJ55">
            <v>13643</v>
          </cell>
          <cell r="CK55">
            <v>10961</v>
          </cell>
          <cell r="CL55">
            <v>15780</v>
          </cell>
          <cell r="CM55">
            <v>15780</v>
          </cell>
          <cell r="CN55">
            <v>9871</v>
          </cell>
          <cell r="CO55">
            <v>14317</v>
          </cell>
          <cell r="CP55">
            <v>11991</v>
          </cell>
          <cell r="CQ55">
            <v>17486</v>
          </cell>
          <cell r="CR55">
            <v>17486</v>
          </cell>
          <cell r="CS55">
            <v>11007</v>
          </cell>
          <cell r="CT55">
            <v>15986</v>
          </cell>
          <cell r="CU55">
            <v>13497</v>
          </cell>
          <cell r="CV55">
            <v>19544</v>
          </cell>
          <cell r="CW55">
            <v>19544</v>
          </cell>
          <cell r="CX55">
            <v>12887</v>
          </cell>
          <cell r="CY55">
            <v>16186</v>
          </cell>
          <cell r="CZ55">
            <v>12427</v>
          </cell>
          <cell r="DA55">
            <v>17908</v>
          </cell>
          <cell r="DB55">
            <v>17908</v>
          </cell>
          <cell r="DC55">
            <v>11444</v>
          </cell>
          <cell r="DD55">
            <v>14507</v>
          </cell>
          <cell r="DE55">
            <v>12247</v>
          </cell>
          <cell r="DF55">
            <v>18277</v>
          </cell>
          <cell r="DG55">
            <v>18277</v>
          </cell>
          <cell r="DH55">
            <v>13479</v>
          </cell>
          <cell r="DI55">
            <v>16737</v>
          </cell>
          <cell r="DJ55">
            <v>15364</v>
          </cell>
          <cell r="DK55">
            <v>22431</v>
          </cell>
          <cell r="DL55">
            <v>22431</v>
          </cell>
          <cell r="DM55">
            <v>14561</v>
          </cell>
          <cell r="DN55">
            <v>18428</v>
          </cell>
          <cell r="DO55">
            <v>17208</v>
          </cell>
          <cell r="DP55">
            <v>26481</v>
          </cell>
          <cell r="DQ55">
            <v>26481</v>
          </cell>
          <cell r="DR55">
            <v>17390</v>
          </cell>
          <cell r="DS55">
            <v>19680</v>
          </cell>
          <cell r="DT55">
            <v>19269</v>
          </cell>
          <cell r="DU55">
            <v>29524</v>
          </cell>
          <cell r="DV55">
            <v>29524</v>
          </cell>
          <cell r="DW55">
            <v>19087</v>
          </cell>
          <cell r="DX55">
            <v>23525</v>
          </cell>
          <cell r="DY55">
            <v>22699</v>
          </cell>
          <cell r="DZ55">
            <v>32011</v>
          </cell>
          <cell r="EA55">
            <v>32011</v>
          </cell>
          <cell r="EB55">
            <v>22851</v>
          </cell>
          <cell r="EC55">
            <v>27312</v>
          </cell>
          <cell r="ED55">
            <v>26322</v>
          </cell>
          <cell r="EE55">
            <v>38043</v>
          </cell>
          <cell r="EF55">
            <v>38043</v>
          </cell>
          <cell r="EG55">
            <v>27349</v>
          </cell>
          <cell r="EH55">
            <v>33520</v>
          </cell>
          <cell r="EI55">
            <v>32613</v>
          </cell>
          <cell r="EJ55">
            <v>44261</v>
          </cell>
          <cell r="EK55">
            <v>44261</v>
          </cell>
          <cell r="EL55">
            <v>31279</v>
          </cell>
          <cell r="EM55">
            <v>35833</v>
          </cell>
          <cell r="EN55">
            <v>37420</v>
          </cell>
          <cell r="EO55">
            <v>48688</v>
          </cell>
          <cell r="EP55">
            <v>48688</v>
          </cell>
          <cell r="EQ55">
            <v>36953</v>
          </cell>
          <cell r="ER55">
            <v>42831</v>
          </cell>
          <cell r="ES55">
            <v>44029</v>
          </cell>
          <cell r="ET55">
            <v>54457.12440427619</v>
          </cell>
          <cell r="EU55">
            <v>54457.12440427619</v>
          </cell>
          <cell r="EV55">
            <v>42536.796580180489</v>
          </cell>
          <cell r="EW55">
            <v>48602.770712231802</v>
          </cell>
          <cell r="EX55">
            <v>49852.233113411683</v>
          </cell>
          <cell r="EY55">
            <v>61259.318833744634</v>
          </cell>
          <cell r="EZ55">
            <v>61259.318833744634</v>
          </cell>
          <cell r="FA55">
            <v>47442.83841544608</v>
          </cell>
          <cell r="FB55">
            <v>55138.877129470689</v>
          </cell>
          <cell r="FC55">
            <v>55773.717012321482</v>
          </cell>
          <cell r="FD55">
            <v>68880.245430799245</v>
          </cell>
          <cell r="FE55">
            <v>68880.245430799245</v>
          </cell>
        </row>
        <row r="56">
          <cell r="B56" t="str">
            <v>Inventory</v>
          </cell>
          <cell r="C56" t="str">
            <v>STOCKS</v>
          </cell>
          <cell r="D56" t="str">
            <v>USD</v>
          </cell>
          <cell r="F56">
            <v>88</v>
          </cell>
          <cell r="G56">
            <v>125</v>
          </cell>
          <cell r="H56">
            <v>108</v>
          </cell>
          <cell r="I56">
            <v>33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673</v>
          </cell>
          <cell r="AO56">
            <v>673</v>
          </cell>
          <cell r="AP56">
            <v>959</v>
          </cell>
          <cell r="AQ56">
            <v>650</v>
          </cell>
          <cell r="AR56">
            <v>604</v>
          </cell>
          <cell r="AS56">
            <v>640</v>
          </cell>
          <cell r="AT56">
            <v>640</v>
          </cell>
          <cell r="AU56">
            <v>1099</v>
          </cell>
          <cell r="AV56">
            <v>621</v>
          </cell>
          <cell r="AW56">
            <v>542</v>
          </cell>
          <cell r="AX56">
            <v>421</v>
          </cell>
          <cell r="AY56">
            <v>421</v>
          </cell>
          <cell r="AZ56">
            <v>608</v>
          </cell>
          <cell r="BA56">
            <v>304</v>
          </cell>
          <cell r="BB56">
            <v>340</v>
          </cell>
          <cell r="BC56">
            <v>491</v>
          </cell>
          <cell r="BD56">
            <v>491</v>
          </cell>
          <cell r="BE56">
            <v>726</v>
          </cell>
          <cell r="BF56">
            <v>1003</v>
          </cell>
          <cell r="BG56">
            <v>1113</v>
          </cell>
          <cell r="BH56">
            <v>1478</v>
          </cell>
          <cell r="BI56">
            <v>1478</v>
          </cell>
          <cell r="BJ56">
            <v>2521</v>
          </cell>
          <cell r="BK56">
            <v>1725</v>
          </cell>
          <cell r="BL56">
            <v>1750</v>
          </cell>
          <cell r="BM56">
            <v>1127</v>
          </cell>
          <cell r="BN56">
            <v>1127</v>
          </cell>
          <cell r="BO56">
            <v>1178</v>
          </cell>
          <cell r="BP56">
            <v>755</v>
          </cell>
          <cell r="BQ56">
            <v>774</v>
          </cell>
          <cell r="BR56">
            <v>985</v>
          </cell>
          <cell r="BS56">
            <v>985</v>
          </cell>
          <cell r="BT56">
            <v>1640</v>
          </cell>
          <cell r="BU56">
            <v>968</v>
          </cell>
          <cell r="BV56">
            <v>657</v>
          </cell>
          <cell r="BW56">
            <v>717</v>
          </cell>
          <cell r="BX56">
            <v>717</v>
          </cell>
          <cell r="BY56">
            <v>1150</v>
          </cell>
          <cell r="BZ56">
            <v>589</v>
          </cell>
          <cell r="CA56">
            <v>501</v>
          </cell>
          <cell r="CB56">
            <v>740</v>
          </cell>
          <cell r="CC56">
            <v>740</v>
          </cell>
          <cell r="CD56">
            <v>1242</v>
          </cell>
          <cell r="CE56">
            <v>861</v>
          </cell>
          <cell r="CF56">
            <v>1056</v>
          </cell>
          <cell r="CG56">
            <v>1372</v>
          </cell>
          <cell r="CH56">
            <v>1372</v>
          </cell>
          <cell r="CI56">
            <v>2270</v>
          </cell>
          <cell r="CJ56">
            <v>1351</v>
          </cell>
          <cell r="CK56">
            <v>1412</v>
          </cell>
          <cell r="CL56">
            <v>1137</v>
          </cell>
          <cell r="CM56">
            <v>1137</v>
          </cell>
          <cell r="CN56">
            <v>1624</v>
          </cell>
          <cell r="CO56">
            <v>1661</v>
          </cell>
          <cell r="CP56">
            <v>2133</v>
          </cell>
          <cell r="CQ56">
            <v>1938</v>
          </cell>
          <cell r="CR56">
            <v>1938</v>
          </cell>
          <cell r="CS56">
            <v>2613</v>
          </cell>
          <cell r="CT56">
            <v>1594</v>
          </cell>
          <cell r="CU56">
            <v>1920</v>
          </cell>
          <cell r="CV56">
            <v>2660</v>
          </cell>
          <cell r="CW56">
            <v>2660</v>
          </cell>
          <cell r="CX56">
            <v>3141</v>
          </cell>
          <cell r="CY56">
            <v>2053</v>
          </cell>
          <cell r="CZ56">
            <v>2469</v>
          </cell>
          <cell r="DA56">
            <v>2902</v>
          </cell>
          <cell r="DB56">
            <v>2902</v>
          </cell>
          <cell r="DC56">
            <v>3816</v>
          </cell>
          <cell r="DD56">
            <v>2702</v>
          </cell>
          <cell r="DE56">
            <v>2450</v>
          </cell>
          <cell r="DF56">
            <v>2251</v>
          </cell>
          <cell r="DG56">
            <v>2251</v>
          </cell>
          <cell r="DH56">
            <v>3122</v>
          </cell>
          <cell r="DI56">
            <v>1961</v>
          </cell>
          <cell r="DJ56">
            <v>1979</v>
          </cell>
          <cell r="DK56">
            <v>2181</v>
          </cell>
          <cell r="DL56">
            <v>2181</v>
          </cell>
          <cell r="DM56">
            <v>3211</v>
          </cell>
          <cell r="DN56">
            <v>2003</v>
          </cell>
          <cell r="DO56">
            <v>2084</v>
          </cell>
          <cell r="DP56">
            <v>2662</v>
          </cell>
          <cell r="DQ56">
            <v>2662</v>
          </cell>
          <cell r="DR56">
            <v>3614</v>
          </cell>
          <cell r="DS56">
            <v>1961</v>
          </cell>
          <cell r="DT56">
            <v>1951</v>
          </cell>
          <cell r="DU56">
            <v>2063</v>
          </cell>
          <cell r="DV56">
            <v>2063</v>
          </cell>
          <cell r="DW56">
            <v>2622</v>
          </cell>
          <cell r="DX56">
            <v>1823</v>
          </cell>
          <cell r="DY56">
            <v>1644</v>
          </cell>
          <cell r="DZ56">
            <v>1895</v>
          </cell>
          <cell r="EA56">
            <v>1895</v>
          </cell>
          <cell r="EB56">
            <v>2705</v>
          </cell>
          <cell r="EC56">
            <v>1924</v>
          </cell>
          <cell r="ED56">
            <v>2245</v>
          </cell>
          <cell r="EE56">
            <v>2636</v>
          </cell>
          <cell r="EF56">
            <v>2636</v>
          </cell>
          <cell r="EG56">
            <v>3411</v>
          </cell>
          <cell r="EH56">
            <v>3019</v>
          </cell>
          <cell r="EI56">
            <v>3296</v>
          </cell>
          <cell r="EJ56">
            <v>3742</v>
          </cell>
          <cell r="EK56">
            <v>3742</v>
          </cell>
          <cell r="EL56">
            <v>4268</v>
          </cell>
          <cell r="EM56">
            <v>2980</v>
          </cell>
          <cell r="EN56">
            <v>2877</v>
          </cell>
          <cell r="EO56">
            <v>2500</v>
          </cell>
          <cell r="EP56">
            <v>2500</v>
          </cell>
          <cell r="EQ56">
            <v>3000</v>
          </cell>
          <cell r="ER56">
            <v>1615</v>
          </cell>
          <cell r="ES56">
            <v>1304</v>
          </cell>
          <cell r="ET56">
            <v>1589.6918689482932</v>
          </cell>
          <cell r="EU56">
            <v>1589.6918689482932</v>
          </cell>
          <cell r="EV56">
            <v>1526.9904814341548</v>
          </cell>
          <cell r="EW56">
            <v>1128.8561160030865</v>
          </cell>
          <cell r="EX56">
            <v>1483.1388810151932</v>
          </cell>
          <cell r="EY56">
            <v>1811.9910770363344</v>
          </cell>
          <cell r="EZ56">
            <v>1811.9910770363344</v>
          </cell>
          <cell r="FA56">
            <v>1732.3946940920257</v>
          </cell>
          <cell r="FB56">
            <v>1280.6648214703705</v>
          </cell>
          <cell r="FC56">
            <v>1685.7412388981313</v>
          </cell>
          <cell r="FD56">
            <v>2064.8129515359574</v>
          </cell>
          <cell r="FE56">
            <v>2064.8129515359574</v>
          </cell>
        </row>
        <row r="57">
          <cell r="B57" t="str">
            <v>Other current assets</v>
          </cell>
          <cell r="C57" t="str">
            <v>OTH_CUR_ASS</v>
          </cell>
          <cell r="D57" t="str">
            <v>USD</v>
          </cell>
          <cell r="F57">
            <v>2989</v>
          </cell>
          <cell r="G57">
            <v>3334</v>
          </cell>
          <cell r="H57">
            <v>3901</v>
          </cell>
          <cell r="I57">
            <v>4045</v>
          </cell>
          <cell r="J57">
            <v>4599</v>
          </cell>
          <cell r="K57">
            <v>4599</v>
          </cell>
          <cell r="L57">
            <v>4359</v>
          </cell>
          <cell r="M57">
            <v>6371</v>
          </cell>
          <cell r="N57">
            <v>5506</v>
          </cell>
          <cell r="O57">
            <v>5687</v>
          </cell>
          <cell r="P57">
            <v>5687</v>
          </cell>
          <cell r="Q57">
            <v>6105</v>
          </cell>
          <cell r="R57">
            <v>7973</v>
          </cell>
          <cell r="S57">
            <v>8570</v>
          </cell>
          <cell r="T57">
            <v>10590</v>
          </cell>
          <cell r="U57">
            <v>10590</v>
          </cell>
          <cell r="V57">
            <v>12620</v>
          </cell>
          <cell r="W57">
            <v>13667</v>
          </cell>
          <cell r="X57">
            <v>16166</v>
          </cell>
          <cell r="Y57">
            <v>13013</v>
          </cell>
          <cell r="Z57">
            <v>13013</v>
          </cell>
          <cell r="AA57">
            <v>14967</v>
          </cell>
          <cell r="AB57">
            <v>13704</v>
          </cell>
          <cell r="AC57">
            <v>17123</v>
          </cell>
          <cell r="AD57">
            <v>20504</v>
          </cell>
          <cell r="AE57">
            <v>20504</v>
          </cell>
          <cell r="AF57">
            <v>25580</v>
          </cell>
          <cell r="AG57">
            <v>27342</v>
          </cell>
          <cell r="AH57">
            <v>30108</v>
          </cell>
          <cell r="AI57">
            <v>32044</v>
          </cell>
          <cell r="AJ57">
            <v>32044</v>
          </cell>
          <cell r="AK57">
            <v>37604</v>
          </cell>
          <cell r="AL57">
            <v>37637</v>
          </cell>
          <cell r="AM57">
            <v>38481</v>
          </cell>
          <cell r="AN57">
            <v>39758</v>
          </cell>
          <cell r="AO57">
            <v>39758</v>
          </cell>
          <cell r="AP57">
            <v>39296</v>
          </cell>
          <cell r="AQ57">
            <v>41835</v>
          </cell>
          <cell r="AR57">
            <v>45693</v>
          </cell>
          <cell r="AS57">
            <v>46699</v>
          </cell>
          <cell r="AT57">
            <v>46699</v>
          </cell>
          <cell r="AU57">
            <v>49510</v>
          </cell>
          <cell r="AV57">
            <v>50022</v>
          </cell>
          <cell r="AW57">
            <v>50443</v>
          </cell>
          <cell r="AX57">
            <v>48273</v>
          </cell>
          <cell r="AY57">
            <v>48273</v>
          </cell>
          <cell r="AZ57">
            <v>56041</v>
          </cell>
          <cell r="BA57">
            <v>32893</v>
          </cell>
          <cell r="BB57">
            <v>36861</v>
          </cell>
          <cell r="BC57">
            <v>36215</v>
          </cell>
          <cell r="BD57">
            <v>36215</v>
          </cell>
          <cell r="BE57">
            <v>40332</v>
          </cell>
          <cell r="BF57">
            <v>33850</v>
          </cell>
          <cell r="BG57">
            <v>34346</v>
          </cell>
          <cell r="BH57">
            <v>31502</v>
          </cell>
          <cell r="BI57">
            <v>31502</v>
          </cell>
          <cell r="BJ57">
            <v>26882</v>
          </cell>
          <cell r="BK57">
            <v>26701</v>
          </cell>
          <cell r="BL57">
            <v>24968</v>
          </cell>
          <cell r="BM57">
            <v>21592</v>
          </cell>
          <cell r="BN57">
            <v>21592</v>
          </cell>
          <cell r="BO57">
            <v>19056</v>
          </cell>
          <cell r="BP57">
            <v>17939</v>
          </cell>
          <cell r="BQ57">
            <v>19024</v>
          </cell>
          <cell r="BR57">
            <v>18329</v>
          </cell>
          <cell r="BS57">
            <v>18329</v>
          </cell>
          <cell r="BT57">
            <v>17023</v>
          </cell>
          <cell r="BU57">
            <v>17463</v>
          </cell>
          <cell r="BV57">
            <v>23600</v>
          </cell>
          <cell r="BW57">
            <v>31295</v>
          </cell>
          <cell r="BX57">
            <v>31295</v>
          </cell>
          <cell r="BY57">
            <v>33671</v>
          </cell>
          <cell r="BZ57">
            <v>31280</v>
          </cell>
          <cell r="CA57">
            <v>36725</v>
          </cell>
          <cell r="CB57">
            <v>36417</v>
          </cell>
          <cell r="CC57">
            <v>36417</v>
          </cell>
          <cell r="CD57">
            <v>40532</v>
          </cell>
          <cell r="CE57">
            <v>41926</v>
          </cell>
          <cell r="CF57">
            <v>48153</v>
          </cell>
          <cell r="CG57">
            <v>48949</v>
          </cell>
          <cell r="CH57">
            <v>48949</v>
          </cell>
          <cell r="CI57">
            <v>49967</v>
          </cell>
          <cell r="CJ57">
            <v>46909</v>
          </cell>
          <cell r="CK57">
            <v>58099</v>
          </cell>
          <cell r="CL57">
            <v>61229</v>
          </cell>
          <cell r="CM57">
            <v>61229</v>
          </cell>
          <cell r="CN57">
            <v>67520</v>
          </cell>
          <cell r="CO57">
            <v>67579</v>
          </cell>
          <cell r="CP57">
            <v>74160</v>
          </cell>
          <cell r="CQ57">
            <v>78238</v>
          </cell>
          <cell r="CR57">
            <v>78238</v>
          </cell>
          <cell r="CS57">
            <v>81807</v>
          </cell>
          <cell r="CT57">
            <v>79231</v>
          </cell>
          <cell r="CU57">
            <v>82017</v>
          </cell>
          <cell r="CV57">
            <v>83373</v>
          </cell>
          <cell r="CW57">
            <v>83373</v>
          </cell>
          <cell r="CX57">
            <v>90109</v>
          </cell>
          <cell r="CY57">
            <v>91697</v>
          </cell>
          <cell r="CZ57">
            <v>96088</v>
          </cell>
          <cell r="DA57">
            <v>98307</v>
          </cell>
          <cell r="DB57">
            <v>98307</v>
          </cell>
          <cell r="DC57">
            <v>100965</v>
          </cell>
          <cell r="DD57">
            <v>103418</v>
          </cell>
          <cell r="DE57">
            <v>106554</v>
          </cell>
          <cell r="DF57">
            <v>112622</v>
          </cell>
          <cell r="DG57">
            <v>112622</v>
          </cell>
          <cell r="DH57">
            <v>129897</v>
          </cell>
          <cell r="DI57">
            <v>120353</v>
          </cell>
          <cell r="DJ57">
            <v>124921</v>
          </cell>
          <cell r="DK57">
            <v>130421</v>
          </cell>
          <cell r="DL57">
            <v>130421</v>
          </cell>
          <cell r="DM57">
            <v>136375</v>
          </cell>
          <cell r="DN57">
            <v>134343</v>
          </cell>
          <cell r="DO57">
            <v>128146</v>
          </cell>
          <cell r="DP57">
            <v>128573</v>
          </cell>
          <cell r="DQ57">
            <v>128573</v>
          </cell>
          <cell r="DR57">
            <v>128054</v>
          </cell>
          <cell r="DS57">
            <v>128595</v>
          </cell>
          <cell r="DT57">
            <v>127455</v>
          </cell>
          <cell r="DU57">
            <v>132609</v>
          </cell>
          <cell r="DV57">
            <v>132609</v>
          </cell>
          <cell r="DW57">
            <v>131070</v>
          </cell>
          <cell r="DX57">
            <v>132862</v>
          </cell>
          <cell r="DY57">
            <v>134452</v>
          </cell>
          <cell r="DZ57">
            <v>134433</v>
          </cell>
          <cell r="EA57">
            <v>134433</v>
          </cell>
          <cell r="EB57">
            <v>134316</v>
          </cell>
          <cell r="EC57">
            <v>130305</v>
          </cell>
          <cell r="ED57">
            <v>123345</v>
          </cell>
          <cell r="EE57">
            <v>129503</v>
          </cell>
          <cell r="EF57">
            <v>129503</v>
          </cell>
          <cell r="EG57">
            <v>124401</v>
          </cell>
          <cell r="EH57">
            <v>117045</v>
          </cell>
          <cell r="EI57">
            <v>105515</v>
          </cell>
          <cell r="EJ57">
            <v>107750</v>
          </cell>
          <cell r="EK57">
            <v>107750</v>
          </cell>
          <cell r="EL57">
            <v>102381</v>
          </cell>
          <cell r="EM57">
            <v>103364</v>
          </cell>
          <cell r="EN57">
            <v>97030</v>
          </cell>
          <cell r="EO57">
            <v>98365</v>
          </cell>
          <cell r="EP57">
            <v>98365</v>
          </cell>
          <cell r="EQ57">
            <v>87181</v>
          </cell>
          <cell r="ER57">
            <v>85642</v>
          </cell>
          <cell r="ES57">
            <v>82213</v>
          </cell>
          <cell r="ET57">
            <v>82331.348116535621</v>
          </cell>
          <cell r="EU57">
            <v>82331.348116535621</v>
          </cell>
          <cell r="EV57">
            <v>84138.913252666418</v>
          </cell>
          <cell r="EW57">
            <v>83864.66535751654</v>
          </cell>
          <cell r="EX57">
            <v>83804.261594325799</v>
          </cell>
          <cell r="EY57">
            <v>86879.617763223549</v>
          </cell>
          <cell r="EZ57">
            <v>86879.617763223549</v>
          </cell>
          <cell r="FA57">
            <v>82830.561111520568</v>
          </cell>
          <cell r="FB57">
            <v>85425.104388562046</v>
          </cell>
          <cell r="FC57">
            <v>85403.813664079906</v>
          </cell>
          <cell r="FD57">
            <v>92262.120463883737</v>
          </cell>
          <cell r="FE57">
            <v>92262.120463883737</v>
          </cell>
        </row>
        <row r="58">
          <cell r="B58" t="str">
            <v>Total current assets</v>
          </cell>
          <cell r="C58" t="str">
            <v>CUR_ASS</v>
          </cell>
          <cell r="D58" t="str">
            <v>USD</v>
          </cell>
          <cell r="F58">
            <v>5620</v>
          </cell>
          <cell r="G58">
            <v>6417</v>
          </cell>
          <cell r="H58">
            <v>7103</v>
          </cell>
          <cell r="I58">
            <v>7696</v>
          </cell>
          <cell r="J58">
            <v>7839</v>
          </cell>
          <cell r="K58">
            <v>7839</v>
          </cell>
          <cell r="L58">
            <v>8232</v>
          </cell>
          <cell r="M58">
            <v>10442</v>
          </cell>
          <cell r="N58">
            <v>10224</v>
          </cell>
          <cell r="O58">
            <v>10373</v>
          </cell>
          <cell r="P58">
            <v>10373</v>
          </cell>
          <cell r="Q58">
            <v>10838</v>
          </cell>
          <cell r="R58">
            <v>11636</v>
          </cell>
          <cell r="S58">
            <v>13735</v>
          </cell>
          <cell r="T58">
            <v>15889</v>
          </cell>
          <cell r="U58">
            <v>15889</v>
          </cell>
          <cell r="V58">
            <v>18964</v>
          </cell>
          <cell r="W58">
            <v>21809</v>
          </cell>
          <cell r="X58">
            <v>24058</v>
          </cell>
          <cell r="Y58">
            <v>20233</v>
          </cell>
          <cell r="Z58">
            <v>20233</v>
          </cell>
          <cell r="AA58">
            <v>21963</v>
          </cell>
          <cell r="AB58">
            <v>22020</v>
          </cell>
          <cell r="AC58">
            <v>25217</v>
          </cell>
          <cell r="AD58">
            <v>28600</v>
          </cell>
          <cell r="AE58">
            <v>28600</v>
          </cell>
          <cell r="AF58">
            <v>31393</v>
          </cell>
          <cell r="AG58">
            <v>35016</v>
          </cell>
          <cell r="AH58">
            <v>37789</v>
          </cell>
          <cell r="AI58">
            <v>39637</v>
          </cell>
          <cell r="AJ58">
            <v>39637</v>
          </cell>
          <cell r="AK58">
            <v>44332</v>
          </cell>
          <cell r="AL58">
            <v>47988</v>
          </cell>
          <cell r="AM58">
            <v>47827</v>
          </cell>
          <cell r="AN58">
            <v>48576</v>
          </cell>
          <cell r="AO58">
            <v>48576</v>
          </cell>
          <cell r="AP58">
            <v>50043</v>
          </cell>
          <cell r="AQ58">
            <v>52931</v>
          </cell>
          <cell r="AR58">
            <v>54672</v>
          </cell>
          <cell r="AS58">
            <v>58973</v>
          </cell>
          <cell r="AT58">
            <v>58973</v>
          </cell>
          <cell r="AU58">
            <v>60910</v>
          </cell>
          <cell r="AV58">
            <v>62400</v>
          </cell>
          <cell r="AW58">
            <v>65270</v>
          </cell>
          <cell r="AX58">
            <v>70566</v>
          </cell>
          <cell r="AY58">
            <v>70566</v>
          </cell>
          <cell r="AZ58">
            <v>72896</v>
          </cell>
          <cell r="BA58">
            <v>44399</v>
          </cell>
          <cell r="BB58">
            <v>46593</v>
          </cell>
          <cell r="BC58">
            <v>48737</v>
          </cell>
          <cell r="BD58">
            <v>48737</v>
          </cell>
          <cell r="BE58">
            <v>49831</v>
          </cell>
          <cell r="BF58">
            <v>46694</v>
          </cell>
          <cell r="BG58">
            <v>46628</v>
          </cell>
          <cell r="BH58">
            <v>49010</v>
          </cell>
          <cell r="BI58">
            <v>49010</v>
          </cell>
          <cell r="BJ58">
            <v>45358</v>
          </cell>
          <cell r="BK58">
            <v>45180</v>
          </cell>
          <cell r="BL58">
            <v>42783</v>
          </cell>
          <cell r="BM58">
            <v>40168</v>
          </cell>
          <cell r="BN58">
            <v>40168</v>
          </cell>
          <cell r="BO58">
            <v>35853</v>
          </cell>
          <cell r="BP58">
            <v>37775</v>
          </cell>
          <cell r="BQ58">
            <v>41489</v>
          </cell>
          <cell r="BR58">
            <v>43242</v>
          </cell>
          <cell r="BS58">
            <v>43242</v>
          </cell>
          <cell r="BT58">
            <v>37202</v>
          </cell>
          <cell r="BU58">
            <v>37730</v>
          </cell>
          <cell r="BV58">
            <v>40724</v>
          </cell>
          <cell r="BW58">
            <v>49280</v>
          </cell>
          <cell r="BX58">
            <v>49280</v>
          </cell>
          <cell r="BY58">
            <v>52231</v>
          </cell>
          <cell r="BZ58">
            <v>52487</v>
          </cell>
          <cell r="CA58">
            <v>54518</v>
          </cell>
          <cell r="CB58">
            <v>55676</v>
          </cell>
          <cell r="CC58">
            <v>55676</v>
          </cell>
          <cell r="CD58">
            <v>59581</v>
          </cell>
          <cell r="CE58">
            <v>59684</v>
          </cell>
          <cell r="CF58">
            <v>66263</v>
          </cell>
          <cell r="CG58">
            <v>74918</v>
          </cell>
          <cell r="CH58">
            <v>74918</v>
          </cell>
          <cell r="CI58">
            <v>75271</v>
          </cell>
          <cell r="CJ58">
            <v>72513</v>
          </cell>
          <cell r="CK58">
            <v>76860</v>
          </cell>
          <cell r="CL58">
            <v>85084</v>
          </cell>
          <cell r="CM58">
            <v>85084</v>
          </cell>
          <cell r="CN58">
            <v>84051</v>
          </cell>
          <cell r="CO58">
            <v>89574</v>
          </cell>
          <cell r="CP58">
            <v>93524</v>
          </cell>
          <cell r="CQ58">
            <v>101466</v>
          </cell>
          <cell r="CR58">
            <v>101466</v>
          </cell>
          <cell r="CS58">
            <v>99450</v>
          </cell>
          <cell r="CT58">
            <v>106870</v>
          </cell>
          <cell r="CU58">
            <v>109006</v>
          </cell>
          <cell r="CV58">
            <v>114246</v>
          </cell>
          <cell r="CW58">
            <v>114246</v>
          </cell>
          <cell r="CX58">
            <v>112439</v>
          </cell>
          <cell r="CY58">
            <v>116362</v>
          </cell>
          <cell r="CZ58">
            <v>118398</v>
          </cell>
          <cell r="DA58">
            <v>124712</v>
          </cell>
          <cell r="DB58">
            <v>124712</v>
          </cell>
          <cell r="DC58">
            <v>121656</v>
          </cell>
          <cell r="DD58">
            <v>127812</v>
          </cell>
          <cell r="DE58">
            <v>128421</v>
          </cell>
          <cell r="DF58">
            <v>139660</v>
          </cell>
          <cell r="DG58">
            <v>139660</v>
          </cell>
          <cell r="DH58">
            <v>160426</v>
          </cell>
          <cell r="DI58">
            <v>147519</v>
          </cell>
          <cell r="DJ58">
            <v>148977</v>
          </cell>
          <cell r="DK58">
            <v>162696</v>
          </cell>
          <cell r="DL58">
            <v>162696</v>
          </cell>
          <cell r="DM58">
            <v>161031</v>
          </cell>
          <cell r="DN58">
            <v>167633</v>
          </cell>
          <cell r="DO58">
            <v>156659</v>
          </cell>
          <cell r="DP58">
            <v>169662</v>
          </cell>
          <cell r="DQ58">
            <v>169662</v>
          </cell>
          <cell r="DR58">
            <v>164195</v>
          </cell>
          <cell r="DS58">
            <v>156874</v>
          </cell>
          <cell r="DT58">
            <v>159887</v>
          </cell>
          <cell r="DU58">
            <v>175552</v>
          </cell>
          <cell r="DV58">
            <v>175552</v>
          </cell>
          <cell r="DW58">
            <v>165896</v>
          </cell>
          <cell r="DX58">
            <v>167074</v>
          </cell>
          <cell r="DY58">
            <v>170505</v>
          </cell>
          <cell r="DZ58">
            <v>181915</v>
          </cell>
          <cell r="EA58">
            <v>181915</v>
          </cell>
          <cell r="EB58">
            <v>177077</v>
          </cell>
          <cell r="EC58">
            <v>173973</v>
          </cell>
          <cell r="ED58">
            <v>165614</v>
          </cell>
          <cell r="EE58">
            <v>184406</v>
          </cell>
          <cell r="EF58">
            <v>184406</v>
          </cell>
          <cell r="EG58">
            <v>174326</v>
          </cell>
          <cell r="EH58">
            <v>174188</v>
          </cell>
          <cell r="EI58">
            <v>153922</v>
          </cell>
          <cell r="EJ58">
            <v>169684</v>
          </cell>
          <cell r="EK58">
            <v>169684</v>
          </cell>
          <cell r="EL58">
            <v>160812</v>
          </cell>
          <cell r="EM58">
            <v>157823</v>
          </cell>
          <cell r="EN58">
            <v>163889</v>
          </cell>
          <cell r="EO58">
            <v>184257</v>
          </cell>
          <cell r="EP58">
            <v>184257</v>
          </cell>
          <cell r="EQ58">
            <v>207586</v>
          </cell>
          <cell r="ER58">
            <v>147393</v>
          </cell>
          <cell r="ES58">
            <v>147180</v>
          </cell>
          <cell r="ET58">
            <v>183077.90004771133</v>
          </cell>
          <cell r="EU58">
            <v>183077.90004771133</v>
          </cell>
          <cell r="EV58">
            <v>188807.40679589586</v>
          </cell>
          <cell r="EW58">
            <v>198897.1806899709</v>
          </cell>
          <cell r="EX58">
            <v>217891.70006841279</v>
          </cell>
          <cell r="EY58">
            <v>253103.52464121254</v>
          </cell>
          <cell r="EZ58">
            <v>253103.52464121254</v>
          </cell>
          <cell r="FA58">
            <v>262499.42779660469</v>
          </cell>
          <cell r="FB58">
            <v>275239.55640661152</v>
          </cell>
          <cell r="FC58">
            <v>305391.02192505397</v>
          </cell>
          <cell r="FD58">
            <v>350106.26708152384</v>
          </cell>
          <cell r="FE58">
            <v>350106.26708152384</v>
          </cell>
        </row>
        <row r="59">
          <cell r="B59" t="str">
            <v>Gross fixed assets, PP&amp;E</v>
          </cell>
          <cell r="C59" t="str">
            <v>GR_FIX_ASS</v>
          </cell>
          <cell r="D59" t="str">
            <v>USD</v>
          </cell>
          <cell r="F59">
            <v>1192</v>
          </cell>
          <cell r="G59">
            <v>1265</v>
          </cell>
          <cell r="H59">
            <v>1297</v>
          </cell>
          <cell r="I59">
            <v>1281</v>
          </cell>
          <cell r="J59">
            <v>1326</v>
          </cell>
          <cell r="K59">
            <v>1326</v>
          </cell>
          <cell r="L59">
            <v>1304</v>
          </cell>
          <cell r="M59">
            <v>1322</v>
          </cell>
          <cell r="N59">
            <v>1371</v>
          </cell>
          <cell r="O59">
            <v>1465</v>
          </cell>
          <cell r="P59">
            <v>1465</v>
          </cell>
          <cell r="Q59">
            <v>1484</v>
          </cell>
          <cell r="R59">
            <v>1478</v>
          </cell>
          <cell r="S59">
            <v>1416</v>
          </cell>
          <cell r="T59">
            <v>1505</v>
          </cell>
          <cell r="U59">
            <v>1505</v>
          </cell>
          <cell r="V59">
            <v>1466</v>
          </cell>
          <cell r="W59">
            <v>1495</v>
          </cell>
          <cell r="X59">
            <v>1445</v>
          </cell>
          <cell r="Y59">
            <v>1611</v>
          </cell>
          <cell r="Z59">
            <v>1611</v>
          </cell>
          <cell r="AA59">
            <v>1657</v>
          </cell>
          <cell r="AB59">
            <v>1739</v>
          </cell>
          <cell r="AC59">
            <v>1835</v>
          </cell>
          <cell r="AD59">
            <v>1903</v>
          </cell>
          <cell r="AE59">
            <v>1903</v>
          </cell>
          <cell r="AF59">
            <v>1973</v>
          </cell>
          <cell r="AG59">
            <v>2098</v>
          </cell>
          <cell r="AH59">
            <v>2159</v>
          </cell>
          <cell r="AI59">
            <v>2309</v>
          </cell>
          <cell r="AJ59">
            <v>2309</v>
          </cell>
          <cell r="AK59">
            <v>2261</v>
          </cell>
          <cell r="AL59">
            <v>2240</v>
          </cell>
          <cell r="AM59">
            <v>2182</v>
          </cell>
          <cell r="AN59">
            <v>2268</v>
          </cell>
          <cell r="AO59">
            <v>2268</v>
          </cell>
          <cell r="AP59">
            <v>2189</v>
          </cell>
          <cell r="AQ59">
            <v>2257</v>
          </cell>
          <cell r="AR59">
            <v>2208</v>
          </cell>
          <cell r="AS59">
            <v>2223</v>
          </cell>
          <cell r="AT59">
            <v>2223</v>
          </cell>
          <cell r="AU59">
            <v>2193</v>
          </cell>
          <cell r="AV59">
            <v>2178</v>
          </cell>
          <cell r="AW59">
            <v>2258</v>
          </cell>
          <cell r="AX59">
            <v>2326</v>
          </cell>
          <cell r="AY59">
            <v>2326</v>
          </cell>
          <cell r="AZ59">
            <v>2317</v>
          </cell>
          <cell r="BA59">
            <v>2336</v>
          </cell>
          <cell r="BB59">
            <v>2321</v>
          </cell>
          <cell r="BC59">
            <v>2346</v>
          </cell>
          <cell r="BD59">
            <v>2346</v>
          </cell>
          <cell r="BE59">
            <v>2351</v>
          </cell>
          <cell r="BF59">
            <v>2452</v>
          </cell>
          <cell r="BG59">
            <v>2543</v>
          </cell>
          <cell r="BH59">
            <v>3044</v>
          </cell>
          <cell r="BI59">
            <v>3044</v>
          </cell>
          <cell r="BJ59">
            <v>3193</v>
          </cell>
          <cell r="BK59">
            <v>3686</v>
          </cell>
          <cell r="BL59">
            <v>3923</v>
          </cell>
          <cell r="BM59">
            <v>4350</v>
          </cell>
          <cell r="BN59">
            <v>4350</v>
          </cell>
          <cell r="BO59">
            <v>4615</v>
          </cell>
          <cell r="BP59">
            <v>4965</v>
          </cell>
          <cell r="BQ59">
            <v>5516</v>
          </cell>
          <cell r="BR59">
            <v>6242</v>
          </cell>
          <cell r="BS59">
            <v>6242</v>
          </cell>
          <cell r="BT59">
            <v>6552</v>
          </cell>
          <cell r="BU59">
            <v>6996</v>
          </cell>
          <cell r="BV59">
            <v>7112</v>
          </cell>
          <cell r="BW59">
            <v>7535</v>
          </cell>
          <cell r="BX59">
            <v>7535</v>
          </cell>
          <cell r="BY59">
            <v>7512</v>
          </cell>
          <cell r="BZ59">
            <v>7402</v>
          </cell>
          <cell r="CA59">
            <v>7372</v>
          </cell>
          <cell r="CB59">
            <v>7630</v>
          </cell>
          <cell r="CC59">
            <v>7630</v>
          </cell>
          <cell r="CD59">
            <v>7771</v>
          </cell>
          <cell r="CE59">
            <v>7799</v>
          </cell>
          <cell r="CF59">
            <v>7969</v>
          </cell>
          <cell r="CG59">
            <v>8162</v>
          </cell>
          <cell r="CH59">
            <v>8162</v>
          </cell>
          <cell r="CI59">
            <v>8033</v>
          </cell>
          <cell r="CJ59">
            <v>8010</v>
          </cell>
          <cell r="CK59">
            <v>8225</v>
          </cell>
          <cell r="CL59">
            <v>8269</v>
          </cell>
          <cell r="CM59">
            <v>8269</v>
          </cell>
          <cell r="CN59">
            <v>8329</v>
          </cell>
          <cell r="CO59">
            <v>8698</v>
          </cell>
          <cell r="CP59">
            <v>9204</v>
          </cell>
          <cell r="CQ59">
            <v>9991</v>
          </cell>
          <cell r="CR59">
            <v>9991</v>
          </cell>
          <cell r="CS59">
            <v>10774</v>
          </cell>
          <cell r="CT59">
            <v>11567</v>
          </cell>
          <cell r="CU59">
            <v>11771</v>
          </cell>
          <cell r="CV59">
            <v>13011</v>
          </cell>
          <cell r="CW59">
            <v>13011</v>
          </cell>
          <cell r="CX59">
            <v>13229</v>
          </cell>
          <cell r="CY59">
            <v>13607</v>
          </cell>
          <cell r="CZ59">
            <v>14375</v>
          </cell>
          <cell r="DA59">
            <v>14731</v>
          </cell>
          <cell r="DB59">
            <v>14731</v>
          </cell>
          <cell r="DC59">
            <v>15046</v>
          </cell>
          <cell r="DD59">
            <v>15789</v>
          </cell>
          <cell r="DE59">
            <v>16831</v>
          </cell>
          <cell r="DF59">
            <v>18356</v>
          </cell>
          <cell r="DG59">
            <v>18356</v>
          </cell>
          <cell r="DH59">
            <v>19224</v>
          </cell>
          <cell r="DI59">
            <v>21379</v>
          </cell>
          <cell r="DJ59">
            <v>21962</v>
          </cell>
          <cell r="DK59">
            <v>23734</v>
          </cell>
          <cell r="DL59">
            <v>23734</v>
          </cell>
          <cell r="DM59">
            <v>24809</v>
          </cell>
          <cell r="DN59">
            <v>26304</v>
          </cell>
          <cell r="DO59">
            <v>27929</v>
          </cell>
          <cell r="DP59">
            <v>29460</v>
          </cell>
          <cell r="DQ59">
            <v>29460</v>
          </cell>
          <cell r="DR59">
            <v>31430</v>
          </cell>
          <cell r="DS59">
            <v>32717</v>
          </cell>
          <cell r="DT59">
            <v>33648</v>
          </cell>
          <cell r="DU59">
            <v>36477</v>
          </cell>
          <cell r="DV59">
            <v>36477</v>
          </cell>
          <cell r="DW59">
            <v>38409</v>
          </cell>
          <cell r="DX59">
            <v>40522</v>
          </cell>
          <cell r="DY59">
            <v>41221</v>
          </cell>
          <cell r="DZ59">
            <v>44151</v>
          </cell>
          <cell r="EA59">
            <v>44151</v>
          </cell>
          <cell r="EB59">
            <v>93344</v>
          </cell>
          <cell r="EC59">
            <v>99452</v>
          </cell>
          <cell r="ED59">
            <v>104626</v>
          </cell>
          <cell r="EE59">
            <v>111066</v>
          </cell>
          <cell r="EF59">
            <v>111066</v>
          </cell>
          <cell r="EG59">
            <v>116241</v>
          </cell>
          <cell r="EH59">
            <v>122491</v>
          </cell>
          <cell r="EI59">
            <v>128351</v>
          </cell>
          <cell r="EJ59">
            <v>134058</v>
          </cell>
          <cell r="EK59">
            <v>134058</v>
          </cell>
          <cell r="EL59">
            <v>137675</v>
          </cell>
          <cell r="EM59">
            <v>146214</v>
          </cell>
          <cell r="EN59">
            <v>154130</v>
          </cell>
          <cell r="EO59">
            <v>163892</v>
          </cell>
          <cell r="EP59">
            <v>163892</v>
          </cell>
          <cell r="EQ59">
            <v>171988</v>
          </cell>
          <cell r="ER59">
            <v>185257</v>
          </cell>
          <cell r="ES59">
            <v>196320</v>
          </cell>
          <cell r="ET59">
            <v>209949.99465863779</v>
          </cell>
          <cell r="EU59">
            <v>209949.99465863779</v>
          </cell>
          <cell r="EV59">
            <v>223644.45813104257</v>
          </cell>
          <cell r="EW59">
            <v>237368.09401898965</v>
          </cell>
          <cell r="EX59">
            <v>251017.12542309743</v>
          </cell>
          <cell r="EY59">
            <v>265073.49261674599</v>
          </cell>
          <cell r="EZ59">
            <v>265073.49261674599</v>
          </cell>
          <cell r="FA59">
            <v>279334.12525934179</v>
          </cell>
          <cell r="FB59">
            <v>292508.05702206073</v>
          </cell>
          <cell r="FC59">
            <v>305702.56312382489</v>
          </cell>
          <cell r="FD59">
            <v>319191.0780338078</v>
          </cell>
          <cell r="FE59">
            <v>319191.0780338078</v>
          </cell>
        </row>
        <row r="60">
          <cell r="B60" t="str">
            <v>Accumulated depreciation</v>
          </cell>
          <cell r="C60" t="str">
            <v>ACC_DDA</v>
          </cell>
          <cell r="D60" t="str">
            <v>USD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-45417</v>
          </cell>
          <cell r="EC60">
            <v>-47715</v>
          </cell>
          <cell r="ED60">
            <v>-49681</v>
          </cell>
          <cell r="EE60">
            <v>-51351</v>
          </cell>
          <cell r="EF60">
            <v>-51351</v>
          </cell>
          <cell r="EG60">
            <v>-52469</v>
          </cell>
          <cell r="EH60">
            <v>-55277</v>
          </cell>
          <cell r="EI60">
            <v>-58053</v>
          </cell>
          <cell r="EJ60">
            <v>-59660</v>
          </cell>
          <cell r="EK60">
            <v>-59660</v>
          </cell>
          <cell r="EL60">
            <v>-60638</v>
          </cell>
          <cell r="EM60">
            <v>-63459</v>
          </cell>
          <cell r="EN60">
            <v>-65998</v>
          </cell>
          <cell r="EO60">
            <v>-68251</v>
          </cell>
          <cell r="EP60">
            <v>-68251</v>
          </cell>
          <cell r="EQ60">
            <v>-69486</v>
          </cell>
          <cell r="ER60">
            <v>-72949</v>
          </cell>
          <cell r="ES60">
            <v>-74945</v>
          </cell>
          <cell r="ET60">
            <v>-78586.25</v>
          </cell>
          <cell r="EU60">
            <v>-78586.25</v>
          </cell>
          <cell r="EV60">
            <v>-82796.21567094911</v>
          </cell>
          <cell r="EW60">
            <v>-88639.182882737907</v>
          </cell>
          <cell r="EX60">
            <v>-94308.955668133887</v>
          </cell>
          <cell r="EY60">
            <v>-99010.200760782798</v>
          </cell>
          <cell r="EZ60">
            <v>-99010.200760782798</v>
          </cell>
          <cell r="FA60">
            <v>-104000.09632051041</v>
          </cell>
          <cell r="FB60">
            <v>-109268.56042653258</v>
          </cell>
          <cell r="FC60">
            <v>-114774.56925129933</v>
          </cell>
          <cell r="FD60">
            <v>-120511.60323517675</v>
          </cell>
          <cell r="FE60">
            <v>-120511.60323517675</v>
          </cell>
        </row>
        <row r="61">
          <cell r="B61" t="str">
            <v>Net PP&amp;E</v>
          </cell>
          <cell r="C61" t="str">
            <v>NET_FIX_ASS</v>
          </cell>
          <cell r="D61" t="str">
            <v>USD</v>
          </cell>
          <cell r="F61">
            <v>1192</v>
          </cell>
          <cell r="G61">
            <v>1265</v>
          </cell>
          <cell r="H61">
            <v>1297</v>
          </cell>
          <cell r="I61">
            <v>1281</v>
          </cell>
          <cell r="J61">
            <v>1326</v>
          </cell>
          <cell r="K61">
            <v>1326</v>
          </cell>
          <cell r="L61">
            <v>1304</v>
          </cell>
          <cell r="M61">
            <v>1322</v>
          </cell>
          <cell r="N61">
            <v>1371</v>
          </cell>
          <cell r="O61">
            <v>1465</v>
          </cell>
          <cell r="P61">
            <v>1465</v>
          </cell>
          <cell r="Q61">
            <v>1484</v>
          </cell>
          <cell r="R61">
            <v>1478</v>
          </cell>
          <cell r="S61">
            <v>1416</v>
          </cell>
          <cell r="T61">
            <v>1505</v>
          </cell>
          <cell r="U61">
            <v>1505</v>
          </cell>
          <cell r="V61">
            <v>1466</v>
          </cell>
          <cell r="W61">
            <v>1495</v>
          </cell>
          <cell r="X61">
            <v>1445</v>
          </cell>
          <cell r="Y61">
            <v>1611</v>
          </cell>
          <cell r="Z61">
            <v>1611</v>
          </cell>
          <cell r="AA61">
            <v>1657</v>
          </cell>
          <cell r="AB61">
            <v>1739</v>
          </cell>
          <cell r="AC61">
            <v>1835</v>
          </cell>
          <cell r="AD61">
            <v>1903</v>
          </cell>
          <cell r="AE61">
            <v>1903</v>
          </cell>
          <cell r="AF61">
            <v>1973</v>
          </cell>
          <cell r="AG61">
            <v>2098</v>
          </cell>
          <cell r="AH61">
            <v>2159</v>
          </cell>
          <cell r="AI61">
            <v>2309</v>
          </cell>
          <cell r="AJ61">
            <v>2309</v>
          </cell>
          <cell r="AK61">
            <v>2261</v>
          </cell>
          <cell r="AL61">
            <v>2240</v>
          </cell>
          <cell r="AM61">
            <v>2182</v>
          </cell>
          <cell r="AN61">
            <v>2268</v>
          </cell>
          <cell r="AO61">
            <v>2268</v>
          </cell>
          <cell r="AP61">
            <v>2189</v>
          </cell>
          <cell r="AQ61">
            <v>2257</v>
          </cell>
          <cell r="AR61">
            <v>2208</v>
          </cell>
          <cell r="AS61">
            <v>2223</v>
          </cell>
          <cell r="AT61">
            <v>2223</v>
          </cell>
          <cell r="AU61">
            <v>2193</v>
          </cell>
          <cell r="AV61">
            <v>2178</v>
          </cell>
          <cell r="AW61">
            <v>2258</v>
          </cell>
          <cell r="AX61">
            <v>2326</v>
          </cell>
          <cell r="AY61">
            <v>2326</v>
          </cell>
          <cell r="AZ61">
            <v>2317</v>
          </cell>
          <cell r="BA61">
            <v>2336</v>
          </cell>
          <cell r="BB61">
            <v>2321</v>
          </cell>
          <cell r="BC61">
            <v>2346</v>
          </cell>
          <cell r="BD61">
            <v>2346</v>
          </cell>
          <cell r="BE61">
            <v>2351</v>
          </cell>
          <cell r="BF61">
            <v>2452</v>
          </cell>
          <cell r="BG61">
            <v>2543</v>
          </cell>
          <cell r="BH61">
            <v>3044</v>
          </cell>
          <cell r="BI61">
            <v>3044</v>
          </cell>
          <cell r="BJ61">
            <v>3193</v>
          </cell>
          <cell r="BK61">
            <v>3686</v>
          </cell>
          <cell r="BL61">
            <v>3923</v>
          </cell>
          <cell r="BM61">
            <v>4350</v>
          </cell>
          <cell r="BN61">
            <v>4350</v>
          </cell>
          <cell r="BO61">
            <v>4615</v>
          </cell>
          <cell r="BP61">
            <v>4965</v>
          </cell>
          <cell r="BQ61">
            <v>5516</v>
          </cell>
          <cell r="BR61">
            <v>6242</v>
          </cell>
          <cell r="BS61">
            <v>6242</v>
          </cell>
          <cell r="BT61">
            <v>6552</v>
          </cell>
          <cell r="BU61">
            <v>6996</v>
          </cell>
          <cell r="BV61">
            <v>7112</v>
          </cell>
          <cell r="BW61">
            <v>7535</v>
          </cell>
          <cell r="BX61">
            <v>7535</v>
          </cell>
          <cell r="BY61">
            <v>7512</v>
          </cell>
          <cell r="BZ61">
            <v>7402</v>
          </cell>
          <cell r="CA61">
            <v>7372</v>
          </cell>
          <cell r="CB61">
            <v>7630</v>
          </cell>
          <cell r="CC61">
            <v>7630</v>
          </cell>
          <cell r="CD61">
            <v>7771</v>
          </cell>
          <cell r="CE61">
            <v>7799</v>
          </cell>
          <cell r="CF61">
            <v>7969</v>
          </cell>
          <cell r="CG61">
            <v>8162</v>
          </cell>
          <cell r="CH61">
            <v>8162</v>
          </cell>
          <cell r="CI61">
            <v>8033</v>
          </cell>
          <cell r="CJ61">
            <v>8010</v>
          </cell>
          <cell r="CK61">
            <v>8225</v>
          </cell>
          <cell r="CL61">
            <v>8269</v>
          </cell>
          <cell r="CM61">
            <v>8269</v>
          </cell>
          <cell r="CN61">
            <v>8329</v>
          </cell>
          <cell r="CO61">
            <v>8698</v>
          </cell>
          <cell r="CP61">
            <v>9204</v>
          </cell>
          <cell r="CQ61">
            <v>9991</v>
          </cell>
          <cell r="CR61">
            <v>9991</v>
          </cell>
          <cell r="CS61">
            <v>10774</v>
          </cell>
          <cell r="CT61">
            <v>11567</v>
          </cell>
          <cell r="CU61">
            <v>11771</v>
          </cell>
          <cell r="CV61">
            <v>13011</v>
          </cell>
          <cell r="CW61">
            <v>13011</v>
          </cell>
          <cell r="CX61">
            <v>13229</v>
          </cell>
          <cell r="CY61">
            <v>13607</v>
          </cell>
          <cell r="CZ61">
            <v>14375</v>
          </cell>
          <cell r="DA61">
            <v>14731</v>
          </cell>
          <cell r="DB61">
            <v>14731</v>
          </cell>
          <cell r="DC61">
            <v>15046</v>
          </cell>
          <cell r="DD61">
            <v>15789</v>
          </cell>
          <cell r="DE61">
            <v>16831</v>
          </cell>
          <cell r="DF61">
            <v>18356</v>
          </cell>
          <cell r="DG61">
            <v>18356</v>
          </cell>
          <cell r="DH61">
            <v>19224</v>
          </cell>
          <cell r="DI61">
            <v>21379</v>
          </cell>
          <cell r="DJ61">
            <v>21962</v>
          </cell>
          <cell r="DK61">
            <v>23734</v>
          </cell>
          <cell r="DL61">
            <v>23734</v>
          </cell>
          <cell r="DM61">
            <v>24809</v>
          </cell>
          <cell r="DN61">
            <v>26304</v>
          </cell>
          <cell r="DO61">
            <v>27929</v>
          </cell>
          <cell r="DP61">
            <v>29460</v>
          </cell>
          <cell r="DQ61">
            <v>29460</v>
          </cell>
          <cell r="DR61">
            <v>31430</v>
          </cell>
          <cell r="DS61">
            <v>32717</v>
          </cell>
          <cell r="DT61">
            <v>33648</v>
          </cell>
          <cell r="DU61">
            <v>36477</v>
          </cell>
          <cell r="DV61">
            <v>36477</v>
          </cell>
          <cell r="DW61">
            <v>38409</v>
          </cell>
          <cell r="DX61">
            <v>40522</v>
          </cell>
          <cell r="DY61">
            <v>41221</v>
          </cell>
          <cell r="DZ61">
            <v>44151</v>
          </cell>
          <cell r="EA61">
            <v>44151</v>
          </cell>
          <cell r="EB61">
            <v>47927</v>
          </cell>
          <cell r="EC61">
            <v>51737</v>
          </cell>
          <cell r="ED61">
            <v>54945</v>
          </cell>
          <cell r="EE61">
            <v>59715</v>
          </cell>
          <cell r="EF61">
            <v>59715</v>
          </cell>
          <cell r="EG61">
            <v>63772</v>
          </cell>
          <cell r="EH61">
            <v>67214</v>
          </cell>
          <cell r="EI61">
            <v>70298</v>
          </cell>
          <cell r="EJ61">
            <v>74398</v>
          </cell>
          <cell r="EK61">
            <v>74398</v>
          </cell>
          <cell r="EL61">
            <v>77037</v>
          </cell>
          <cell r="EM61">
            <v>82755</v>
          </cell>
          <cell r="EN61">
            <v>88132</v>
          </cell>
          <cell r="EO61">
            <v>95641</v>
          </cell>
          <cell r="EP61">
            <v>95641</v>
          </cell>
          <cell r="EQ61">
            <v>102502</v>
          </cell>
          <cell r="ER61">
            <v>112308</v>
          </cell>
          <cell r="ES61">
            <v>121375</v>
          </cell>
          <cell r="ET61">
            <v>131363.74465863779</v>
          </cell>
          <cell r="EU61">
            <v>131363.74465863779</v>
          </cell>
          <cell r="EV61">
            <v>140848.24246009346</v>
          </cell>
          <cell r="EW61">
            <v>148728.91113625173</v>
          </cell>
          <cell r="EX61">
            <v>156708.16975496354</v>
          </cell>
          <cell r="EY61">
            <v>166063.29185596318</v>
          </cell>
          <cell r="EZ61">
            <v>166063.29185596318</v>
          </cell>
          <cell r="FA61">
            <v>175334.02893883141</v>
          </cell>
          <cell r="FB61">
            <v>183239.49659552812</v>
          </cell>
          <cell r="FC61">
            <v>190927.99387252558</v>
          </cell>
          <cell r="FD61">
            <v>198679.47479863104</v>
          </cell>
          <cell r="FE61">
            <v>198679.47479863104</v>
          </cell>
        </row>
        <row r="62">
          <cell r="B62" t="str">
            <v>Gross intangibles</v>
          </cell>
          <cell r="C62" t="str">
            <v>GR_INTANG</v>
          </cell>
          <cell r="D62" t="str">
            <v>USD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1905</v>
          </cell>
          <cell r="AL62">
            <v>1855</v>
          </cell>
          <cell r="AM62">
            <v>1710</v>
          </cell>
          <cell r="AN62">
            <v>1669</v>
          </cell>
          <cell r="AO62">
            <v>1669</v>
          </cell>
          <cell r="AP62">
            <v>3497</v>
          </cell>
          <cell r="AQ62">
            <v>3364</v>
          </cell>
          <cell r="AR62">
            <v>3357</v>
          </cell>
          <cell r="AS62">
            <v>3512</v>
          </cell>
          <cell r="AT62">
            <v>3512</v>
          </cell>
          <cell r="AU62">
            <v>3506</v>
          </cell>
          <cell r="AV62">
            <v>3455</v>
          </cell>
          <cell r="AW62">
            <v>3709</v>
          </cell>
          <cell r="AX62">
            <v>3684</v>
          </cell>
          <cell r="AY62">
            <v>3684</v>
          </cell>
          <cell r="AZ62">
            <v>3649</v>
          </cell>
          <cell r="BA62">
            <v>3599</v>
          </cell>
          <cell r="BB62">
            <v>3579</v>
          </cell>
          <cell r="BC62">
            <v>3808</v>
          </cell>
          <cell r="BD62">
            <v>3808</v>
          </cell>
          <cell r="BE62">
            <v>4006</v>
          </cell>
          <cell r="BF62">
            <v>4019</v>
          </cell>
          <cell r="BG62">
            <v>4070</v>
          </cell>
          <cell r="BH62">
            <v>4405</v>
          </cell>
          <cell r="BI62">
            <v>4405</v>
          </cell>
          <cell r="BJ62">
            <v>4873</v>
          </cell>
          <cell r="BK62">
            <v>4934</v>
          </cell>
          <cell r="BL62">
            <v>4916</v>
          </cell>
          <cell r="BM62">
            <v>5638</v>
          </cell>
          <cell r="BN62">
            <v>5638</v>
          </cell>
          <cell r="BO62">
            <v>11869</v>
          </cell>
          <cell r="BP62">
            <v>12026</v>
          </cell>
          <cell r="BQ62">
            <v>11985</v>
          </cell>
          <cell r="BR62">
            <v>14081</v>
          </cell>
          <cell r="BS62">
            <v>14081</v>
          </cell>
          <cell r="BT62">
            <v>14190</v>
          </cell>
          <cell r="BU62">
            <v>14305</v>
          </cell>
          <cell r="BV62">
            <v>14310</v>
          </cell>
          <cell r="BW62">
            <v>14262</v>
          </cell>
          <cell r="BX62">
            <v>14262</v>
          </cell>
          <cell r="BY62">
            <v>14235</v>
          </cell>
          <cell r="BZ62">
            <v>13714</v>
          </cell>
          <cell r="CA62">
            <v>13745</v>
          </cell>
          <cell r="CB62">
            <v>13552</v>
          </cell>
          <cell r="CC62">
            <v>13552</v>
          </cell>
          <cell r="CD62">
            <v>13548</v>
          </cell>
          <cell r="CE62">
            <v>13494</v>
          </cell>
          <cell r="CF62">
            <v>13394</v>
          </cell>
          <cell r="CG62">
            <v>13325</v>
          </cell>
          <cell r="CH62">
            <v>13325</v>
          </cell>
          <cell r="CI62">
            <v>13563</v>
          </cell>
          <cell r="CJ62">
            <v>22251</v>
          </cell>
          <cell r="CK62">
            <v>22454</v>
          </cell>
          <cell r="CL62">
            <v>16622</v>
          </cell>
          <cell r="CM62">
            <v>16622</v>
          </cell>
          <cell r="CN62">
            <v>17889</v>
          </cell>
          <cell r="CO62">
            <v>18068</v>
          </cell>
          <cell r="CP62">
            <v>17922</v>
          </cell>
          <cell r="CQ62">
            <v>17738</v>
          </cell>
          <cell r="CR62">
            <v>17738</v>
          </cell>
          <cell r="CS62">
            <v>17649</v>
          </cell>
          <cell r="CT62">
            <v>17625</v>
          </cell>
          <cell r="CU62">
            <v>17652</v>
          </cell>
          <cell r="CV62">
            <v>27108</v>
          </cell>
          <cell r="CW62">
            <v>27108</v>
          </cell>
          <cell r="CX62">
            <v>26774</v>
          </cell>
          <cell r="CY62">
            <v>29154</v>
          </cell>
          <cell r="CZ62">
            <v>28691</v>
          </cell>
          <cell r="DA62">
            <v>21774</v>
          </cell>
          <cell r="DB62">
            <v>21774</v>
          </cell>
          <cell r="DC62">
            <v>16477</v>
          </cell>
          <cell r="DD62">
            <v>16434</v>
          </cell>
          <cell r="DE62">
            <v>17115</v>
          </cell>
          <cell r="DF62">
            <v>16238</v>
          </cell>
          <cell r="DG62">
            <v>16238</v>
          </cell>
          <cell r="DH62">
            <v>15803</v>
          </cell>
          <cell r="DI62">
            <v>40100</v>
          </cell>
          <cell r="DJ62">
            <v>39232</v>
          </cell>
          <cell r="DK62">
            <v>38667</v>
          </cell>
          <cell r="DL62">
            <v>38667</v>
          </cell>
          <cell r="DM62">
            <v>37844</v>
          </cell>
          <cell r="DN62">
            <v>37582</v>
          </cell>
          <cell r="DO62">
            <v>36754</v>
          </cell>
          <cell r="DP62">
            <v>35853</v>
          </cell>
          <cell r="DQ62">
            <v>35853</v>
          </cell>
          <cell r="DR62">
            <v>34987</v>
          </cell>
          <cell r="DS62">
            <v>41501</v>
          </cell>
          <cell r="DT62">
            <v>40990</v>
          </cell>
          <cell r="DU62">
            <v>40387</v>
          </cell>
          <cell r="DV62">
            <v>40387</v>
          </cell>
          <cell r="DW62">
            <v>39801</v>
          </cell>
          <cell r="DX62">
            <v>39374</v>
          </cell>
          <cell r="DY62">
            <v>38569</v>
          </cell>
          <cell r="DZ62">
            <v>39668</v>
          </cell>
          <cell r="EA62">
            <v>39668</v>
          </cell>
          <cell r="EB62">
            <v>39709</v>
          </cell>
          <cell r="EC62">
            <v>39422</v>
          </cell>
          <cell r="ED62">
            <v>46077</v>
          </cell>
          <cell r="EE62">
            <v>45336</v>
          </cell>
          <cell r="EF62">
            <v>45336</v>
          </cell>
          <cell r="EG62">
            <v>45636</v>
          </cell>
          <cell r="EH62">
            <v>45707</v>
          </cell>
          <cell r="EI62">
            <v>65543</v>
          </cell>
          <cell r="EJ62">
            <v>66543</v>
          </cell>
          <cell r="EK62">
            <v>66543</v>
          </cell>
          <cell r="EL62">
            <v>65361</v>
          </cell>
          <cell r="EM62">
            <v>65205</v>
          </cell>
          <cell r="EN62">
            <v>64210</v>
          </cell>
          <cell r="EO62">
            <v>63128</v>
          </cell>
          <cell r="EP62">
            <v>63128</v>
          </cell>
          <cell r="EQ62">
            <v>61925</v>
          </cell>
          <cell r="ER62">
            <v>132772</v>
          </cell>
          <cell r="ES62">
            <v>132450</v>
          </cell>
          <cell r="ET62">
            <v>129542</v>
          </cell>
          <cell r="EU62">
            <v>129542</v>
          </cell>
          <cell r="EV62">
            <v>126612</v>
          </cell>
          <cell r="EW62">
            <v>123682</v>
          </cell>
          <cell r="EX62">
            <v>120752</v>
          </cell>
          <cell r="EY62">
            <v>117822</v>
          </cell>
          <cell r="EZ62">
            <v>117822</v>
          </cell>
          <cell r="FA62">
            <v>115604</v>
          </cell>
          <cell r="FB62">
            <v>113386</v>
          </cell>
          <cell r="FC62">
            <v>111168</v>
          </cell>
          <cell r="FD62">
            <v>108950</v>
          </cell>
          <cell r="FE62">
            <v>108950</v>
          </cell>
        </row>
        <row r="63">
          <cell r="B63" t="str">
            <v>Accumulated amortization</v>
          </cell>
          <cell r="C63" t="str">
            <v>ACC_AMORT</v>
          </cell>
          <cell r="D63" t="str">
            <v>USD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5410</v>
          </cell>
          <cell r="DD63">
            <v>5621</v>
          </cell>
          <cell r="DE63">
            <v>5292</v>
          </cell>
          <cell r="DF63">
            <v>5367</v>
          </cell>
          <cell r="DG63">
            <v>5367</v>
          </cell>
          <cell r="DH63">
            <v>5626</v>
          </cell>
          <cell r="DI63">
            <v>5425</v>
          </cell>
          <cell r="DJ63">
            <v>5983</v>
          </cell>
          <cell r="DK63">
            <v>6561</v>
          </cell>
          <cell r="DL63">
            <v>6561</v>
          </cell>
          <cell r="DM63">
            <v>7143</v>
          </cell>
          <cell r="DN63">
            <v>6807</v>
          </cell>
          <cell r="DO63">
            <v>7372</v>
          </cell>
          <cell r="DP63">
            <v>7883</v>
          </cell>
          <cell r="DQ63">
            <v>7883</v>
          </cell>
          <cell r="DR63">
            <v>8447</v>
          </cell>
          <cell r="DS63">
            <v>8558</v>
          </cell>
          <cell r="DT63">
            <v>8974</v>
          </cell>
          <cell r="DU63">
            <v>9389</v>
          </cell>
          <cell r="DV63">
            <v>9389</v>
          </cell>
          <cell r="DW63">
            <v>9820</v>
          </cell>
          <cell r="DX63">
            <v>10000</v>
          </cell>
          <cell r="DY63">
            <v>10350</v>
          </cell>
          <cell r="DZ63">
            <v>10721</v>
          </cell>
          <cell r="EA63">
            <v>10721</v>
          </cell>
          <cell r="EB63">
            <v>11104</v>
          </cell>
          <cell r="EC63">
            <v>11352</v>
          </cell>
          <cell r="ED63">
            <v>11748</v>
          </cell>
          <cell r="EE63">
            <v>12175</v>
          </cell>
          <cell r="EF63">
            <v>12175</v>
          </cell>
          <cell r="EG63">
            <v>12613</v>
          </cell>
          <cell r="EH63">
            <v>12676</v>
          </cell>
          <cell r="EI63">
            <v>13176</v>
          </cell>
          <cell r="EJ63">
            <v>12279</v>
          </cell>
          <cell r="EK63">
            <v>12279</v>
          </cell>
          <cell r="EL63">
            <v>12906</v>
          </cell>
          <cell r="EM63">
            <v>13054</v>
          </cell>
          <cell r="EN63">
            <v>13609</v>
          </cell>
          <cell r="EO63">
            <v>14124</v>
          </cell>
          <cell r="EP63">
            <v>14124</v>
          </cell>
          <cell r="EQ63">
            <v>14760</v>
          </cell>
          <cell r="ER63">
            <v>16055</v>
          </cell>
          <cell r="ES63">
            <v>15541</v>
          </cell>
          <cell r="ET63">
            <v>16995</v>
          </cell>
          <cell r="EU63">
            <v>16995</v>
          </cell>
          <cell r="EV63">
            <v>18460</v>
          </cell>
          <cell r="EW63">
            <v>19925</v>
          </cell>
          <cell r="EX63">
            <v>21390</v>
          </cell>
          <cell r="EY63">
            <v>22855</v>
          </cell>
          <cell r="EZ63">
            <v>22855</v>
          </cell>
          <cell r="FA63">
            <v>23964</v>
          </cell>
          <cell r="FB63">
            <v>25073</v>
          </cell>
          <cell r="FC63">
            <v>26182</v>
          </cell>
          <cell r="FD63">
            <v>27291</v>
          </cell>
          <cell r="FE63">
            <v>27291</v>
          </cell>
        </row>
        <row r="64">
          <cell r="B64" t="str">
            <v>Net intangible assets</v>
          </cell>
          <cell r="C64" t="str">
            <v>NET_INTANG</v>
          </cell>
          <cell r="D64" t="str">
            <v>USD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1905</v>
          </cell>
          <cell r="AL64">
            <v>1855</v>
          </cell>
          <cell r="AM64">
            <v>1710</v>
          </cell>
          <cell r="AN64">
            <v>1669</v>
          </cell>
          <cell r="AO64">
            <v>1669</v>
          </cell>
          <cell r="AP64">
            <v>3497</v>
          </cell>
          <cell r="AQ64">
            <v>3364</v>
          </cell>
          <cell r="AR64">
            <v>3357</v>
          </cell>
          <cell r="AS64">
            <v>3512</v>
          </cell>
          <cell r="AT64">
            <v>3512</v>
          </cell>
          <cell r="AU64">
            <v>3506</v>
          </cell>
          <cell r="AV64">
            <v>3455</v>
          </cell>
          <cell r="AW64">
            <v>3709</v>
          </cell>
          <cell r="AX64">
            <v>3684</v>
          </cell>
          <cell r="AY64">
            <v>3684</v>
          </cell>
          <cell r="AZ64">
            <v>3649</v>
          </cell>
          <cell r="BA64">
            <v>3599</v>
          </cell>
          <cell r="BB64">
            <v>3579</v>
          </cell>
          <cell r="BC64">
            <v>3808</v>
          </cell>
          <cell r="BD64">
            <v>3808</v>
          </cell>
          <cell r="BE64">
            <v>4006</v>
          </cell>
          <cell r="BF64">
            <v>4019</v>
          </cell>
          <cell r="BG64">
            <v>4070</v>
          </cell>
          <cell r="BH64">
            <v>4405</v>
          </cell>
          <cell r="BI64">
            <v>4405</v>
          </cell>
          <cell r="BJ64">
            <v>4873</v>
          </cell>
          <cell r="BK64">
            <v>4934</v>
          </cell>
          <cell r="BL64">
            <v>4916</v>
          </cell>
          <cell r="BM64">
            <v>5638</v>
          </cell>
          <cell r="BN64">
            <v>5638</v>
          </cell>
          <cell r="BO64">
            <v>11869</v>
          </cell>
          <cell r="BP64">
            <v>12026</v>
          </cell>
          <cell r="BQ64">
            <v>11985</v>
          </cell>
          <cell r="BR64">
            <v>14081</v>
          </cell>
          <cell r="BS64">
            <v>14081</v>
          </cell>
          <cell r="BT64">
            <v>14190</v>
          </cell>
          <cell r="BU64">
            <v>14305</v>
          </cell>
          <cell r="BV64">
            <v>14310</v>
          </cell>
          <cell r="BW64">
            <v>14262</v>
          </cell>
          <cell r="BX64">
            <v>14262</v>
          </cell>
          <cell r="BY64">
            <v>14235</v>
          </cell>
          <cell r="BZ64">
            <v>13714</v>
          </cell>
          <cell r="CA64">
            <v>13745</v>
          </cell>
          <cell r="CB64">
            <v>13552</v>
          </cell>
          <cell r="CC64">
            <v>13552</v>
          </cell>
          <cell r="CD64">
            <v>13548</v>
          </cell>
          <cell r="CE64">
            <v>13494</v>
          </cell>
          <cell r="CF64">
            <v>13394</v>
          </cell>
          <cell r="CG64">
            <v>13325</v>
          </cell>
          <cell r="CH64">
            <v>13325</v>
          </cell>
          <cell r="CI64">
            <v>13563</v>
          </cell>
          <cell r="CJ64">
            <v>22251</v>
          </cell>
          <cell r="CK64">
            <v>22454</v>
          </cell>
          <cell r="CL64">
            <v>16622</v>
          </cell>
          <cell r="CM64">
            <v>16622</v>
          </cell>
          <cell r="CN64">
            <v>17889</v>
          </cell>
          <cell r="CO64">
            <v>18068</v>
          </cell>
          <cell r="CP64">
            <v>17922</v>
          </cell>
          <cell r="CQ64">
            <v>17738</v>
          </cell>
          <cell r="CR64">
            <v>17738</v>
          </cell>
          <cell r="CS64">
            <v>17649</v>
          </cell>
          <cell r="CT64">
            <v>17625</v>
          </cell>
          <cell r="CU64">
            <v>17652</v>
          </cell>
          <cell r="CV64">
            <v>27108</v>
          </cell>
          <cell r="CW64">
            <v>27108</v>
          </cell>
          <cell r="CX64">
            <v>26774</v>
          </cell>
          <cell r="CY64">
            <v>29154</v>
          </cell>
          <cell r="CZ64">
            <v>28691</v>
          </cell>
          <cell r="DA64">
            <v>21774</v>
          </cell>
          <cell r="DB64">
            <v>21774</v>
          </cell>
          <cell r="DC64">
            <v>21887</v>
          </cell>
          <cell r="DD64">
            <v>22055</v>
          </cell>
          <cell r="DE64">
            <v>22407</v>
          </cell>
          <cell r="DF64">
            <v>21605</v>
          </cell>
          <cell r="DG64">
            <v>21605</v>
          </cell>
          <cell r="DH64">
            <v>21429</v>
          </cell>
          <cell r="DI64">
            <v>45525</v>
          </cell>
          <cell r="DJ64">
            <v>45215</v>
          </cell>
          <cell r="DK64">
            <v>45228</v>
          </cell>
          <cell r="DL64">
            <v>45228</v>
          </cell>
          <cell r="DM64">
            <v>44987</v>
          </cell>
          <cell r="DN64">
            <v>44389</v>
          </cell>
          <cell r="DO64">
            <v>44126</v>
          </cell>
          <cell r="DP64">
            <v>43736</v>
          </cell>
          <cell r="DQ64">
            <v>43736</v>
          </cell>
          <cell r="DR64">
            <v>43434</v>
          </cell>
          <cell r="DS64">
            <v>50059</v>
          </cell>
          <cell r="DT64">
            <v>49964</v>
          </cell>
          <cell r="DU64">
            <v>49776</v>
          </cell>
          <cell r="DV64">
            <v>49776</v>
          </cell>
          <cell r="DW64">
            <v>49621</v>
          </cell>
          <cell r="DX64">
            <v>49374</v>
          </cell>
          <cell r="DY64">
            <v>48919</v>
          </cell>
          <cell r="DZ64">
            <v>50389</v>
          </cell>
          <cell r="EA64">
            <v>50389</v>
          </cell>
          <cell r="EB64">
            <v>50813</v>
          </cell>
          <cell r="EC64">
            <v>50774</v>
          </cell>
          <cell r="ED64">
            <v>57825</v>
          </cell>
          <cell r="EE64">
            <v>57511</v>
          </cell>
          <cell r="EF64">
            <v>57511</v>
          </cell>
          <cell r="EG64">
            <v>58249</v>
          </cell>
          <cell r="EH64">
            <v>58383</v>
          </cell>
          <cell r="EI64">
            <v>78719</v>
          </cell>
          <cell r="EJ64">
            <v>78822</v>
          </cell>
          <cell r="EK64">
            <v>78822</v>
          </cell>
          <cell r="EL64">
            <v>78267</v>
          </cell>
          <cell r="EM64">
            <v>78259</v>
          </cell>
          <cell r="EN64">
            <v>77819</v>
          </cell>
          <cell r="EO64">
            <v>77252</v>
          </cell>
          <cell r="EP64">
            <v>77252</v>
          </cell>
          <cell r="EQ64">
            <v>76685</v>
          </cell>
          <cell r="ER64">
            <v>148827</v>
          </cell>
          <cell r="ES64">
            <v>147991</v>
          </cell>
          <cell r="ET64">
            <v>146537</v>
          </cell>
          <cell r="EU64">
            <v>146537</v>
          </cell>
          <cell r="EV64">
            <v>145072</v>
          </cell>
          <cell r="EW64">
            <v>143607</v>
          </cell>
          <cell r="EX64">
            <v>142142</v>
          </cell>
          <cell r="EY64">
            <v>140677</v>
          </cell>
          <cell r="EZ64">
            <v>140677</v>
          </cell>
          <cell r="FA64">
            <v>139568</v>
          </cell>
          <cell r="FB64">
            <v>138459</v>
          </cell>
          <cell r="FC64">
            <v>137350</v>
          </cell>
          <cell r="FD64">
            <v>136241</v>
          </cell>
          <cell r="FE64">
            <v>136241</v>
          </cell>
        </row>
        <row r="65">
          <cell r="B65" t="str">
            <v>Equity method investments</v>
          </cell>
          <cell r="C65" t="str">
            <v>FIX_ASS_INV</v>
          </cell>
          <cell r="D65" t="str">
            <v>USD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896</v>
          </cell>
          <cell r="M65">
            <v>804</v>
          </cell>
          <cell r="N65">
            <v>819</v>
          </cell>
          <cell r="O65">
            <v>2346</v>
          </cell>
          <cell r="P65">
            <v>2346</v>
          </cell>
          <cell r="Q65">
            <v>2733</v>
          </cell>
          <cell r="R65">
            <v>3476</v>
          </cell>
          <cell r="S65">
            <v>4122</v>
          </cell>
          <cell r="T65">
            <v>4703</v>
          </cell>
          <cell r="U65">
            <v>4703</v>
          </cell>
          <cell r="V65">
            <v>4905</v>
          </cell>
          <cell r="W65">
            <v>6262</v>
          </cell>
          <cell r="X65">
            <v>7474</v>
          </cell>
          <cell r="Y65">
            <v>14372</v>
          </cell>
          <cell r="Z65">
            <v>14372</v>
          </cell>
          <cell r="AA65">
            <v>14910</v>
          </cell>
          <cell r="AB65">
            <v>19801</v>
          </cell>
          <cell r="AC65">
            <v>21322</v>
          </cell>
          <cell r="AD65">
            <v>17726</v>
          </cell>
          <cell r="AE65">
            <v>17726</v>
          </cell>
          <cell r="AF65">
            <v>20525</v>
          </cell>
          <cell r="AG65">
            <v>18281</v>
          </cell>
          <cell r="AH65">
            <v>17463</v>
          </cell>
          <cell r="AI65">
            <v>14141</v>
          </cell>
          <cell r="AJ65">
            <v>14141</v>
          </cell>
          <cell r="AK65">
            <v>12035</v>
          </cell>
          <cell r="AL65">
            <v>12212</v>
          </cell>
          <cell r="AM65">
            <v>15694</v>
          </cell>
          <cell r="AN65">
            <v>14191</v>
          </cell>
          <cell r="AO65">
            <v>14191</v>
          </cell>
          <cell r="AP65">
            <v>13580</v>
          </cell>
          <cell r="AQ65">
            <v>12647</v>
          </cell>
          <cell r="AR65">
            <v>13052</v>
          </cell>
          <cell r="AS65">
            <v>13692</v>
          </cell>
          <cell r="AT65">
            <v>13692</v>
          </cell>
          <cell r="AU65">
            <v>13962</v>
          </cell>
          <cell r="AV65">
            <v>14901</v>
          </cell>
          <cell r="AW65">
            <v>15155</v>
          </cell>
          <cell r="AX65">
            <v>12210</v>
          </cell>
          <cell r="AY65">
            <v>12210</v>
          </cell>
          <cell r="AZ65">
            <v>12185</v>
          </cell>
          <cell r="BA65">
            <v>12160</v>
          </cell>
          <cell r="BB65">
            <v>11772</v>
          </cell>
          <cell r="BC65">
            <v>11004</v>
          </cell>
          <cell r="BD65">
            <v>11004</v>
          </cell>
          <cell r="BE65">
            <v>10062</v>
          </cell>
          <cell r="BF65">
            <v>9095</v>
          </cell>
          <cell r="BG65">
            <v>8888</v>
          </cell>
          <cell r="BH65">
            <v>9232</v>
          </cell>
          <cell r="BI65">
            <v>9232</v>
          </cell>
          <cell r="BJ65">
            <v>8762</v>
          </cell>
          <cell r="BK65">
            <v>9631</v>
          </cell>
          <cell r="BL65">
            <v>9624</v>
          </cell>
          <cell r="BM65">
            <v>10117</v>
          </cell>
          <cell r="BN65">
            <v>10117</v>
          </cell>
          <cell r="BO65">
            <v>9707</v>
          </cell>
          <cell r="BP65">
            <v>9413</v>
          </cell>
          <cell r="BQ65">
            <v>8659</v>
          </cell>
          <cell r="BR65">
            <v>6588</v>
          </cell>
          <cell r="BS65">
            <v>6588</v>
          </cell>
          <cell r="BT65">
            <v>4381</v>
          </cell>
          <cell r="BU65">
            <v>3922</v>
          </cell>
          <cell r="BV65">
            <v>4112</v>
          </cell>
          <cell r="BW65">
            <v>4933</v>
          </cell>
          <cell r="BX65">
            <v>4933</v>
          </cell>
          <cell r="BY65">
            <v>6006</v>
          </cell>
          <cell r="BZ65">
            <v>6976</v>
          </cell>
          <cell r="CA65">
            <v>7797</v>
          </cell>
          <cell r="CB65">
            <v>7754</v>
          </cell>
          <cell r="CC65">
            <v>7754</v>
          </cell>
          <cell r="CD65">
            <v>9211</v>
          </cell>
          <cell r="CE65">
            <v>10022</v>
          </cell>
          <cell r="CF65">
            <v>10748</v>
          </cell>
          <cell r="CG65">
            <v>10865</v>
          </cell>
          <cell r="CH65">
            <v>10865</v>
          </cell>
          <cell r="CI65">
            <v>8576</v>
          </cell>
          <cell r="CJ65">
            <v>7550</v>
          </cell>
          <cell r="CK65">
            <v>9068</v>
          </cell>
          <cell r="CL65">
            <v>9776</v>
          </cell>
          <cell r="CM65">
            <v>9776</v>
          </cell>
          <cell r="CN65">
            <v>10038</v>
          </cell>
          <cell r="CO65">
            <v>10707</v>
          </cell>
          <cell r="CP65">
            <v>11193</v>
          </cell>
          <cell r="CQ65">
            <v>10844</v>
          </cell>
          <cell r="CR65">
            <v>10844</v>
          </cell>
          <cell r="CS65">
            <v>11995</v>
          </cell>
          <cell r="CT65">
            <v>14607</v>
          </cell>
          <cell r="CU65">
            <v>14792</v>
          </cell>
          <cell r="CV65">
            <v>14597</v>
          </cell>
          <cell r="CW65">
            <v>14597</v>
          </cell>
          <cell r="CX65">
            <v>13943</v>
          </cell>
          <cell r="CY65">
            <v>12665</v>
          </cell>
          <cell r="CZ65">
            <v>12019</v>
          </cell>
          <cell r="DA65">
            <v>12053</v>
          </cell>
          <cell r="DB65">
            <v>12053</v>
          </cell>
          <cell r="DC65">
            <v>11438</v>
          </cell>
          <cell r="DD65">
            <v>11514</v>
          </cell>
          <cell r="DE65">
            <v>11315</v>
          </cell>
          <cell r="DF65">
            <v>10431</v>
          </cell>
          <cell r="DG65">
            <v>10431</v>
          </cell>
          <cell r="DH65">
            <v>10486</v>
          </cell>
          <cell r="DI65">
            <v>8912</v>
          </cell>
          <cell r="DJ65">
            <v>7381</v>
          </cell>
          <cell r="DK65">
            <v>6023</v>
          </cell>
          <cell r="DL65">
            <v>6023</v>
          </cell>
          <cell r="DM65">
            <v>5343</v>
          </cell>
          <cell r="DN65">
            <v>3961</v>
          </cell>
          <cell r="DO65">
            <v>2818</v>
          </cell>
          <cell r="DP65">
            <v>1862</v>
          </cell>
          <cell r="DQ65">
            <v>1862</v>
          </cell>
          <cell r="DR65">
            <v>2034</v>
          </cell>
          <cell r="DS65">
            <v>2274</v>
          </cell>
          <cell r="DT65">
            <v>2403</v>
          </cell>
          <cell r="DU65">
            <v>2649</v>
          </cell>
          <cell r="DV65">
            <v>2649</v>
          </cell>
          <cell r="DW65">
            <v>2684</v>
          </cell>
          <cell r="DX65">
            <v>2755</v>
          </cell>
          <cell r="DY65">
            <v>2660</v>
          </cell>
          <cell r="DZ65">
            <v>2965</v>
          </cell>
          <cell r="EA65">
            <v>2965</v>
          </cell>
          <cell r="EB65">
            <v>3103</v>
          </cell>
          <cell r="EC65">
            <v>3794</v>
          </cell>
          <cell r="ED65">
            <v>5395</v>
          </cell>
          <cell r="EE65">
            <v>5984</v>
          </cell>
          <cell r="EF65">
            <v>5984</v>
          </cell>
          <cell r="EG65">
            <v>6393</v>
          </cell>
          <cell r="EH65">
            <v>6994</v>
          </cell>
          <cell r="EI65">
            <v>6907</v>
          </cell>
          <cell r="EJ65">
            <v>6891</v>
          </cell>
          <cell r="EK65">
            <v>6891</v>
          </cell>
          <cell r="EL65">
            <v>6839</v>
          </cell>
          <cell r="EM65">
            <v>7097</v>
          </cell>
          <cell r="EN65">
            <v>9415</v>
          </cell>
          <cell r="EO65">
            <v>9879</v>
          </cell>
          <cell r="EP65">
            <v>9879</v>
          </cell>
          <cell r="EQ65">
            <v>11423</v>
          </cell>
          <cell r="ER65">
            <v>13367</v>
          </cell>
          <cell r="ES65">
            <v>14807</v>
          </cell>
          <cell r="ET65">
            <v>14807</v>
          </cell>
          <cell r="EU65">
            <v>14807</v>
          </cell>
          <cell r="EV65">
            <v>14807</v>
          </cell>
          <cell r="EW65">
            <v>14807</v>
          </cell>
          <cell r="EX65">
            <v>14807</v>
          </cell>
          <cell r="EY65">
            <v>14807</v>
          </cell>
          <cell r="EZ65">
            <v>14807</v>
          </cell>
          <cell r="FA65">
            <v>14807</v>
          </cell>
          <cell r="FB65">
            <v>14807</v>
          </cell>
          <cell r="FC65">
            <v>14807</v>
          </cell>
          <cell r="FD65">
            <v>14807</v>
          </cell>
          <cell r="FE65">
            <v>14807</v>
          </cell>
        </row>
        <row r="66">
          <cell r="B66" t="str">
            <v>Investments in securities</v>
          </cell>
          <cell r="C66" t="str">
            <v>INV_SECUR</v>
          </cell>
          <cell r="D66" t="str">
            <v>USD</v>
          </cell>
        </row>
        <row r="67">
          <cell r="B67" t="str">
            <v>Other long-term assets</v>
          </cell>
          <cell r="C67" t="str">
            <v>OTH_LT_ASS</v>
          </cell>
          <cell r="D67" t="str">
            <v>USD</v>
          </cell>
          <cell r="F67">
            <v>398</v>
          </cell>
          <cell r="G67">
            <v>478</v>
          </cell>
          <cell r="H67">
            <v>706</v>
          </cell>
          <cell r="I67">
            <v>613</v>
          </cell>
          <cell r="J67">
            <v>928</v>
          </cell>
          <cell r="K67">
            <v>928</v>
          </cell>
          <cell r="L67">
            <v>308</v>
          </cell>
          <cell r="M67">
            <v>218</v>
          </cell>
          <cell r="N67">
            <v>199</v>
          </cell>
          <cell r="O67">
            <v>203</v>
          </cell>
          <cell r="P67">
            <v>203</v>
          </cell>
          <cell r="Q67">
            <v>311</v>
          </cell>
          <cell r="R67">
            <v>250</v>
          </cell>
          <cell r="S67">
            <v>272</v>
          </cell>
          <cell r="T67">
            <v>260</v>
          </cell>
          <cell r="U67">
            <v>260</v>
          </cell>
          <cell r="V67">
            <v>234</v>
          </cell>
          <cell r="W67">
            <v>483</v>
          </cell>
          <cell r="X67">
            <v>584</v>
          </cell>
          <cell r="Y67">
            <v>940</v>
          </cell>
          <cell r="Z67">
            <v>940</v>
          </cell>
          <cell r="AA67">
            <v>1142</v>
          </cell>
          <cell r="AB67">
            <v>1533</v>
          </cell>
          <cell r="AC67">
            <v>2521</v>
          </cell>
          <cell r="AD67">
            <v>2213</v>
          </cell>
          <cell r="AE67">
            <v>2213</v>
          </cell>
          <cell r="AF67">
            <v>2198</v>
          </cell>
          <cell r="AG67">
            <v>2296</v>
          </cell>
          <cell r="AH67">
            <v>2194</v>
          </cell>
          <cell r="AI67">
            <v>3170</v>
          </cell>
          <cell r="AJ67">
            <v>3170</v>
          </cell>
          <cell r="AK67">
            <v>834</v>
          </cell>
          <cell r="AL67">
            <v>1092</v>
          </cell>
          <cell r="AM67">
            <v>966</v>
          </cell>
          <cell r="AN67">
            <v>942</v>
          </cell>
          <cell r="AO67">
            <v>942</v>
          </cell>
          <cell r="AP67">
            <v>926</v>
          </cell>
          <cell r="AQ67">
            <v>1160</v>
          </cell>
          <cell r="AR67">
            <v>1193</v>
          </cell>
          <cell r="AS67">
            <v>1171</v>
          </cell>
          <cell r="AT67">
            <v>1171</v>
          </cell>
          <cell r="AU67">
            <v>3710</v>
          </cell>
          <cell r="AV67">
            <v>3003</v>
          </cell>
          <cell r="AW67">
            <v>3375</v>
          </cell>
          <cell r="AX67">
            <v>5582</v>
          </cell>
          <cell r="AY67">
            <v>5582</v>
          </cell>
          <cell r="AZ67">
            <v>3221</v>
          </cell>
          <cell r="BA67">
            <v>2447</v>
          </cell>
          <cell r="BB67">
            <v>2010</v>
          </cell>
          <cell r="BC67">
            <v>4920</v>
          </cell>
          <cell r="BD67">
            <v>4920</v>
          </cell>
          <cell r="BE67">
            <v>5212</v>
          </cell>
          <cell r="BF67">
            <v>4997</v>
          </cell>
          <cell r="BG67">
            <v>4725</v>
          </cell>
          <cell r="BH67">
            <v>3906</v>
          </cell>
          <cell r="BI67">
            <v>3906</v>
          </cell>
          <cell r="BJ67">
            <v>3168</v>
          </cell>
          <cell r="BK67">
            <v>2940</v>
          </cell>
          <cell r="BL67">
            <v>2645</v>
          </cell>
          <cell r="BM67">
            <v>2898</v>
          </cell>
          <cell r="BN67">
            <v>2898</v>
          </cell>
          <cell r="BO67">
            <v>3601</v>
          </cell>
          <cell r="BP67">
            <v>3160</v>
          </cell>
          <cell r="BQ67">
            <v>3098</v>
          </cell>
          <cell r="BR67">
            <v>2640</v>
          </cell>
          <cell r="BS67">
            <v>2640</v>
          </cell>
          <cell r="BT67">
            <v>2792</v>
          </cell>
          <cell r="BU67">
            <v>2833</v>
          </cell>
          <cell r="BV67">
            <v>2595</v>
          </cell>
          <cell r="BW67">
            <v>1878</v>
          </cell>
          <cell r="BX67">
            <v>1878</v>
          </cell>
          <cell r="BY67">
            <v>1628</v>
          </cell>
          <cell r="BZ67">
            <v>1517</v>
          </cell>
          <cell r="CA67">
            <v>1478</v>
          </cell>
          <cell r="CB67">
            <v>1501</v>
          </cell>
          <cell r="CC67">
            <v>1501</v>
          </cell>
          <cell r="CD67">
            <v>1429</v>
          </cell>
          <cell r="CE67">
            <v>1307</v>
          </cell>
          <cell r="CF67">
            <v>1353</v>
          </cell>
          <cell r="CG67">
            <v>1434</v>
          </cell>
          <cell r="CH67">
            <v>1434</v>
          </cell>
          <cell r="CI67">
            <v>1972</v>
          </cell>
          <cell r="CJ67">
            <v>1919</v>
          </cell>
          <cell r="CK67">
            <v>1403</v>
          </cell>
          <cell r="CL67">
            <v>1520</v>
          </cell>
          <cell r="CM67">
            <v>1520</v>
          </cell>
          <cell r="CN67">
            <v>1569</v>
          </cell>
          <cell r="CO67">
            <v>1636</v>
          </cell>
          <cell r="CP67">
            <v>2262</v>
          </cell>
          <cell r="CQ67">
            <v>2392</v>
          </cell>
          <cell r="CR67">
            <v>2392</v>
          </cell>
          <cell r="CS67">
            <v>2480</v>
          </cell>
          <cell r="CT67">
            <v>2874</v>
          </cell>
          <cell r="CU67">
            <v>2898</v>
          </cell>
          <cell r="CV67">
            <v>3422</v>
          </cell>
          <cell r="CW67">
            <v>3422</v>
          </cell>
          <cell r="CX67">
            <v>3271</v>
          </cell>
          <cell r="CY67">
            <v>3060</v>
          </cell>
          <cell r="CZ67">
            <v>3200</v>
          </cell>
          <cell r="DA67">
            <v>2953</v>
          </cell>
          <cell r="DB67">
            <v>2953</v>
          </cell>
          <cell r="DC67">
            <v>2869</v>
          </cell>
          <cell r="DD67">
            <v>2928</v>
          </cell>
          <cell r="DE67">
            <v>2895</v>
          </cell>
          <cell r="DF67">
            <v>3642</v>
          </cell>
          <cell r="DG67">
            <v>3642</v>
          </cell>
          <cell r="DH67">
            <v>5227</v>
          </cell>
          <cell r="DI67">
            <v>5592</v>
          </cell>
          <cell r="DJ67">
            <v>5767</v>
          </cell>
          <cell r="DK67">
            <v>6076</v>
          </cell>
          <cell r="DL67">
            <v>6076</v>
          </cell>
          <cell r="DM67">
            <v>6083</v>
          </cell>
          <cell r="DN67">
            <v>6967</v>
          </cell>
          <cell r="DO67">
            <v>7106</v>
          </cell>
          <cell r="DP67">
            <v>7442</v>
          </cell>
          <cell r="DQ67">
            <v>7442</v>
          </cell>
          <cell r="DR67">
            <v>9792</v>
          </cell>
          <cell r="DS67">
            <v>10129</v>
          </cell>
          <cell r="DT67">
            <v>10258</v>
          </cell>
          <cell r="DU67">
            <v>14723</v>
          </cell>
          <cell r="DV67">
            <v>14723</v>
          </cell>
          <cell r="DW67">
            <v>14455</v>
          </cell>
          <cell r="DX67">
            <v>14630</v>
          </cell>
          <cell r="DY67">
            <v>13696</v>
          </cell>
          <cell r="DZ67">
            <v>13138</v>
          </cell>
          <cell r="EA67">
            <v>13138</v>
          </cell>
          <cell r="EB67">
            <v>13034</v>
          </cell>
          <cell r="EC67">
            <v>13561</v>
          </cell>
          <cell r="ED67">
            <v>14427</v>
          </cell>
          <cell r="EE67">
            <v>15075</v>
          </cell>
          <cell r="EF67">
            <v>15075</v>
          </cell>
          <cell r="EG67">
            <v>21103</v>
          </cell>
          <cell r="EH67">
            <v>21256</v>
          </cell>
          <cell r="EI67">
            <v>21845</v>
          </cell>
          <cell r="EJ67">
            <v>21897</v>
          </cell>
          <cell r="EK67">
            <v>21897</v>
          </cell>
          <cell r="EL67">
            <v>23482</v>
          </cell>
          <cell r="EM67">
            <v>24994</v>
          </cell>
          <cell r="EN67">
            <v>26954</v>
          </cell>
          <cell r="EO67">
            <v>30601</v>
          </cell>
          <cell r="EP67">
            <v>30601</v>
          </cell>
          <cell r="EQ67">
            <v>32154</v>
          </cell>
          <cell r="ER67">
            <v>32265</v>
          </cell>
          <cell r="ES67">
            <v>35551</v>
          </cell>
          <cell r="ET67">
            <v>34698.615713652871</v>
          </cell>
          <cell r="EU67">
            <v>34698.615713652871</v>
          </cell>
          <cell r="EV67">
            <v>34992.077439049164</v>
          </cell>
          <cell r="EW67">
            <v>36612.929817892626</v>
          </cell>
          <cell r="EX67">
            <v>39027.753267587708</v>
          </cell>
          <cell r="EY67">
            <v>42140.128841376187</v>
          </cell>
          <cell r="EZ67">
            <v>42140.128841376187</v>
          </cell>
          <cell r="FA67">
            <v>40449.62128192246</v>
          </cell>
          <cell r="FB67">
            <v>43133.481211593644</v>
          </cell>
          <cell r="FC67">
            <v>44359.091374963376</v>
          </cell>
          <cell r="FD67">
            <v>48019.819144684843</v>
          </cell>
          <cell r="FE67">
            <v>48019.819144684843</v>
          </cell>
        </row>
        <row r="68">
          <cell r="B68" t="str">
            <v>Total assets</v>
          </cell>
          <cell r="C68" t="str">
            <v>TOT_ASSET</v>
          </cell>
          <cell r="D68" t="str">
            <v>USD</v>
          </cell>
          <cell r="F68">
            <v>7210</v>
          </cell>
          <cell r="G68">
            <v>8160</v>
          </cell>
          <cell r="H68">
            <v>9106</v>
          </cell>
          <cell r="I68">
            <v>9590</v>
          </cell>
          <cell r="J68">
            <v>10093</v>
          </cell>
          <cell r="K68">
            <v>10093</v>
          </cell>
          <cell r="L68">
            <v>10740</v>
          </cell>
          <cell r="M68">
            <v>12786</v>
          </cell>
          <cell r="N68">
            <v>12613</v>
          </cell>
          <cell r="O68">
            <v>14387</v>
          </cell>
          <cell r="P68">
            <v>14387</v>
          </cell>
          <cell r="Q68">
            <v>15366</v>
          </cell>
          <cell r="R68">
            <v>16840</v>
          </cell>
          <cell r="S68">
            <v>19545</v>
          </cell>
          <cell r="T68">
            <v>22357</v>
          </cell>
          <cell r="U68">
            <v>22357</v>
          </cell>
          <cell r="V68">
            <v>25569</v>
          </cell>
          <cell r="W68">
            <v>30049</v>
          </cell>
          <cell r="X68">
            <v>33561</v>
          </cell>
          <cell r="Y68">
            <v>37156</v>
          </cell>
          <cell r="Z68">
            <v>37156</v>
          </cell>
          <cell r="AA68">
            <v>39672</v>
          </cell>
          <cell r="AB68">
            <v>45093</v>
          </cell>
          <cell r="AC68">
            <v>50895</v>
          </cell>
          <cell r="AD68">
            <v>50442</v>
          </cell>
          <cell r="AE68">
            <v>50442</v>
          </cell>
          <cell r="AF68">
            <v>56089</v>
          </cell>
          <cell r="AG68">
            <v>57691</v>
          </cell>
          <cell r="AH68">
            <v>59605</v>
          </cell>
          <cell r="AI68">
            <v>59257</v>
          </cell>
          <cell r="AJ68">
            <v>59257</v>
          </cell>
          <cell r="AK68">
            <v>61367</v>
          </cell>
          <cell r="AL68">
            <v>65387</v>
          </cell>
          <cell r="AM68">
            <v>68379</v>
          </cell>
          <cell r="AN68">
            <v>67646</v>
          </cell>
          <cell r="AO68">
            <v>67646</v>
          </cell>
          <cell r="AP68">
            <v>70235</v>
          </cell>
          <cell r="AQ68">
            <v>72359</v>
          </cell>
          <cell r="AR68">
            <v>74482</v>
          </cell>
          <cell r="AS68">
            <v>79571</v>
          </cell>
          <cell r="AT68">
            <v>79571</v>
          </cell>
          <cell r="AU68">
            <v>84281</v>
          </cell>
          <cell r="AV68">
            <v>85937</v>
          </cell>
          <cell r="AW68">
            <v>89767</v>
          </cell>
          <cell r="AX68">
            <v>94368</v>
          </cell>
          <cell r="AY68">
            <v>94368</v>
          </cell>
          <cell r="AZ68">
            <v>94268</v>
          </cell>
          <cell r="BA68">
            <v>64941</v>
          </cell>
          <cell r="BB68">
            <v>66275</v>
          </cell>
          <cell r="BC68">
            <v>70815</v>
          </cell>
          <cell r="BD68">
            <v>70815</v>
          </cell>
          <cell r="BE68">
            <v>71462</v>
          </cell>
          <cell r="BF68">
            <v>67257</v>
          </cell>
          <cell r="BG68">
            <v>66854</v>
          </cell>
          <cell r="BH68">
            <v>69597</v>
          </cell>
          <cell r="BI68">
            <v>69597</v>
          </cell>
          <cell r="BJ68">
            <v>65354</v>
          </cell>
          <cell r="BK68">
            <v>66371</v>
          </cell>
          <cell r="BL68">
            <v>63891</v>
          </cell>
          <cell r="BM68">
            <v>63171</v>
          </cell>
          <cell r="BN68">
            <v>63171</v>
          </cell>
          <cell r="BO68">
            <v>65645</v>
          </cell>
          <cell r="BP68">
            <v>67339</v>
          </cell>
          <cell r="BQ68">
            <v>70747</v>
          </cell>
          <cell r="BR68">
            <v>72793</v>
          </cell>
          <cell r="BS68">
            <v>72793</v>
          </cell>
          <cell r="BT68">
            <v>65117</v>
          </cell>
          <cell r="BU68">
            <v>65786</v>
          </cell>
          <cell r="BV68">
            <v>68853</v>
          </cell>
          <cell r="BW68">
            <v>77888</v>
          </cell>
          <cell r="BX68">
            <v>77888</v>
          </cell>
          <cell r="BY68">
            <v>81612</v>
          </cell>
          <cell r="BZ68">
            <v>82096</v>
          </cell>
          <cell r="CA68">
            <v>84910</v>
          </cell>
          <cell r="CB68">
            <v>86113</v>
          </cell>
          <cell r="CC68">
            <v>86113</v>
          </cell>
          <cell r="CD68">
            <v>91540</v>
          </cell>
          <cell r="CE68">
            <v>92306</v>
          </cell>
          <cell r="CF68">
            <v>99727</v>
          </cell>
          <cell r="CG68">
            <v>108704</v>
          </cell>
          <cell r="CH68">
            <v>108704</v>
          </cell>
          <cell r="CI68">
            <v>107415</v>
          </cell>
          <cell r="CJ68">
            <v>112243</v>
          </cell>
          <cell r="CK68">
            <v>118010</v>
          </cell>
          <cell r="CL68">
            <v>121271</v>
          </cell>
          <cell r="CM68">
            <v>121271</v>
          </cell>
          <cell r="CN68">
            <v>121876</v>
          </cell>
          <cell r="CO68">
            <v>128683</v>
          </cell>
          <cell r="CP68">
            <v>134105</v>
          </cell>
          <cell r="CQ68">
            <v>142431</v>
          </cell>
          <cell r="CR68">
            <v>142431</v>
          </cell>
          <cell r="CS68">
            <v>142348</v>
          </cell>
          <cell r="CT68">
            <v>153543</v>
          </cell>
          <cell r="CU68">
            <v>156119</v>
          </cell>
          <cell r="CV68">
            <v>172384</v>
          </cell>
          <cell r="CW68">
            <v>172384</v>
          </cell>
          <cell r="CX68">
            <v>169656</v>
          </cell>
          <cell r="CY68">
            <v>174848</v>
          </cell>
          <cell r="CZ68">
            <v>176683</v>
          </cell>
          <cell r="DA68">
            <v>176223</v>
          </cell>
          <cell r="DB68">
            <v>176223</v>
          </cell>
          <cell r="DC68">
            <v>172896</v>
          </cell>
          <cell r="DD68">
            <v>180098</v>
          </cell>
          <cell r="DE68">
            <v>181869</v>
          </cell>
          <cell r="DF68">
            <v>193694</v>
          </cell>
          <cell r="DG68">
            <v>193694</v>
          </cell>
          <cell r="DH68">
            <v>222008</v>
          </cell>
          <cell r="DI68">
            <v>235298</v>
          </cell>
          <cell r="DJ68">
            <v>236016</v>
          </cell>
          <cell r="DK68">
            <v>250312</v>
          </cell>
          <cell r="DL68">
            <v>250312</v>
          </cell>
          <cell r="DM68">
            <v>249097</v>
          </cell>
          <cell r="DN68">
            <v>256003</v>
          </cell>
          <cell r="DO68">
            <v>245497</v>
          </cell>
          <cell r="DP68">
            <v>258848</v>
          </cell>
          <cell r="DQ68">
            <v>258848</v>
          </cell>
          <cell r="DR68">
            <v>257619</v>
          </cell>
          <cell r="DS68">
            <v>258859</v>
          </cell>
          <cell r="DT68">
            <v>263281</v>
          </cell>
          <cell r="DU68">
            <v>286556</v>
          </cell>
          <cell r="DV68">
            <v>286556</v>
          </cell>
          <cell r="DW68">
            <v>278955</v>
          </cell>
          <cell r="DX68">
            <v>282794</v>
          </cell>
          <cell r="DY68">
            <v>285449</v>
          </cell>
          <cell r="DZ68">
            <v>301311</v>
          </cell>
          <cell r="EA68">
            <v>301311</v>
          </cell>
          <cell r="EB68">
            <v>301001</v>
          </cell>
          <cell r="EC68">
            <v>304137</v>
          </cell>
          <cell r="ED68">
            <v>308879</v>
          </cell>
          <cell r="EE68">
            <v>333779</v>
          </cell>
          <cell r="EF68">
            <v>333779</v>
          </cell>
          <cell r="EG68">
            <v>335418</v>
          </cell>
          <cell r="EH68">
            <v>340389</v>
          </cell>
          <cell r="EI68">
            <v>344607</v>
          </cell>
          <cell r="EJ68">
            <v>364840</v>
          </cell>
          <cell r="EK68">
            <v>364840</v>
          </cell>
          <cell r="EL68">
            <v>359784</v>
          </cell>
          <cell r="EM68">
            <v>364552</v>
          </cell>
          <cell r="EN68">
            <v>380088</v>
          </cell>
          <cell r="EO68">
            <v>411976</v>
          </cell>
          <cell r="EP68">
            <v>411976</v>
          </cell>
          <cell r="EQ68">
            <v>445785</v>
          </cell>
          <cell r="ER68">
            <v>470558</v>
          </cell>
          <cell r="ES68">
            <v>484275</v>
          </cell>
          <cell r="ET68">
            <v>527855.26042000204</v>
          </cell>
          <cell r="EU68">
            <v>527855.26042000204</v>
          </cell>
          <cell r="EV68">
            <v>541897.72669503849</v>
          </cell>
          <cell r="EW68">
            <v>560024.02164411522</v>
          </cell>
          <cell r="EX68">
            <v>587947.62309096404</v>
          </cell>
          <cell r="EY68">
            <v>634161.94533855189</v>
          </cell>
          <cell r="EZ68">
            <v>634161.94533855189</v>
          </cell>
          <cell r="FA68">
            <v>650029.07801735855</v>
          </cell>
          <cell r="FB68">
            <v>672249.53421373328</v>
          </cell>
          <cell r="FC68">
            <v>710206.10717254295</v>
          </cell>
          <cell r="FD68">
            <v>765224.56102483976</v>
          </cell>
          <cell r="FE68">
            <v>765224.56102483976</v>
          </cell>
        </row>
        <row r="69">
          <cell r="B69" t="str">
            <v>Accounts payable</v>
          </cell>
          <cell r="C69" t="str">
            <v>ACC_PAY_GQ</v>
          </cell>
          <cell r="D69" t="str">
            <v>USD</v>
          </cell>
          <cell r="F69">
            <v>563</v>
          </cell>
          <cell r="G69">
            <v>621</v>
          </cell>
          <cell r="H69">
            <v>651</v>
          </cell>
          <cell r="I69">
            <v>652</v>
          </cell>
          <cell r="J69">
            <v>808</v>
          </cell>
          <cell r="K69">
            <v>808</v>
          </cell>
          <cell r="L69">
            <v>887</v>
          </cell>
          <cell r="M69">
            <v>848</v>
          </cell>
          <cell r="N69">
            <v>864</v>
          </cell>
          <cell r="O69">
            <v>721</v>
          </cell>
          <cell r="P69">
            <v>721</v>
          </cell>
          <cell r="Q69">
            <v>761</v>
          </cell>
          <cell r="R69">
            <v>867</v>
          </cell>
          <cell r="S69">
            <v>908</v>
          </cell>
          <cell r="T69">
            <v>759</v>
          </cell>
          <cell r="U69">
            <v>759</v>
          </cell>
          <cell r="V69">
            <v>845</v>
          </cell>
          <cell r="W69">
            <v>989</v>
          </cell>
          <cell r="X69">
            <v>1016</v>
          </cell>
          <cell r="Y69">
            <v>874</v>
          </cell>
          <cell r="Z69">
            <v>874</v>
          </cell>
          <cell r="AA69">
            <v>997</v>
          </cell>
          <cell r="AB69">
            <v>1233</v>
          </cell>
          <cell r="AC69">
            <v>1073</v>
          </cell>
          <cell r="AD69">
            <v>1083</v>
          </cell>
          <cell r="AE69">
            <v>1083</v>
          </cell>
          <cell r="AF69">
            <v>1101</v>
          </cell>
          <cell r="AG69">
            <v>1262</v>
          </cell>
          <cell r="AH69">
            <v>1246</v>
          </cell>
          <cell r="AI69">
            <v>1188</v>
          </cell>
          <cell r="AJ69">
            <v>1188</v>
          </cell>
          <cell r="AK69">
            <v>1143</v>
          </cell>
          <cell r="AL69">
            <v>1229</v>
          </cell>
          <cell r="AM69">
            <v>1136</v>
          </cell>
          <cell r="AN69">
            <v>1208</v>
          </cell>
          <cell r="AO69">
            <v>1208</v>
          </cell>
          <cell r="AP69">
            <v>1189</v>
          </cell>
          <cell r="AQ69">
            <v>1342</v>
          </cell>
          <cell r="AR69">
            <v>1310</v>
          </cell>
          <cell r="AS69">
            <v>1573</v>
          </cell>
          <cell r="AT69">
            <v>1573</v>
          </cell>
          <cell r="AU69">
            <v>1341</v>
          </cell>
          <cell r="AV69">
            <v>1360</v>
          </cell>
          <cell r="AW69">
            <v>1412</v>
          </cell>
          <cell r="AX69">
            <v>1717</v>
          </cell>
          <cell r="AY69">
            <v>1717</v>
          </cell>
          <cell r="AZ69">
            <v>1439</v>
          </cell>
          <cell r="BA69">
            <v>1573</v>
          </cell>
          <cell r="BB69">
            <v>1636</v>
          </cell>
          <cell r="BC69">
            <v>2086</v>
          </cell>
          <cell r="BD69">
            <v>2086</v>
          </cell>
          <cell r="BE69">
            <v>1852</v>
          </cell>
          <cell r="BF69">
            <v>2477</v>
          </cell>
          <cell r="BG69">
            <v>2354</v>
          </cell>
          <cell r="BH69">
            <v>2909</v>
          </cell>
          <cell r="BI69">
            <v>2909</v>
          </cell>
          <cell r="BJ69">
            <v>2406</v>
          </cell>
          <cell r="BK69">
            <v>2944</v>
          </cell>
          <cell r="BL69">
            <v>2843</v>
          </cell>
          <cell r="BM69">
            <v>3247</v>
          </cell>
          <cell r="BN69">
            <v>3247</v>
          </cell>
          <cell r="BO69">
            <v>3206</v>
          </cell>
          <cell r="BP69">
            <v>3612</v>
          </cell>
          <cell r="BQ69">
            <v>3600</v>
          </cell>
          <cell r="BR69">
            <v>4034</v>
          </cell>
          <cell r="BS69">
            <v>4034</v>
          </cell>
          <cell r="BT69">
            <v>3351</v>
          </cell>
          <cell r="BU69">
            <v>3533</v>
          </cell>
          <cell r="BV69">
            <v>3017</v>
          </cell>
          <cell r="BW69">
            <v>3324</v>
          </cell>
          <cell r="BX69">
            <v>3324</v>
          </cell>
          <cell r="BY69">
            <v>3287</v>
          </cell>
          <cell r="BZ69">
            <v>3171</v>
          </cell>
          <cell r="CA69">
            <v>3279</v>
          </cell>
          <cell r="CB69">
            <v>4025</v>
          </cell>
          <cell r="CC69">
            <v>4025</v>
          </cell>
          <cell r="CD69">
            <v>3654</v>
          </cell>
          <cell r="CE69">
            <v>3863</v>
          </cell>
          <cell r="CF69">
            <v>3829</v>
          </cell>
          <cell r="CG69">
            <v>4197</v>
          </cell>
          <cell r="CH69">
            <v>4197</v>
          </cell>
          <cell r="CI69">
            <v>3719</v>
          </cell>
          <cell r="CJ69">
            <v>3884</v>
          </cell>
          <cell r="CK69">
            <v>3790</v>
          </cell>
          <cell r="CL69">
            <v>4175</v>
          </cell>
          <cell r="CM69">
            <v>4175</v>
          </cell>
          <cell r="CN69">
            <v>3631</v>
          </cell>
          <cell r="CO69">
            <v>4356</v>
          </cell>
          <cell r="CP69">
            <v>4532</v>
          </cell>
          <cell r="CQ69">
            <v>4828</v>
          </cell>
          <cell r="CR69">
            <v>4828</v>
          </cell>
          <cell r="CS69">
            <v>4841</v>
          </cell>
          <cell r="CT69">
            <v>5398</v>
          </cell>
          <cell r="CU69">
            <v>4583</v>
          </cell>
          <cell r="CV69">
            <v>7432</v>
          </cell>
          <cell r="CW69">
            <v>7432</v>
          </cell>
          <cell r="CX69">
            <v>6769</v>
          </cell>
          <cell r="CY69">
            <v>6932</v>
          </cell>
          <cell r="CZ69">
            <v>6690</v>
          </cell>
          <cell r="DA69">
            <v>6591</v>
          </cell>
          <cell r="DB69">
            <v>6591</v>
          </cell>
          <cell r="DC69">
            <v>6630</v>
          </cell>
          <cell r="DD69">
            <v>6936</v>
          </cell>
          <cell r="DE69">
            <v>6759</v>
          </cell>
          <cell r="DF69">
            <v>6898</v>
          </cell>
          <cell r="DG69">
            <v>6898</v>
          </cell>
          <cell r="DH69">
            <v>6296</v>
          </cell>
          <cell r="DI69">
            <v>6580</v>
          </cell>
          <cell r="DJ69">
            <v>6217</v>
          </cell>
          <cell r="DK69">
            <v>7390</v>
          </cell>
          <cell r="DL69">
            <v>7390</v>
          </cell>
          <cell r="DM69">
            <v>6866</v>
          </cell>
          <cell r="DN69">
            <v>7850</v>
          </cell>
          <cell r="DO69">
            <v>7623</v>
          </cell>
          <cell r="DP69">
            <v>8617</v>
          </cell>
          <cell r="DQ69">
            <v>8617</v>
          </cell>
          <cell r="DR69">
            <v>8511</v>
          </cell>
          <cell r="DS69">
            <v>7563</v>
          </cell>
          <cell r="DT69">
            <v>7544</v>
          </cell>
          <cell r="DU69">
            <v>9382</v>
          </cell>
          <cell r="DV69">
            <v>9382</v>
          </cell>
          <cell r="DW69">
            <v>8574</v>
          </cell>
          <cell r="DX69">
            <v>8811</v>
          </cell>
          <cell r="DY69">
            <v>9246</v>
          </cell>
          <cell r="DZ69">
            <v>12530</v>
          </cell>
          <cell r="EA69">
            <v>12530</v>
          </cell>
          <cell r="EB69">
            <v>12509</v>
          </cell>
          <cell r="EC69">
            <v>12770</v>
          </cell>
          <cell r="ED69">
            <v>13412</v>
          </cell>
          <cell r="EE69">
            <v>15163</v>
          </cell>
          <cell r="EF69">
            <v>15163</v>
          </cell>
          <cell r="EG69">
            <v>14832</v>
          </cell>
          <cell r="EH69">
            <v>15314</v>
          </cell>
          <cell r="EI69">
            <v>16085</v>
          </cell>
          <cell r="EJ69">
            <v>19000</v>
          </cell>
          <cell r="EK69">
            <v>19000</v>
          </cell>
          <cell r="EL69">
            <v>16609</v>
          </cell>
          <cell r="EM69">
            <v>15354</v>
          </cell>
          <cell r="EN69">
            <v>15305</v>
          </cell>
          <cell r="EO69">
            <v>18095</v>
          </cell>
          <cell r="EP69">
            <v>18095</v>
          </cell>
          <cell r="EQ69">
            <v>19307</v>
          </cell>
          <cell r="ER69">
            <v>17695</v>
          </cell>
          <cell r="ES69">
            <v>18087</v>
          </cell>
          <cell r="ET69">
            <v>21692.471280115566</v>
          </cell>
          <cell r="EU69">
            <v>21692.471280115566</v>
          </cell>
          <cell r="EV69">
            <v>24252.848653554905</v>
          </cell>
          <cell r="EW69">
            <v>20060.835108487565</v>
          </cell>
          <cell r="EX69">
            <v>21213.425839231339</v>
          </cell>
          <cell r="EY69">
            <v>24180.086226874104</v>
          </cell>
          <cell r="EZ69">
            <v>24180.086226874104</v>
          </cell>
          <cell r="FA69">
            <v>26954.888842041735</v>
          </cell>
          <cell r="FB69">
            <v>22178.804556925948</v>
          </cell>
          <cell r="FC69">
            <v>23510.455863502186</v>
          </cell>
          <cell r="FD69">
            <v>26916.751174608322</v>
          </cell>
          <cell r="FE69">
            <v>26916.751174608322</v>
          </cell>
        </row>
        <row r="70">
          <cell r="B70" t="str">
            <v>Short-term debt</v>
          </cell>
          <cell r="C70" t="str">
            <v>SHORT_T_DEBT</v>
          </cell>
          <cell r="D70" t="str">
            <v>USD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1975</v>
          </cell>
          <cell r="BU70">
            <v>2000</v>
          </cell>
          <cell r="BV70">
            <v>1999</v>
          </cell>
          <cell r="BW70">
            <v>2000</v>
          </cell>
          <cell r="BX70">
            <v>2000</v>
          </cell>
          <cell r="BY70">
            <v>2250</v>
          </cell>
          <cell r="BZ70">
            <v>2249</v>
          </cell>
          <cell r="CA70">
            <v>2249</v>
          </cell>
          <cell r="CB70">
            <v>1000</v>
          </cell>
          <cell r="CC70">
            <v>1000</v>
          </cell>
          <cell r="CD70">
            <v>1000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1231</v>
          </cell>
          <cell r="CM70">
            <v>1231</v>
          </cell>
          <cell r="CN70">
            <v>2236</v>
          </cell>
          <cell r="CO70">
            <v>2241</v>
          </cell>
          <cell r="CP70">
            <v>2246</v>
          </cell>
          <cell r="CQ70">
            <v>2999</v>
          </cell>
          <cell r="CR70">
            <v>2999</v>
          </cell>
          <cell r="CS70">
            <v>3300</v>
          </cell>
          <cell r="CT70">
            <v>2300</v>
          </cell>
          <cell r="CU70">
            <v>2000</v>
          </cell>
          <cell r="CV70">
            <v>2000</v>
          </cell>
          <cell r="CW70">
            <v>2000</v>
          </cell>
          <cell r="CX70">
            <v>5248</v>
          </cell>
          <cell r="CY70">
            <v>10048</v>
          </cell>
          <cell r="CZ70">
            <v>4224</v>
          </cell>
          <cell r="DA70">
            <v>7484</v>
          </cell>
          <cell r="DB70">
            <v>7484</v>
          </cell>
          <cell r="DC70">
            <v>10748</v>
          </cell>
          <cell r="DD70">
            <v>3750</v>
          </cell>
          <cell r="DE70">
            <v>5498</v>
          </cell>
          <cell r="DF70">
            <v>12904</v>
          </cell>
          <cell r="DG70">
            <v>12904</v>
          </cell>
          <cell r="DH70">
            <v>14536</v>
          </cell>
          <cell r="DI70">
            <v>25664</v>
          </cell>
          <cell r="DJ70">
            <v>7786</v>
          </cell>
          <cell r="DK70">
            <v>10121</v>
          </cell>
          <cell r="DL70">
            <v>10121</v>
          </cell>
          <cell r="DM70">
            <v>9220</v>
          </cell>
          <cell r="DN70">
            <v>15912</v>
          </cell>
          <cell r="DO70">
            <v>3677</v>
          </cell>
          <cell r="DP70">
            <v>3998</v>
          </cell>
          <cell r="DQ70">
            <v>3998</v>
          </cell>
          <cell r="DR70">
            <v>6497</v>
          </cell>
          <cell r="DS70">
            <v>3516</v>
          </cell>
          <cell r="DT70">
            <v>6515</v>
          </cell>
          <cell r="DU70">
            <v>5516</v>
          </cell>
          <cell r="DV70">
            <v>5516</v>
          </cell>
          <cell r="DW70">
            <v>3017</v>
          </cell>
          <cell r="DX70">
            <v>6247</v>
          </cell>
          <cell r="DY70">
            <v>3748</v>
          </cell>
          <cell r="DZ70">
            <v>3749</v>
          </cell>
          <cell r="EA70">
            <v>3749</v>
          </cell>
          <cell r="EB70">
            <v>6497</v>
          </cell>
          <cell r="EC70">
            <v>5387</v>
          </cell>
          <cell r="ED70">
            <v>8051</v>
          </cell>
          <cell r="EE70">
            <v>8072</v>
          </cell>
          <cell r="EF70">
            <v>8072</v>
          </cell>
          <cell r="EG70">
            <v>3249</v>
          </cell>
          <cell r="EH70">
            <v>4998</v>
          </cell>
          <cell r="EI70">
            <v>1749</v>
          </cell>
          <cell r="EJ70">
            <v>2749</v>
          </cell>
          <cell r="EK70">
            <v>2749</v>
          </cell>
          <cell r="EL70">
            <v>3248</v>
          </cell>
          <cell r="EM70">
            <v>3997</v>
          </cell>
          <cell r="EN70">
            <v>6245</v>
          </cell>
          <cell r="EO70">
            <v>5247</v>
          </cell>
          <cell r="EP70">
            <v>5247</v>
          </cell>
          <cell r="EQ70">
            <v>29556</v>
          </cell>
          <cell r="ER70">
            <v>29291</v>
          </cell>
          <cell r="ES70">
            <v>22784</v>
          </cell>
          <cell r="ET70">
            <v>22784</v>
          </cell>
          <cell r="EU70">
            <v>22784</v>
          </cell>
          <cell r="EV70">
            <v>22784</v>
          </cell>
          <cell r="EW70">
            <v>22784</v>
          </cell>
          <cell r="EX70">
            <v>22784</v>
          </cell>
          <cell r="EY70">
            <v>22784</v>
          </cell>
          <cell r="EZ70">
            <v>22784</v>
          </cell>
          <cell r="FA70">
            <v>22784</v>
          </cell>
          <cell r="FB70">
            <v>22784</v>
          </cell>
          <cell r="FC70">
            <v>22784</v>
          </cell>
          <cell r="FD70">
            <v>22784</v>
          </cell>
          <cell r="FE70">
            <v>22784</v>
          </cell>
        </row>
        <row r="71">
          <cell r="B71" t="str">
            <v>Current lease liabilities (op lease: US GAAP)</v>
          </cell>
          <cell r="C71" t="str">
            <v>ST_LEASE_LIAB</v>
          </cell>
          <cell r="D71" t="str">
            <v>USD</v>
          </cell>
        </row>
        <row r="72">
          <cell r="B72" t="str">
            <v>Other current liabilities</v>
          </cell>
          <cell r="C72" t="str">
            <v>OTH_CUR_LIABS</v>
          </cell>
          <cell r="D72" t="str">
            <v>USD</v>
          </cell>
          <cell r="F72">
            <v>784</v>
          </cell>
          <cell r="G72">
            <v>1138</v>
          </cell>
          <cell r="H72">
            <v>1590</v>
          </cell>
          <cell r="I72">
            <v>1612</v>
          </cell>
          <cell r="J72">
            <v>1617</v>
          </cell>
          <cell r="K72">
            <v>1617</v>
          </cell>
          <cell r="L72">
            <v>1776</v>
          </cell>
          <cell r="M72">
            <v>2296</v>
          </cell>
          <cell r="N72">
            <v>2615</v>
          </cell>
          <cell r="O72">
            <v>2889</v>
          </cell>
          <cell r="P72">
            <v>2889</v>
          </cell>
          <cell r="Q72">
            <v>3141</v>
          </cell>
          <cell r="R72">
            <v>3629</v>
          </cell>
          <cell r="S72">
            <v>3961</v>
          </cell>
          <cell r="T72">
            <v>4971</v>
          </cell>
          <cell r="U72">
            <v>4971</v>
          </cell>
          <cell r="V72">
            <v>5600</v>
          </cell>
          <cell r="W72">
            <v>6482</v>
          </cell>
          <cell r="X72">
            <v>6823</v>
          </cell>
          <cell r="Y72">
            <v>7844</v>
          </cell>
          <cell r="Z72">
            <v>7844</v>
          </cell>
          <cell r="AA72">
            <v>7335</v>
          </cell>
          <cell r="AB72">
            <v>9271</v>
          </cell>
          <cell r="AC72">
            <v>10030</v>
          </cell>
          <cell r="AD72">
            <v>8670</v>
          </cell>
          <cell r="AE72">
            <v>8670</v>
          </cell>
          <cell r="AF72">
            <v>8205</v>
          </cell>
          <cell r="AG72">
            <v>8363</v>
          </cell>
          <cell r="AH72">
            <v>8494</v>
          </cell>
          <cell r="AI72">
            <v>9944</v>
          </cell>
          <cell r="AJ72">
            <v>9944</v>
          </cell>
          <cell r="AK72">
            <v>11719</v>
          </cell>
          <cell r="AL72">
            <v>10338</v>
          </cell>
          <cell r="AM72">
            <v>10706</v>
          </cell>
          <cell r="AN72">
            <v>11536</v>
          </cell>
          <cell r="AO72">
            <v>11536</v>
          </cell>
          <cell r="AP72">
            <v>12568</v>
          </cell>
          <cell r="AQ72">
            <v>12275</v>
          </cell>
          <cell r="AR72">
            <v>11851</v>
          </cell>
          <cell r="AS72">
            <v>12401</v>
          </cell>
          <cell r="AT72">
            <v>12401</v>
          </cell>
          <cell r="AU72">
            <v>13757</v>
          </cell>
          <cell r="AV72">
            <v>12567</v>
          </cell>
          <cell r="AW72">
            <v>14572</v>
          </cell>
          <cell r="AX72">
            <v>13252</v>
          </cell>
          <cell r="AY72">
            <v>13252</v>
          </cell>
          <cell r="AZ72">
            <v>13999</v>
          </cell>
          <cell r="BA72">
            <v>13472</v>
          </cell>
          <cell r="BB72">
            <v>14503</v>
          </cell>
          <cell r="BC72">
            <v>14791</v>
          </cell>
          <cell r="BD72">
            <v>14791</v>
          </cell>
          <cell r="BE72">
            <v>15170</v>
          </cell>
          <cell r="BF72">
            <v>14270</v>
          </cell>
          <cell r="BG72">
            <v>16013</v>
          </cell>
          <cell r="BH72">
            <v>19533</v>
          </cell>
          <cell r="BI72">
            <v>19533</v>
          </cell>
          <cell r="BJ72">
            <v>19566</v>
          </cell>
          <cell r="BK72">
            <v>19271</v>
          </cell>
          <cell r="BL72">
            <v>18784</v>
          </cell>
          <cell r="BM72">
            <v>20507</v>
          </cell>
          <cell r="BN72">
            <v>20507</v>
          </cell>
          <cell r="BO72">
            <v>19538</v>
          </cell>
          <cell r="BP72">
            <v>18446</v>
          </cell>
          <cell r="BQ72">
            <v>23428</v>
          </cell>
          <cell r="BR72">
            <v>25852</v>
          </cell>
          <cell r="BS72">
            <v>25852</v>
          </cell>
          <cell r="BT72">
            <v>19057</v>
          </cell>
          <cell r="BU72">
            <v>18177</v>
          </cell>
          <cell r="BV72">
            <v>18807</v>
          </cell>
          <cell r="BW72">
            <v>21710</v>
          </cell>
          <cell r="BX72">
            <v>21710</v>
          </cell>
          <cell r="BY72">
            <v>23224</v>
          </cell>
          <cell r="BZ72">
            <v>20295</v>
          </cell>
          <cell r="CA72">
            <v>20896</v>
          </cell>
          <cell r="CB72">
            <v>21122</v>
          </cell>
          <cell r="CC72">
            <v>21122</v>
          </cell>
          <cell r="CD72">
            <v>21203</v>
          </cell>
          <cell r="CE72">
            <v>20449</v>
          </cell>
          <cell r="CF72">
            <v>20213</v>
          </cell>
          <cell r="CG72">
            <v>24577</v>
          </cell>
          <cell r="CH72">
            <v>24577</v>
          </cell>
          <cell r="CI72">
            <v>21824</v>
          </cell>
          <cell r="CJ72">
            <v>21489</v>
          </cell>
          <cell r="CK72">
            <v>22380</v>
          </cell>
          <cell r="CL72">
            <v>27282</v>
          </cell>
          <cell r="CM72">
            <v>27282</v>
          </cell>
          <cell r="CN72">
            <v>25535</v>
          </cell>
          <cell r="CO72">
            <v>25313</v>
          </cell>
          <cell r="CP72">
            <v>25151</v>
          </cell>
          <cell r="CQ72">
            <v>29590</v>
          </cell>
          <cell r="CR72">
            <v>29590</v>
          </cell>
          <cell r="CS72">
            <v>26482</v>
          </cell>
          <cell r="CT72">
            <v>26044</v>
          </cell>
          <cell r="CU72">
            <v>27320</v>
          </cell>
          <cell r="CV72">
            <v>36193</v>
          </cell>
          <cell r="CW72">
            <v>36193</v>
          </cell>
          <cell r="CX72">
            <v>32677</v>
          </cell>
          <cell r="CY72">
            <v>30435</v>
          </cell>
          <cell r="CZ72">
            <v>29834</v>
          </cell>
          <cell r="DA72">
            <v>35783</v>
          </cell>
          <cell r="DB72">
            <v>35783</v>
          </cell>
          <cell r="DC72">
            <v>32021</v>
          </cell>
          <cell r="DD72">
            <v>31957</v>
          </cell>
          <cell r="DE72">
            <v>32097</v>
          </cell>
          <cell r="DF72">
            <v>39555</v>
          </cell>
          <cell r="DG72">
            <v>39555</v>
          </cell>
          <cell r="DH72">
            <v>31403</v>
          </cell>
          <cell r="DI72">
            <v>31815</v>
          </cell>
          <cell r="DJ72">
            <v>30985</v>
          </cell>
          <cell r="DK72">
            <v>38234</v>
          </cell>
          <cell r="DL72">
            <v>38234</v>
          </cell>
          <cell r="DM72">
            <v>35529</v>
          </cell>
          <cell r="DN72">
            <v>34337</v>
          </cell>
          <cell r="DO72">
            <v>34833</v>
          </cell>
          <cell r="DP72">
            <v>45873</v>
          </cell>
          <cell r="DQ72">
            <v>45873</v>
          </cell>
          <cell r="DR72">
            <v>41269</v>
          </cell>
          <cell r="DS72">
            <v>39239</v>
          </cell>
          <cell r="DT72">
            <v>39802</v>
          </cell>
          <cell r="DU72">
            <v>54522</v>
          </cell>
          <cell r="DV72">
            <v>54522</v>
          </cell>
          <cell r="DW72">
            <v>46527</v>
          </cell>
          <cell r="DX72">
            <v>44582</v>
          </cell>
          <cell r="DY72">
            <v>45713</v>
          </cell>
          <cell r="DZ72">
            <v>56031</v>
          </cell>
          <cell r="EA72">
            <v>56031</v>
          </cell>
          <cell r="EB72">
            <v>51050</v>
          </cell>
          <cell r="EC72">
            <v>49329</v>
          </cell>
          <cell r="ED72">
            <v>50730</v>
          </cell>
          <cell r="EE72">
            <v>65422</v>
          </cell>
          <cell r="EF72">
            <v>65422</v>
          </cell>
          <cell r="EG72">
            <v>62447</v>
          </cell>
          <cell r="EH72">
            <v>57198</v>
          </cell>
          <cell r="EI72">
            <v>59605</v>
          </cell>
          <cell r="EJ72">
            <v>73333</v>
          </cell>
          <cell r="EK72">
            <v>73333</v>
          </cell>
          <cell r="EL72">
            <v>67532</v>
          </cell>
          <cell r="EM72">
            <v>62367</v>
          </cell>
          <cell r="EN72">
            <v>64141</v>
          </cell>
          <cell r="EO72">
            <v>80807</v>
          </cell>
          <cell r="EP72">
            <v>80807</v>
          </cell>
          <cell r="EQ72">
            <v>75929</v>
          </cell>
          <cell r="ER72">
            <v>74030</v>
          </cell>
          <cell r="ES72">
            <v>77654</v>
          </cell>
          <cell r="ET72">
            <v>91268.999336638328</v>
          </cell>
          <cell r="EU72">
            <v>91268.999336638328</v>
          </cell>
          <cell r="EV72">
            <v>85713.015519218548</v>
          </cell>
          <cell r="EW72">
            <v>79610.082770073524</v>
          </cell>
          <cell r="EX72">
            <v>82018.213061482616</v>
          </cell>
          <cell r="EY72">
            <v>97699.510199923301</v>
          </cell>
          <cell r="EZ72">
            <v>97699.510199923301</v>
          </cell>
          <cell r="FA72">
            <v>89623.70638810478</v>
          </cell>
          <cell r="FB72">
            <v>85004.681698526518</v>
          </cell>
          <cell r="FC72">
            <v>89445.421591015533</v>
          </cell>
          <cell r="FD72">
            <v>106880.51798229587</v>
          </cell>
          <cell r="FE72">
            <v>106880.51798229587</v>
          </cell>
        </row>
        <row r="73">
          <cell r="B73" t="str">
            <v>Total current liabilities</v>
          </cell>
          <cell r="C73" t="str">
            <v>SHORT_TERM_LIABS</v>
          </cell>
          <cell r="D73" t="str">
            <v>USD</v>
          </cell>
          <cell r="F73">
            <v>1347</v>
          </cell>
          <cell r="G73">
            <v>1759</v>
          </cell>
          <cell r="H73">
            <v>2241</v>
          </cell>
          <cell r="I73">
            <v>2264</v>
          </cell>
          <cell r="J73">
            <v>2425</v>
          </cell>
          <cell r="K73">
            <v>2425</v>
          </cell>
          <cell r="L73">
            <v>2663</v>
          </cell>
          <cell r="M73">
            <v>3144</v>
          </cell>
          <cell r="N73">
            <v>3479</v>
          </cell>
          <cell r="O73">
            <v>3610</v>
          </cell>
          <cell r="P73">
            <v>3610</v>
          </cell>
          <cell r="Q73">
            <v>3902</v>
          </cell>
          <cell r="R73">
            <v>4496</v>
          </cell>
          <cell r="S73">
            <v>4869</v>
          </cell>
          <cell r="T73">
            <v>5730</v>
          </cell>
          <cell r="U73">
            <v>5730</v>
          </cell>
          <cell r="V73">
            <v>6445</v>
          </cell>
          <cell r="W73">
            <v>7471</v>
          </cell>
          <cell r="X73">
            <v>7839</v>
          </cell>
          <cell r="Y73">
            <v>8718</v>
          </cell>
          <cell r="Z73">
            <v>8718</v>
          </cell>
          <cell r="AA73">
            <v>8332</v>
          </cell>
          <cell r="AB73">
            <v>10504</v>
          </cell>
          <cell r="AC73">
            <v>11103</v>
          </cell>
          <cell r="AD73">
            <v>9753</v>
          </cell>
          <cell r="AE73">
            <v>9753</v>
          </cell>
          <cell r="AF73">
            <v>9306</v>
          </cell>
          <cell r="AG73">
            <v>9625</v>
          </cell>
          <cell r="AH73">
            <v>9740</v>
          </cell>
          <cell r="AI73">
            <v>11132</v>
          </cell>
          <cell r="AJ73">
            <v>11132</v>
          </cell>
          <cell r="AK73">
            <v>12862</v>
          </cell>
          <cell r="AL73">
            <v>11567</v>
          </cell>
          <cell r="AM73">
            <v>11842</v>
          </cell>
          <cell r="AN73">
            <v>12744</v>
          </cell>
          <cell r="AO73">
            <v>12744</v>
          </cell>
          <cell r="AP73">
            <v>13757</v>
          </cell>
          <cell r="AQ73">
            <v>13617</v>
          </cell>
          <cell r="AR73">
            <v>13161</v>
          </cell>
          <cell r="AS73">
            <v>13974</v>
          </cell>
          <cell r="AT73">
            <v>13974</v>
          </cell>
          <cell r="AU73">
            <v>15098</v>
          </cell>
          <cell r="AV73">
            <v>13927</v>
          </cell>
          <cell r="AW73">
            <v>15984</v>
          </cell>
          <cell r="AX73">
            <v>14969</v>
          </cell>
          <cell r="AY73">
            <v>14969</v>
          </cell>
          <cell r="AZ73">
            <v>15438</v>
          </cell>
          <cell r="BA73">
            <v>15045</v>
          </cell>
          <cell r="BB73">
            <v>16139</v>
          </cell>
          <cell r="BC73">
            <v>16877</v>
          </cell>
          <cell r="BD73">
            <v>16877</v>
          </cell>
          <cell r="BE73">
            <v>17022</v>
          </cell>
          <cell r="BF73">
            <v>16747</v>
          </cell>
          <cell r="BG73">
            <v>18367</v>
          </cell>
          <cell r="BH73">
            <v>22442</v>
          </cell>
          <cell r="BI73">
            <v>22442</v>
          </cell>
          <cell r="BJ73">
            <v>21972</v>
          </cell>
          <cell r="BK73">
            <v>22215</v>
          </cell>
          <cell r="BL73">
            <v>21627</v>
          </cell>
          <cell r="BM73">
            <v>23754</v>
          </cell>
          <cell r="BN73">
            <v>23754</v>
          </cell>
          <cell r="BO73">
            <v>22744</v>
          </cell>
          <cell r="BP73">
            <v>22058</v>
          </cell>
          <cell r="BQ73">
            <v>27028</v>
          </cell>
          <cell r="BR73">
            <v>29886</v>
          </cell>
          <cell r="BS73">
            <v>29886</v>
          </cell>
          <cell r="BT73">
            <v>24383</v>
          </cell>
          <cell r="BU73">
            <v>23710</v>
          </cell>
          <cell r="BV73">
            <v>23823</v>
          </cell>
          <cell r="BW73">
            <v>27034</v>
          </cell>
          <cell r="BX73">
            <v>27034</v>
          </cell>
          <cell r="BY73">
            <v>28761</v>
          </cell>
          <cell r="BZ73">
            <v>25715</v>
          </cell>
          <cell r="CA73">
            <v>26424</v>
          </cell>
          <cell r="CB73">
            <v>26147</v>
          </cell>
          <cell r="CC73">
            <v>26147</v>
          </cell>
          <cell r="CD73">
            <v>25857</v>
          </cell>
          <cell r="CE73">
            <v>24312</v>
          </cell>
          <cell r="CF73">
            <v>24042</v>
          </cell>
          <cell r="CG73">
            <v>28774</v>
          </cell>
          <cell r="CH73">
            <v>28774</v>
          </cell>
          <cell r="CI73">
            <v>25543</v>
          </cell>
          <cell r="CJ73">
            <v>25373</v>
          </cell>
          <cell r="CK73">
            <v>26170</v>
          </cell>
          <cell r="CL73">
            <v>32688</v>
          </cell>
          <cell r="CM73">
            <v>32688</v>
          </cell>
          <cell r="CN73">
            <v>31402</v>
          </cell>
          <cell r="CO73">
            <v>31910</v>
          </cell>
          <cell r="CP73">
            <v>31929</v>
          </cell>
          <cell r="CQ73">
            <v>37417</v>
          </cell>
          <cell r="CR73">
            <v>37417</v>
          </cell>
          <cell r="CS73">
            <v>34623</v>
          </cell>
          <cell r="CT73">
            <v>33742</v>
          </cell>
          <cell r="CU73">
            <v>33903</v>
          </cell>
          <cell r="CV73">
            <v>45625</v>
          </cell>
          <cell r="CW73">
            <v>45625</v>
          </cell>
          <cell r="CX73">
            <v>44694</v>
          </cell>
          <cell r="CY73">
            <v>47415</v>
          </cell>
          <cell r="CZ73">
            <v>40748</v>
          </cell>
          <cell r="DA73">
            <v>49858</v>
          </cell>
          <cell r="DB73">
            <v>49858</v>
          </cell>
          <cell r="DC73">
            <v>49399</v>
          </cell>
          <cell r="DD73">
            <v>42643</v>
          </cell>
          <cell r="DE73">
            <v>44354</v>
          </cell>
          <cell r="DF73">
            <v>59357</v>
          </cell>
          <cell r="DG73">
            <v>59357</v>
          </cell>
          <cell r="DH73">
            <v>52235</v>
          </cell>
          <cell r="DI73">
            <v>64059</v>
          </cell>
          <cell r="DJ73">
            <v>44988</v>
          </cell>
          <cell r="DK73">
            <v>55745</v>
          </cell>
          <cell r="DL73">
            <v>55745</v>
          </cell>
          <cell r="DM73">
            <v>51615</v>
          </cell>
          <cell r="DN73">
            <v>58099</v>
          </cell>
          <cell r="DO73">
            <v>46133</v>
          </cell>
          <cell r="DP73">
            <v>58488</v>
          </cell>
          <cell r="DQ73">
            <v>58488</v>
          </cell>
          <cell r="DR73">
            <v>56277</v>
          </cell>
          <cell r="DS73">
            <v>50318</v>
          </cell>
          <cell r="DT73">
            <v>53861</v>
          </cell>
          <cell r="DU73">
            <v>69420</v>
          </cell>
          <cell r="DV73">
            <v>69420</v>
          </cell>
          <cell r="DW73">
            <v>58118</v>
          </cell>
          <cell r="DX73">
            <v>59640</v>
          </cell>
          <cell r="DY73">
            <v>58707</v>
          </cell>
          <cell r="DZ73">
            <v>72310</v>
          </cell>
          <cell r="EA73">
            <v>72310</v>
          </cell>
          <cell r="EB73">
            <v>70056</v>
          </cell>
          <cell r="EC73">
            <v>67486</v>
          </cell>
          <cell r="ED73">
            <v>72193</v>
          </cell>
          <cell r="EE73">
            <v>88657</v>
          </cell>
          <cell r="EF73">
            <v>88657</v>
          </cell>
          <cell r="EG73">
            <v>80528</v>
          </cell>
          <cell r="EH73">
            <v>77510</v>
          </cell>
          <cell r="EI73">
            <v>77439</v>
          </cell>
          <cell r="EJ73">
            <v>95082</v>
          </cell>
          <cell r="EK73">
            <v>95082</v>
          </cell>
          <cell r="EL73">
            <v>87389</v>
          </cell>
          <cell r="EM73">
            <v>81718</v>
          </cell>
          <cell r="EN73">
            <v>85691</v>
          </cell>
          <cell r="EO73">
            <v>104149</v>
          </cell>
          <cell r="EP73">
            <v>104149</v>
          </cell>
          <cell r="EQ73">
            <v>124792</v>
          </cell>
          <cell r="ER73">
            <v>121016</v>
          </cell>
          <cell r="ES73">
            <v>118525</v>
          </cell>
          <cell r="ET73">
            <v>135745.47061675391</v>
          </cell>
          <cell r="EU73">
            <v>135745.47061675391</v>
          </cell>
          <cell r="EV73">
            <v>132749.86417277344</v>
          </cell>
          <cell r="EW73">
            <v>122454.9178785611</v>
          </cell>
          <cell r="EX73">
            <v>126015.63890071394</v>
          </cell>
          <cell r="EY73">
            <v>144663.59642679739</v>
          </cell>
          <cell r="EZ73">
            <v>144663.59642679739</v>
          </cell>
          <cell r="FA73">
            <v>139362.59523014651</v>
          </cell>
          <cell r="FB73">
            <v>129967.48625545247</v>
          </cell>
          <cell r="FC73">
            <v>135739.8774545177</v>
          </cell>
          <cell r="FD73">
            <v>156581.26915690419</v>
          </cell>
          <cell r="FE73">
            <v>156581.26915690419</v>
          </cell>
        </row>
        <row r="74">
          <cell r="B74" t="str">
            <v>Deferred revenue</v>
          </cell>
          <cell r="C74" t="str">
            <v>TOT_DEF_REV</v>
          </cell>
          <cell r="D74" t="str">
            <v>USD</v>
          </cell>
        </row>
        <row r="75">
          <cell r="B75" t="str">
            <v>Long-term  debt</v>
          </cell>
          <cell r="C75" t="str">
            <v>LT_DEBT</v>
          </cell>
          <cell r="D75" t="str">
            <v>USD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3746</v>
          </cell>
          <cell r="BX75">
            <v>3746</v>
          </cell>
          <cell r="BY75">
            <v>3746</v>
          </cell>
          <cell r="BZ75">
            <v>3746</v>
          </cell>
          <cell r="CA75">
            <v>3746</v>
          </cell>
          <cell r="CB75">
            <v>4939</v>
          </cell>
          <cell r="CC75">
            <v>4939</v>
          </cell>
          <cell r="CD75">
            <v>9665</v>
          </cell>
          <cell r="CE75">
            <v>9671</v>
          </cell>
          <cell r="CF75">
            <v>11915</v>
          </cell>
          <cell r="CG75">
            <v>11921</v>
          </cell>
          <cell r="CH75">
            <v>11921</v>
          </cell>
          <cell r="CI75">
            <v>11927</v>
          </cell>
          <cell r="CJ75">
            <v>11932</v>
          </cell>
          <cell r="CK75">
            <v>11938</v>
          </cell>
          <cell r="CL75">
            <v>10713</v>
          </cell>
          <cell r="CM75">
            <v>10713</v>
          </cell>
          <cell r="CN75">
            <v>9714</v>
          </cell>
          <cell r="CO75">
            <v>11947</v>
          </cell>
          <cell r="CP75">
            <v>11949</v>
          </cell>
          <cell r="CQ75">
            <v>12601</v>
          </cell>
          <cell r="CR75">
            <v>12601</v>
          </cell>
          <cell r="CS75">
            <v>12632</v>
          </cell>
          <cell r="CT75">
            <v>20676</v>
          </cell>
          <cell r="CU75">
            <v>20679</v>
          </cell>
          <cell r="CV75">
            <v>20645</v>
          </cell>
          <cell r="CW75">
            <v>20645</v>
          </cell>
          <cell r="CX75">
            <v>18472</v>
          </cell>
          <cell r="CY75">
            <v>18260</v>
          </cell>
          <cell r="CZ75">
            <v>27644</v>
          </cell>
          <cell r="DA75">
            <v>27808</v>
          </cell>
          <cell r="DB75">
            <v>27808</v>
          </cell>
          <cell r="DC75">
            <v>27819</v>
          </cell>
          <cell r="DD75">
            <v>40679</v>
          </cell>
          <cell r="DE75">
            <v>40896</v>
          </cell>
          <cell r="DF75">
            <v>40783</v>
          </cell>
          <cell r="DG75">
            <v>40783</v>
          </cell>
          <cell r="DH75">
            <v>60154</v>
          </cell>
          <cell r="DI75">
            <v>59306</v>
          </cell>
          <cell r="DJ75">
            <v>76222</v>
          </cell>
          <cell r="DK75">
            <v>76073</v>
          </cell>
          <cell r="DL75">
            <v>76073</v>
          </cell>
          <cell r="DM75">
            <v>76255</v>
          </cell>
          <cell r="DN75">
            <v>73348</v>
          </cell>
          <cell r="DO75">
            <v>73480</v>
          </cell>
          <cell r="DP75">
            <v>72242</v>
          </cell>
          <cell r="DQ75">
            <v>72242</v>
          </cell>
          <cell r="DR75">
            <v>69733</v>
          </cell>
          <cell r="DS75">
            <v>69653</v>
          </cell>
          <cell r="DT75">
            <v>66585</v>
          </cell>
          <cell r="DU75">
            <v>66662</v>
          </cell>
          <cell r="DV75">
            <v>66662</v>
          </cell>
          <cell r="DW75">
            <v>66478</v>
          </cell>
          <cell r="DX75">
            <v>63361</v>
          </cell>
          <cell r="DY75">
            <v>62862</v>
          </cell>
          <cell r="DZ75">
            <v>59578</v>
          </cell>
          <cell r="EA75">
            <v>59578</v>
          </cell>
          <cell r="EB75">
            <v>57055</v>
          </cell>
          <cell r="EC75">
            <v>55136</v>
          </cell>
          <cell r="ED75">
            <v>50007</v>
          </cell>
          <cell r="EE75">
            <v>50074</v>
          </cell>
          <cell r="EF75">
            <v>50074</v>
          </cell>
          <cell r="EG75">
            <v>50039</v>
          </cell>
          <cell r="EH75">
            <v>48260</v>
          </cell>
          <cell r="EI75">
            <v>48177</v>
          </cell>
          <cell r="EJ75">
            <v>47032</v>
          </cell>
          <cell r="EK75">
            <v>47032</v>
          </cell>
          <cell r="EL75">
            <v>45374</v>
          </cell>
          <cell r="EM75">
            <v>44119</v>
          </cell>
          <cell r="EN75">
            <v>41965</v>
          </cell>
          <cell r="EO75">
            <v>41990</v>
          </cell>
          <cell r="EP75">
            <v>41990</v>
          </cell>
          <cell r="EQ75">
            <v>41946</v>
          </cell>
          <cell r="ER75">
            <v>44928</v>
          </cell>
          <cell r="ES75">
            <v>42658</v>
          </cell>
          <cell r="ET75">
            <v>42658</v>
          </cell>
          <cell r="EU75">
            <v>42658</v>
          </cell>
          <cell r="EV75">
            <v>42658</v>
          </cell>
          <cell r="EW75">
            <v>42658</v>
          </cell>
          <cell r="EX75">
            <v>42658</v>
          </cell>
          <cell r="EY75">
            <v>42658</v>
          </cell>
          <cell r="EZ75">
            <v>42658</v>
          </cell>
          <cell r="FA75">
            <v>42658</v>
          </cell>
          <cell r="FB75">
            <v>42658</v>
          </cell>
          <cell r="FC75">
            <v>42658</v>
          </cell>
          <cell r="FD75">
            <v>42658</v>
          </cell>
          <cell r="FE75">
            <v>42658</v>
          </cell>
        </row>
        <row r="76">
          <cell r="B76" t="str">
            <v>Non-current lease liabilities (op lease: US GAAP)</v>
          </cell>
          <cell r="C76" t="str">
            <v>LT_LEASE_LIAB</v>
          </cell>
          <cell r="D76" t="str">
            <v>USD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4249</v>
          </cell>
          <cell r="DI76">
            <v>5242</v>
          </cell>
          <cell r="DJ76">
            <v>5532</v>
          </cell>
          <cell r="DK76">
            <v>5372</v>
          </cell>
          <cell r="DL76">
            <v>5372</v>
          </cell>
          <cell r="DM76">
            <v>5768</v>
          </cell>
          <cell r="DN76">
            <v>5640</v>
          </cell>
          <cell r="DO76">
            <v>5751</v>
          </cell>
          <cell r="DP76">
            <v>5568</v>
          </cell>
          <cell r="DQ76">
            <v>5568</v>
          </cell>
          <cell r="DR76">
            <v>5652</v>
          </cell>
          <cell r="DS76">
            <v>5683</v>
          </cell>
          <cell r="DT76">
            <v>5972</v>
          </cell>
          <cell r="DU76">
            <v>6188</v>
          </cell>
          <cell r="DV76">
            <v>6188</v>
          </cell>
          <cell r="DW76">
            <v>6659</v>
          </cell>
          <cell r="DX76">
            <v>7172</v>
          </cell>
          <cell r="DY76">
            <v>7248</v>
          </cell>
          <cell r="DZ76">
            <v>7671</v>
          </cell>
          <cell r="EA76">
            <v>7671</v>
          </cell>
          <cell r="EB76">
            <v>7753</v>
          </cell>
          <cell r="EC76">
            <v>8875</v>
          </cell>
          <cell r="ED76">
            <v>9272</v>
          </cell>
          <cell r="EE76">
            <v>9629</v>
          </cell>
          <cell r="EF76">
            <v>9629</v>
          </cell>
          <cell r="EG76">
            <v>10050</v>
          </cell>
          <cell r="EH76">
            <v>10774</v>
          </cell>
          <cell r="EI76">
            <v>11357</v>
          </cell>
          <cell r="EJ76">
            <v>11489</v>
          </cell>
          <cell r="EK76">
            <v>11489</v>
          </cell>
          <cell r="EL76">
            <v>11660</v>
          </cell>
          <cell r="EM76">
            <v>11998</v>
          </cell>
          <cell r="EN76">
            <v>12312</v>
          </cell>
          <cell r="EO76">
            <v>12728</v>
          </cell>
          <cell r="EP76">
            <v>12728</v>
          </cell>
          <cell r="EQ76">
            <v>13487</v>
          </cell>
          <cell r="ER76">
            <v>14155</v>
          </cell>
          <cell r="ES76">
            <v>14469</v>
          </cell>
          <cell r="ET76">
            <v>14469</v>
          </cell>
          <cell r="EU76">
            <v>14469</v>
          </cell>
          <cell r="EV76">
            <v>14469</v>
          </cell>
          <cell r="EW76">
            <v>14469</v>
          </cell>
          <cell r="EX76">
            <v>14469</v>
          </cell>
          <cell r="EY76">
            <v>14469</v>
          </cell>
          <cell r="EZ76">
            <v>14469</v>
          </cell>
          <cell r="FA76">
            <v>14469</v>
          </cell>
          <cell r="FB76">
            <v>14469</v>
          </cell>
          <cell r="FC76">
            <v>14469</v>
          </cell>
          <cell r="FD76">
            <v>14469</v>
          </cell>
          <cell r="FE76">
            <v>14469</v>
          </cell>
        </row>
        <row r="77">
          <cell r="B77" t="str">
            <v>Other long-term liabilities</v>
          </cell>
          <cell r="C77" t="str">
            <v>OTH_LT_CRED_GQ</v>
          </cell>
          <cell r="D77" t="str">
            <v>USD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1440</v>
          </cell>
          <cell r="AG77">
            <v>1644</v>
          </cell>
          <cell r="AH77">
            <v>1775</v>
          </cell>
          <cell r="AI77">
            <v>836</v>
          </cell>
          <cell r="AJ77">
            <v>836</v>
          </cell>
          <cell r="AK77">
            <v>0</v>
          </cell>
          <cell r="AL77">
            <v>2272</v>
          </cell>
          <cell r="AM77">
            <v>2237</v>
          </cell>
          <cell r="AN77">
            <v>2722</v>
          </cell>
          <cell r="AO77">
            <v>2722</v>
          </cell>
          <cell r="AP77">
            <v>2962</v>
          </cell>
          <cell r="AQ77">
            <v>2930</v>
          </cell>
          <cell r="AR77">
            <v>3039</v>
          </cell>
          <cell r="AS77">
            <v>4577</v>
          </cell>
          <cell r="AT77">
            <v>4577</v>
          </cell>
          <cell r="AU77">
            <v>2503</v>
          </cell>
          <cell r="AV77">
            <v>2667</v>
          </cell>
          <cell r="AW77">
            <v>3203</v>
          </cell>
          <cell r="AX77">
            <v>4574</v>
          </cell>
          <cell r="AY77">
            <v>4574</v>
          </cell>
          <cell r="AZ77">
            <v>2511</v>
          </cell>
          <cell r="BA77">
            <v>2664</v>
          </cell>
          <cell r="BB77">
            <v>2763</v>
          </cell>
          <cell r="BC77">
            <v>5823</v>
          </cell>
          <cell r="BD77">
            <v>5823</v>
          </cell>
          <cell r="BE77">
            <v>6113</v>
          </cell>
          <cell r="BF77">
            <v>6302</v>
          </cell>
          <cell r="BG77">
            <v>6449</v>
          </cell>
          <cell r="BH77">
            <v>7051</v>
          </cell>
          <cell r="BI77">
            <v>7051</v>
          </cell>
          <cell r="BJ77">
            <v>7281</v>
          </cell>
          <cell r="BK77">
            <v>7522</v>
          </cell>
          <cell r="BL77">
            <v>7291</v>
          </cell>
          <cell r="BM77">
            <v>8320</v>
          </cell>
          <cell r="BN77">
            <v>8320</v>
          </cell>
          <cell r="BO77">
            <v>10766</v>
          </cell>
          <cell r="BP77">
            <v>10850</v>
          </cell>
          <cell r="BQ77">
            <v>6165</v>
          </cell>
          <cell r="BR77">
            <v>6621</v>
          </cell>
          <cell r="BS77">
            <v>6621</v>
          </cell>
          <cell r="BT77">
            <v>7140</v>
          </cell>
          <cell r="BU77">
            <v>7598</v>
          </cell>
          <cell r="BV77">
            <v>8087</v>
          </cell>
          <cell r="BW77">
            <v>7550</v>
          </cell>
          <cell r="BX77">
            <v>7550</v>
          </cell>
          <cell r="BY77">
            <v>7893</v>
          </cell>
          <cell r="BZ77">
            <v>8352</v>
          </cell>
          <cell r="CA77">
            <v>9030</v>
          </cell>
          <cell r="CB77">
            <v>8852</v>
          </cell>
          <cell r="CC77">
            <v>8852</v>
          </cell>
          <cell r="CD77">
            <v>9076</v>
          </cell>
          <cell r="CE77">
            <v>9842</v>
          </cell>
          <cell r="CF77">
            <v>10318</v>
          </cell>
          <cell r="CG77">
            <v>10926</v>
          </cell>
          <cell r="CH77">
            <v>10926</v>
          </cell>
          <cell r="CI77">
            <v>10554</v>
          </cell>
          <cell r="CJ77">
            <v>10817</v>
          </cell>
          <cell r="CK77">
            <v>11243</v>
          </cell>
          <cell r="CL77">
            <v>11507</v>
          </cell>
          <cell r="CM77">
            <v>11507</v>
          </cell>
          <cell r="CN77">
            <v>11924</v>
          </cell>
          <cell r="CO77">
            <v>12250</v>
          </cell>
          <cell r="CP77">
            <v>13539</v>
          </cell>
          <cell r="CQ77">
            <v>13469</v>
          </cell>
          <cell r="CR77">
            <v>13469</v>
          </cell>
          <cell r="CS77">
            <v>13452</v>
          </cell>
          <cell r="CT77">
            <v>14025</v>
          </cell>
          <cell r="CU77">
            <v>14113</v>
          </cell>
          <cell r="CV77">
            <v>16330</v>
          </cell>
          <cell r="CW77">
            <v>16330</v>
          </cell>
          <cell r="CX77">
            <v>16320</v>
          </cell>
          <cell r="CY77">
            <v>17294</v>
          </cell>
          <cell r="CZ77">
            <v>18159</v>
          </cell>
          <cell r="DA77">
            <v>18474</v>
          </cell>
          <cell r="DB77">
            <v>18474</v>
          </cell>
          <cell r="DC77">
            <v>18233</v>
          </cell>
          <cell r="DD77">
            <v>19996</v>
          </cell>
          <cell r="DE77">
            <v>21813</v>
          </cell>
          <cell r="DF77">
            <v>21557</v>
          </cell>
          <cell r="DG77">
            <v>21557</v>
          </cell>
          <cell r="DH77">
            <v>22908</v>
          </cell>
          <cell r="DI77">
            <v>24862</v>
          </cell>
          <cell r="DJ77">
            <v>25783</v>
          </cell>
          <cell r="DK77">
            <v>25411</v>
          </cell>
          <cell r="DL77">
            <v>25411</v>
          </cell>
          <cell r="DM77">
            <v>25812</v>
          </cell>
          <cell r="DN77">
            <v>40556</v>
          </cell>
          <cell r="DO77">
            <v>40894</v>
          </cell>
          <cell r="DP77">
            <v>39832</v>
          </cell>
          <cell r="DQ77">
            <v>39832</v>
          </cell>
          <cell r="DR77">
            <v>39990</v>
          </cell>
          <cell r="DS77">
            <v>41077</v>
          </cell>
          <cell r="DT77">
            <v>41999</v>
          </cell>
          <cell r="DU77">
            <v>41956</v>
          </cell>
          <cell r="DV77">
            <v>41956</v>
          </cell>
          <cell r="DW77">
            <v>41639</v>
          </cell>
          <cell r="DX77">
            <v>42512</v>
          </cell>
          <cell r="DY77">
            <v>42131</v>
          </cell>
          <cell r="DZ77">
            <v>43448</v>
          </cell>
          <cell r="EA77">
            <v>43448</v>
          </cell>
          <cell r="EB77">
            <v>42745</v>
          </cell>
          <cell r="EC77">
            <v>42404</v>
          </cell>
          <cell r="ED77">
            <v>42902</v>
          </cell>
          <cell r="EE77">
            <v>43431</v>
          </cell>
          <cell r="EF77">
            <v>43431</v>
          </cell>
          <cell r="EG77">
            <v>42823</v>
          </cell>
          <cell r="EH77">
            <v>43835</v>
          </cell>
          <cell r="EI77">
            <v>44710</v>
          </cell>
          <cell r="EJ77">
            <v>44695</v>
          </cell>
          <cell r="EK77">
            <v>44695</v>
          </cell>
          <cell r="EL77">
            <v>41795</v>
          </cell>
          <cell r="EM77">
            <v>43581</v>
          </cell>
          <cell r="EN77">
            <v>45437</v>
          </cell>
          <cell r="EO77">
            <v>46886</v>
          </cell>
          <cell r="EP77">
            <v>46886</v>
          </cell>
          <cell r="EQ77">
            <v>44846</v>
          </cell>
          <cell r="ER77">
            <v>52191</v>
          </cell>
          <cell r="ES77">
            <v>55471</v>
          </cell>
          <cell r="ET77">
            <v>61822.405302389001</v>
          </cell>
          <cell r="EU77">
            <v>61822.405302389001</v>
          </cell>
          <cell r="EV77">
            <v>56529.301627037989</v>
          </cell>
          <cell r="EW77">
            <v>61920.6404000119</v>
          </cell>
          <cell r="EX77">
            <v>63388.029355358871</v>
          </cell>
          <cell r="EY77">
            <v>66154.057311923869</v>
          </cell>
          <cell r="EZ77">
            <v>66154.057311923869</v>
          </cell>
          <cell r="FA77">
            <v>60875.307313749145</v>
          </cell>
          <cell r="FB77">
            <v>65204.939541290834</v>
          </cell>
          <cell r="FC77">
            <v>70184.770512650881</v>
          </cell>
          <cell r="FD77">
            <v>74868.497901561059</v>
          </cell>
          <cell r="FE77">
            <v>74868.497901561059</v>
          </cell>
        </row>
        <row r="78">
          <cell r="B78" t="str">
            <v>Total long-term liabilities</v>
          </cell>
          <cell r="C78" t="str">
            <v>TOT_LT_LIAB</v>
          </cell>
          <cell r="D78" t="str">
            <v>USD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1440</v>
          </cell>
          <cell r="AG78">
            <v>1644</v>
          </cell>
          <cell r="AH78">
            <v>1775</v>
          </cell>
          <cell r="AI78">
            <v>836</v>
          </cell>
          <cell r="AJ78">
            <v>836</v>
          </cell>
          <cell r="AK78">
            <v>0</v>
          </cell>
          <cell r="AL78">
            <v>2272</v>
          </cell>
          <cell r="AM78">
            <v>2237</v>
          </cell>
          <cell r="AN78">
            <v>2722</v>
          </cell>
          <cell r="AO78">
            <v>2722</v>
          </cell>
          <cell r="AP78">
            <v>2962</v>
          </cell>
          <cell r="AQ78">
            <v>2930</v>
          </cell>
          <cell r="AR78">
            <v>3039</v>
          </cell>
          <cell r="AS78">
            <v>4577</v>
          </cell>
          <cell r="AT78">
            <v>4577</v>
          </cell>
          <cell r="AU78">
            <v>2503</v>
          </cell>
          <cell r="AV78">
            <v>2667</v>
          </cell>
          <cell r="AW78">
            <v>3203</v>
          </cell>
          <cell r="AX78">
            <v>4574</v>
          </cell>
          <cell r="AY78">
            <v>4574</v>
          </cell>
          <cell r="AZ78">
            <v>2511</v>
          </cell>
          <cell r="BA78">
            <v>2664</v>
          </cell>
          <cell r="BB78">
            <v>2763</v>
          </cell>
          <cell r="BC78">
            <v>5823</v>
          </cell>
          <cell r="BD78">
            <v>5823</v>
          </cell>
          <cell r="BE78">
            <v>6113</v>
          </cell>
          <cell r="BF78">
            <v>6302</v>
          </cell>
          <cell r="BG78">
            <v>6449</v>
          </cell>
          <cell r="BH78">
            <v>7051</v>
          </cell>
          <cell r="BI78">
            <v>7051</v>
          </cell>
          <cell r="BJ78">
            <v>7281</v>
          </cell>
          <cell r="BK78">
            <v>7522</v>
          </cell>
          <cell r="BL78">
            <v>7291</v>
          </cell>
          <cell r="BM78">
            <v>8320</v>
          </cell>
          <cell r="BN78">
            <v>8320</v>
          </cell>
          <cell r="BO78">
            <v>10766</v>
          </cell>
          <cell r="BP78">
            <v>10850</v>
          </cell>
          <cell r="BQ78">
            <v>6165</v>
          </cell>
          <cell r="BR78">
            <v>6621</v>
          </cell>
          <cell r="BS78">
            <v>6621</v>
          </cell>
          <cell r="BT78">
            <v>7140</v>
          </cell>
          <cell r="BU78">
            <v>7598</v>
          </cell>
          <cell r="BV78">
            <v>8087</v>
          </cell>
          <cell r="BW78">
            <v>11296</v>
          </cell>
          <cell r="BX78">
            <v>11296</v>
          </cell>
          <cell r="BY78">
            <v>11639</v>
          </cell>
          <cell r="BZ78">
            <v>12098</v>
          </cell>
          <cell r="CA78">
            <v>12776</v>
          </cell>
          <cell r="CB78">
            <v>13791</v>
          </cell>
          <cell r="CC78">
            <v>13791</v>
          </cell>
          <cell r="CD78">
            <v>18741</v>
          </cell>
          <cell r="CE78">
            <v>19513</v>
          </cell>
          <cell r="CF78">
            <v>22233</v>
          </cell>
          <cell r="CG78">
            <v>22847</v>
          </cell>
          <cell r="CH78">
            <v>22847</v>
          </cell>
          <cell r="CI78">
            <v>22481</v>
          </cell>
          <cell r="CJ78">
            <v>22749</v>
          </cell>
          <cell r="CK78">
            <v>23181</v>
          </cell>
          <cell r="CL78">
            <v>22220</v>
          </cell>
          <cell r="CM78">
            <v>22220</v>
          </cell>
          <cell r="CN78">
            <v>21638</v>
          </cell>
          <cell r="CO78">
            <v>24197</v>
          </cell>
          <cell r="CP78">
            <v>25488</v>
          </cell>
          <cell r="CQ78">
            <v>26070</v>
          </cell>
          <cell r="CR78">
            <v>26070</v>
          </cell>
          <cell r="CS78">
            <v>26084</v>
          </cell>
          <cell r="CT78">
            <v>34701</v>
          </cell>
          <cell r="CU78">
            <v>34792</v>
          </cell>
          <cell r="CV78">
            <v>36975</v>
          </cell>
          <cell r="CW78">
            <v>36975</v>
          </cell>
          <cell r="CX78">
            <v>34792</v>
          </cell>
          <cell r="CY78">
            <v>35554</v>
          </cell>
          <cell r="CZ78">
            <v>45803</v>
          </cell>
          <cell r="DA78">
            <v>46282</v>
          </cell>
          <cell r="DB78">
            <v>46282</v>
          </cell>
          <cell r="DC78">
            <v>46052</v>
          </cell>
          <cell r="DD78">
            <v>60675</v>
          </cell>
          <cell r="DE78">
            <v>62709</v>
          </cell>
          <cell r="DF78">
            <v>62340</v>
          </cell>
          <cell r="DG78">
            <v>62340</v>
          </cell>
          <cell r="DH78">
            <v>87311</v>
          </cell>
          <cell r="DI78">
            <v>89410</v>
          </cell>
          <cell r="DJ78">
            <v>107537</v>
          </cell>
          <cell r="DK78">
            <v>106856</v>
          </cell>
          <cell r="DL78">
            <v>106856</v>
          </cell>
          <cell r="DM78">
            <v>107835</v>
          </cell>
          <cell r="DN78">
            <v>119544</v>
          </cell>
          <cell r="DO78">
            <v>120125</v>
          </cell>
          <cell r="DP78">
            <v>117642</v>
          </cell>
          <cell r="DQ78">
            <v>117642</v>
          </cell>
          <cell r="DR78">
            <v>115375</v>
          </cell>
          <cell r="DS78">
            <v>116413</v>
          </cell>
          <cell r="DT78">
            <v>114556</v>
          </cell>
          <cell r="DU78">
            <v>114806</v>
          </cell>
          <cell r="DV78">
            <v>114806</v>
          </cell>
          <cell r="DW78">
            <v>114776</v>
          </cell>
          <cell r="DX78">
            <v>113045</v>
          </cell>
          <cell r="DY78">
            <v>112241</v>
          </cell>
          <cell r="DZ78">
            <v>110697</v>
          </cell>
          <cell r="EA78">
            <v>110697</v>
          </cell>
          <cell r="EB78">
            <v>107553</v>
          </cell>
          <cell r="EC78">
            <v>106415</v>
          </cell>
          <cell r="ED78">
            <v>102181</v>
          </cell>
          <cell r="EE78">
            <v>103134</v>
          </cell>
          <cell r="EF78">
            <v>103134</v>
          </cell>
          <cell r="EG78">
            <v>102912</v>
          </cell>
          <cell r="EH78">
            <v>102869</v>
          </cell>
          <cell r="EI78">
            <v>104244</v>
          </cell>
          <cell r="EJ78">
            <v>103216</v>
          </cell>
          <cell r="EK78">
            <v>103216</v>
          </cell>
          <cell r="EL78">
            <v>98829</v>
          </cell>
          <cell r="EM78">
            <v>99698</v>
          </cell>
          <cell r="EN78">
            <v>99714</v>
          </cell>
          <cell r="EO78">
            <v>101604</v>
          </cell>
          <cell r="EP78">
            <v>101604</v>
          </cell>
          <cell r="EQ78">
            <v>100279</v>
          </cell>
          <cell r="ER78">
            <v>111274</v>
          </cell>
          <cell r="ES78">
            <v>112598</v>
          </cell>
          <cell r="ET78">
            <v>118949.405302389</v>
          </cell>
          <cell r="EU78">
            <v>118949.405302389</v>
          </cell>
          <cell r="EV78">
            <v>113656.30162703799</v>
          </cell>
          <cell r="EW78">
            <v>119047.64040001191</v>
          </cell>
          <cell r="EX78">
            <v>120515.02935535886</v>
          </cell>
          <cell r="EY78">
            <v>123281.05731192388</v>
          </cell>
          <cell r="EZ78">
            <v>123281.05731192388</v>
          </cell>
          <cell r="FA78">
            <v>118002.30731374916</v>
          </cell>
          <cell r="FB78">
            <v>122331.93954129083</v>
          </cell>
          <cell r="FC78">
            <v>127311.7705126509</v>
          </cell>
          <cell r="FD78">
            <v>131995.49790156109</v>
          </cell>
          <cell r="FE78">
            <v>131995.49790156109</v>
          </cell>
        </row>
        <row r="79">
          <cell r="B79" t="str">
            <v>Total liabilities</v>
          </cell>
          <cell r="C79" t="str">
            <v>TOT_LIAB</v>
          </cell>
          <cell r="D79" t="str">
            <v>USD</v>
          </cell>
          <cell r="F79">
            <v>1347</v>
          </cell>
          <cell r="G79">
            <v>1759</v>
          </cell>
          <cell r="H79">
            <v>2241</v>
          </cell>
          <cell r="I79">
            <v>2264</v>
          </cell>
          <cell r="J79">
            <v>2425</v>
          </cell>
          <cell r="K79">
            <v>2425</v>
          </cell>
          <cell r="L79">
            <v>2663</v>
          </cell>
          <cell r="M79">
            <v>3144</v>
          </cell>
          <cell r="N79">
            <v>3479</v>
          </cell>
          <cell r="O79">
            <v>3610</v>
          </cell>
          <cell r="P79">
            <v>3610</v>
          </cell>
          <cell r="Q79">
            <v>3902</v>
          </cell>
          <cell r="R79">
            <v>4496</v>
          </cell>
          <cell r="S79">
            <v>4869</v>
          </cell>
          <cell r="T79">
            <v>5730</v>
          </cell>
          <cell r="U79">
            <v>5730</v>
          </cell>
          <cell r="V79">
            <v>6445</v>
          </cell>
          <cell r="W79">
            <v>7471</v>
          </cell>
          <cell r="X79">
            <v>7839</v>
          </cell>
          <cell r="Y79">
            <v>8718</v>
          </cell>
          <cell r="Z79">
            <v>8718</v>
          </cell>
          <cell r="AA79">
            <v>8332</v>
          </cell>
          <cell r="AB79">
            <v>10504</v>
          </cell>
          <cell r="AC79">
            <v>11103</v>
          </cell>
          <cell r="AD79">
            <v>9753</v>
          </cell>
          <cell r="AE79">
            <v>9753</v>
          </cell>
          <cell r="AF79">
            <v>10746</v>
          </cell>
          <cell r="AG79">
            <v>11269</v>
          </cell>
          <cell r="AH79">
            <v>11515</v>
          </cell>
          <cell r="AI79">
            <v>11968</v>
          </cell>
          <cell r="AJ79">
            <v>11968</v>
          </cell>
          <cell r="AK79">
            <v>12862</v>
          </cell>
          <cell r="AL79">
            <v>13839</v>
          </cell>
          <cell r="AM79">
            <v>14079</v>
          </cell>
          <cell r="AN79">
            <v>15466</v>
          </cell>
          <cell r="AO79">
            <v>15466</v>
          </cell>
          <cell r="AP79">
            <v>16719</v>
          </cell>
          <cell r="AQ79">
            <v>16547</v>
          </cell>
          <cell r="AR79">
            <v>16200</v>
          </cell>
          <cell r="AS79">
            <v>18551</v>
          </cell>
          <cell r="AT79">
            <v>18551</v>
          </cell>
          <cell r="AU79">
            <v>17601</v>
          </cell>
          <cell r="AV79">
            <v>16594</v>
          </cell>
          <cell r="AW79">
            <v>19187</v>
          </cell>
          <cell r="AX79">
            <v>19543</v>
          </cell>
          <cell r="AY79">
            <v>19543</v>
          </cell>
          <cell r="AZ79">
            <v>17949</v>
          </cell>
          <cell r="BA79">
            <v>17709</v>
          </cell>
          <cell r="BB79">
            <v>18902</v>
          </cell>
          <cell r="BC79">
            <v>22700</v>
          </cell>
          <cell r="BD79">
            <v>22700</v>
          </cell>
          <cell r="BE79">
            <v>23135</v>
          </cell>
          <cell r="BF79">
            <v>23049</v>
          </cell>
          <cell r="BG79">
            <v>24816</v>
          </cell>
          <cell r="BH79">
            <v>29493</v>
          </cell>
          <cell r="BI79">
            <v>29493</v>
          </cell>
          <cell r="BJ79">
            <v>29253</v>
          </cell>
          <cell r="BK79">
            <v>29737</v>
          </cell>
          <cell r="BL79">
            <v>28918</v>
          </cell>
          <cell r="BM79">
            <v>32074</v>
          </cell>
          <cell r="BN79">
            <v>32074</v>
          </cell>
          <cell r="BO79">
            <v>33510</v>
          </cell>
          <cell r="BP79">
            <v>32908</v>
          </cell>
          <cell r="BQ79">
            <v>33193</v>
          </cell>
          <cell r="BR79">
            <v>36507</v>
          </cell>
          <cell r="BS79">
            <v>36507</v>
          </cell>
          <cell r="BT79">
            <v>31523</v>
          </cell>
          <cell r="BU79">
            <v>31308</v>
          </cell>
          <cell r="BV79">
            <v>31910</v>
          </cell>
          <cell r="BW79">
            <v>38330</v>
          </cell>
          <cell r="BX79">
            <v>38330</v>
          </cell>
          <cell r="BY79">
            <v>40400</v>
          </cell>
          <cell r="BZ79">
            <v>37813</v>
          </cell>
          <cell r="CA79">
            <v>39200</v>
          </cell>
          <cell r="CB79">
            <v>39938</v>
          </cell>
          <cell r="CC79">
            <v>39938</v>
          </cell>
          <cell r="CD79">
            <v>44598</v>
          </cell>
          <cell r="CE79">
            <v>43825</v>
          </cell>
          <cell r="CF79">
            <v>46275</v>
          </cell>
          <cell r="CG79">
            <v>51621</v>
          </cell>
          <cell r="CH79">
            <v>51621</v>
          </cell>
          <cell r="CI79">
            <v>48024</v>
          </cell>
          <cell r="CJ79">
            <v>48122</v>
          </cell>
          <cell r="CK79">
            <v>49351</v>
          </cell>
          <cell r="CL79">
            <v>54908</v>
          </cell>
          <cell r="CM79">
            <v>54908</v>
          </cell>
          <cell r="CN79">
            <v>53040</v>
          </cell>
          <cell r="CO79">
            <v>56107</v>
          </cell>
          <cell r="CP79">
            <v>57417</v>
          </cell>
          <cell r="CQ79">
            <v>63487</v>
          </cell>
          <cell r="CR79">
            <v>63487</v>
          </cell>
          <cell r="CS79">
            <v>60707</v>
          </cell>
          <cell r="CT79">
            <v>68443</v>
          </cell>
          <cell r="CU79">
            <v>68695</v>
          </cell>
          <cell r="CV79">
            <v>82600</v>
          </cell>
          <cell r="CW79">
            <v>82600</v>
          </cell>
          <cell r="CX79">
            <v>79486</v>
          </cell>
          <cell r="CY79">
            <v>82969</v>
          </cell>
          <cell r="CZ79">
            <v>86551</v>
          </cell>
          <cell r="DA79">
            <v>96140</v>
          </cell>
          <cell r="DB79">
            <v>96140</v>
          </cell>
          <cell r="DC79">
            <v>95451</v>
          </cell>
          <cell r="DD79">
            <v>103318</v>
          </cell>
          <cell r="DE79">
            <v>107063</v>
          </cell>
          <cell r="DF79">
            <v>121697</v>
          </cell>
          <cell r="DG79">
            <v>121697</v>
          </cell>
          <cell r="DH79">
            <v>139546</v>
          </cell>
          <cell r="DI79">
            <v>153469</v>
          </cell>
          <cell r="DJ79">
            <v>152525</v>
          </cell>
          <cell r="DK79">
            <v>162601</v>
          </cell>
          <cell r="DL79">
            <v>162601</v>
          </cell>
          <cell r="DM79">
            <v>159450</v>
          </cell>
          <cell r="DN79">
            <v>177643</v>
          </cell>
          <cell r="DO79">
            <v>166258</v>
          </cell>
          <cell r="DP79">
            <v>176130</v>
          </cell>
          <cell r="DQ79">
            <v>176130</v>
          </cell>
          <cell r="DR79">
            <v>171652</v>
          </cell>
          <cell r="DS79">
            <v>166731</v>
          </cell>
          <cell r="DT79">
            <v>168417</v>
          </cell>
          <cell r="DU79">
            <v>184226</v>
          </cell>
          <cell r="DV79">
            <v>184226</v>
          </cell>
          <cell r="DW79">
            <v>172894</v>
          </cell>
          <cell r="DX79">
            <v>172685</v>
          </cell>
          <cell r="DY79">
            <v>170948</v>
          </cell>
          <cell r="DZ79">
            <v>183007</v>
          </cell>
          <cell r="EA79">
            <v>183007</v>
          </cell>
          <cell r="EB79">
            <v>177609</v>
          </cell>
          <cell r="EC79">
            <v>173901</v>
          </cell>
          <cell r="ED79">
            <v>174374</v>
          </cell>
          <cell r="EE79">
            <v>191791</v>
          </cell>
          <cell r="EF79">
            <v>191791</v>
          </cell>
          <cell r="EG79">
            <v>183440</v>
          </cell>
          <cell r="EH79">
            <v>180379</v>
          </cell>
          <cell r="EI79">
            <v>181683</v>
          </cell>
          <cell r="EJ79">
            <v>198298</v>
          </cell>
          <cell r="EK79">
            <v>198298</v>
          </cell>
          <cell r="EL79">
            <v>186218</v>
          </cell>
          <cell r="EM79">
            <v>181416</v>
          </cell>
          <cell r="EN79">
            <v>185405</v>
          </cell>
          <cell r="EO79">
            <v>205753</v>
          </cell>
          <cell r="EP79">
            <v>205753</v>
          </cell>
          <cell r="EQ79">
            <v>225071</v>
          </cell>
          <cell r="ER79">
            <v>232290</v>
          </cell>
          <cell r="ES79">
            <v>231123</v>
          </cell>
          <cell r="ET79">
            <v>254694.87591914291</v>
          </cell>
          <cell r="EU79">
            <v>254694.87591914291</v>
          </cell>
          <cell r="EV79">
            <v>246406.16579981142</v>
          </cell>
          <cell r="EW79">
            <v>241502.55827857301</v>
          </cell>
          <cell r="EX79">
            <v>246530.66825607279</v>
          </cell>
          <cell r="EY79">
            <v>267944.65373872127</v>
          </cell>
          <cell r="EZ79">
            <v>267944.65373872127</v>
          </cell>
          <cell r="FA79">
            <v>257364.90254389567</v>
          </cell>
          <cell r="FB79">
            <v>252299.42579674331</v>
          </cell>
          <cell r="FC79">
            <v>263051.6479671686</v>
          </cell>
          <cell r="FD79">
            <v>288576.76705846528</v>
          </cell>
          <cell r="FE79">
            <v>288576.76705846528</v>
          </cell>
        </row>
        <row r="80">
          <cell r="B80" t="str">
            <v>Preferred shares</v>
          </cell>
          <cell r="C80" t="str">
            <v>PREF_SH</v>
          </cell>
          <cell r="D80" t="str">
            <v>USD</v>
          </cell>
        </row>
        <row r="81">
          <cell r="B81" t="str">
            <v>Total common equity</v>
          </cell>
          <cell r="C81" t="str">
            <v>ORD_SH_FUND</v>
          </cell>
          <cell r="D81" t="str">
            <v>USD</v>
          </cell>
          <cell r="F81">
            <v>5863</v>
          </cell>
          <cell r="G81">
            <v>6401</v>
          </cell>
          <cell r="H81">
            <v>6865</v>
          </cell>
          <cell r="I81">
            <v>7326</v>
          </cell>
          <cell r="J81">
            <v>7668</v>
          </cell>
          <cell r="K81">
            <v>7668</v>
          </cell>
          <cell r="L81">
            <v>8077</v>
          </cell>
          <cell r="M81">
            <v>9642</v>
          </cell>
          <cell r="N81">
            <v>9134</v>
          </cell>
          <cell r="O81">
            <v>10777</v>
          </cell>
          <cell r="P81">
            <v>10777</v>
          </cell>
          <cell r="Q81">
            <v>11464</v>
          </cell>
          <cell r="R81">
            <v>12344</v>
          </cell>
          <cell r="S81">
            <v>14676</v>
          </cell>
          <cell r="T81">
            <v>16627</v>
          </cell>
          <cell r="U81">
            <v>16627</v>
          </cell>
          <cell r="V81">
            <v>19124</v>
          </cell>
          <cell r="W81">
            <v>22578</v>
          </cell>
          <cell r="X81">
            <v>25722</v>
          </cell>
          <cell r="Y81">
            <v>28438</v>
          </cell>
          <cell r="Z81">
            <v>28438</v>
          </cell>
          <cell r="AA81">
            <v>31340</v>
          </cell>
          <cell r="AB81">
            <v>34589</v>
          </cell>
          <cell r="AC81">
            <v>39792</v>
          </cell>
          <cell r="AD81">
            <v>40689</v>
          </cell>
          <cell r="AE81">
            <v>40689</v>
          </cell>
          <cell r="AF81">
            <v>45343</v>
          </cell>
          <cell r="AG81">
            <v>46422</v>
          </cell>
          <cell r="AH81">
            <v>48090</v>
          </cell>
          <cell r="AI81">
            <v>47289</v>
          </cell>
          <cell r="AJ81">
            <v>47289</v>
          </cell>
          <cell r="AK81">
            <v>48505</v>
          </cell>
          <cell r="AL81">
            <v>51548</v>
          </cell>
          <cell r="AM81">
            <v>54300</v>
          </cell>
          <cell r="AN81">
            <v>52180</v>
          </cell>
          <cell r="AO81">
            <v>52180</v>
          </cell>
          <cell r="AP81">
            <v>53516</v>
          </cell>
          <cell r="AQ81">
            <v>55812</v>
          </cell>
          <cell r="AR81">
            <v>58282</v>
          </cell>
          <cell r="AS81">
            <v>61020</v>
          </cell>
          <cell r="AT81">
            <v>61020</v>
          </cell>
          <cell r="AU81">
            <v>66680</v>
          </cell>
          <cell r="AV81">
            <v>69343</v>
          </cell>
          <cell r="AW81">
            <v>70580</v>
          </cell>
          <cell r="AX81">
            <v>74825</v>
          </cell>
          <cell r="AY81">
            <v>74825</v>
          </cell>
          <cell r="AZ81">
            <v>76319</v>
          </cell>
          <cell r="BA81">
            <v>47232</v>
          </cell>
          <cell r="BB81">
            <v>47373</v>
          </cell>
          <cell r="BC81">
            <v>48115</v>
          </cell>
          <cell r="BD81">
            <v>48115</v>
          </cell>
          <cell r="BE81">
            <v>48327</v>
          </cell>
          <cell r="BF81">
            <v>44208</v>
          </cell>
          <cell r="BG81">
            <v>42038</v>
          </cell>
          <cell r="BH81">
            <v>40104</v>
          </cell>
          <cell r="BI81">
            <v>40104</v>
          </cell>
          <cell r="BJ81">
            <v>36101</v>
          </cell>
          <cell r="BK81">
            <v>36634</v>
          </cell>
          <cell r="BL81">
            <v>34973</v>
          </cell>
          <cell r="BM81">
            <v>31097</v>
          </cell>
          <cell r="BN81">
            <v>31097</v>
          </cell>
          <cell r="BO81">
            <v>32135</v>
          </cell>
          <cell r="BP81">
            <v>34431</v>
          </cell>
          <cell r="BQ81">
            <v>37554</v>
          </cell>
          <cell r="BR81">
            <v>36286</v>
          </cell>
          <cell r="BS81">
            <v>36286</v>
          </cell>
          <cell r="BT81">
            <v>33594</v>
          </cell>
          <cell r="BU81">
            <v>34478</v>
          </cell>
          <cell r="BV81">
            <v>36943</v>
          </cell>
          <cell r="BW81">
            <v>39558</v>
          </cell>
          <cell r="BX81">
            <v>39558</v>
          </cell>
          <cell r="BY81">
            <v>41212</v>
          </cell>
          <cell r="BZ81">
            <v>44283</v>
          </cell>
          <cell r="CA81">
            <v>45710</v>
          </cell>
          <cell r="CB81">
            <v>46175</v>
          </cell>
          <cell r="CC81">
            <v>46175</v>
          </cell>
          <cell r="CD81">
            <v>46942</v>
          </cell>
          <cell r="CE81">
            <v>48481</v>
          </cell>
          <cell r="CF81">
            <v>53452</v>
          </cell>
          <cell r="CG81">
            <v>57083</v>
          </cell>
          <cell r="CH81">
            <v>57083</v>
          </cell>
          <cell r="CI81">
            <v>59391</v>
          </cell>
          <cell r="CJ81">
            <v>64121</v>
          </cell>
          <cell r="CK81">
            <v>68659</v>
          </cell>
          <cell r="CL81">
            <v>66363</v>
          </cell>
          <cell r="CM81">
            <v>66363</v>
          </cell>
          <cell r="CN81">
            <v>68836</v>
          </cell>
          <cell r="CO81">
            <v>72576</v>
          </cell>
          <cell r="CP81">
            <v>76688</v>
          </cell>
          <cell r="CQ81">
            <v>78944</v>
          </cell>
          <cell r="CR81">
            <v>78944</v>
          </cell>
          <cell r="CS81">
            <v>81641</v>
          </cell>
          <cell r="CT81">
            <v>85100</v>
          </cell>
          <cell r="CU81">
            <v>87424</v>
          </cell>
          <cell r="CV81">
            <v>89784</v>
          </cell>
          <cell r="CW81">
            <v>89784</v>
          </cell>
          <cell r="CX81">
            <v>90170</v>
          </cell>
          <cell r="CY81">
            <v>91879</v>
          </cell>
          <cell r="CZ81">
            <v>90132</v>
          </cell>
          <cell r="DA81">
            <v>80083</v>
          </cell>
          <cell r="DB81">
            <v>80083</v>
          </cell>
          <cell r="DC81">
            <v>77445</v>
          </cell>
          <cell r="DD81">
            <v>76780</v>
          </cell>
          <cell r="DE81">
            <v>74806</v>
          </cell>
          <cell r="DF81">
            <v>71997</v>
          </cell>
          <cell r="DG81">
            <v>71997</v>
          </cell>
          <cell r="DH81">
            <v>82462</v>
          </cell>
          <cell r="DI81">
            <v>81829</v>
          </cell>
          <cell r="DJ81">
            <v>83491</v>
          </cell>
          <cell r="DK81">
            <v>87711</v>
          </cell>
          <cell r="DL81">
            <v>87711</v>
          </cell>
          <cell r="DM81">
            <v>89647</v>
          </cell>
          <cell r="DN81">
            <v>78360</v>
          </cell>
          <cell r="DO81">
            <v>79239</v>
          </cell>
          <cell r="DP81">
            <v>82718</v>
          </cell>
          <cell r="DQ81">
            <v>82718</v>
          </cell>
          <cell r="DR81">
            <v>85967</v>
          </cell>
          <cell r="DS81">
            <v>92128</v>
          </cell>
          <cell r="DT81">
            <v>94864</v>
          </cell>
          <cell r="DU81">
            <v>102330</v>
          </cell>
          <cell r="DV81">
            <v>102330</v>
          </cell>
          <cell r="DW81">
            <v>106061</v>
          </cell>
          <cell r="DX81">
            <v>110109</v>
          </cell>
          <cell r="DY81">
            <v>114501</v>
          </cell>
          <cell r="DZ81">
            <v>118304</v>
          </cell>
          <cell r="EA81">
            <v>118304</v>
          </cell>
          <cell r="EB81">
            <v>123392</v>
          </cell>
          <cell r="EC81">
            <v>130236</v>
          </cell>
          <cell r="ED81">
            <v>134505</v>
          </cell>
          <cell r="EE81">
            <v>141988</v>
          </cell>
          <cell r="EF81">
            <v>141988</v>
          </cell>
          <cell r="EG81">
            <v>151978</v>
          </cell>
          <cell r="EH81">
            <v>160010</v>
          </cell>
          <cell r="EI81">
            <v>162924</v>
          </cell>
          <cell r="EJ81">
            <v>166542</v>
          </cell>
          <cell r="EK81">
            <v>166542</v>
          </cell>
          <cell r="EL81">
            <v>173566</v>
          </cell>
          <cell r="EM81">
            <v>183136</v>
          </cell>
          <cell r="EN81">
            <v>194683</v>
          </cell>
          <cell r="EO81">
            <v>206223</v>
          </cell>
          <cell r="EP81">
            <v>206223</v>
          </cell>
          <cell r="EQ81">
            <v>220714</v>
          </cell>
          <cell r="ER81">
            <v>238268</v>
          </cell>
          <cell r="ES81">
            <v>253152</v>
          </cell>
          <cell r="ET81">
            <v>273160.38450085907</v>
          </cell>
          <cell r="EU81">
            <v>273160.38450085907</v>
          </cell>
          <cell r="EV81">
            <v>295491.56089522701</v>
          </cell>
          <cell r="EW81">
            <v>318521.46336554224</v>
          </cell>
          <cell r="EX81">
            <v>341416.95483489113</v>
          </cell>
          <cell r="EY81">
            <v>366217.29159983061</v>
          </cell>
          <cell r="EZ81">
            <v>366217.29159983061</v>
          </cell>
          <cell r="FA81">
            <v>392664.17547346285</v>
          </cell>
          <cell r="FB81">
            <v>419950.10841698985</v>
          </cell>
          <cell r="FC81">
            <v>447154.45920537424</v>
          </cell>
          <cell r="FD81">
            <v>476647.7939663743</v>
          </cell>
          <cell r="FE81">
            <v>476647.7939663743</v>
          </cell>
        </row>
        <row r="82">
          <cell r="B82" t="str">
            <v>Minority interest</v>
          </cell>
          <cell r="C82" t="str">
            <v>MINORITIES</v>
          </cell>
          <cell r="D82" t="str">
            <v>USD</v>
          </cell>
        </row>
        <row r="83">
          <cell r="B83" t="str">
            <v>Total shareholders' equity</v>
          </cell>
          <cell r="C83" t="str">
            <v>EQ</v>
          </cell>
          <cell r="D83" t="str">
            <v>USD</v>
          </cell>
          <cell r="F83">
            <v>5863</v>
          </cell>
          <cell r="G83">
            <v>6401</v>
          </cell>
          <cell r="H83">
            <v>6865</v>
          </cell>
          <cell r="I83">
            <v>7326</v>
          </cell>
          <cell r="J83">
            <v>7668</v>
          </cell>
          <cell r="K83">
            <v>7668</v>
          </cell>
          <cell r="L83">
            <v>8077</v>
          </cell>
          <cell r="M83">
            <v>9642</v>
          </cell>
          <cell r="N83">
            <v>9134</v>
          </cell>
          <cell r="O83">
            <v>10777</v>
          </cell>
          <cell r="P83">
            <v>10777</v>
          </cell>
          <cell r="Q83">
            <v>11464</v>
          </cell>
          <cell r="R83">
            <v>12344</v>
          </cell>
          <cell r="S83">
            <v>14676</v>
          </cell>
          <cell r="T83">
            <v>16627</v>
          </cell>
          <cell r="U83">
            <v>16627</v>
          </cell>
          <cell r="V83">
            <v>19124</v>
          </cell>
          <cell r="W83">
            <v>22578</v>
          </cell>
          <cell r="X83">
            <v>25722</v>
          </cell>
          <cell r="Y83">
            <v>28438</v>
          </cell>
          <cell r="Z83">
            <v>28438</v>
          </cell>
          <cell r="AA83">
            <v>31340</v>
          </cell>
          <cell r="AB83">
            <v>34589</v>
          </cell>
          <cell r="AC83">
            <v>39792</v>
          </cell>
          <cell r="AD83">
            <v>40689</v>
          </cell>
          <cell r="AE83">
            <v>40689</v>
          </cell>
          <cell r="AF83">
            <v>45343</v>
          </cell>
          <cell r="AG83">
            <v>46422</v>
          </cell>
          <cell r="AH83">
            <v>48090</v>
          </cell>
          <cell r="AI83">
            <v>47289</v>
          </cell>
          <cell r="AJ83">
            <v>47289</v>
          </cell>
          <cell r="AK83">
            <v>48505</v>
          </cell>
          <cell r="AL83">
            <v>51548</v>
          </cell>
          <cell r="AM83">
            <v>54300</v>
          </cell>
          <cell r="AN83">
            <v>52180</v>
          </cell>
          <cell r="AO83">
            <v>52180</v>
          </cell>
          <cell r="AP83">
            <v>53516</v>
          </cell>
          <cell r="AQ83">
            <v>55812</v>
          </cell>
          <cell r="AR83">
            <v>58282</v>
          </cell>
          <cell r="AS83">
            <v>61020</v>
          </cell>
          <cell r="AT83">
            <v>61020</v>
          </cell>
          <cell r="AU83">
            <v>66680</v>
          </cell>
          <cell r="AV83">
            <v>69343</v>
          </cell>
          <cell r="AW83">
            <v>70580</v>
          </cell>
          <cell r="AX83">
            <v>74825</v>
          </cell>
          <cell r="AY83">
            <v>74825</v>
          </cell>
          <cell r="AZ83">
            <v>76319</v>
          </cell>
          <cell r="BA83">
            <v>47232</v>
          </cell>
          <cell r="BB83">
            <v>47373</v>
          </cell>
          <cell r="BC83">
            <v>48115</v>
          </cell>
          <cell r="BD83">
            <v>48115</v>
          </cell>
          <cell r="BE83">
            <v>48327</v>
          </cell>
          <cell r="BF83">
            <v>44208</v>
          </cell>
          <cell r="BG83">
            <v>42038</v>
          </cell>
          <cell r="BH83">
            <v>40104</v>
          </cell>
          <cell r="BI83">
            <v>40104</v>
          </cell>
          <cell r="BJ83">
            <v>36101</v>
          </cell>
          <cell r="BK83">
            <v>36634</v>
          </cell>
          <cell r="BL83">
            <v>34973</v>
          </cell>
          <cell r="BM83">
            <v>31097</v>
          </cell>
          <cell r="BN83">
            <v>31097</v>
          </cell>
          <cell r="BO83">
            <v>32135</v>
          </cell>
          <cell r="BP83">
            <v>34431</v>
          </cell>
          <cell r="BQ83">
            <v>37554</v>
          </cell>
          <cell r="BR83">
            <v>36286</v>
          </cell>
          <cell r="BS83">
            <v>36286</v>
          </cell>
          <cell r="BT83">
            <v>33594</v>
          </cell>
          <cell r="BU83">
            <v>34478</v>
          </cell>
          <cell r="BV83">
            <v>36943</v>
          </cell>
          <cell r="BW83">
            <v>39558</v>
          </cell>
          <cell r="BX83">
            <v>39558</v>
          </cell>
          <cell r="BY83">
            <v>41212</v>
          </cell>
          <cell r="BZ83">
            <v>44283</v>
          </cell>
          <cell r="CA83">
            <v>45710</v>
          </cell>
          <cell r="CB83">
            <v>46175</v>
          </cell>
          <cell r="CC83">
            <v>46175</v>
          </cell>
          <cell r="CD83">
            <v>46942</v>
          </cell>
          <cell r="CE83">
            <v>48481</v>
          </cell>
          <cell r="CF83">
            <v>53452</v>
          </cell>
          <cell r="CG83">
            <v>57083</v>
          </cell>
          <cell r="CH83">
            <v>57083</v>
          </cell>
          <cell r="CI83">
            <v>59391</v>
          </cell>
          <cell r="CJ83">
            <v>64121</v>
          </cell>
          <cell r="CK83">
            <v>68659</v>
          </cell>
          <cell r="CL83">
            <v>66363</v>
          </cell>
          <cell r="CM83">
            <v>66363</v>
          </cell>
          <cell r="CN83">
            <v>68836</v>
          </cell>
          <cell r="CO83">
            <v>72576</v>
          </cell>
          <cell r="CP83">
            <v>76688</v>
          </cell>
          <cell r="CQ83">
            <v>78944</v>
          </cell>
          <cell r="CR83">
            <v>78944</v>
          </cell>
          <cell r="CS83">
            <v>81641</v>
          </cell>
          <cell r="CT83">
            <v>85100</v>
          </cell>
          <cell r="CU83">
            <v>87424</v>
          </cell>
          <cell r="CV83">
            <v>89784</v>
          </cell>
          <cell r="CW83">
            <v>89784</v>
          </cell>
          <cell r="CX83">
            <v>90170</v>
          </cell>
          <cell r="CY83">
            <v>91879</v>
          </cell>
          <cell r="CZ83">
            <v>90132</v>
          </cell>
          <cell r="DA83">
            <v>80083</v>
          </cell>
          <cell r="DB83">
            <v>80083</v>
          </cell>
          <cell r="DC83">
            <v>77445</v>
          </cell>
          <cell r="DD83">
            <v>76780</v>
          </cell>
          <cell r="DE83">
            <v>74806</v>
          </cell>
          <cell r="DF83">
            <v>71997</v>
          </cell>
          <cell r="DG83">
            <v>71997</v>
          </cell>
          <cell r="DH83">
            <v>82462</v>
          </cell>
          <cell r="DI83">
            <v>81829</v>
          </cell>
          <cell r="DJ83">
            <v>83491</v>
          </cell>
          <cell r="DK83">
            <v>87711</v>
          </cell>
          <cell r="DL83">
            <v>87711</v>
          </cell>
          <cell r="DM83">
            <v>89647</v>
          </cell>
          <cell r="DN83">
            <v>78360</v>
          </cell>
          <cell r="DO83">
            <v>79239</v>
          </cell>
          <cell r="DP83">
            <v>82718</v>
          </cell>
          <cell r="DQ83">
            <v>82718</v>
          </cell>
          <cell r="DR83">
            <v>85967</v>
          </cell>
          <cell r="DS83">
            <v>92128</v>
          </cell>
          <cell r="DT83">
            <v>94864</v>
          </cell>
          <cell r="DU83">
            <v>102330</v>
          </cell>
          <cell r="DV83">
            <v>102330</v>
          </cell>
          <cell r="DW83">
            <v>106061</v>
          </cell>
          <cell r="DX83">
            <v>110109</v>
          </cell>
          <cell r="DY83">
            <v>114501</v>
          </cell>
          <cell r="DZ83">
            <v>118304</v>
          </cell>
          <cell r="EA83">
            <v>118304</v>
          </cell>
          <cell r="EB83">
            <v>123392</v>
          </cell>
          <cell r="EC83">
            <v>130236</v>
          </cell>
          <cell r="ED83">
            <v>134505</v>
          </cell>
          <cell r="EE83">
            <v>141988</v>
          </cell>
          <cell r="EF83">
            <v>141988</v>
          </cell>
          <cell r="EG83">
            <v>151978</v>
          </cell>
          <cell r="EH83">
            <v>160010</v>
          </cell>
          <cell r="EI83">
            <v>162924</v>
          </cell>
          <cell r="EJ83">
            <v>166542</v>
          </cell>
          <cell r="EK83">
            <v>166542</v>
          </cell>
          <cell r="EL83">
            <v>173566</v>
          </cell>
          <cell r="EM83">
            <v>183136</v>
          </cell>
          <cell r="EN83">
            <v>194683</v>
          </cell>
          <cell r="EO83">
            <v>206223</v>
          </cell>
          <cell r="EP83">
            <v>206223</v>
          </cell>
          <cell r="EQ83">
            <v>220714</v>
          </cell>
          <cell r="ER83">
            <v>238268</v>
          </cell>
          <cell r="ES83">
            <v>253152</v>
          </cell>
          <cell r="ET83">
            <v>273160.38450085907</v>
          </cell>
          <cell r="EU83">
            <v>273160.38450085907</v>
          </cell>
          <cell r="EV83">
            <v>295491.56089522701</v>
          </cell>
          <cell r="EW83">
            <v>318521.46336554224</v>
          </cell>
          <cell r="EX83">
            <v>341416.95483489113</v>
          </cell>
          <cell r="EY83">
            <v>366217.29159983061</v>
          </cell>
          <cell r="EZ83">
            <v>366217.29159983061</v>
          </cell>
          <cell r="FA83">
            <v>392664.17547346285</v>
          </cell>
          <cell r="FB83">
            <v>419950.10841698985</v>
          </cell>
          <cell r="FC83">
            <v>447154.45920537424</v>
          </cell>
          <cell r="FD83">
            <v>476647.7939663743</v>
          </cell>
          <cell r="FE83">
            <v>476647.7939663743</v>
          </cell>
        </row>
        <row r="84">
          <cell r="B84" t="str">
            <v>Total liabilities and equity</v>
          </cell>
          <cell r="C84" t="str">
            <v>TOT_LIAB_EQ</v>
          </cell>
          <cell r="D84" t="str">
            <v>USD</v>
          </cell>
          <cell r="F84">
            <v>7210</v>
          </cell>
          <cell r="G84">
            <v>8160</v>
          </cell>
          <cell r="H84">
            <v>9106</v>
          </cell>
          <cell r="I84">
            <v>9590</v>
          </cell>
          <cell r="J84">
            <v>10093</v>
          </cell>
          <cell r="K84">
            <v>10093</v>
          </cell>
          <cell r="L84">
            <v>10740</v>
          </cell>
          <cell r="M84">
            <v>12786</v>
          </cell>
          <cell r="N84">
            <v>12613</v>
          </cell>
          <cell r="O84">
            <v>14387</v>
          </cell>
          <cell r="P84">
            <v>14387</v>
          </cell>
          <cell r="Q84">
            <v>15366</v>
          </cell>
          <cell r="R84">
            <v>16840</v>
          </cell>
          <cell r="S84">
            <v>19545</v>
          </cell>
          <cell r="T84">
            <v>22357</v>
          </cell>
          <cell r="U84">
            <v>22357</v>
          </cell>
          <cell r="V84">
            <v>25569</v>
          </cell>
          <cell r="W84">
            <v>30049</v>
          </cell>
          <cell r="X84">
            <v>33561</v>
          </cell>
          <cell r="Y84">
            <v>37156</v>
          </cell>
          <cell r="Z84">
            <v>37156</v>
          </cell>
          <cell r="AA84">
            <v>39672</v>
          </cell>
          <cell r="AB84">
            <v>45093</v>
          </cell>
          <cell r="AC84">
            <v>50895</v>
          </cell>
          <cell r="AD84">
            <v>50442</v>
          </cell>
          <cell r="AE84">
            <v>50442</v>
          </cell>
          <cell r="AF84">
            <v>56089</v>
          </cell>
          <cell r="AG84">
            <v>57691</v>
          </cell>
          <cell r="AH84">
            <v>59605</v>
          </cell>
          <cell r="AI84">
            <v>59257</v>
          </cell>
          <cell r="AJ84">
            <v>59257</v>
          </cell>
          <cell r="AK84">
            <v>61367</v>
          </cell>
          <cell r="AL84">
            <v>65387</v>
          </cell>
          <cell r="AM84">
            <v>68379</v>
          </cell>
          <cell r="AN84">
            <v>67646</v>
          </cell>
          <cell r="AO84">
            <v>67646</v>
          </cell>
          <cell r="AP84">
            <v>70235</v>
          </cell>
          <cell r="AQ84">
            <v>72359</v>
          </cell>
          <cell r="AR84">
            <v>74482</v>
          </cell>
          <cell r="AS84">
            <v>79571</v>
          </cell>
          <cell r="AT84">
            <v>79571</v>
          </cell>
          <cell r="AU84">
            <v>84281</v>
          </cell>
          <cell r="AV84">
            <v>85937</v>
          </cell>
          <cell r="AW84">
            <v>89767</v>
          </cell>
          <cell r="AX84">
            <v>94368</v>
          </cell>
          <cell r="AY84">
            <v>94368</v>
          </cell>
          <cell r="AZ84">
            <v>94268</v>
          </cell>
          <cell r="BA84">
            <v>64941</v>
          </cell>
          <cell r="BB84">
            <v>66275</v>
          </cell>
          <cell r="BC84">
            <v>70815</v>
          </cell>
          <cell r="BD84">
            <v>70815</v>
          </cell>
          <cell r="BE84">
            <v>71462</v>
          </cell>
          <cell r="BF84">
            <v>67257</v>
          </cell>
          <cell r="BG84">
            <v>66854</v>
          </cell>
          <cell r="BH84">
            <v>69597</v>
          </cell>
          <cell r="BI84">
            <v>69597</v>
          </cell>
          <cell r="BJ84">
            <v>65354</v>
          </cell>
          <cell r="BK84">
            <v>66371</v>
          </cell>
          <cell r="BL84">
            <v>63891</v>
          </cell>
          <cell r="BM84">
            <v>63171</v>
          </cell>
          <cell r="BN84">
            <v>63171</v>
          </cell>
          <cell r="BO84">
            <v>65645</v>
          </cell>
          <cell r="BP84">
            <v>67339</v>
          </cell>
          <cell r="BQ84">
            <v>70747</v>
          </cell>
          <cell r="BR84">
            <v>72793</v>
          </cell>
          <cell r="BS84">
            <v>72793</v>
          </cell>
          <cell r="BT84">
            <v>65117</v>
          </cell>
          <cell r="BU84">
            <v>65786</v>
          </cell>
          <cell r="BV84">
            <v>68853</v>
          </cell>
          <cell r="BW84">
            <v>77888</v>
          </cell>
          <cell r="BX84">
            <v>77888</v>
          </cell>
          <cell r="BY84">
            <v>81612</v>
          </cell>
          <cell r="BZ84">
            <v>82096</v>
          </cell>
          <cell r="CA84">
            <v>84910</v>
          </cell>
          <cell r="CB84">
            <v>86113</v>
          </cell>
          <cell r="CC84">
            <v>86113</v>
          </cell>
          <cell r="CD84">
            <v>91540</v>
          </cell>
          <cell r="CE84">
            <v>92306</v>
          </cell>
          <cell r="CF84">
            <v>99727</v>
          </cell>
          <cell r="CG84">
            <v>108704</v>
          </cell>
          <cell r="CH84">
            <v>108704</v>
          </cell>
          <cell r="CI84">
            <v>107415</v>
          </cell>
          <cell r="CJ84">
            <v>112243</v>
          </cell>
          <cell r="CK84">
            <v>118010</v>
          </cell>
          <cell r="CL84">
            <v>121271</v>
          </cell>
          <cell r="CM84">
            <v>121271</v>
          </cell>
          <cell r="CN84">
            <v>121876</v>
          </cell>
          <cell r="CO84">
            <v>128683</v>
          </cell>
          <cell r="CP84">
            <v>134105</v>
          </cell>
          <cell r="CQ84">
            <v>142431</v>
          </cell>
          <cell r="CR84">
            <v>142431</v>
          </cell>
          <cell r="CS84">
            <v>142348</v>
          </cell>
          <cell r="CT84">
            <v>153543</v>
          </cell>
          <cell r="CU84">
            <v>156119</v>
          </cell>
          <cell r="CV84">
            <v>172384</v>
          </cell>
          <cell r="CW84">
            <v>172384</v>
          </cell>
          <cell r="CX84">
            <v>169656</v>
          </cell>
          <cell r="CY84">
            <v>174848</v>
          </cell>
          <cell r="CZ84">
            <v>176683</v>
          </cell>
          <cell r="DA84">
            <v>176223</v>
          </cell>
          <cell r="DB84">
            <v>176223</v>
          </cell>
          <cell r="DC84">
            <v>172896</v>
          </cell>
          <cell r="DD84">
            <v>180098</v>
          </cell>
          <cell r="DE84">
            <v>181869</v>
          </cell>
          <cell r="DF84">
            <v>193694</v>
          </cell>
          <cell r="DG84">
            <v>193694</v>
          </cell>
          <cell r="DH84">
            <v>222008</v>
          </cell>
          <cell r="DI84">
            <v>235298</v>
          </cell>
          <cell r="DJ84">
            <v>236016</v>
          </cell>
          <cell r="DK84">
            <v>250312</v>
          </cell>
          <cell r="DL84">
            <v>250312</v>
          </cell>
          <cell r="DM84">
            <v>249097</v>
          </cell>
          <cell r="DN84">
            <v>256003</v>
          </cell>
          <cell r="DO84">
            <v>245497</v>
          </cell>
          <cell r="DP84">
            <v>258848</v>
          </cell>
          <cell r="DQ84">
            <v>258848</v>
          </cell>
          <cell r="DR84">
            <v>257619</v>
          </cell>
          <cell r="DS84">
            <v>258859</v>
          </cell>
          <cell r="DT84">
            <v>263281</v>
          </cell>
          <cell r="DU84">
            <v>286556</v>
          </cell>
          <cell r="DV84">
            <v>286556</v>
          </cell>
          <cell r="DW84">
            <v>278955</v>
          </cell>
          <cell r="DX84">
            <v>282794</v>
          </cell>
          <cell r="DY84">
            <v>285449</v>
          </cell>
          <cell r="DZ84">
            <v>301311</v>
          </cell>
          <cell r="EA84">
            <v>301311</v>
          </cell>
          <cell r="EB84">
            <v>301001</v>
          </cell>
          <cell r="EC84">
            <v>304137</v>
          </cell>
          <cell r="ED84">
            <v>308879</v>
          </cell>
          <cell r="EE84">
            <v>333779</v>
          </cell>
          <cell r="EF84">
            <v>333779</v>
          </cell>
          <cell r="EG84">
            <v>335418</v>
          </cell>
          <cell r="EH84">
            <v>340389</v>
          </cell>
          <cell r="EI84">
            <v>344607</v>
          </cell>
          <cell r="EJ84">
            <v>364840</v>
          </cell>
          <cell r="EK84">
            <v>364840</v>
          </cell>
          <cell r="EL84">
            <v>359784</v>
          </cell>
          <cell r="EM84">
            <v>364552</v>
          </cell>
          <cell r="EN84">
            <v>380088</v>
          </cell>
          <cell r="EO84">
            <v>411976</v>
          </cell>
          <cell r="EP84">
            <v>411976</v>
          </cell>
          <cell r="EQ84">
            <v>445785</v>
          </cell>
          <cell r="ER84">
            <v>470558</v>
          </cell>
          <cell r="ES84">
            <v>484275</v>
          </cell>
          <cell r="ET84">
            <v>527855.26042000193</v>
          </cell>
          <cell r="EU84">
            <v>527855.26042000193</v>
          </cell>
          <cell r="EV84">
            <v>541897.72669503838</v>
          </cell>
          <cell r="EW84">
            <v>560024.02164411522</v>
          </cell>
          <cell r="EX84">
            <v>587947.62309096393</v>
          </cell>
          <cell r="EY84">
            <v>634161.94533855189</v>
          </cell>
          <cell r="EZ84">
            <v>634161.94533855189</v>
          </cell>
          <cell r="FA84">
            <v>650029.07801735844</v>
          </cell>
          <cell r="FB84">
            <v>672249.53421373316</v>
          </cell>
          <cell r="FC84">
            <v>710206.10717254283</v>
          </cell>
          <cell r="FD84">
            <v>765224.56102483952</v>
          </cell>
          <cell r="FE84">
            <v>765224.56102483952</v>
          </cell>
        </row>
        <row r="85">
          <cell r="A85" t="str">
            <v>Additional Balance Sheet Items</v>
          </cell>
        </row>
        <row r="86">
          <cell r="B86" t="str">
            <v>Total US$ debt (in US$)</v>
          </cell>
          <cell r="C86" t="str">
            <v>TOT_USD_DEBT</v>
          </cell>
        </row>
        <row r="87">
          <cell r="B87" t="str">
            <v>% US$ debt hedged (principal)</v>
          </cell>
          <cell r="C87" t="str">
            <v>TOT_PCT_USD_DEBT_HEDGED</v>
          </cell>
        </row>
        <row r="88">
          <cell r="B88" t="str">
            <v>% Floating debt (local currency debt)</v>
          </cell>
          <cell r="C88" t="str">
            <v>FLOATING_PCT_LOCAL_DEBT</v>
          </cell>
        </row>
        <row r="89">
          <cell r="B89" t="str">
            <v>% floating debt hedged (rates)</v>
          </cell>
          <cell r="C89" t="str">
            <v>FLOATING_PCT_LOCAL_DEBT_HEDGED</v>
          </cell>
        </row>
        <row r="90">
          <cell r="B90" t="str">
            <v>Net debt</v>
          </cell>
          <cell r="C90" t="str">
            <v>NET_DEBT</v>
          </cell>
          <cell r="D90" t="str">
            <v>USD</v>
          </cell>
          <cell r="F90">
            <v>-4750</v>
          </cell>
          <cell r="G90">
            <v>-5064</v>
          </cell>
          <cell r="H90">
            <v>-6017</v>
          </cell>
          <cell r="I90">
            <v>-6770</v>
          </cell>
          <cell r="J90">
            <v>-6940</v>
          </cell>
          <cell r="K90">
            <v>-6940</v>
          </cell>
          <cell r="L90">
            <v>-7098</v>
          </cell>
          <cell r="M90">
            <v>-9160</v>
          </cell>
          <cell r="N90">
            <v>-9086</v>
          </cell>
          <cell r="O90">
            <v>-8966</v>
          </cell>
          <cell r="P90">
            <v>-8966</v>
          </cell>
          <cell r="Q90">
            <v>-9634</v>
          </cell>
          <cell r="R90">
            <v>-10105</v>
          </cell>
          <cell r="S90">
            <v>-12322</v>
          </cell>
          <cell r="T90">
            <v>-13927</v>
          </cell>
          <cell r="U90">
            <v>-13927</v>
          </cell>
          <cell r="V90">
            <v>-17242</v>
          </cell>
          <cell r="W90">
            <v>-19237</v>
          </cell>
          <cell r="X90">
            <v>-21761</v>
          </cell>
          <cell r="Y90">
            <v>-17236</v>
          </cell>
          <cell r="Z90">
            <v>-17236</v>
          </cell>
          <cell r="AA90">
            <v>-18902</v>
          </cell>
          <cell r="AB90">
            <v>-17843</v>
          </cell>
          <cell r="AC90">
            <v>-21205</v>
          </cell>
          <cell r="AD90">
            <v>-23798</v>
          </cell>
          <cell r="AE90">
            <v>-23798</v>
          </cell>
          <cell r="AF90">
            <v>-24711</v>
          </cell>
          <cell r="AG90">
            <v>-26889</v>
          </cell>
          <cell r="AH90">
            <v>-30018</v>
          </cell>
          <cell r="AI90">
            <v>-31600</v>
          </cell>
          <cell r="AJ90">
            <v>-31600</v>
          </cell>
          <cell r="AK90">
            <v>-36163</v>
          </cell>
          <cell r="AL90">
            <v>-38229</v>
          </cell>
          <cell r="AM90">
            <v>-38693</v>
          </cell>
          <cell r="AN90">
            <v>-38652</v>
          </cell>
          <cell r="AO90">
            <v>-38652</v>
          </cell>
          <cell r="AP90">
            <v>-40475</v>
          </cell>
          <cell r="AQ90">
            <v>-43424</v>
          </cell>
          <cell r="AR90">
            <v>-46178</v>
          </cell>
          <cell r="AS90">
            <v>-49048</v>
          </cell>
          <cell r="AT90">
            <v>-49048</v>
          </cell>
          <cell r="AU90">
            <v>-51622</v>
          </cell>
          <cell r="AV90">
            <v>-52777</v>
          </cell>
          <cell r="AW90">
            <v>-56407</v>
          </cell>
          <cell r="AX90">
            <v>-60592</v>
          </cell>
          <cell r="AY90">
            <v>-60592</v>
          </cell>
          <cell r="AZ90">
            <v>-64415</v>
          </cell>
          <cell r="BA90">
            <v>-34504</v>
          </cell>
          <cell r="BB90">
            <v>-37594</v>
          </cell>
          <cell r="BC90">
            <v>-37751</v>
          </cell>
          <cell r="BD90">
            <v>-37751</v>
          </cell>
          <cell r="BE90">
            <v>-40056</v>
          </cell>
          <cell r="BF90">
            <v>-34701</v>
          </cell>
          <cell r="BG90">
            <v>-34816</v>
          </cell>
          <cell r="BH90">
            <v>-34161</v>
          </cell>
          <cell r="BI90">
            <v>-34161</v>
          </cell>
          <cell r="BJ90">
            <v>-31832</v>
          </cell>
          <cell r="BK90">
            <v>-28873</v>
          </cell>
          <cell r="BL90">
            <v>-28236</v>
          </cell>
          <cell r="BM90">
            <v>-23411</v>
          </cell>
          <cell r="BN90">
            <v>-23411</v>
          </cell>
          <cell r="BO90">
            <v>-21574</v>
          </cell>
          <cell r="BP90">
            <v>-21076</v>
          </cell>
          <cell r="BQ90">
            <v>-26341</v>
          </cell>
          <cell r="BR90">
            <v>-23662</v>
          </cell>
          <cell r="BS90">
            <v>-23662</v>
          </cell>
          <cell r="BT90">
            <v>-18747</v>
          </cell>
          <cell r="BU90">
            <v>-18715</v>
          </cell>
          <cell r="BV90">
            <v>-23341</v>
          </cell>
          <cell r="BW90">
            <v>-25701</v>
          </cell>
          <cell r="BX90">
            <v>-25701</v>
          </cell>
          <cell r="BY90">
            <v>-30732</v>
          </cell>
          <cell r="BZ90">
            <v>-30104</v>
          </cell>
          <cell r="CA90">
            <v>-33671</v>
          </cell>
          <cell r="CB90">
            <v>-30849</v>
          </cell>
          <cell r="CC90">
            <v>-30849</v>
          </cell>
          <cell r="CD90">
            <v>-33508</v>
          </cell>
          <cell r="CE90">
            <v>-31581</v>
          </cell>
          <cell r="CF90">
            <v>-38235</v>
          </cell>
          <cell r="CG90">
            <v>-40851</v>
          </cell>
          <cell r="CH90">
            <v>-40851</v>
          </cell>
          <cell r="CI90">
            <v>-45476</v>
          </cell>
          <cell r="CJ90">
            <v>-39804</v>
          </cell>
          <cell r="CK90">
            <v>-47591</v>
          </cell>
          <cell r="CL90">
            <v>-51096</v>
          </cell>
          <cell r="CM90">
            <v>-51096</v>
          </cell>
          <cell r="CN90">
            <v>-54694</v>
          </cell>
          <cell r="CO90">
            <v>-54124</v>
          </cell>
          <cell r="CP90">
            <v>-60288</v>
          </cell>
          <cell r="CQ90">
            <v>-61422</v>
          </cell>
          <cell r="CR90">
            <v>-61422</v>
          </cell>
          <cell r="CS90">
            <v>-64740</v>
          </cell>
          <cell r="CT90">
            <v>-60968</v>
          </cell>
          <cell r="CU90">
            <v>-65746</v>
          </cell>
          <cell r="CV90">
            <v>-63064</v>
          </cell>
          <cell r="CW90">
            <v>-63064</v>
          </cell>
          <cell r="CX90">
            <v>-65473</v>
          </cell>
          <cell r="CY90">
            <v>-61941</v>
          </cell>
          <cell r="CZ90">
            <v>-63570</v>
          </cell>
          <cell r="DA90">
            <v>-61234</v>
          </cell>
          <cell r="DB90">
            <v>-61234</v>
          </cell>
          <cell r="DC90">
            <v>-60788</v>
          </cell>
          <cell r="DD90">
            <v>-58211</v>
          </cell>
          <cell r="DE90">
            <v>-59158</v>
          </cell>
          <cell r="DF90">
            <v>-59553</v>
          </cell>
          <cell r="DG90">
            <v>-59553</v>
          </cell>
          <cell r="DH90">
            <v>-62242</v>
          </cell>
          <cell r="DI90">
            <v>-37811</v>
          </cell>
          <cell r="DJ90">
            <v>-42010</v>
          </cell>
          <cell r="DK90">
            <v>-46787</v>
          </cell>
          <cell r="DL90">
            <v>-46787</v>
          </cell>
          <cell r="DM90">
            <v>-52996</v>
          </cell>
          <cell r="DN90">
            <v>-53520</v>
          </cell>
          <cell r="DO90">
            <v>-55113</v>
          </cell>
          <cell r="DP90">
            <v>-57528</v>
          </cell>
          <cell r="DQ90">
            <v>-57528</v>
          </cell>
          <cell r="DR90">
            <v>-59650</v>
          </cell>
          <cell r="DS90">
            <v>-54493</v>
          </cell>
          <cell r="DT90">
            <v>-58518</v>
          </cell>
          <cell r="DU90">
            <v>-61641</v>
          </cell>
          <cell r="DV90">
            <v>-61641</v>
          </cell>
          <cell r="DW90">
            <v>-67141</v>
          </cell>
          <cell r="DX90">
            <v>-64645</v>
          </cell>
          <cell r="DY90">
            <v>-71016</v>
          </cell>
          <cell r="DZ90">
            <v>-73200</v>
          </cell>
          <cell r="EA90">
            <v>-73200</v>
          </cell>
          <cell r="EB90">
            <v>-74425</v>
          </cell>
          <cell r="EC90">
            <v>-71445</v>
          </cell>
          <cell r="ED90">
            <v>-67349</v>
          </cell>
          <cell r="EE90">
            <v>-72188</v>
          </cell>
          <cell r="EF90">
            <v>-72188</v>
          </cell>
          <cell r="EG90">
            <v>-77327</v>
          </cell>
          <cell r="EH90">
            <v>-72111</v>
          </cell>
          <cell r="EI90">
            <v>-54767</v>
          </cell>
          <cell r="EJ90">
            <v>-54976</v>
          </cell>
          <cell r="EK90">
            <v>-54976</v>
          </cell>
          <cell r="EL90">
            <v>-58640</v>
          </cell>
          <cell r="EM90">
            <v>-51392</v>
          </cell>
          <cell r="EN90">
            <v>-56217</v>
          </cell>
          <cell r="EO90">
            <v>-64025</v>
          </cell>
          <cell r="EP90">
            <v>-64025</v>
          </cell>
          <cell r="EQ90">
            <v>-72449</v>
          </cell>
          <cell r="ER90">
            <v>-6798</v>
          </cell>
          <cell r="ES90">
            <v>-14579</v>
          </cell>
          <cell r="ET90">
            <v>-39644.735657951242</v>
          </cell>
          <cell r="EU90">
            <v>-39644.735657951242</v>
          </cell>
          <cell r="EV90">
            <v>-55549.70648161479</v>
          </cell>
          <cell r="EW90">
            <v>-60245.888504219445</v>
          </cell>
          <cell r="EX90">
            <v>-77697.066479660105</v>
          </cell>
          <cell r="EY90">
            <v>-98097.596967208025</v>
          </cell>
          <cell r="EZ90">
            <v>-98097.596967208025</v>
          </cell>
          <cell r="FA90">
            <v>-125438.63357554603</v>
          </cell>
          <cell r="FB90">
            <v>-128339.91006710843</v>
          </cell>
          <cell r="FC90">
            <v>-157472.7500097545</v>
          </cell>
          <cell r="FD90">
            <v>-181844.08823530487</v>
          </cell>
          <cell r="FE90">
            <v>-181844.08823530487</v>
          </cell>
        </row>
        <row r="91">
          <cell r="B91" t="str">
            <v>Capitalized operating leases (off-balance sheet)</v>
          </cell>
          <cell r="C91" t="str">
            <v>CAP_LEASES</v>
          </cell>
          <cell r="D91" t="str">
            <v>USD</v>
          </cell>
        </row>
        <row r="92">
          <cell r="B92" t="str">
            <v>Deferred income taxes</v>
          </cell>
          <cell r="C92" t="str">
            <v>DEF_INC_TAX</v>
          </cell>
          <cell r="D92" t="str">
            <v>USD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1440</v>
          </cell>
          <cell r="AG92">
            <v>1644</v>
          </cell>
          <cell r="AH92">
            <v>1775</v>
          </cell>
          <cell r="AI92">
            <v>836</v>
          </cell>
          <cell r="AJ92">
            <v>836</v>
          </cell>
          <cell r="AK92">
            <v>0</v>
          </cell>
          <cell r="AL92">
            <v>0</v>
          </cell>
          <cell r="AM92">
            <v>59</v>
          </cell>
          <cell r="AN92">
            <v>398</v>
          </cell>
          <cell r="AO92">
            <v>398</v>
          </cell>
          <cell r="AP92">
            <v>152</v>
          </cell>
          <cell r="AQ92">
            <v>0</v>
          </cell>
          <cell r="AR92">
            <v>369</v>
          </cell>
          <cell r="AS92">
            <v>1731</v>
          </cell>
          <cell r="AT92">
            <v>1731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155</v>
          </cell>
          <cell r="BZ92">
            <v>377</v>
          </cell>
          <cell r="CA92">
            <v>828</v>
          </cell>
          <cell r="CB92">
            <v>229</v>
          </cell>
          <cell r="CC92">
            <v>229</v>
          </cell>
          <cell r="CD92">
            <v>540</v>
          </cell>
          <cell r="CE92">
            <v>826</v>
          </cell>
          <cell r="CF92">
            <v>1185</v>
          </cell>
          <cell r="CG92">
            <v>1456</v>
          </cell>
          <cell r="CH92">
            <v>1456</v>
          </cell>
          <cell r="CI92">
            <v>1040</v>
          </cell>
          <cell r="CJ92">
            <v>1082</v>
          </cell>
          <cell r="CK92">
            <v>1456</v>
          </cell>
          <cell r="CL92">
            <v>1893</v>
          </cell>
          <cell r="CM92">
            <v>1893</v>
          </cell>
          <cell r="CN92">
            <v>2209</v>
          </cell>
          <cell r="CO92">
            <v>2394</v>
          </cell>
          <cell r="CP92">
            <v>2424</v>
          </cell>
          <cell r="CQ92">
            <v>1709</v>
          </cell>
          <cell r="CR92">
            <v>1709</v>
          </cell>
          <cell r="CS92">
            <v>2236</v>
          </cell>
          <cell r="CT92">
            <v>2377</v>
          </cell>
          <cell r="CU92">
            <v>2318</v>
          </cell>
          <cell r="CV92">
            <v>2728</v>
          </cell>
          <cell r="CW92">
            <v>2728</v>
          </cell>
          <cell r="CX92">
            <v>2714</v>
          </cell>
          <cell r="CY92">
            <v>2820</v>
          </cell>
          <cell r="CZ92">
            <v>2919</v>
          </cell>
          <cell r="DA92">
            <v>2835</v>
          </cell>
          <cell r="DB92">
            <v>2835</v>
          </cell>
          <cell r="DC92">
            <v>2169</v>
          </cell>
          <cell r="DD92">
            <v>2194</v>
          </cell>
          <cell r="DE92">
            <v>2674</v>
          </cell>
          <cell r="DF92">
            <v>1476</v>
          </cell>
          <cell r="DG92">
            <v>1476</v>
          </cell>
          <cell r="DH92">
            <v>6929</v>
          </cell>
          <cell r="DI92">
            <v>7080</v>
          </cell>
          <cell r="DJ92">
            <v>6761</v>
          </cell>
          <cell r="DK92">
            <v>5734</v>
          </cell>
          <cell r="DL92">
            <v>5734</v>
          </cell>
          <cell r="DM92">
            <v>5513</v>
          </cell>
          <cell r="DN92">
            <v>3186</v>
          </cell>
          <cell r="DO92">
            <v>2417</v>
          </cell>
          <cell r="DP92">
            <v>541</v>
          </cell>
          <cell r="DQ92">
            <v>541</v>
          </cell>
          <cell r="DR92">
            <v>1977</v>
          </cell>
          <cell r="DS92">
            <v>2062</v>
          </cell>
          <cell r="DT92">
            <v>1838</v>
          </cell>
          <cell r="DU92">
            <v>233</v>
          </cell>
          <cell r="DV92">
            <v>233</v>
          </cell>
          <cell r="DW92">
            <v>234</v>
          </cell>
          <cell r="DX92">
            <v>222</v>
          </cell>
          <cell r="DY92">
            <v>185</v>
          </cell>
          <cell r="DZ92">
            <v>204</v>
          </cell>
          <cell r="EA92">
            <v>204</v>
          </cell>
          <cell r="EB92">
            <v>187</v>
          </cell>
          <cell r="EC92">
            <v>174</v>
          </cell>
          <cell r="ED92">
            <v>173</v>
          </cell>
          <cell r="EE92">
            <v>198</v>
          </cell>
          <cell r="EF92">
            <v>198</v>
          </cell>
          <cell r="EG92">
            <v>212</v>
          </cell>
          <cell r="EH92">
            <v>199</v>
          </cell>
          <cell r="EI92">
            <v>304</v>
          </cell>
          <cell r="EJ92">
            <v>230</v>
          </cell>
          <cell r="EK92">
            <v>230</v>
          </cell>
          <cell r="EL92">
            <v>223</v>
          </cell>
          <cell r="EM92">
            <v>289</v>
          </cell>
          <cell r="EN92">
            <v>302</v>
          </cell>
          <cell r="EO92">
            <v>433</v>
          </cell>
          <cell r="EP92">
            <v>433</v>
          </cell>
          <cell r="EQ92">
            <v>470</v>
          </cell>
          <cell r="ER92">
            <v>2548</v>
          </cell>
          <cell r="ES92">
            <v>2469</v>
          </cell>
          <cell r="ET92">
            <v>2469</v>
          </cell>
          <cell r="EU92">
            <v>2469</v>
          </cell>
          <cell r="EV92">
            <v>2469</v>
          </cell>
          <cell r="EW92">
            <v>2469</v>
          </cell>
          <cell r="EX92">
            <v>2469</v>
          </cell>
          <cell r="EY92">
            <v>2469</v>
          </cell>
          <cell r="EZ92">
            <v>2469</v>
          </cell>
          <cell r="FA92">
            <v>2469</v>
          </cell>
          <cell r="FB92">
            <v>2469</v>
          </cell>
          <cell r="FC92">
            <v>2469</v>
          </cell>
          <cell r="FD92">
            <v>2469</v>
          </cell>
          <cell r="FE92">
            <v>2469</v>
          </cell>
        </row>
        <row r="93">
          <cell r="B93" t="str">
            <v>Net operating loss carryforwards (NOLs)</v>
          </cell>
          <cell r="C93" t="str">
            <v>NET_OP_LOSS_CFWD</v>
          </cell>
          <cell r="D93" t="str">
            <v>USD</v>
          </cell>
        </row>
        <row r="94">
          <cell r="B94" t="str">
            <v>Associates (mkt value) used in EV calculation</v>
          </cell>
          <cell r="C94" t="str">
            <v>MV_ASSOCIATES</v>
          </cell>
          <cell r="D94" t="str">
            <v>USD</v>
          </cell>
        </row>
        <row r="95">
          <cell r="B95" t="str">
            <v>Net debt adjustment</v>
          </cell>
          <cell r="C95" t="str">
            <v>NET_DEBT_ADJ</v>
          </cell>
          <cell r="D95" t="str">
            <v>USD</v>
          </cell>
          <cell r="F95">
            <v>-2788</v>
          </cell>
          <cell r="G95">
            <v>-3158</v>
          </cell>
          <cell r="H95">
            <v>-3694</v>
          </cell>
          <cell r="I95">
            <v>-3833</v>
          </cell>
          <cell r="J95">
            <v>-4339</v>
          </cell>
          <cell r="K95">
            <v>-4339</v>
          </cell>
          <cell r="L95">
            <v>-4080</v>
          </cell>
          <cell r="M95">
            <v>-6064</v>
          </cell>
          <cell r="N95">
            <v>-5234</v>
          </cell>
          <cell r="O95">
            <v>-5260</v>
          </cell>
          <cell r="P95">
            <v>-5260</v>
          </cell>
          <cell r="Q95">
            <v>-5689</v>
          </cell>
          <cell r="R95">
            <v>-7523</v>
          </cell>
          <cell r="S95">
            <v>-8212</v>
          </cell>
          <cell r="T95">
            <v>-10088</v>
          </cell>
          <cell r="U95">
            <v>-10088</v>
          </cell>
          <cell r="V95">
            <v>-12051</v>
          </cell>
          <cell r="W95">
            <v>-13124</v>
          </cell>
          <cell r="X95">
            <v>-15558</v>
          </cell>
          <cell r="Y95">
            <v>-12261</v>
          </cell>
          <cell r="Z95">
            <v>-12261</v>
          </cell>
          <cell r="AA95">
            <v>-14113</v>
          </cell>
          <cell r="AB95">
            <v>-12811</v>
          </cell>
          <cell r="AC95">
            <v>-16013</v>
          </cell>
          <cell r="AD95">
            <v>-18952</v>
          </cell>
          <cell r="AE95">
            <v>-18952</v>
          </cell>
          <cell r="AF95">
            <v>-22070</v>
          </cell>
          <cell r="AG95">
            <v>-23358</v>
          </cell>
          <cell r="AH95">
            <v>-25869</v>
          </cell>
          <cell r="AI95">
            <v>-27678</v>
          </cell>
          <cell r="AJ95">
            <v>-27678</v>
          </cell>
          <cell r="AK95">
            <v>-33050</v>
          </cell>
          <cell r="AL95">
            <v>-32973</v>
          </cell>
          <cell r="AM95">
            <v>-33577</v>
          </cell>
          <cell r="AN95">
            <v>-35636</v>
          </cell>
          <cell r="AO95">
            <v>-35636</v>
          </cell>
          <cell r="AP95">
            <v>-35137</v>
          </cell>
          <cell r="AQ95">
            <v>-37872</v>
          </cell>
          <cell r="AR95">
            <v>-41878</v>
          </cell>
          <cell r="AS95">
            <v>-42610</v>
          </cell>
          <cell r="AT95">
            <v>-42610</v>
          </cell>
          <cell r="AU95">
            <v>-45854</v>
          </cell>
          <cell r="AV95">
            <v>-46628</v>
          </cell>
          <cell r="AW95">
            <v>-47059</v>
          </cell>
          <cell r="AX95">
            <v>-44610</v>
          </cell>
          <cell r="AY95">
            <v>-44610</v>
          </cell>
          <cell r="AZ95">
            <v>-53274</v>
          </cell>
          <cell r="BA95">
            <v>-29948</v>
          </cell>
          <cell r="BB95">
            <v>-33812</v>
          </cell>
          <cell r="BC95">
            <v>-32900</v>
          </cell>
          <cell r="BD95">
            <v>-32900</v>
          </cell>
          <cell r="BE95">
            <v>-37082</v>
          </cell>
          <cell r="BF95">
            <v>-30618</v>
          </cell>
          <cell r="BG95">
            <v>-30465</v>
          </cell>
          <cell r="BH95">
            <v>-27447</v>
          </cell>
          <cell r="BI95">
            <v>-27447</v>
          </cell>
          <cell r="BJ95">
            <v>-22756</v>
          </cell>
          <cell r="BK95">
            <v>-22014</v>
          </cell>
          <cell r="BL95">
            <v>-20625</v>
          </cell>
          <cell r="BM95">
            <v>-17300</v>
          </cell>
          <cell r="BN95">
            <v>-17300</v>
          </cell>
          <cell r="BO95">
            <v>-14937</v>
          </cell>
          <cell r="BP95">
            <v>-13616</v>
          </cell>
          <cell r="BQ95">
            <v>-14521</v>
          </cell>
          <cell r="BR95">
            <v>-13323</v>
          </cell>
          <cell r="BS95">
            <v>-13323</v>
          </cell>
          <cell r="BT95">
            <v>-11718</v>
          </cell>
          <cell r="BU95">
            <v>-12369</v>
          </cell>
          <cell r="BV95">
            <v>-18055</v>
          </cell>
          <cell r="BW95">
            <v>-25371</v>
          </cell>
          <cell r="BX95">
            <v>-25371</v>
          </cell>
          <cell r="BY95">
            <v>-27905</v>
          </cell>
          <cell r="BZ95">
            <v>-26677</v>
          </cell>
          <cell r="CA95">
            <v>-31511</v>
          </cell>
          <cell r="CB95">
            <v>-31283</v>
          </cell>
          <cell r="CC95">
            <v>-31283</v>
          </cell>
          <cell r="CD95">
            <v>-36012</v>
          </cell>
          <cell r="CE95">
            <v>-37229</v>
          </cell>
          <cell r="CF95">
            <v>-43129</v>
          </cell>
          <cell r="CG95">
            <v>-43162</v>
          </cell>
          <cell r="CH95">
            <v>-43162</v>
          </cell>
          <cell r="CI95">
            <v>-44522</v>
          </cell>
          <cell r="CJ95">
            <v>-41126</v>
          </cell>
          <cell r="CK95">
            <v>-53141</v>
          </cell>
          <cell r="CL95">
            <v>-56102</v>
          </cell>
          <cell r="CM95">
            <v>-56102</v>
          </cell>
          <cell r="CN95">
            <v>-61608</v>
          </cell>
          <cell r="CO95">
            <v>-62295</v>
          </cell>
          <cell r="CP95">
            <v>-69243</v>
          </cell>
          <cell r="CQ95">
            <v>-73218</v>
          </cell>
          <cell r="CR95">
            <v>-73218</v>
          </cell>
          <cell r="CS95">
            <v>-76649</v>
          </cell>
          <cell r="CT95">
            <v>-73885</v>
          </cell>
          <cell r="CU95">
            <v>-76853</v>
          </cell>
          <cell r="CV95">
            <v>-77040</v>
          </cell>
          <cell r="CW95">
            <v>-77040</v>
          </cell>
          <cell r="CX95">
            <v>-82891</v>
          </cell>
          <cell r="CY95">
            <v>-83823</v>
          </cell>
          <cell r="CZ95">
            <v>-88024</v>
          </cell>
          <cell r="DA95">
            <v>-90931</v>
          </cell>
          <cell r="DB95">
            <v>-90931</v>
          </cell>
          <cell r="DC95">
            <v>-93924</v>
          </cell>
          <cell r="DD95">
            <v>-95455</v>
          </cell>
          <cell r="DE95">
            <v>-98382</v>
          </cell>
          <cell r="DF95">
            <v>-106730</v>
          </cell>
          <cell r="DG95">
            <v>-106730</v>
          </cell>
          <cell r="DH95">
            <v>-123004</v>
          </cell>
          <cell r="DI95">
            <v>-114313</v>
          </cell>
          <cell r="DJ95">
            <v>-119305</v>
          </cell>
          <cell r="DK95">
            <v>-125318</v>
          </cell>
          <cell r="DL95">
            <v>-125318</v>
          </cell>
          <cell r="DM95">
            <v>-131587</v>
          </cell>
          <cell r="DN95">
            <v>-129921</v>
          </cell>
          <cell r="DO95">
            <v>-123049</v>
          </cell>
          <cell r="DP95">
            <v>-121822</v>
          </cell>
          <cell r="DQ95">
            <v>-121822</v>
          </cell>
          <cell r="DR95">
            <v>-120743</v>
          </cell>
          <cell r="DS95">
            <v>-121024</v>
          </cell>
          <cell r="DT95">
            <v>-120406</v>
          </cell>
          <cell r="DU95">
            <v>-122463</v>
          </cell>
          <cell r="DV95">
            <v>-122463</v>
          </cell>
          <cell r="DW95">
            <v>-123519</v>
          </cell>
          <cell r="DX95">
            <v>-125389</v>
          </cell>
          <cell r="DY95">
            <v>-125916</v>
          </cell>
          <cell r="DZ95">
            <v>-122951</v>
          </cell>
          <cell r="EA95">
            <v>-122951</v>
          </cell>
          <cell r="EB95">
            <v>-120772</v>
          </cell>
          <cell r="EC95">
            <v>-117536</v>
          </cell>
          <cell r="ED95">
            <v>-111705</v>
          </cell>
          <cell r="EE95">
            <v>-116110</v>
          </cell>
          <cell r="EF95">
            <v>-116110</v>
          </cell>
          <cell r="EG95">
            <v>-111450</v>
          </cell>
          <cell r="EH95">
            <v>-104765</v>
          </cell>
          <cell r="EI95">
            <v>-92195</v>
          </cell>
          <cell r="EJ95">
            <v>-90826</v>
          </cell>
          <cell r="EK95">
            <v>-90826</v>
          </cell>
          <cell r="EL95">
            <v>-84378</v>
          </cell>
          <cell r="EM95">
            <v>-83862</v>
          </cell>
          <cell r="EN95">
            <v>-77865</v>
          </cell>
          <cell r="EO95">
            <v>-76558</v>
          </cell>
          <cell r="EP95">
            <v>-76558</v>
          </cell>
          <cell r="EQ95">
            <v>-63499</v>
          </cell>
          <cell r="ER95">
            <v>-63712</v>
          </cell>
          <cell r="ES95">
            <v>-60387</v>
          </cell>
          <cell r="ET95">
            <v>-60387</v>
          </cell>
          <cell r="EU95">
            <v>-60387</v>
          </cell>
          <cell r="EV95">
            <v>-60387</v>
          </cell>
          <cell r="EW95">
            <v>-60387</v>
          </cell>
          <cell r="EX95">
            <v>-60387</v>
          </cell>
          <cell r="EY95">
            <v>-60387</v>
          </cell>
          <cell r="EZ95">
            <v>-60387</v>
          </cell>
          <cell r="FA95">
            <v>-60387</v>
          </cell>
          <cell r="FB95">
            <v>-60387</v>
          </cell>
          <cell r="FC95">
            <v>-60387</v>
          </cell>
          <cell r="FD95">
            <v>-60387</v>
          </cell>
          <cell r="FE95">
            <v>-60387</v>
          </cell>
        </row>
        <row r="96">
          <cell r="B96" t="str">
            <v>Company borrowing margin</v>
          </cell>
          <cell r="C96" t="str">
            <v>CO_BOR_MARGIN</v>
          </cell>
        </row>
        <row r="97">
          <cell r="B97" t="str">
            <v>Unfunded pensions &amp; other provisions</v>
          </cell>
          <cell r="C97" t="str">
            <v>UNF_PENS</v>
          </cell>
          <cell r="D97" t="str">
            <v>USD</v>
          </cell>
        </row>
        <row r="98">
          <cell r="B98" t="str">
            <v>Unfunded pension liabilities (off balance sheet)</v>
          </cell>
          <cell r="C98" t="str">
            <v>UNF_PENS_OFF</v>
          </cell>
          <cell r="D98" t="str">
            <v>USD</v>
          </cell>
        </row>
        <row r="99">
          <cell r="B99" t="str">
            <v>Unfunded pension liabilities &amp; other, used in EV</v>
          </cell>
          <cell r="C99" t="str">
            <v>UNF_PENS_LIAB_OTH</v>
          </cell>
          <cell r="D99" t="str">
            <v>USD</v>
          </cell>
        </row>
        <row r="100">
          <cell r="B100" t="str">
            <v>Adjustment for unfunded pensions &amp; goodwill</v>
          </cell>
          <cell r="C100" t="str">
            <v>ADJ_UNF_PENS_GOOD</v>
          </cell>
          <cell r="D100" t="str">
            <v>USD</v>
          </cell>
        </row>
        <row r="101">
          <cell r="B101" t="str">
            <v>Other GCI adjustments</v>
          </cell>
          <cell r="C101" t="str">
            <v>OTH_GCI_ADJ</v>
          </cell>
          <cell r="D101" t="str">
            <v>USD</v>
          </cell>
        </row>
        <row r="102">
          <cell r="B102" t="str">
            <v>GCI inflator</v>
          </cell>
          <cell r="C102" t="str">
            <v>GCI_INFL</v>
          </cell>
        </row>
        <row r="103">
          <cell r="B103" t="str">
            <v>Minority interest</v>
          </cell>
          <cell r="C103" t="str">
            <v>BAL_MINO_INT</v>
          </cell>
          <cell r="D103" t="str">
            <v>USD</v>
          </cell>
        </row>
        <row r="104">
          <cell r="B104" t="str">
            <v>Right-of-use assets (op lease assets under US GAAP)</v>
          </cell>
          <cell r="C104" t="str">
            <v>ROU_ASSET</v>
          </cell>
          <cell r="D104" t="str">
            <v>USD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5216</v>
          </cell>
          <cell r="DI104">
            <v>6371</v>
          </cell>
          <cell r="DJ104">
            <v>6714</v>
          </cell>
          <cell r="DK104">
            <v>6555</v>
          </cell>
          <cell r="DL104">
            <v>6555</v>
          </cell>
          <cell r="DM104">
            <v>6844</v>
          </cell>
          <cell r="DN104">
            <v>6749</v>
          </cell>
          <cell r="DO104">
            <v>6859</v>
          </cell>
          <cell r="DP104">
            <v>6686</v>
          </cell>
          <cell r="DQ104">
            <v>6686</v>
          </cell>
          <cell r="DR104">
            <v>6734</v>
          </cell>
          <cell r="DS104">
            <v>6806</v>
          </cell>
          <cell r="DT104">
            <v>7121</v>
          </cell>
          <cell r="DU104">
            <v>7379</v>
          </cell>
          <cell r="DV104">
            <v>7379</v>
          </cell>
          <cell r="DW104">
            <v>7890</v>
          </cell>
          <cell r="DX104">
            <v>8439</v>
          </cell>
          <cell r="DY104">
            <v>8448</v>
          </cell>
          <cell r="DZ104">
            <v>8753</v>
          </cell>
          <cell r="EA104">
            <v>8753</v>
          </cell>
          <cell r="EB104">
            <v>9047</v>
          </cell>
          <cell r="EC104">
            <v>10298</v>
          </cell>
          <cell r="ED104">
            <v>10673</v>
          </cell>
          <cell r="EE104">
            <v>11088</v>
          </cell>
          <cell r="EF104">
            <v>11088</v>
          </cell>
          <cell r="EG104">
            <v>11575</v>
          </cell>
          <cell r="EH104">
            <v>12354</v>
          </cell>
          <cell r="EI104">
            <v>12916</v>
          </cell>
          <cell r="EJ104">
            <v>13148</v>
          </cell>
          <cell r="EK104">
            <v>13148</v>
          </cell>
          <cell r="EL104">
            <v>13347</v>
          </cell>
          <cell r="EM104">
            <v>13624</v>
          </cell>
          <cell r="EN104">
            <v>13879</v>
          </cell>
          <cell r="EO104">
            <v>14346</v>
          </cell>
          <cell r="EP104">
            <v>14346</v>
          </cell>
          <cell r="EQ104">
            <v>15435</v>
          </cell>
          <cell r="ER104">
            <v>16398</v>
          </cell>
          <cell r="ES104">
            <v>17371</v>
          </cell>
          <cell r="ET104">
            <v>17371</v>
          </cell>
          <cell r="EU104">
            <v>17371</v>
          </cell>
          <cell r="EV104">
            <v>17371</v>
          </cell>
          <cell r="EW104">
            <v>17371</v>
          </cell>
          <cell r="EX104">
            <v>17371</v>
          </cell>
          <cell r="EY104">
            <v>17371</v>
          </cell>
          <cell r="EZ104">
            <v>17371</v>
          </cell>
          <cell r="FA104">
            <v>17371</v>
          </cell>
          <cell r="FB104">
            <v>17371</v>
          </cell>
          <cell r="FC104">
            <v>17371</v>
          </cell>
          <cell r="FD104">
            <v>17371</v>
          </cell>
          <cell r="FE104">
            <v>17371</v>
          </cell>
        </row>
        <row r="105">
          <cell r="A105" t="str">
            <v>Cash Flow Statement</v>
          </cell>
        </row>
        <row r="106">
          <cell r="B106" t="str">
            <v>Minority interest add-back</v>
          </cell>
          <cell r="C106" t="str">
            <v>CF_INC_MINORITY</v>
          </cell>
          <cell r="D106" t="str">
            <v>USD</v>
          </cell>
        </row>
        <row r="107">
          <cell r="B107" t="str">
            <v>Depreciation &amp; amortization add-back</v>
          </cell>
          <cell r="C107" t="str">
            <v>DEPR_AMORT</v>
          </cell>
          <cell r="D107" t="str">
            <v>USD</v>
          </cell>
          <cell r="F107">
            <v>269</v>
          </cell>
          <cell r="G107">
            <v>69</v>
          </cell>
          <cell r="H107">
            <v>78</v>
          </cell>
          <cell r="I107">
            <v>189</v>
          </cell>
          <cell r="J107">
            <v>144</v>
          </cell>
          <cell r="K107">
            <v>480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179</v>
          </cell>
          <cell r="W107">
            <v>177</v>
          </cell>
          <cell r="X107">
            <v>158</v>
          </cell>
          <cell r="Y107">
            <v>412</v>
          </cell>
          <cell r="Z107">
            <v>926</v>
          </cell>
          <cell r="AA107">
            <v>440</v>
          </cell>
          <cell r="AB107">
            <v>325</v>
          </cell>
          <cell r="AC107">
            <v>275</v>
          </cell>
          <cell r="AD107">
            <v>-292</v>
          </cell>
          <cell r="AE107">
            <v>748</v>
          </cell>
          <cell r="AF107">
            <v>250</v>
          </cell>
          <cell r="AG107">
            <v>239</v>
          </cell>
          <cell r="AH107">
            <v>483</v>
          </cell>
          <cell r="AI107">
            <v>564</v>
          </cell>
          <cell r="AJ107">
            <v>1536</v>
          </cell>
          <cell r="AK107">
            <v>282</v>
          </cell>
          <cell r="AL107">
            <v>295</v>
          </cell>
          <cell r="AM107">
            <v>148</v>
          </cell>
          <cell r="AN107">
            <v>359</v>
          </cell>
          <cell r="AO107">
            <v>1084</v>
          </cell>
          <cell r="AP107">
            <v>273</v>
          </cell>
          <cell r="AQ107">
            <v>275</v>
          </cell>
          <cell r="AR107">
            <v>383</v>
          </cell>
          <cell r="AS107">
            <v>462</v>
          </cell>
          <cell r="AT107">
            <v>1393</v>
          </cell>
          <cell r="AU107">
            <v>328</v>
          </cell>
          <cell r="AV107">
            <v>300</v>
          </cell>
          <cell r="AW107">
            <v>249</v>
          </cell>
          <cell r="AX107">
            <v>309</v>
          </cell>
          <cell r="AY107">
            <v>1186</v>
          </cell>
          <cell r="AZ107">
            <v>183</v>
          </cell>
          <cell r="BA107">
            <v>108</v>
          </cell>
          <cell r="BB107">
            <v>282</v>
          </cell>
          <cell r="BC107">
            <v>282</v>
          </cell>
          <cell r="BD107">
            <v>855</v>
          </cell>
          <cell r="BE107">
            <v>234</v>
          </cell>
          <cell r="BF107">
            <v>231</v>
          </cell>
          <cell r="BG107">
            <v>177</v>
          </cell>
          <cell r="BH107">
            <v>261</v>
          </cell>
          <cell r="BI107">
            <v>903</v>
          </cell>
          <cell r="BJ107">
            <v>249</v>
          </cell>
          <cell r="BK107">
            <v>365</v>
          </cell>
          <cell r="BL107">
            <v>445</v>
          </cell>
          <cell r="BM107">
            <v>381</v>
          </cell>
          <cell r="BN107">
            <v>1440</v>
          </cell>
          <cell r="BO107">
            <v>435</v>
          </cell>
          <cell r="BP107">
            <v>481</v>
          </cell>
          <cell r="BQ107">
            <v>532</v>
          </cell>
          <cell r="BR107">
            <v>608</v>
          </cell>
          <cell r="BS107">
            <v>2056</v>
          </cell>
          <cell r="BT107">
            <v>585</v>
          </cell>
          <cell r="BU107">
            <v>632</v>
          </cell>
          <cell r="BV107">
            <v>664</v>
          </cell>
          <cell r="BW107">
            <v>681</v>
          </cell>
          <cell r="BX107">
            <v>2562</v>
          </cell>
          <cell r="BY107">
            <v>646</v>
          </cell>
          <cell r="BZ107">
            <v>615</v>
          </cell>
          <cell r="CA107">
            <v>694</v>
          </cell>
          <cell r="CB107">
            <v>718</v>
          </cell>
          <cell r="CC107">
            <v>2673</v>
          </cell>
          <cell r="CD107">
            <v>694</v>
          </cell>
          <cell r="CE107">
            <v>663</v>
          </cell>
          <cell r="CF107">
            <v>720</v>
          </cell>
          <cell r="CG107">
            <v>689</v>
          </cell>
          <cell r="CH107">
            <v>2766</v>
          </cell>
          <cell r="CI107">
            <v>726</v>
          </cell>
          <cell r="CJ107">
            <v>678</v>
          </cell>
          <cell r="CK107">
            <v>766</v>
          </cell>
          <cell r="CL107">
            <v>797</v>
          </cell>
          <cell r="CM107">
            <v>2967</v>
          </cell>
          <cell r="CN107">
            <v>710</v>
          </cell>
          <cell r="CO107">
            <v>1009</v>
          </cell>
          <cell r="CP107">
            <v>1053</v>
          </cell>
          <cell r="CQ107">
            <v>983</v>
          </cell>
          <cell r="CR107">
            <v>3755</v>
          </cell>
          <cell r="CS107">
            <v>954</v>
          </cell>
          <cell r="CT107">
            <v>1261</v>
          </cell>
          <cell r="CU107">
            <v>1255</v>
          </cell>
          <cell r="CV107">
            <v>1742</v>
          </cell>
          <cell r="CW107">
            <v>5212</v>
          </cell>
          <cell r="CX107">
            <v>1428</v>
          </cell>
          <cell r="CY107">
            <v>1521</v>
          </cell>
          <cell r="CZ107">
            <v>1515</v>
          </cell>
          <cell r="DA107">
            <v>1493</v>
          </cell>
          <cell r="DB107">
            <v>5957</v>
          </cell>
          <cell r="DC107">
            <v>1461</v>
          </cell>
          <cell r="DD107">
            <v>1544</v>
          </cell>
          <cell r="DE107">
            <v>1707</v>
          </cell>
          <cell r="DF107">
            <v>1910</v>
          </cell>
          <cell r="DG107">
            <v>6622</v>
          </cell>
          <cell r="DH107">
            <v>1816</v>
          </cell>
          <cell r="DI107">
            <v>2166</v>
          </cell>
          <cell r="DJ107">
            <v>2453</v>
          </cell>
          <cell r="DK107">
            <v>2343</v>
          </cell>
          <cell r="DL107">
            <v>8778</v>
          </cell>
          <cell r="DM107">
            <v>2499</v>
          </cell>
          <cell r="DN107">
            <v>2536</v>
          </cell>
          <cell r="DO107">
            <v>2710</v>
          </cell>
          <cell r="DP107">
            <v>2516</v>
          </cell>
          <cell r="DQ107">
            <v>10261</v>
          </cell>
          <cell r="DR107">
            <v>2837</v>
          </cell>
          <cell r="DS107">
            <v>2995</v>
          </cell>
          <cell r="DT107">
            <v>2926</v>
          </cell>
          <cell r="DU107">
            <v>2924</v>
          </cell>
          <cell r="DV107">
            <v>11682</v>
          </cell>
          <cell r="DW107">
            <v>2971</v>
          </cell>
          <cell r="DX107">
            <v>3203</v>
          </cell>
          <cell r="DY107">
            <v>3118</v>
          </cell>
          <cell r="DZ107">
            <v>3504</v>
          </cell>
          <cell r="EA107">
            <v>12796</v>
          </cell>
          <cell r="EB107">
            <v>2645</v>
          </cell>
          <cell r="EC107">
            <v>2761</v>
          </cell>
          <cell r="ED107">
            <v>2936</v>
          </cell>
          <cell r="EE107">
            <v>3344</v>
          </cell>
          <cell r="EF107">
            <v>11686</v>
          </cell>
          <cell r="EG107">
            <v>3212</v>
          </cell>
          <cell r="EH107">
            <v>3496</v>
          </cell>
          <cell r="EI107">
            <v>3773</v>
          </cell>
          <cell r="EJ107">
            <v>3979</v>
          </cell>
          <cell r="EK107">
            <v>14460</v>
          </cell>
          <cell r="EL107">
            <v>2790</v>
          </cell>
          <cell r="EM107">
            <v>3648</v>
          </cell>
          <cell r="EN107">
            <v>3549</v>
          </cell>
          <cell r="EO107">
            <v>3874</v>
          </cell>
          <cell r="EP107">
            <v>13861</v>
          </cell>
          <cell r="EQ107">
            <v>3921</v>
          </cell>
          <cell r="ER107">
            <v>5959</v>
          </cell>
          <cell r="ES107">
            <v>6027</v>
          </cell>
          <cell r="ET107">
            <v>5095.25</v>
          </cell>
          <cell r="EU107">
            <v>21002.25</v>
          </cell>
          <cell r="EV107">
            <v>5674.9656709491046</v>
          </cell>
          <cell r="EW107">
            <v>7307.9672117887903</v>
          </cell>
          <cell r="EX107">
            <v>7134.7727853959777</v>
          </cell>
          <cell r="EY107">
            <v>6166.2450926489064</v>
          </cell>
          <cell r="EZ107">
            <v>26283.95076078278</v>
          </cell>
          <cell r="FA107">
            <v>6098.8955597276063</v>
          </cell>
          <cell r="FB107">
            <v>6377.4641060221747</v>
          </cell>
          <cell r="FC107">
            <v>6615.0088247667381</v>
          </cell>
          <cell r="FD107">
            <v>6846.0339838774189</v>
          </cell>
          <cell r="FE107">
            <v>25937.402474393937</v>
          </cell>
        </row>
        <row r="108">
          <cell r="B108" t="str">
            <v>(Increase)/decrease in working capital</v>
          </cell>
          <cell r="C108" t="str">
            <v>WORK_CAP</v>
          </cell>
          <cell r="D108" t="str">
            <v>USD</v>
          </cell>
          <cell r="F108">
            <v>268</v>
          </cell>
          <cell r="G108">
            <v>-68</v>
          </cell>
          <cell r="H108">
            <v>748</v>
          </cell>
          <cell r="I108">
            <v>154</v>
          </cell>
          <cell r="J108">
            <v>210</v>
          </cell>
          <cell r="K108">
            <v>1044</v>
          </cell>
          <cell r="L108">
            <v>-84</v>
          </cell>
          <cell r="M108">
            <v>-29</v>
          </cell>
          <cell r="N108">
            <v>220</v>
          </cell>
          <cell r="O108">
            <v>-287</v>
          </cell>
          <cell r="P108">
            <v>-180</v>
          </cell>
          <cell r="Q108">
            <v>240</v>
          </cell>
          <cell r="R108">
            <v>-105</v>
          </cell>
          <cell r="S108">
            <v>61</v>
          </cell>
          <cell r="T108">
            <v>-596</v>
          </cell>
          <cell r="U108">
            <v>-400</v>
          </cell>
          <cell r="V108">
            <v>637</v>
          </cell>
          <cell r="W108">
            <v>-428</v>
          </cell>
          <cell r="X108">
            <v>-34</v>
          </cell>
          <cell r="Y108">
            <v>-47</v>
          </cell>
          <cell r="Z108">
            <v>128</v>
          </cell>
          <cell r="AA108">
            <v>-375</v>
          </cell>
          <cell r="AB108">
            <v>-743</v>
          </cell>
          <cell r="AC108">
            <v>-591</v>
          </cell>
          <cell r="AD108">
            <v>-455</v>
          </cell>
          <cell r="AE108">
            <v>-2164</v>
          </cell>
          <cell r="AF108">
            <v>-409</v>
          </cell>
          <cell r="AG108">
            <v>-764</v>
          </cell>
          <cell r="AH108">
            <v>214</v>
          </cell>
          <cell r="AI108">
            <v>656</v>
          </cell>
          <cell r="AJ108">
            <v>-303</v>
          </cell>
          <cell r="AK108">
            <v>541</v>
          </cell>
          <cell r="AL108">
            <v>-44</v>
          </cell>
          <cell r="AM108">
            <v>523</v>
          </cell>
          <cell r="AN108">
            <v>-1251</v>
          </cell>
          <cell r="AO108">
            <v>-231</v>
          </cell>
          <cell r="AP108">
            <v>1559</v>
          </cell>
          <cell r="AQ108">
            <v>20</v>
          </cell>
          <cell r="AR108">
            <v>492</v>
          </cell>
          <cell r="AS108">
            <v>-1025</v>
          </cell>
          <cell r="AT108">
            <v>1046</v>
          </cell>
          <cell r="AU108">
            <v>20</v>
          </cell>
          <cell r="AV108">
            <v>1043</v>
          </cell>
          <cell r="AW108">
            <v>3307</v>
          </cell>
          <cell r="AX108">
            <v>-2407</v>
          </cell>
          <cell r="AY108">
            <v>1963</v>
          </cell>
          <cell r="AZ108">
            <v>428</v>
          </cell>
          <cell r="BA108">
            <v>-932</v>
          </cell>
          <cell r="BB108">
            <v>2048</v>
          </cell>
          <cell r="BC108">
            <v>-1370</v>
          </cell>
          <cell r="BD108">
            <v>174</v>
          </cell>
          <cell r="BE108">
            <v>1166</v>
          </cell>
          <cell r="BF108">
            <v>-2297</v>
          </cell>
          <cell r="BG108">
            <v>1333</v>
          </cell>
          <cell r="BH108">
            <v>-2599</v>
          </cell>
          <cell r="BI108">
            <v>-2397</v>
          </cell>
          <cell r="BJ108">
            <v>791</v>
          </cell>
          <cell r="BK108">
            <v>-2596</v>
          </cell>
          <cell r="BL108">
            <v>2256</v>
          </cell>
          <cell r="BM108">
            <v>-1412</v>
          </cell>
          <cell r="BN108">
            <v>-961</v>
          </cell>
          <cell r="BO108">
            <v>1864</v>
          </cell>
          <cell r="BP108">
            <v>-1764</v>
          </cell>
          <cell r="BQ108">
            <v>2014</v>
          </cell>
          <cell r="BR108">
            <v>-4549</v>
          </cell>
          <cell r="BS108">
            <v>-2435</v>
          </cell>
          <cell r="BT108">
            <v>-541</v>
          </cell>
          <cell r="BU108">
            <v>363</v>
          </cell>
          <cell r="BV108">
            <v>2605</v>
          </cell>
          <cell r="BW108">
            <v>-2605</v>
          </cell>
          <cell r="BX108">
            <v>-178</v>
          </cell>
          <cell r="BY108">
            <v>1123</v>
          </cell>
          <cell r="BZ108">
            <v>-940</v>
          </cell>
          <cell r="CA108">
            <v>2843</v>
          </cell>
          <cell r="CB108">
            <v>-2365</v>
          </cell>
          <cell r="CC108">
            <v>661</v>
          </cell>
          <cell r="CD108">
            <v>2725</v>
          </cell>
          <cell r="CE108">
            <v>-2850</v>
          </cell>
          <cell r="CF108">
            <v>2775</v>
          </cell>
          <cell r="CG108">
            <v>-5653</v>
          </cell>
          <cell r="CH108">
            <v>-3003</v>
          </cell>
          <cell r="CI108">
            <v>2683</v>
          </cell>
          <cell r="CJ108">
            <v>-1400</v>
          </cell>
          <cell r="CK108">
            <v>3346</v>
          </cell>
          <cell r="CL108">
            <v>-4803</v>
          </cell>
          <cell r="CM108">
            <v>-174</v>
          </cell>
          <cell r="CN108">
            <v>3394</v>
          </cell>
          <cell r="CO108">
            <v>-3616</v>
          </cell>
          <cell r="CP108">
            <v>3704</v>
          </cell>
          <cell r="CQ108">
            <v>-4857</v>
          </cell>
          <cell r="CR108">
            <v>-1375</v>
          </cell>
          <cell r="CS108">
            <v>3321</v>
          </cell>
          <cell r="CT108">
            <v>-3115</v>
          </cell>
          <cell r="CU108">
            <v>2798</v>
          </cell>
          <cell r="CV108">
            <v>-2380</v>
          </cell>
          <cell r="CW108">
            <v>624</v>
          </cell>
          <cell r="CX108">
            <v>4507</v>
          </cell>
          <cell r="CY108">
            <v>-2495</v>
          </cell>
          <cell r="CZ108">
            <v>3308</v>
          </cell>
          <cell r="DA108">
            <v>-3807</v>
          </cell>
          <cell r="DB108">
            <v>1513</v>
          </cell>
          <cell r="DC108">
            <v>2879</v>
          </cell>
          <cell r="DD108">
            <v>-2026</v>
          </cell>
          <cell r="DE108">
            <v>2953</v>
          </cell>
          <cell r="DF108">
            <v>-4800</v>
          </cell>
          <cell r="DG108">
            <v>-994</v>
          </cell>
          <cell r="DH108">
            <v>3134</v>
          </cell>
          <cell r="DI108">
            <v>-2260</v>
          </cell>
          <cell r="DJ108">
            <v>2712</v>
          </cell>
          <cell r="DK108">
            <v>1290</v>
          </cell>
          <cell r="DL108">
            <v>4876</v>
          </cell>
          <cell r="DM108">
            <v>2968</v>
          </cell>
          <cell r="DN108">
            <v>13644</v>
          </cell>
          <cell r="DO108">
            <v>1882</v>
          </cell>
          <cell r="DP108">
            <v>1973</v>
          </cell>
          <cell r="DQ108">
            <v>20467</v>
          </cell>
          <cell r="DR108">
            <v>1376</v>
          </cell>
          <cell r="DS108">
            <v>-3390</v>
          </cell>
          <cell r="DT108">
            <v>1028</v>
          </cell>
          <cell r="DU108">
            <v>4852</v>
          </cell>
          <cell r="DV108">
            <v>3866</v>
          </cell>
          <cell r="DW108">
            <v>-927</v>
          </cell>
          <cell r="DX108">
            <v>-5256</v>
          </cell>
          <cell r="DY108">
            <v>2450</v>
          </cell>
          <cell r="DZ108">
            <v>2250</v>
          </cell>
          <cell r="EA108">
            <v>-1483</v>
          </cell>
          <cell r="EB108">
            <v>1480</v>
          </cell>
          <cell r="EC108">
            <v>-6903</v>
          </cell>
          <cell r="ED108">
            <v>2700</v>
          </cell>
          <cell r="EE108">
            <v>1787</v>
          </cell>
          <cell r="EF108">
            <v>-936</v>
          </cell>
          <cell r="EG108">
            <v>5455</v>
          </cell>
          <cell r="EH108">
            <v>-9554</v>
          </cell>
          <cell r="EI108">
            <v>3072</v>
          </cell>
          <cell r="EJ108">
            <v>1473</v>
          </cell>
          <cell r="EK108">
            <v>446</v>
          </cell>
          <cell r="EL108">
            <v>1873</v>
          </cell>
          <cell r="EM108">
            <v>-10347</v>
          </cell>
          <cell r="EN108">
            <v>1843</v>
          </cell>
          <cell r="EO108">
            <v>4243</v>
          </cell>
          <cell r="EP108">
            <v>-2388</v>
          </cell>
          <cell r="EQ108">
            <v>2418</v>
          </cell>
          <cell r="ER108">
            <v>-10300</v>
          </cell>
          <cell r="ES108">
            <v>2522</v>
          </cell>
          <cell r="ET108">
            <v>13592.095815729937</v>
          </cell>
          <cell r="EU108">
            <v>8232.0958157299374</v>
          </cell>
          <cell r="EV108">
            <v>1593.2922307512845</v>
          </cell>
          <cell r="EW108">
            <v>-11918.05177155228</v>
          </cell>
          <cell r="EX108">
            <v>1069.9451248034948</v>
          </cell>
          <cell r="EY108">
            <v>3490.315823608129</v>
          </cell>
          <cell r="EZ108">
            <v>-5764.4985923893673</v>
          </cell>
          <cell r="FA108">
            <v>9055.889817573956</v>
          </cell>
          <cell r="FB108">
            <v>-17588.188795267968</v>
          </cell>
          <cell r="FC108">
            <v>8507.9864312591453</v>
          </cell>
          <cell r="FD108">
            <v>1520.484390655758</v>
          </cell>
          <cell r="FE108">
            <v>1496.1718442208876</v>
          </cell>
        </row>
        <row r="109">
          <cell r="B109" t="str">
            <v>Other operating cash flow items</v>
          </cell>
          <cell r="C109" t="str">
            <v>OTH_OP_CF</v>
          </cell>
          <cell r="D109" t="str">
            <v>USD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253</v>
          </cell>
          <cell r="M109">
            <v>506</v>
          </cell>
          <cell r="N109">
            <v>356</v>
          </cell>
          <cell r="O109">
            <v>300</v>
          </cell>
          <cell r="P109">
            <v>1415</v>
          </cell>
          <cell r="Q109">
            <v>777</v>
          </cell>
          <cell r="R109">
            <v>636</v>
          </cell>
          <cell r="S109">
            <v>704</v>
          </cell>
          <cell r="T109">
            <v>673</v>
          </cell>
          <cell r="U109">
            <v>2790</v>
          </cell>
          <cell r="V109">
            <v>85</v>
          </cell>
          <cell r="W109">
            <v>419</v>
          </cell>
          <cell r="X109">
            <v>643</v>
          </cell>
          <cell r="Y109">
            <v>3151</v>
          </cell>
          <cell r="Z109">
            <v>4298</v>
          </cell>
          <cell r="AA109">
            <v>-266</v>
          </cell>
          <cell r="AB109">
            <v>130</v>
          </cell>
          <cell r="AC109">
            <v>200</v>
          </cell>
          <cell r="AD109">
            <v>5892</v>
          </cell>
          <cell r="AE109">
            <v>5956</v>
          </cell>
          <cell r="AF109">
            <v>913</v>
          </cell>
          <cell r="AG109">
            <v>820</v>
          </cell>
          <cell r="AH109">
            <v>816</v>
          </cell>
          <cell r="AI109">
            <v>2294</v>
          </cell>
          <cell r="AJ109">
            <v>4843</v>
          </cell>
          <cell r="AK109">
            <v>1283</v>
          </cell>
          <cell r="AL109">
            <v>1031</v>
          </cell>
          <cell r="AM109">
            <v>712</v>
          </cell>
          <cell r="AN109">
            <v>2801</v>
          </cell>
          <cell r="AO109">
            <v>5827</v>
          </cell>
          <cell r="AP109">
            <v>2299</v>
          </cell>
          <cell r="AQ109">
            <v>607</v>
          </cell>
          <cell r="AR109">
            <v>1152</v>
          </cell>
          <cell r="AS109">
            <v>1769</v>
          </cell>
          <cell r="AT109">
            <v>5827</v>
          </cell>
          <cell r="AU109">
            <v>462</v>
          </cell>
          <cell r="AV109">
            <v>1682</v>
          </cell>
          <cell r="AW109">
            <v>99</v>
          </cell>
          <cell r="AX109">
            <v>1066</v>
          </cell>
          <cell r="AY109">
            <v>3309</v>
          </cell>
          <cell r="AZ109">
            <v>868</v>
          </cell>
          <cell r="BA109">
            <v>980</v>
          </cell>
          <cell r="BB109">
            <v>110</v>
          </cell>
          <cell r="BC109">
            <v>1364</v>
          </cell>
          <cell r="BD109">
            <v>3322</v>
          </cell>
          <cell r="BE109">
            <v>-212</v>
          </cell>
          <cell r="BF109">
            <v>644</v>
          </cell>
          <cell r="BG109">
            <v>76</v>
          </cell>
          <cell r="BH109">
            <v>2791</v>
          </cell>
          <cell r="BI109">
            <v>3299</v>
          </cell>
          <cell r="BJ109">
            <v>-457</v>
          </cell>
          <cell r="BK109">
            <v>1647</v>
          </cell>
          <cell r="BL109">
            <v>-336</v>
          </cell>
          <cell r="BM109">
            <v>2398</v>
          </cell>
          <cell r="BN109">
            <v>3252</v>
          </cell>
          <cell r="BO109">
            <v>-710</v>
          </cell>
          <cell r="BP109">
            <v>1143</v>
          </cell>
          <cell r="BQ109">
            <v>148</v>
          </cell>
          <cell r="BR109">
            <v>3729</v>
          </cell>
          <cell r="BS109">
            <v>4310</v>
          </cell>
          <cell r="BT109">
            <v>-1047</v>
          </cell>
          <cell r="BU109">
            <v>613</v>
          </cell>
          <cell r="BV109">
            <v>-202</v>
          </cell>
          <cell r="BW109">
            <v>2720</v>
          </cell>
          <cell r="BX109">
            <v>2084</v>
          </cell>
          <cell r="BY109">
            <v>764</v>
          </cell>
          <cell r="BZ109">
            <v>-1368</v>
          </cell>
          <cell r="CA109">
            <v>-150</v>
          </cell>
          <cell r="CB109">
            <v>2733</v>
          </cell>
          <cell r="CC109">
            <v>1979</v>
          </cell>
          <cell r="CD109">
            <v>-635</v>
          </cell>
          <cell r="CE109">
            <v>-261</v>
          </cell>
          <cell r="CF109">
            <v>-55</v>
          </cell>
          <cell r="CG109">
            <v>5032</v>
          </cell>
          <cell r="CH109">
            <v>4081</v>
          </cell>
          <cell r="CI109">
            <v>-654</v>
          </cell>
          <cell r="CJ109">
            <v>-40</v>
          </cell>
          <cell r="CK109">
            <v>374</v>
          </cell>
          <cell r="CL109">
            <v>12175</v>
          </cell>
          <cell r="CM109">
            <v>11855</v>
          </cell>
          <cell r="CN109">
            <v>-86</v>
          </cell>
          <cell r="CO109">
            <v>1010</v>
          </cell>
          <cell r="CP109">
            <v>-1146</v>
          </cell>
          <cell r="CQ109">
            <v>4812</v>
          </cell>
          <cell r="CR109">
            <v>4590</v>
          </cell>
          <cell r="CS109">
            <v>-1314</v>
          </cell>
          <cell r="CT109">
            <v>-291</v>
          </cell>
          <cell r="CU109">
            <v>386</v>
          </cell>
          <cell r="CV109">
            <v>5540</v>
          </cell>
          <cell r="CW109">
            <v>4321</v>
          </cell>
          <cell r="CX109">
            <v>-2121</v>
          </cell>
          <cell r="CY109">
            <v>-549</v>
          </cell>
          <cell r="CZ109">
            <v>-238</v>
          </cell>
          <cell r="DA109">
            <v>12325</v>
          </cell>
          <cell r="DB109">
            <v>9417</v>
          </cell>
          <cell r="DC109">
            <v>-366</v>
          </cell>
          <cell r="DD109">
            <v>1082</v>
          </cell>
          <cell r="DE109">
            <v>1951</v>
          </cell>
          <cell r="DF109">
            <v>8232</v>
          </cell>
          <cell r="DG109">
            <v>10899</v>
          </cell>
          <cell r="DH109">
            <v>932</v>
          </cell>
          <cell r="DI109">
            <v>120</v>
          </cell>
          <cell r="DJ109">
            <v>9</v>
          </cell>
          <cell r="DK109">
            <v>-697</v>
          </cell>
          <cell r="DL109">
            <v>364</v>
          </cell>
          <cell r="DM109">
            <v>397</v>
          </cell>
          <cell r="DN109">
            <v>-2003</v>
          </cell>
          <cell r="DO109">
            <v>135</v>
          </cell>
          <cell r="DP109">
            <v>-1944</v>
          </cell>
          <cell r="DQ109">
            <v>-3415</v>
          </cell>
          <cell r="DR109">
            <v>620</v>
          </cell>
          <cell r="DS109">
            <v>875</v>
          </cell>
          <cell r="DT109">
            <v>757</v>
          </cell>
          <cell r="DU109">
            <v>-4855</v>
          </cell>
          <cell r="DV109">
            <v>-2603</v>
          </cell>
          <cell r="DW109">
            <v>1096</v>
          </cell>
          <cell r="DX109">
            <v>1084</v>
          </cell>
          <cell r="DY109">
            <v>1184</v>
          </cell>
          <cell r="DZ109">
            <v>1717</v>
          </cell>
          <cell r="EA109">
            <v>5081</v>
          </cell>
          <cell r="EB109">
            <v>1317</v>
          </cell>
          <cell r="EC109">
            <v>1195</v>
          </cell>
          <cell r="ED109">
            <v>1086</v>
          </cell>
          <cell r="EE109">
            <v>1121</v>
          </cell>
          <cell r="EF109">
            <v>4719</v>
          </cell>
          <cell r="EG109">
            <v>-4632</v>
          </cell>
          <cell r="EH109">
            <v>1773</v>
          </cell>
          <cell r="EI109">
            <v>1813</v>
          </cell>
          <cell r="EJ109">
            <v>2437</v>
          </cell>
          <cell r="EK109">
            <v>1391</v>
          </cell>
          <cell r="EL109">
            <v>979</v>
          </cell>
          <cell r="EM109">
            <v>1447</v>
          </cell>
          <cell r="EN109">
            <v>750</v>
          </cell>
          <cell r="EO109">
            <v>572</v>
          </cell>
          <cell r="EP109">
            <v>3748</v>
          </cell>
          <cell r="EQ109">
            <v>1953</v>
          </cell>
          <cell r="ER109">
            <v>1324</v>
          </cell>
          <cell r="ES109">
            <v>1429</v>
          </cell>
          <cell r="ET109">
            <v>2920.7131411366668</v>
          </cell>
          <cell r="EU109">
            <v>7626.7131411366663</v>
          </cell>
          <cell r="EV109">
            <v>2977.0572766097366</v>
          </cell>
          <cell r="EW109">
            <v>3166.9928972185503</v>
          </cell>
          <cell r="EX109">
            <v>3166.0124390971641</v>
          </cell>
          <cell r="EY109">
            <v>3329.139598495703</v>
          </cell>
          <cell r="EZ109">
            <v>12639.202211421156</v>
          </cell>
          <cell r="FA109">
            <v>3189.878354264853</v>
          </cell>
          <cell r="FB109">
            <v>3393.2854540336507</v>
          </cell>
          <cell r="FC109">
            <v>3398.584904999866</v>
          </cell>
          <cell r="FD109">
            <v>3582.8867729641993</v>
          </cell>
          <cell r="FE109">
            <v>13564.635486262569</v>
          </cell>
        </row>
        <row r="110">
          <cell r="B110" t="str">
            <v>Cash flow from operating activities</v>
          </cell>
          <cell r="C110" t="str">
            <v>CF_OPS</v>
          </cell>
          <cell r="D110" t="str">
            <v>USD</v>
          </cell>
          <cell r="F110">
            <v>1990</v>
          </cell>
          <cell r="G110">
            <v>500</v>
          </cell>
          <cell r="H110">
            <v>1401</v>
          </cell>
          <cell r="I110">
            <v>905</v>
          </cell>
          <cell r="J110">
            <v>913</v>
          </cell>
          <cell r="K110">
            <v>3719</v>
          </cell>
          <cell r="L110">
            <v>783</v>
          </cell>
          <cell r="M110">
            <v>1218</v>
          </cell>
          <cell r="N110">
            <v>1618</v>
          </cell>
          <cell r="O110">
            <v>1070</v>
          </cell>
          <cell r="P110">
            <v>4689</v>
          </cell>
          <cell r="Q110">
            <v>1680</v>
          </cell>
          <cell r="R110">
            <v>1664</v>
          </cell>
          <cell r="S110">
            <v>2102</v>
          </cell>
          <cell r="T110">
            <v>1434</v>
          </cell>
          <cell r="U110">
            <v>6880</v>
          </cell>
          <cell r="V110">
            <v>2584</v>
          </cell>
          <cell r="W110">
            <v>2151</v>
          </cell>
          <cell r="X110">
            <v>2684</v>
          </cell>
          <cell r="Y110">
            <v>5718</v>
          </cell>
          <cell r="Z110">
            <v>13137</v>
          </cell>
          <cell r="AA110">
            <v>1990</v>
          </cell>
          <cell r="AB110">
            <v>2148</v>
          </cell>
          <cell r="AC110">
            <v>2269</v>
          </cell>
          <cell r="AD110">
            <v>7554</v>
          </cell>
          <cell r="AE110">
            <v>13961</v>
          </cell>
          <cell r="AF110">
            <v>2960</v>
          </cell>
          <cell r="AG110">
            <v>2919</v>
          </cell>
          <cell r="AH110">
            <v>3964</v>
          </cell>
          <cell r="AI110">
            <v>3579</v>
          </cell>
          <cell r="AJ110">
            <v>13422</v>
          </cell>
          <cell r="AK110">
            <v>3389</v>
          </cell>
          <cell r="AL110">
            <v>3565</v>
          </cell>
          <cell r="AM110">
            <v>4121</v>
          </cell>
          <cell r="AN110">
            <v>3434</v>
          </cell>
          <cell r="AO110">
            <v>14509</v>
          </cell>
          <cell r="AP110">
            <v>6172</v>
          </cell>
          <cell r="AQ110">
            <v>2767</v>
          </cell>
          <cell r="AR110">
            <v>4169</v>
          </cell>
          <cell r="AS110">
            <v>2689</v>
          </cell>
          <cell r="AT110">
            <v>15797</v>
          </cell>
          <cell r="AU110">
            <v>3424</v>
          </cell>
          <cell r="AV110">
            <v>4574</v>
          </cell>
          <cell r="AW110">
            <v>4970</v>
          </cell>
          <cell r="AX110">
            <v>1658</v>
          </cell>
          <cell r="AY110">
            <v>14626</v>
          </cell>
          <cell r="AZ110">
            <v>4007</v>
          </cell>
          <cell r="BA110">
            <v>3619</v>
          </cell>
          <cell r="BB110">
            <v>5003</v>
          </cell>
          <cell r="BC110">
            <v>3976</v>
          </cell>
          <cell r="BD110">
            <v>16605</v>
          </cell>
          <cell r="BE110">
            <v>4329</v>
          </cell>
          <cell r="BF110">
            <v>2231</v>
          </cell>
          <cell r="BG110">
            <v>4563</v>
          </cell>
          <cell r="BH110">
            <v>3281</v>
          </cell>
          <cell r="BI110">
            <v>14404</v>
          </cell>
          <cell r="BJ110">
            <v>4061</v>
          </cell>
          <cell r="BK110">
            <v>2042</v>
          </cell>
          <cell r="BL110">
            <v>7291</v>
          </cell>
          <cell r="BM110">
            <v>4402</v>
          </cell>
          <cell r="BN110">
            <v>17796</v>
          </cell>
          <cell r="BO110">
            <v>5878</v>
          </cell>
          <cell r="BP110">
            <v>4567</v>
          </cell>
          <cell r="BQ110">
            <v>7082</v>
          </cell>
          <cell r="BR110">
            <v>4085</v>
          </cell>
          <cell r="BS110">
            <v>21612</v>
          </cell>
          <cell r="BT110">
            <v>3370</v>
          </cell>
          <cell r="BU110">
            <v>5782</v>
          </cell>
          <cell r="BV110">
            <v>6044</v>
          </cell>
          <cell r="BW110">
            <v>3841</v>
          </cell>
          <cell r="BX110">
            <v>19037</v>
          </cell>
          <cell r="BY110">
            <v>6107</v>
          </cell>
          <cell r="BZ110">
            <v>4969</v>
          </cell>
          <cell r="CA110">
            <v>7393</v>
          </cell>
          <cell r="CB110">
            <v>5604</v>
          </cell>
          <cell r="CC110">
            <v>24073</v>
          </cell>
          <cell r="CD110">
            <v>8194</v>
          </cell>
          <cell r="CE110">
            <v>4186</v>
          </cell>
          <cell r="CF110">
            <v>8672</v>
          </cell>
          <cell r="CG110">
            <v>5942</v>
          </cell>
          <cell r="CH110">
            <v>26994</v>
          </cell>
          <cell r="CI110">
            <v>8493</v>
          </cell>
          <cell r="CJ110">
            <v>5862</v>
          </cell>
          <cell r="CK110">
            <v>9594</v>
          </cell>
          <cell r="CL110">
            <v>7677</v>
          </cell>
          <cell r="CM110">
            <v>31626</v>
          </cell>
          <cell r="CN110">
            <v>8484</v>
          </cell>
          <cell r="CO110">
            <v>4780</v>
          </cell>
          <cell r="CP110">
            <v>9666</v>
          </cell>
          <cell r="CQ110">
            <v>5903</v>
          </cell>
          <cell r="CR110">
            <v>28833</v>
          </cell>
          <cell r="CS110">
            <v>8205</v>
          </cell>
          <cell r="CT110">
            <v>4413</v>
          </cell>
          <cell r="CU110">
            <v>10099</v>
          </cell>
          <cell r="CV110">
            <v>9514</v>
          </cell>
          <cell r="CW110">
            <v>32231</v>
          </cell>
          <cell r="CX110">
            <v>8354</v>
          </cell>
          <cell r="CY110">
            <v>4340</v>
          </cell>
          <cell r="CZ110">
            <v>9570</v>
          </cell>
          <cell r="DA110">
            <v>6816</v>
          </cell>
          <cell r="DB110">
            <v>29080</v>
          </cell>
          <cell r="DC110">
            <v>8594</v>
          </cell>
          <cell r="DD110">
            <v>5598</v>
          </cell>
          <cell r="DE110">
            <v>10367</v>
          </cell>
          <cell r="DF110">
            <v>8464</v>
          </cell>
          <cell r="DG110">
            <v>33023</v>
          </cell>
          <cell r="DH110">
            <v>11549</v>
          </cell>
          <cell r="DI110">
            <v>6293</v>
          </cell>
          <cell r="DJ110">
            <v>10660</v>
          </cell>
          <cell r="DK110">
            <v>11005</v>
          </cell>
          <cell r="DL110">
            <v>39507</v>
          </cell>
          <cell r="DM110">
            <v>12440</v>
          </cell>
          <cell r="DN110">
            <v>7875</v>
          </cell>
          <cell r="DO110">
            <v>12151</v>
          </cell>
          <cell r="DP110">
            <v>11418</v>
          </cell>
          <cell r="DQ110">
            <v>43884</v>
          </cell>
          <cell r="DR110">
            <v>13657</v>
          </cell>
          <cell r="DS110">
            <v>8900</v>
          </cell>
          <cell r="DT110">
            <v>13520</v>
          </cell>
          <cell r="DU110">
            <v>16108</v>
          </cell>
          <cell r="DV110">
            <v>52185</v>
          </cell>
          <cell r="DW110">
            <v>13818</v>
          </cell>
          <cell r="DX110">
            <v>10680</v>
          </cell>
          <cell r="DY110">
            <v>17504</v>
          </cell>
          <cell r="DZ110">
            <v>18673</v>
          </cell>
          <cell r="EA110">
            <v>60675</v>
          </cell>
          <cell r="EB110">
            <v>19335</v>
          </cell>
          <cell r="EC110">
            <v>12516</v>
          </cell>
          <cell r="ED110">
            <v>22179</v>
          </cell>
          <cell r="EE110">
            <v>22710</v>
          </cell>
          <cell r="EF110">
            <v>76740</v>
          </cell>
          <cell r="EG110">
            <v>24540</v>
          </cell>
          <cell r="EH110">
            <v>14480</v>
          </cell>
          <cell r="EI110">
            <v>25386</v>
          </cell>
          <cell r="EJ110">
            <v>24629</v>
          </cell>
          <cell r="EK110">
            <v>89035</v>
          </cell>
          <cell r="EL110">
            <v>23198</v>
          </cell>
          <cell r="EM110">
            <v>11173</v>
          </cell>
          <cell r="EN110">
            <v>24441</v>
          </cell>
          <cell r="EO110">
            <v>28770</v>
          </cell>
          <cell r="EP110">
            <v>87582</v>
          </cell>
          <cell r="EQ110">
            <v>30583</v>
          </cell>
          <cell r="ER110">
            <v>18853</v>
          </cell>
          <cell r="ES110">
            <v>31917</v>
          </cell>
          <cell r="ET110">
            <v>44264.355267227205</v>
          </cell>
          <cell r="EU110">
            <v>125617.35526722721</v>
          </cell>
          <cell r="EV110">
            <v>35160.443596172154</v>
          </cell>
          <cell r="EW110">
            <v>24545.737776490168</v>
          </cell>
          <cell r="EX110">
            <v>37216.4180257318</v>
          </cell>
          <cell r="EY110">
            <v>40566.065909886776</v>
          </cell>
          <cell r="EZ110">
            <v>137488.66530828091</v>
          </cell>
          <cell r="FA110">
            <v>47703.191652677371</v>
          </cell>
          <cell r="FB110">
            <v>22797.338729037889</v>
          </cell>
          <cell r="FC110">
            <v>49039.616332557918</v>
          </cell>
          <cell r="FD110">
            <v>44565.218241125593</v>
          </cell>
          <cell r="FE110">
            <v>164105.36495539878</v>
          </cell>
        </row>
        <row r="111">
          <cell r="B111" t="str">
            <v>Capital expenditures, Capex</v>
          </cell>
          <cell r="C111" t="str">
            <v>CAPEX</v>
          </cell>
          <cell r="D111" t="str">
            <v>USD</v>
          </cell>
          <cell r="F111">
            <v>-495</v>
          </cell>
          <cell r="G111">
            <v>-116</v>
          </cell>
          <cell r="H111">
            <v>-88</v>
          </cell>
          <cell r="I111">
            <v>-132</v>
          </cell>
          <cell r="J111">
            <v>-158</v>
          </cell>
          <cell r="K111">
            <v>-494</v>
          </cell>
          <cell r="L111">
            <v>-99</v>
          </cell>
          <cell r="M111">
            <v>-117</v>
          </cell>
          <cell r="N111">
            <v>-110</v>
          </cell>
          <cell r="O111">
            <v>-173</v>
          </cell>
          <cell r="P111">
            <v>-499</v>
          </cell>
          <cell r="Q111">
            <v>-117</v>
          </cell>
          <cell r="R111">
            <v>-151</v>
          </cell>
          <cell r="S111">
            <v>-147</v>
          </cell>
          <cell r="T111">
            <v>-241</v>
          </cell>
          <cell r="U111">
            <v>-656</v>
          </cell>
          <cell r="V111">
            <v>-106</v>
          </cell>
          <cell r="W111">
            <v>-135</v>
          </cell>
          <cell r="X111">
            <v>-50</v>
          </cell>
          <cell r="Y111">
            <v>-292</v>
          </cell>
          <cell r="Z111">
            <v>-583</v>
          </cell>
          <cell r="AA111">
            <v>-139</v>
          </cell>
          <cell r="AB111">
            <v>-232</v>
          </cell>
          <cell r="AC111">
            <v>-246</v>
          </cell>
          <cell r="AD111">
            <v>-262</v>
          </cell>
          <cell r="AE111">
            <v>-879</v>
          </cell>
          <cell r="AF111">
            <v>-245</v>
          </cell>
          <cell r="AG111">
            <v>-272</v>
          </cell>
          <cell r="AH111">
            <v>-264</v>
          </cell>
          <cell r="AI111">
            <v>-322</v>
          </cell>
          <cell r="AJ111">
            <v>-1103</v>
          </cell>
          <cell r="AK111">
            <v>-150</v>
          </cell>
          <cell r="AL111">
            <v>-172</v>
          </cell>
          <cell r="AM111">
            <v>-166</v>
          </cell>
          <cell r="AN111">
            <v>-282</v>
          </cell>
          <cell r="AO111">
            <v>-770</v>
          </cell>
          <cell r="AP111">
            <v>-160</v>
          </cell>
          <cell r="AQ111">
            <v>-276</v>
          </cell>
          <cell r="AR111">
            <v>-182</v>
          </cell>
          <cell r="AS111">
            <v>-273</v>
          </cell>
          <cell r="AT111">
            <v>-891</v>
          </cell>
          <cell r="AU111">
            <v>-167</v>
          </cell>
          <cell r="AV111">
            <v>-172</v>
          </cell>
          <cell r="AW111">
            <v>-213</v>
          </cell>
          <cell r="AX111">
            <v>-557</v>
          </cell>
          <cell r="AY111">
            <v>-1109</v>
          </cell>
          <cell r="AZ111">
            <v>-173</v>
          </cell>
          <cell r="BA111">
            <v>-176</v>
          </cell>
          <cell r="BB111">
            <v>-203</v>
          </cell>
          <cell r="BC111">
            <v>-260</v>
          </cell>
          <cell r="BD111">
            <v>-812</v>
          </cell>
          <cell r="BE111">
            <v>-213</v>
          </cell>
          <cell r="BF111">
            <v>-318</v>
          </cell>
          <cell r="BG111">
            <v>-302</v>
          </cell>
          <cell r="BH111">
            <v>-745</v>
          </cell>
          <cell r="BI111">
            <v>-1578</v>
          </cell>
          <cell r="BJ111">
            <v>-411</v>
          </cell>
          <cell r="BK111">
            <v>-572</v>
          </cell>
          <cell r="BL111">
            <v>-461</v>
          </cell>
          <cell r="BM111">
            <v>-820</v>
          </cell>
          <cell r="BN111">
            <v>-2264</v>
          </cell>
          <cell r="BO111">
            <v>-510</v>
          </cell>
          <cell r="BP111">
            <v>-695</v>
          </cell>
          <cell r="BQ111">
            <v>-759</v>
          </cell>
          <cell r="BR111">
            <v>-1218</v>
          </cell>
          <cell r="BS111">
            <v>-3182</v>
          </cell>
          <cell r="BT111">
            <v>-778</v>
          </cell>
          <cell r="BU111">
            <v>-842</v>
          </cell>
          <cell r="BV111">
            <v>-632</v>
          </cell>
          <cell r="BW111">
            <v>-867</v>
          </cell>
          <cell r="BX111">
            <v>-3119</v>
          </cell>
          <cell r="BY111">
            <v>-435</v>
          </cell>
          <cell r="BZ111">
            <v>-376</v>
          </cell>
          <cell r="CA111">
            <v>-408</v>
          </cell>
          <cell r="CB111">
            <v>-758</v>
          </cell>
          <cell r="CC111">
            <v>-1977</v>
          </cell>
          <cell r="CD111">
            <v>-564</v>
          </cell>
          <cell r="CE111">
            <v>-491</v>
          </cell>
          <cell r="CF111">
            <v>-658</v>
          </cell>
          <cell r="CG111">
            <v>-642</v>
          </cell>
          <cell r="CH111">
            <v>-2355</v>
          </cell>
          <cell r="CI111">
            <v>-436</v>
          </cell>
          <cell r="CJ111">
            <v>-498</v>
          </cell>
          <cell r="CK111">
            <v>-749</v>
          </cell>
          <cell r="CL111">
            <v>-622</v>
          </cell>
          <cell r="CM111">
            <v>-2305</v>
          </cell>
          <cell r="CN111">
            <v>-603</v>
          </cell>
          <cell r="CO111">
            <v>-930</v>
          </cell>
          <cell r="CP111">
            <v>-930</v>
          </cell>
          <cell r="CQ111">
            <v>-1794</v>
          </cell>
          <cell r="CR111">
            <v>-4257</v>
          </cell>
          <cell r="CS111">
            <v>-1231</v>
          </cell>
          <cell r="CT111">
            <v>-1732</v>
          </cell>
          <cell r="CU111">
            <v>-1192</v>
          </cell>
          <cell r="CV111">
            <v>-1330</v>
          </cell>
          <cell r="CW111">
            <v>-5485</v>
          </cell>
          <cell r="CX111">
            <v>-1282</v>
          </cell>
          <cell r="CY111">
            <v>-1490</v>
          </cell>
          <cell r="CZ111">
            <v>-1391</v>
          </cell>
          <cell r="DA111">
            <v>-1781</v>
          </cell>
          <cell r="DB111">
            <v>-5944</v>
          </cell>
          <cell r="DC111">
            <v>-1356</v>
          </cell>
          <cell r="DD111">
            <v>-2024</v>
          </cell>
          <cell r="DE111">
            <v>-2308</v>
          </cell>
          <cell r="DF111">
            <v>-2655</v>
          </cell>
          <cell r="DG111">
            <v>-8343</v>
          </cell>
          <cell r="DH111">
            <v>-2163</v>
          </cell>
          <cell r="DI111">
            <v>-1988</v>
          </cell>
          <cell r="DJ111">
            <v>-1695</v>
          </cell>
          <cell r="DK111">
            <v>-2283</v>
          </cell>
          <cell r="DL111">
            <v>-8129</v>
          </cell>
          <cell r="DM111">
            <v>-2132</v>
          </cell>
          <cell r="DN111">
            <v>-2586</v>
          </cell>
          <cell r="DO111">
            <v>-2934</v>
          </cell>
          <cell r="DP111">
            <v>-3980</v>
          </cell>
          <cell r="DQ111">
            <v>-11632</v>
          </cell>
          <cell r="DR111">
            <v>-3602</v>
          </cell>
          <cell r="DS111">
            <v>-3707</v>
          </cell>
          <cell r="DT111">
            <v>-2565</v>
          </cell>
          <cell r="DU111">
            <v>-4051</v>
          </cell>
          <cell r="DV111">
            <v>-13925</v>
          </cell>
          <cell r="DW111">
            <v>-3385</v>
          </cell>
          <cell r="DX111">
            <v>-3545</v>
          </cell>
          <cell r="DY111">
            <v>-3767</v>
          </cell>
          <cell r="DZ111">
            <v>-4744</v>
          </cell>
          <cell r="EA111">
            <v>-15441</v>
          </cell>
          <cell r="EB111">
            <v>-4907</v>
          </cell>
          <cell r="EC111">
            <v>-4174</v>
          </cell>
          <cell r="ED111">
            <v>-5089</v>
          </cell>
          <cell r="EE111">
            <v>-6452</v>
          </cell>
          <cell r="EF111">
            <v>-20622</v>
          </cell>
          <cell r="EG111">
            <v>-5810</v>
          </cell>
          <cell r="EH111">
            <v>-5865</v>
          </cell>
          <cell r="EI111">
            <v>-5340</v>
          </cell>
          <cell r="EJ111">
            <v>-6871</v>
          </cell>
          <cell r="EK111">
            <v>-23886</v>
          </cell>
          <cell r="EL111">
            <v>-6283</v>
          </cell>
          <cell r="EM111">
            <v>-6274</v>
          </cell>
          <cell r="EN111">
            <v>-6607</v>
          </cell>
          <cell r="EO111">
            <v>-8943</v>
          </cell>
          <cell r="EP111">
            <v>-28107</v>
          </cell>
          <cell r="EQ111">
            <v>-9917</v>
          </cell>
          <cell r="ER111">
            <v>-9735</v>
          </cell>
          <cell r="ES111">
            <v>-10952</v>
          </cell>
          <cell r="ET111">
            <v>-13629.994658637779</v>
          </cell>
          <cell r="EU111">
            <v>-44233.994658637777</v>
          </cell>
          <cell r="EV111">
            <v>-13694.463472404788</v>
          </cell>
          <cell r="EW111">
            <v>-13723.635887947052</v>
          </cell>
          <cell r="EX111">
            <v>-13649.031404107775</v>
          </cell>
          <cell r="EY111">
            <v>-14056.367193648526</v>
          </cell>
          <cell r="EZ111">
            <v>-55123.497958108142</v>
          </cell>
          <cell r="FA111">
            <v>-14260.632642595814</v>
          </cell>
          <cell r="FB111">
            <v>-13173.931762718881</v>
          </cell>
          <cell r="FC111">
            <v>-13194.506101764187</v>
          </cell>
          <cell r="FD111">
            <v>-13488.51490998287</v>
          </cell>
          <cell r="FE111">
            <v>-54117.585417061753</v>
          </cell>
        </row>
        <row r="112">
          <cell r="B112" t="str">
            <v>Acquisitions</v>
          </cell>
          <cell r="C112" t="str">
            <v>ACQ</v>
          </cell>
          <cell r="D112" t="str">
            <v>USD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-190</v>
          </cell>
          <cell r="R112">
            <v>0</v>
          </cell>
          <cell r="S112">
            <v>0</v>
          </cell>
          <cell r="T112">
            <v>0</v>
          </cell>
          <cell r="U112">
            <v>-190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-870</v>
          </cell>
          <cell r="AQ112">
            <v>-9</v>
          </cell>
          <cell r="AR112">
            <v>-12</v>
          </cell>
          <cell r="AS112">
            <v>-172</v>
          </cell>
          <cell r="AT112">
            <v>-1063</v>
          </cell>
          <cell r="AU112">
            <v>-4</v>
          </cell>
          <cell r="AV112">
            <v>0</v>
          </cell>
          <cell r="AW112">
            <v>0</v>
          </cell>
          <cell r="AX112">
            <v>0</v>
          </cell>
          <cell r="AY112">
            <v>-4</v>
          </cell>
          <cell r="AZ112">
            <v>0</v>
          </cell>
          <cell r="BA112">
            <v>-1</v>
          </cell>
          <cell r="BB112">
            <v>-11</v>
          </cell>
          <cell r="BC112">
            <v>-195</v>
          </cell>
          <cell r="BD112">
            <v>-207</v>
          </cell>
          <cell r="BE112">
            <v>-187</v>
          </cell>
          <cell r="BF112">
            <v>-63</v>
          </cell>
          <cell r="BG112">
            <v>-83</v>
          </cell>
          <cell r="BH112">
            <v>-316</v>
          </cell>
          <cell r="BI112">
            <v>-649</v>
          </cell>
          <cell r="BJ112">
            <v>-336</v>
          </cell>
          <cell r="BK112">
            <v>-125</v>
          </cell>
          <cell r="BL112">
            <v>-41</v>
          </cell>
          <cell r="BM112">
            <v>-648</v>
          </cell>
          <cell r="BN112">
            <v>-1150</v>
          </cell>
          <cell r="BO112">
            <v>-5396</v>
          </cell>
          <cell r="BP112">
            <v>-433</v>
          </cell>
          <cell r="BQ112">
            <v>-138</v>
          </cell>
          <cell r="BR112">
            <v>-2086</v>
          </cell>
          <cell r="BS112">
            <v>-8053</v>
          </cell>
          <cell r="BT112">
            <v>-377</v>
          </cell>
          <cell r="BU112">
            <v>-450</v>
          </cell>
          <cell r="BV112">
            <v>0</v>
          </cell>
          <cell r="BW112">
            <v>-41</v>
          </cell>
          <cell r="BX112">
            <v>-868</v>
          </cell>
          <cell r="BY112">
            <v>-39</v>
          </cell>
          <cell r="BZ112">
            <v>-63</v>
          </cell>
          <cell r="CA112">
            <v>-143</v>
          </cell>
          <cell r="CB112">
            <v>0</v>
          </cell>
          <cell r="CC112">
            <v>-245</v>
          </cell>
          <cell r="CD112">
            <v>0</v>
          </cell>
          <cell r="CE112">
            <v>-69</v>
          </cell>
          <cell r="CF112">
            <v>0</v>
          </cell>
          <cell r="CG112">
            <v>-2</v>
          </cell>
          <cell r="CH112">
            <v>-71</v>
          </cell>
          <cell r="CI112">
            <v>-875</v>
          </cell>
          <cell r="CJ112">
            <v>-8627</v>
          </cell>
          <cell r="CK112">
            <v>-84</v>
          </cell>
          <cell r="CL112">
            <v>-526</v>
          </cell>
          <cell r="CM112">
            <v>-10112</v>
          </cell>
          <cell r="CN112">
            <v>-1145</v>
          </cell>
          <cell r="CO112">
            <v>-311</v>
          </cell>
          <cell r="CP112">
            <v>-108</v>
          </cell>
          <cell r="CQ112">
            <v>-20</v>
          </cell>
          <cell r="CR112">
            <v>-1584</v>
          </cell>
          <cell r="CS112">
            <v>-15</v>
          </cell>
          <cell r="CT112">
            <v>-139</v>
          </cell>
          <cell r="CU112">
            <v>-157</v>
          </cell>
          <cell r="CV112">
            <v>-5626</v>
          </cell>
          <cell r="CW112">
            <v>-5937</v>
          </cell>
          <cell r="CX112">
            <v>-141</v>
          </cell>
          <cell r="CY112">
            <v>-2794</v>
          </cell>
          <cell r="CZ112">
            <v>-162</v>
          </cell>
          <cell r="DA112">
            <v>-626</v>
          </cell>
          <cell r="DB112">
            <v>-3723</v>
          </cell>
          <cell r="DC112">
            <v>-390</v>
          </cell>
          <cell r="DD112">
            <v>-381</v>
          </cell>
          <cell r="DE112">
            <v>-559</v>
          </cell>
          <cell r="DF112">
            <v>-63</v>
          </cell>
          <cell r="DG112">
            <v>-1393</v>
          </cell>
          <cell r="DH112">
            <v>-24</v>
          </cell>
          <cell r="DI112">
            <v>-24760</v>
          </cell>
          <cell r="DJ112">
            <v>-802</v>
          </cell>
          <cell r="DK112">
            <v>-358</v>
          </cell>
          <cell r="DL112">
            <v>-25944</v>
          </cell>
          <cell r="DM112">
            <v>-179</v>
          </cell>
          <cell r="DN112">
            <v>-27</v>
          </cell>
          <cell r="DO112">
            <v>-248</v>
          </cell>
          <cell r="DP112">
            <v>-434</v>
          </cell>
          <cell r="DQ112">
            <v>-888</v>
          </cell>
          <cell r="DR112">
            <v>-245</v>
          </cell>
          <cell r="DS112">
            <v>-1593</v>
          </cell>
          <cell r="DT112">
            <v>-269</v>
          </cell>
          <cell r="DU112">
            <v>-281</v>
          </cell>
          <cell r="DV112">
            <v>-2388</v>
          </cell>
          <cell r="DW112">
            <v>-462</v>
          </cell>
          <cell r="DX112">
            <v>-80</v>
          </cell>
          <cell r="DY112">
            <v>-329</v>
          </cell>
          <cell r="DZ112">
            <v>-1650</v>
          </cell>
          <cell r="EA112">
            <v>-2521</v>
          </cell>
          <cell r="EB112">
            <v>-481</v>
          </cell>
          <cell r="EC112">
            <v>-415</v>
          </cell>
          <cell r="ED112">
            <v>-7512</v>
          </cell>
          <cell r="EE112">
            <v>-501</v>
          </cell>
          <cell r="EF112">
            <v>-8909</v>
          </cell>
          <cell r="EG112">
            <v>-1206</v>
          </cell>
          <cell r="EH112">
            <v>-850</v>
          </cell>
          <cell r="EI112">
            <v>-18719</v>
          </cell>
          <cell r="EJ112">
            <v>-1263</v>
          </cell>
          <cell r="EK112">
            <v>-22038</v>
          </cell>
          <cell r="EL112">
            <v>-349</v>
          </cell>
          <cell r="EM112">
            <v>-679</v>
          </cell>
          <cell r="EN112">
            <v>-301</v>
          </cell>
          <cell r="EO112">
            <v>-341</v>
          </cell>
          <cell r="EP112">
            <v>-1670</v>
          </cell>
          <cell r="EQ112">
            <v>-1186</v>
          </cell>
          <cell r="ER112">
            <v>-65029</v>
          </cell>
          <cell r="ES112">
            <v>-1575</v>
          </cell>
          <cell r="ET112">
            <v>0</v>
          </cell>
          <cell r="EU112">
            <v>-67790</v>
          </cell>
          <cell r="EV112">
            <v>0</v>
          </cell>
          <cell r="EW112">
            <v>0</v>
          </cell>
          <cell r="EX112">
            <v>0</v>
          </cell>
          <cell r="EY112">
            <v>0</v>
          </cell>
          <cell r="EZ112">
            <v>0</v>
          </cell>
          <cell r="FA112">
            <v>0</v>
          </cell>
          <cell r="FB112">
            <v>0</v>
          </cell>
          <cell r="FC112">
            <v>0</v>
          </cell>
          <cell r="FD112">
            <v>0</v>
          </cell>
          <cell r="FE112">
            <v>0</v>
          </cell>
        </row>
        <row r="113">
          <cell r="B113" t="str">
            <v>Divestitures</v>
          </cell>
          <cell r="C113" t="str">
            <v>DIVEST</v>
          </cell>
          <cell r="D113" t="str">
            <v>USD</v>
          </cell>
        </row>
        <row r="114">
          <cell r="B114" t="str">
            <v>Other investing cash flow items</v>
          </cell>
          <cell r="C114" t="str">
            <v>OTH_INV_CF</v>
          </cell>
          <cell r="D114" t="str">
            <v>USD</v>
          </cell>
          <cell r="F114">
            <v>-881</v>
          </cell>
          <cell r="G114">
            <v>-468</v>
          </cell>
          <cell r="H114">
            <v>-641</v>
          </cell>
          <cell r="I114">
            <v>-193</v>
          </cell>
          <cell r="J114">
            <v>-874</v>
          </cell>
          <cell r="K114">
            <v>-2176</v>
          </cell>
          <cell r="L114">
            <v>103</v>
          </cell>
          <cell r="M114">
            <v>-1894</v>
          </cell>
          <cell r="N114">
            <v>741</v>
          </cell>
          <cell r="O114">
            <v>-1540</v>
          </cell>
          <cell r="P114">
            <v>-2590</v>
          </cell>
          <cell r="Q114">
            <v>-884</v>
          </cell>
          <cell r="R114">
            <v>-2543</v>
          </cell>
          <cell r="S114">
            <v>-1281</v>
          </cell>
          <cell r="T114">
            <v>-1718</v>
          </cell>
          <cell r="U114">
            <v>-6426</v>
          </cell>
          <cell r="V114">
            <v>-1766</v>
          </cell>
          <cell r="W114">
            <v>-1913</v>
          </cell>
          <cell r="X114">
            <v>-3673</v>
          </cell>
          <cell r="Y114">
            <v>-3256</v>
          </cell>
          <cell r="Z114">
            <v>-10608</v>
          </cell>
          <cell r="AA114">
            <v>-2981</v>
          </cell>
          <cell r="AB114">
            <v>95</v>
          </cell>
          <cell r="AC114">
            <v>-4090</v>
          </cell>
          <cell r="AD114">
            <v>-4072</v>
          </cell>
          <cell r="AE114">
            <v>-11048</v>
          </cell>
          <cell r="AF114">
            <v>-3691</v>
          </cell>
          <cell r="AG114">
            <v>-46</v>
          </cell>
          <cell r="AH114">
            <v>-2067</v>
          </cell>
          <cell r="AI114">
            <v>-1827</v>
          </cell>
          <cell r="AJ114">
            <v>-7631</v>
          </cell>
          <cell r="AK114">
            <v>-3319</v>
          </cell>
          <cell r="AL114">
            <v>-1508</v>
          </cell>
          <cell r="AM114">
            <v>-3830</v>
          </cell>
          <cell r="AN114">
            <v>-1418</v>
          </cell>
          <cell r="AO114">
            <v>-10075</v>
          </cell>
          <cell r="AP114">
            <v>133</v>
          </cell>
          <cell r="AQ114">
            <v>-1734</v>
          </cell>
          <cell r="AR114">
            <v>-4013</v>
          </cell>
          <cell r="AS114">
            <v>355</v>
          </cell>
          <cell r="AT114">
            <v>-5259</v>
          </cell>
          <cell r="AU114">
            <v>-3577</v>
          </cell>
          <cell r="AV114">
            <v>-1777</v>
          </cell>
          <cell r="AW114">
            <v>-525</v>
          </cell>
          <cell r="AX114">
            <v>4247</v>
          </cell>
          <cell r="AY114">
            <v>-1632</v>
          </cell>
          <cell r="AZ114">
            <v>-7940</v>
          </cell>
          <cell r="BA114">
            <v>23591</v>
          </cell>
          <cell r="BB114">
            <v>-1599</v>
          </cell>
          <cell r="BC114">
            <v>1314</v>
          </cell>
          <cell r="BD114">
            <v>15366</v>
          </cell>
          <cell r="BE114">
            <v>-2861</v>
          </cell>
          <cell r="BF114">
            <v>7073</v>
          </cell>
          <cell r="BG114">
            <v>1218</v>
          </cell>
          <cell r="BH114">
            <v>4800</v>
          </cell>
          <cell r="BI114">
            <v>10230</v>
          </cell>
          <cell r="BJ114">
            <v>7208</v>
          </cell>
          <cell r="BK114">
            <v>-1261</v>
          </cell>
          <cell r="BL114">
            <v>1013</v>
          </cell>
          <cell r="BM114">
            <v>2543</v>
          </cell>
          <cell r="BN114">
            <v>9503</v>
          </cell>
          <cell r="BO114">
            <v>3649</v>
          </cell>
          <cell r="BP114">
            <v>79</v>
          </cell>
          <cell r="BQ114">
            <v>119</v>
          </cell>
          <cell r="BR114">
            <v>2801</v>
          </cell>
          <cell r="BS114">
            <v>6648</v>
          </cell>
          <cell r="BT114">
            <v>1750</v>
          </cell>
          <cell r="BU114">
            <v>-1207</v>
          </cell>
          <cell r="BV114">
            <v>-5377</v>
          </cell>
          <cell r="BW114">
            <v>-6949</v>
          </cell>
          <cell r="BX114">
            <v>-11783</v>
          </cell>
          <cell r="BY114">
            <v>-725</v>
          </cell>
          <cell r="BZ114">
            <v>347</v>
          </cell>
          <cell r="CA114">
            <v>-5353</v>
          </cell>
          <cell r="CB114">
            <v>-3361</v>
          </cell>
          <cell r="CC114">
            <v>-9092</v>
          </cell>
          <cell r="CD114">
            <v>-4393</v>
          </cell>
          <cell r="CE114">
            <v>-1010</v>
          </cell>
          <cell r="CF114">
            <v>-6481</v>
          </cell>
          <cell r="CG114">
            <v>-306</v>
          </cell>
          <cell r="CH114">
            <v>-12190</v>
          </cell>
          <cell r="CI114">
            <v>-1004</v>
          </cell>
          <cell r="CJ114">
            <v>3557</v>
          </cell>
          <cell r="CK114">
            <v>-11408</v>
          </cell>
          <cell r="CL114">
            <v>-3514</v>
          </cell>
          <cell r="CM114">
            <v>-12369</v>
          </cell>
          <cell r="CN114">
            <v>-5971</v>
          </cell>
          <cell r="CO114">
            <v>-1352</v>
          </cell>
          <cell r="CP114">
            <v>-6622</v>
          </cell>
          <cell r="CQ114">
            <v>-4025</v>
          </cell>
          <cell r="CR114">
            <v>-17970</v>
          </cell>
          <cell r="CS114">
            <v>-3368</v>
          </cell>
          <cell r="CT114">
            <v>846</v>
          </cell>
          <cell r="CU114">
            <v>-2935</v>
          </cell>
          <cell r="CV114">
            <v>-1954</v>
          </cell>
          <cell r="CW114">
            <v>-7411</v>
          </cell>
          <cell r="CX114">
            <v>-6314</v>
          </cell>
          <cell r="CY114">
            <v>-432</v>
          </cell>
          <cell r="CZ114">
            <v>-3928</v>
          </cell>
          <cell r="DA114">
            <v>-2660</v>
          </cell>
          <cell r="DB114">
            <v>-13334</v>
          </cell>
          <cell r="DC114">
            <v>-3320</v>
          </cell>
          <cell r="DD114">
            <v>-923</v>
          </cell>
          <cell r="DE114">
            <v>-2616</v>
          </cell>
          <cell r="DF114">
            <v>-7355</v>
          </cell>
          <cell r="DG114">
            <v>-14214</v>
          </cell>
          <cell r="DH114">
            <v>-16283</v>
          </cell>
          <cell r="DI114">
            <v>11997</v>
          </cell>
          <cell r="DJ114">
            <v>-3694</v>
          </cell>
          <cell r="DK114">
            <v>-4728</v>
          </cell>
          <cell r="DL114">
            <v>-12708</v>
          </cell>
          <cell r="DM114">
            <v>-4593</v>
          </cell>
          <cell r="DN114">
            <v>2282</v>
          </cell>
          <cell r="DO114">
            <v>7026</v>
          </cell>
          <cell r="DP114">
            <v>1744</v>
          </cell>
          <cell r="DQ114">
            <v>6459</v>
          </cell>
          <cell r="DR114">
            <v>894</v>
          </cell>
          <cell r="DS114">
            <v>1100</v>
          </cell>
          <cell r="DT114">
            <v>1471</v>
          </cell>
          <cell r="DU114">
            <v>-2925</v>
          </cell>
          <cell r="DV114">
            <v>540</v>
          </cell>
          <cell r="DW114">
            <v>2071</v>
          </cell>
          <cell r="DX114">
            <v>-2411</v>
          </cell>
          <cell r="DY114">
            <v>4147</v>
          </cell>
          <cell r="DZ114">
            <v>1932</v>
          </cell>
          <cell r="EA114">
            <v>5739</v>
          </cell>
          <cell r="EB114">
            <v>17</v>
          </cell>
          <cell r="EC114">
            <v>2920</v>
          </cell>
          <cell r="ED114">
            <v>2917</v>
          </cell>
          <cell r="EE114">
            <v>-3900</v>
          </cell>
          <cell r="EF114">
            <v>1954</v>
          </cell>
          <cell r="EG114">
            <v>3766</v>
          </cell>
          <cell r="EH114">
            <v>5554</v>
          </cell>
          <cell r="EI114">
            <v>7888</v>
          </cell>
          <cell r="EJ114">
            <v>-1595</v>
          </cell>
          <cell r="EK114">
            <v>15613</v>
          </cell>
          <cell r="EL114">
            <v>3500</v>
          </cell>
          <cell r="EM114">
            <v>-197</v>
          </cell>
          <cell r="EN114">
            <v>3644</v>
          </cell>
          <cell r="EO114">
            <v>150</v>
          </cell>
          <cell r="EP114">
            <v>7097</v>
          </cell>
          <cell r="EQ114">
            <v>11606</v>
          </cell>
          <cell r="ER114">
            <v>2839</v>
          </cell>
          <cell r="ES114">
            <v>1827</v>
          </cell>
          <cell r="ET114">
            <v>0</v>
          </cell>
          <cell r="EU114">
            <v>16272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</row>
        <row r="115">
          <cell r="B115" t="str">
            <v>Cash flow from investing</v>
          </cell>
          <cell r="C115" t="str">
            <v>CF_INV</v>
          </cell>
          <cell r="D115" t="str">
            <v>USD</v>
          </cell>
          <cell r="F115">
            <v>-1376</v>
          </cell>
          <cell r="G115">
            <v>-584</v>
          </cell>
          <cell r="H115">
            <v>-729</v>
          </cell>
          <cell r="I115">
            <v>-325</v>
          </cell>
          <cell r="J115">
            <v>-1032</v>
          </cell>
          <cell r="K115">
            <v>-2670</v>
          </cell>
          <cell r="L115">
            <v>4</v>
          </cell>
          <cell r="M115">
            <v>-2011</v>
          </cell>
          <cell r="N115">
            <v>631</v>
          </cell>
          <cell r="O115">
            <v>-1713</v>
          </cell>
          <cell r="P115">
            <v>-3089</v>
          </cell>
          <cell r="Q115">
            <v>-1191</v>
          </cell>
          <cell r="R115">
            <v>-2694</v>
          </cell>
          <cell r="S115">
            <v>-1428</v>
          </cell>
          <cell r="T115">
            <v>-1959</v>
          </cell>
          <cell r="U115">
            <v>-7272</v>
          </cell>
          <cell r="V115">
            <v>-1872</v>
          </cell>
          <cell r="W115">
            <v>-2048</v>
          </cell>
          <cell r="X115">
            <v>-3723</v>
          </cell>
          <cell r="Y115">
            <v>-3548</v>
          </cell>
          <cell r="Z115">
            <v>-11191</v>
          </cell>
          <cell r="AA115">
            <v>-3120</v>
          </cell>
          <cell r="AB115">
            <v>-137</v>
          </cell>
          <cell r="AC115">
            <v>-4336</v>
          </cell>
          <cell r="AD115">
            <v>-4334</v>
          </cell>
          <cell r="AE115">
            <v>-11927</v>
          </cell>
          <cell r="AF115">
            <v>-3936</v>
          </cell>
          <cell r="AG115">
            <v>-318</v>
          </cell>
          <cell r="AH115">
            <v>-2331</v>
          </cell>
          <cell r="AI115">
            <v>-2149</v>
          </cell>
          <cell r="AJ115">
            <v>-8734</v>
          </cell>
          <cell r="AK115">
            <v>-3469</v>
          </cell>
          <cell r="AL115">
            <v>-1680</v>
          </cell>
          <cell r="AM115">
            <v>-3996</v>
          </cell>
          <cell r="AN115">
            <v>-1700</v>
          </cell>
          <cell r="AO115">
            <v>-10845</v>
          </cell>
          <cell r="AP115">
            <v>-897</v>
          </cell>
          <cell r="AQ115">
            <v>-2019</v>
          </cell>
          <cell r="AR115">
            <v>-4207</v>
          </cell>
          <cell r="AS115">
            <v>-90</v>
          </cell>
          <cell r="AT115">
            <v>-7213</v>
          </cell>
          <cell r="AU115">
            <v>-3748</v>
          </cell>
          <cell r="AV115">
            <v>-1949</v>
          </cell>
          <cell r="AW115">
            <v>-738</v>
          </cell>
          <cell r="AX115">
            <v>3690</v>
          </cell>
          <cell r="AY115">
            <v>-2745</v>
          </cell>
          <cell r="AZ115">
            <v>-8113</v>
          </cell>
          <cell r="BA115">
            <v>23414</v>
          </cell>
          <cell r="BB115">
            <v>-1813</v>
          </cell>
          <cell r="BC115">
            <v>859</v>
          </cell>
          <cell r="BD115">
            <v>14347</v>
          </cell>
          <cell r="BE115">
            <v>-3261</v>
          </cell>
          <cell r="BF115">
            <v>6692</v>
          </cell>
          <cell r="BG115">
            <v>833</v>
          </cell>
          <cell r="BH115">
            <v>3739</v>
          </cell>
          <cell r="BI115">
            <v>8003</v>
          </cell>
          <cell r="BJ115">
            <v>6461</v>
          </cell>
          <cell r="BK115">
            <v>-1958</v>
          </cell>
          <cell r="BL115">
            <v>511</v>
          </cell>
          <cell r="BM115">
            <v>1075</v>
          </cell>
          <cell r="BN115">
            <v>6089</v>
          </cell>
          <cell r="BO115">
            <v>-2257</v>
          </cell>
          <cell r="BP115">
            <v>-1049</v>
          </cell>
          <cell r="BQ115">
            <v>-778</v>
          </cell>
          <cell r="BR115">
            <v>-503</v>
          </cell>
          <cell r="BS115">
            <v>-4587</v>
          </cell>
          <cell r="BT115">
            <v>595</v>
          </cell>
          <cell r="BU115">
            <v>-2499</v>
          </cell>
          <cell r="BV115">
            <v>-6009</v>
          </cell>
          <cell r="BW115">
            <v>-7857</v>
          </cell>
          <cell r="BX115">
            <v>-15770</v>
          </cell>
          <cell r="BY115">
            <v>-1199</v>
          </cell>
          <cell r="BZ115">
            <v>-92</v>
          </cell>
          <cell r="CA115">
            <v>-5904</v>
          </cell>
          <cell r="CB115">
            <v>-4119</v>
          </cell>
          <cell r="CC115">
            <v>-11314</v>
          </cell>
          <cell r="CD115">
            <v>-4957</v>
          </cell>
          <cell r="CE115">
            <v>-1570</v>
          </cell>
          <cell r="CF115">
            <v>-7139</v>
          </cell>
          <cell r="CG115">
            <v>-950</v>
          </cell>
          <cell r="CH115">
            <v>-14616</v>
          </cell>
          <cell r="CI115">
            <v>-2315</v>
          </cell>
          <cell r="CJ115">
            <v>-5568</v>
          </cell>
          <cell r="CK115">
            <v>-12241</v>
          </cell>
          <cell r="CL115">
            <v>-4662</v>
          </cell>
          <cell r="CM115">
            <v>-24786</v>
          </cell>
          <cell r="CN115">
            <v>-7719</v>
          </cell>
          <cell r="CO115">
            <v>-2593</v>
          </cell>
          <cell r="CP115">
            <v>-7660</v>
          </cell>
          <cell r="CQ115">
            <v>-5839</v>
          </cell>
          <cell r="CR115">
            <v>-23811</v>
          </cell>
          <cell r="CS115">
            <v>-4614</v>
          </cell>
          <cell r="CT115">
            <v>-1025</v>
          </cell>
          <cell r="CU115">
            <v>-4284</v>
          </cell>
          <cell r="CV115">
            <v>-8910</v>
          </cell>
          <cell r="CW115">
            <v>-18833</v>
          </cell>
          <cell r="CX115">
            <v>-7737</v>
          </cell>
          <cell r="CY115">
            <v>-4716</v>
          </cell>
          <cell r="CZ115">
            <v>-5481</v>
          </cell>
          <cell r="DA115">
            <v>-5067</v>
          </cell>
          <cell r="DB115">
            <v>-23001</v>
          </cell>
          <cell r="DC115">
            <v>-5066</v>
          </cell>
          <cell r="DD115">
            <v>-3328</v>
          </cell>
          <cell r="DE115">
            <v>-5483</v>
          </cell>
          <cell r="DF115">
            <v>-10073</v>
          </cell>
          <cell r="DG115">
            <v>-23950</v>
          </cell>
          <cell r="DH115">
            <v>-18470</v>
          </cell>
          <cell r="DI115">
            <v>-14751</v>
          </cell>
          <cell r="DJ115">
            <v>-6191</v>
          </cell>
          <cell r="DK115">
            <v>-7369</v>
          </cell>
          <cell r="DL115">
            <v>-46781</v>
          </cell>
          <cell r="DM115">
            <v>-6904</v>
          </cell>
          <cell r="DN115">
            <v>-331</v>
          </cell>
          <cell r="DO115">
            <v>3844</v>
          </cell>
          <cell r="DP115">
            <v>-2670</v>
          </cell>
          <cell r="DQ115">
            <v>-6061</v>
          </cell>
          <cell r="DR115">
            <v>-2953</v>
          </cell>
          <cell r="DS115">
            <v>-4200</v>
          </cell>
          <cell r="DT115">
            <v>-1363</v>
          </cell>
          <cell r="DU115">
            <v>-7257</v>
          </cell>
          <cell r="DV115">
            <v>-15773</v>
          </cell>
          <cell r="DW115">
            <v>-1776</v>
          </cell>
          <cell r="DX115">
            <v>-6036</v>
          </cell>
          <cell r="DY115">
            <v>51</v>
          </cell>
          <cell r="DZ115">
            <v>-4462</v>
          </cell>
          <cell r="EA115">
            <v>-12223</v>
          </cell>
          <cell r="EB115">
            <v>-5371</v>
          </cell>
          <cell r="EC115">
            <v>-1669</v>
          </cell>
          <cell r="ED115">
            <v>-9684</v>
          </cell>
          <cell r="EE115">
            <v>-10853</v>
          </cell>
          <cell r="EF115">
            <v>-27577</v>
          </cell>
          <cell r="EG115">
            <v>-3250</v>
          </cell>
          <cell r="EH115">
            <v>-1161</v>
          </cell>
          <cell r="EI115">
            <v>-16171</v>
          </cell>
          <cell r="EJ115">
            <v>-9729</v>
          </cell>
          <cell r="EK115">
            <v>-30311</v>
          </cell>
          <cell r="EL115">
            <v>-3132</v>
          </cell>
          <cell r="EM115">
            <v>-7150</v>
          </cell>
          <cell r="EN115">
            <v>-3264</v>
          </cell>
          <cell r="EO115">
            <v>-9134</v>
          </cell>
          <cell r="EP115">
            <v>-22680</v>
          </cell>
          <cell r="EQ115">
            <v>503</v>
          </cell>
          <cell r="ER115">
            <v>-71925</v>
          </cell>
          <cell r="ES115">
            <v>-10700</v>
          </cell>
          <cell r="ET115">
            <v>-13629.994658637779</v>
          </cell>
          <cell r="EU115">
            <v>-95751.994658637777</v>
          </cell>
          <cell r="EV115">
            <v>-13694.463472404788</v>
          </cell>
          <cell r="EW115">
            <v>-13723.635887947052</v>
          </cell>
          <cell r="EX115">
            <v>-13649.031404107775</v>
          </cell>
          <cell r="EY115">
            <v>-14056.367193648526</v>
          </cell>
          <cell r="EZ115">
            <v>-55123.497958108142</v>
          </cell>
          <cell r="FA115">
            <v>-14260.632642595814</v>
          </cell>
          <cell r="FB115">
            <v>-13173.931762718881</v>
          </cell>
          <cell r="FC115">
            <v>-13194.506101764187</v>
          </cell>
          <cell r="FD115">
            <v>-13488.51490998287</v>
          </cell>
          <cell r="FE115">
            <v>-54117.585417061753</v>
          </cell>
        </row>
        <row r="116">
          <cell r="B116" t="str">
            <v>Dividends paid</v>
          </cell>
          <cell r="C116" t="str">
            <v>DIV_PAID</v>
          </cell>
          <cell r="D116" t="str">
            <v>USD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-857</v>
          </cell>
          <cell r="AS116">
            <v>0</v>
          </cell>
          <cell r="AT116">
            <v>-857</v>
          </cell>
          <cell r="AU116">
            <v>0</v>
          </cell>
          <cell r="AV116">
            <v>-1729</v>
          </cell>
          <cell r="AW116">
            <v>0</v>
          </cell>
          <cell r="AX116">
            <v>0</v>
          </cell>
          <cell r="AY116">
            <v>-1729</v>
          </cell>
          <cell r="AZ116">
            <v>-870</v>
          </cell>
          <cell r="BA116">
            <v>-33498</v>
          </cell>
          <cell r="BB116">
            <v>-885</v>
          </cell>
          <cell r="BC116">
            <v>-859</v>
          </cell>
          <cell r="BD116">
            <v>-36112</v>
          </cell>
          <cell r="BE116">
            <v>-857</v>
          </cell>
          <cell r="BF116">
            <v>-846</v>
          </cell>
          <cell r="BG116">
            <v>-925</v>
          </cell>
          <cell r="BH116">
            <v>-917</v>
          </cell>
          <cell r="BI116">
            <v>-3545</v>
          </cell>
          <cell r="BJ116">
            <v>-897</v>
          </cell>
          <cell r="BK116">
            <v>-980</v>
          </cell>
          <cell r="BL116">
            <v>-976</v>
          </cell>
          <cell r="BM116">
            <v>-952</v>
          </cell>
          <cell r="BN116">
            <v>-3805</v>
          </cell>
          <cell r="BO116">
            <v>-938</v>
          </cell>
          <cell r="BP116">
            <v>-1034</v>
          </cell>
          <cell r="BQ116">
            <v>-1023</v>
          </cell>
          <cell r="BR116">
            <v>-1020</v>
          </cell>
          <cell r="BS116">
            <v>-4015</v>
          </cell>
          <cell r="BT116">
            <v>-998</v>
          </cell>
          <cell r="BU116">
            <v>-1157</v>
          </cell>
          <cell r="BV116">
            <v>-1155</v>
          </cell>
          <cell r="BW116">
            <v>-1158</v>
          </cell>
          <cell r="BX116">
            <v>-4468</v>
          </cell>
          <cell r="BY116">
            <v>-1157</v>
          </cell>
          <cell r="BZ116">
            <v>-1152</v>
          </cell>
          <cell r="CA116">
            <v>-1139</v>
          </cell>
          <cell r="CB116">
            <v>-1130</v>
          </cell>
          <cell r="CC116">
            <v>-4578</v>
          </cell>
          <cell r="CD116">
            <v>-1118</v>
          </cell>
          <cell r="CE116">
            <v>-1363</v>
          </cell>
          <cell r="CF116">
            <v>-1349</v>
          </cell>
          <cell r="CG116">
            <v>-1350</v>
          </cell>
          <cell r="CH116">
            <v>-5180</v>
          </cell>
          <cell r="CI116">
            <v>-1341</v>
          </cell>
          <cell r="CJ116">
            <v>-1683</v>
          </cell>
          <cell r="CK116">
            <v>-1683</v>
          </cell>
          <cell r="CL116">
            <v>-1678</v>
          </cell>
          <cell r="CM116">
            <v>-6385</v>
          </cell>
          <cell r="CN116">
            <v>-1676</v>
          </cell>
          <cell r="CO116">
            <v>-1933</v>
          </cell>
          <cell r="CP116">
            <v>-1925</v>
          </cell>
          <cell r="CQ116">
            <v>-1921</v>
          </cell>
          <cell r="CR116">
            <v>-7455</v>
          </cell>
          <cell r="CS116">
            <v>-1916</v>
          </cell>
          <cell r="CT116">
            <v>-2332</v>
          </cell>
          <cell r="CU116">
            <v>-2322</v>
          </cell>
          <cell r="CV116">
            <v>-2309</v>
          </cell>
          <cell r="CW116">
            <v>-8879</v>
          </cell>
          <cell r="CX116">
            <v>-2307</v>
          </cell>
          <cell r="CY116">
            <v>-2547</v>
          </cell>
          <cell r="CZ116">
            <v>-2532</v>
          </cell>
          <cell r="DA116">
            <v>-2496</v>
          </cell>
          <cell r="DB116">
            <v>-9882</v>
          </cell>
          <cell r="DC116">
            <v>-2475</v>
          </cell>
          <cell r="DD116">
            <v>-2868</v>
          </cell>
          <cell r="DE116">
            <v>-2842</v>
          </cell>
          <cell r="DF116">
            <v>-2821</v>
          </cell>
          <cell r="DG116">
            <v>-11006</v>
          </cell>
          <cell r="DH116">
            <v>-2800</v>
          </cell>
          <cell r="DI116">
            <v>-3024</v>
          </cell>
          <cell r="DJ116">
            <v>-3012</v>
          </cell>
          <cell r="DK116">
            <v>-3009</v>
          </cell>
          <cell r="DL116">
            <v>-11845</v>
          </cell>
          <cell r="DM116">
            <v>-3003</v>
          </cell>
          <cell r="DN116">
            <v>-3238</v>
          </cell>
          <cell r="DO116">
            <v>-3232</v>
          </cell>
          <cell r="DP116">
            <v>-3226</v>
          </cell>
          <cell r="DQ116">
            <v>-12699</v>
          </cell>
          <cell r="DR116">
            <v>-3220</v>
          </cell>
          <cell r="DS116">
            <v>-3544</v>
          </cell>
          <cell r="DT116">
            <v>-3526</v>
          </cell>
          <cell r="DU116">
            <v>-3521</v>
          </cell>
          <cell r="DV116">
            <v>-13811</v>
          </cell>
          <cell r="DW116">
            <v>-3510</v>
          </cell>
          <cell r="DX116">
            <v>-3886</v>
          </cell>
          <cell r="DY116">
            <v>-3876</v>
          </cell>
          <cell r="DZ116">
            <v>-3865</v>
          </cell>
          <cell r="EA116">
            <v>-15137</v>
          </cell>
          <cell r="EB116">
            <v>-3856</v>
          </cell>
          <cell r="EC116">
            <v>-4230</v>
          </cell>
          <cell r="ED116">
            <v>-4221</v>
          </cell>
          <cell r="EE116">
            <v>-4214</v>
          </cell>
          <cell r="EF116">
            <v>-16521</v>
          </cell>
          <cell r="EG116">
            <v>-4206</v>
          </cell>
          <cell r="EH116">
            <v>-4652</v>
          </cell>
          <cell r="EI116">
            <v>-4645</v>
          </cell>
          <cell r="EJ116">
            <v>-4632</v>
          </cell>
          <cell r="EK116">
            <v>-18135</v>
          </cell>
          <cell r="EL116">
            <v>-4621</v>
          </cell>
          <cell r="EM116">
            <v>-5066</v>
          </cell>
          <cell r="EN116">
            <v>-5059</v>
          </cell>
          <cell r="EO116">
            <v>-5054</v>
          </cell>
          <cell r="EP116">
            <v>-19800</v>
          </cell>
          <cell r="EQ116">
            <v>-5051</v>
          </cell>
          <cell r="ER116">
            <v>-5574</v>
          </cell>
          <cell r="ES116">
            <v>-5572</v>
          </cell>
          <cell r="ET116">
            <v>-5568.6249506381937</v>
          </cell>
          <cell r="EU116">
            <v>-21765.624950638194</v>
          </cell>
          <cell r="EV116">
            <v>-5561.0093001038049</v>
          </cell>
          <cell r="EW116">
            <v>-6125.9198659384683</v>
          </cell>
          <cell r="EX116">
            <v>-6116.2086461833769</v>
          </cell>
          <cell r="EY116">
            <v>-6109.1682286903233</v>
          </cell>
          <cell r="EZ116">
            <v>-23912.306040915973</v>
          </cell>
          <cell r="FA116">
            <v>-6101.5224017435576</v>
          </cell>
          <cell r="FB116">
            <v>-6722.1304747566192</v>
          </cell>
          <cell r="FC116">
            <v>-6712.2702881476735</v>
          </cell>
          <cell r="FD116">
            <v>-6705.3651055923656</v>
          </cell>
          <cell r="FE116">
            <v>-26241.288270240217</v>
          </cell>
        </row>
        <row r="117">
          <cell r="B117" t="str">
            <v>Common stock issuance/(repurchase)</v>
          </cell>
          <cell r="C117" t="str">
            <v>SH_REPUR</v>
          </cell>
          <cell r="D117" t="str">
            <v>USD</v>
          </cell>
          <cell r="F117">
            <v>-317</v>
          </cell>
          <cell r="G117">
            <v>-31</v>
          </cell>
          <cell r="H117">
            <v>-268</v>
          </cell>
          <cell r="I117">
            <v>-117</v>
          </cell>
          <cell r="J117">
            <v>-341</v>
          </cell>
          <cell r="K117">
            <v>-757</v>
          </cell>
          <cell r="L117">
            <v>-514</v>
          </cell>
          <cell r="M117">
            <v>-273</v>
          </cell>
          <cell r="N117">
            <v>-1761</v>
          </cell>
          <cell r="O117">
            <v>191</v>
          </cell>
          <cell r="P117">
            <v>-2357</v>
          </cell>
          <cell r="Q117">
            <v>-706</v>
          </cell>
          <cell r="R117">
            <v>-562</v>
          </cell>
          <cell r="S117">
            <v>313</v>
          </cell>
          <cell r="T117">
            <v>-554</v>
          </cell>
          <cell r="U117">
            <v>-1509</v>
          </cell>
          <cell r="V117">
            <v>-188</v>
          </cell>
          <cell r="W117">
            <v>30</v>
          </cell>
          <cell r="X117">
            <v>-267</v>
          </cell>
          <cell r="Y117">
            <v>-1175</v>
          </cell>
          <cell r="Z117">
            <v>-1600</v>
          </cell>
          <cell r="AA117">
            <v>-573</v>
          </cell>
          <cell r="AB117">
            <v>-3366</v>
          </cell>
          <cell r="AC117">
            <v>817</v>
          </cell>
          <cell r="AD117">
            <v>471</v>
          </cell>
          <cell r="AE117">
            <v>-2651</v>
          </cell>
          <cell r="AF117">
            <v>-1377</v>
          </cell>
          <cell r="AG117">
            <v>-1150</v>
          </cell>
          <cell r="AH117">
            <v>-759</v>
          </cell>
          <cell r="AI117">
            <v>-1168</v>
          </cell>
          <cell r="AJ117">
            <v>-4454</v>
          </cell>
          <cell r="AK117">
            <v>-734</v>
          </cell>
          <cell r="AL117">
            <v>254</v>
          </cell>
          <cell r="AM117">
            <v>-251</v>
          </cell>
          <cell r="AN117">
            <v>-3841</v>
          </cell>
          <cell r="AO117">
            <v>-4572</v>
          </cell>
          <cell r="AP117">
            <v>-2958</v>
          </cell>
          <cell r="AQ117">
            <v>-571</v>
          </cell>
          <cell r="AR117">
            <v>-354</v>
          </cell>
          <cell r="AS117">
            <v>-483</v>
          </cell>
          <cell r="AT117">
            <v>-4366</v>
          </cell>
          <cell r="AU117">
            <v>-350</v>
          </cell>
          <cell r="AV117">
            <v>-541</v>
          </cell>
          <cell r="AW117">
            <v>-1040</v>
          </cell>
          <cell r="AX117">
            <v>1296</v>
          </cell>
          <cell r="AY117">
            <v>-635</v>
          </cell>
          <cell r="AZ117">
            <v>132</v>
          </cell>
          <cell r="BA117">
            <v>-174</v>
          </cell>
          <cell r="BB117">
            <v>-2073</v>
          </cell>
          <cell r="BC117">
            <v>-2833</v>
          </cell>
          <cell r="BD117">
            <v>-4948</v>
          </cell>
          <cell r="BE117">
            <v>-2115</v>
          </cell>
          <cell r="BF117">
            <v>-6969</v>
          </cell>
          <cell r="BG117">
            <v>-4233</v>
          </cell>
          <cell r="BH117">
            <v>-3789</v>
          </cell>
          <cell r="BI117">
            <v>-17106</v>
          </cell>
          <cell r="BJ117">
            <v>-7298</v>
          </cell>
          <cell r="BK117">
            <v>-1348</v>
          </cell>
          <cell r="BL117">
            <v>-6094</v>
          </cell>
          <cell r="BM117">
            <v>-6053</v>
          </cell>
          <cell r="BN117">
            <v>-20793</v>
          </cell>
          <cell r="BO117">
            <v>-2284</v>
          </cell>
          <cell r="BP117">
            <v>-1722</v>
          </cell>
          <cell r="BQ117">
            <v>-972</v>
          </cell>
          <cell r="BR117">
            <v>-4061</v>
          </cell>
          <cell r="BS117">
            <v>-9039</v>
          </cell>
          <cell r="BT117">
            <v>-6265</v>
          </cell>
          <cell r="BU117">
            <v>-2724</v>
          </cell>
          <cell r="BV117">
            <v>94</v>
          </cell>
          <cell r="BW117">
            <v>121</v>
          </cell>
          <cell r="BX117">
            <v>-8774</v>
          </cell>
          <cell r="BY117">
            <v>-1292</v>
          </cell>
          <cell r="BZ117">
            <v>-3138</v>
          </cell>
          <cell r="CA117">
            <v>-1601</v>
          </cell>
          <cell r="CB117">
            <v>-2927</v>
          </cell>
          <cell r="CC117">
            <v>-8958</v>
          </cell>
          <cell r="CD117">
            <v>-4222</v>
          </cell>
          <cell r="CE117">
            <v>-4392</v>
          </cell>
          <cell r="CF117">
            <v>557</v>
          </cell>
          <cell r="CG117">
            <v>-1076</v>
          </cell>
          <cell r="CH117">
            <v>-9133</v>
          </cell>
          <cell r="CI117">
            <v>-1598</v>
          </cell>
          <cell r="CJ117">
            <v>-834</v>
          </cell>
          <cell r="CK117">
            <v>68</v>
          </cell>
          <cell r="CL117">
            <v>-752</v>
          </cell>
          <cell r="CM117">
            <v>-3116</v>
          </cell>
          <cell r="CN117">
            <v>-1215</v>
          </cell>
          <cell r="CO117">
            <v>-1513</v>
          </cell>
          <cell r="CP117">
            <v>-825</v>
          </cell>
          <cell r="CQ117">
            <v>-876</v>
          </cell>
          <cell r="CR117">
            <v>-4429</v>
          </cell>
          <cell r="CS117">
            <v>-1985</v>
          </cell>
          <cell r="CT117">
            <v>-1996</v>
          </cell>
          <cell r="CU117">
            <v>-1704</v>
          </cell>
          <cell r="CV117">
            <v>-1024</v>
          </cell>
          <cell r="CW117">
            <v>-6709</v>
          </cell>
          <cell r="CX117">
            <v>-2672</v>
          </cell>
          <cell r="CY117">
            <v>-2024</v>
          </cell>
          <cell r="CZ117">
            <v>-4985</v>
          </cell>
          <cell r="DA117">
            <v>-4128</v>
          </cell>
          <cell r="DB117">
            <v>-13809</v>
          </cell>
          <cell r="DC117">
            <v>-4538</v>
          </cell>
          <cell r="DD117">
            <v>-3561</v>
          </cell>
          <cell r="DE117">
            <v>-3698</v>
          </cell>
          <cell r="DF117">
            <v>-3504</v>
          </cell>
          <cell r="DG117">
            <v>-15301</v>
          </cell>
          <cell r="DH117">
            <v>-4121</v>
          </cell>
          <cell r="DI117">
            <v>-3468</v>
          </cell>
          <cell r="DJ117">
            <v>-1883</v>
          </cell>
          <cell r="DK117">
            <v>-1544</v>
          </cell>
          <cell r="DL117">
            <v>-11016</v>
          </cell>
          <cell r="DM117">
            <v>-2263</v>
          </cell>
          <cell r="DN117">
            <v>-1819</v>
          </cell>
          <cell r="DO117">
            <v>-3530</v>
          </cell>
          <cell r="DP117">
            <v>-2107</v>
          </cell>
          <cell r="DQ117">
            <v>-9719</v>
          </cell>
          <cell r="DR117">
            <v>-3384</v>
          </cell>
          <cell r="DS117">
            <v>-6213</v>
          </cell>
          <cell r="DT117">
            <v>-4479</v>
          </cell>
          <cell r="DU117">
            <v>-4325</v>
          </cell>
          <cell r="DV117">
            <v>-18401</v>
          </cell>
          <cell r="DW117">
            <v>-4485</v>
          </cell>
          <cell r="DX117">
            <v>-4972</v>
          </cell>
          <cell r="DY117">
            <v>-6717</v>
          </cell>
          <cell r="DZ117">
            <v>-5451</v>
          </cell>
          <cell r="EA117">
            <v>-21625</v>
          </cell>
          <cell r="EB117">
            <v>-6198</v>
          </cell>
          <cell r="EC117">
            <v>-6233</v>
          </cell>
          <cell r="ED117">
            <v>-6534</v>
          </cell>
          <cell r="EE117">
            <v>-6727</v>
          </cell>
          <cell r="EF117">
            <v>-25692</v>
          </cell>
          <cell r="EG117">
            <v>-7072</v>
          </cell>
          <cell r="EH117">
            <v>-7142</v>
          </cell>
          <cell r="EI117">
            <v>-8345</v>
          </cell>
          <cell r="EJ117">
            <v>-8296</v>
          </cell>
          <cell r="EK117">
            <v>-30855</v>
          </cell>
          <cell r="EL117">
            <v>-4998</v>
          </cell>
          <cell r="EM117">
            <v>-5216</v>
          </cell>
          <cell r="EN117">
            <v>-4973</v>
          </cell>
          <cell r="EO117">
            <v>-5192</v>
          </cell>
          <cell r="EP117">
            <v>-20379</v>
          </cell>
          <cell r="EQ117">
            <v>-4146</v>
          </cell>
          <cell r="ER117">
            <v>-3739</v>
          </cell>
          <cell r="ES117">
            <v>-3691</v>
          </cell>
          <cell r="ET117">
            <v>0</v>
          </cell>
          <cell r="EU117">
            <v>-11576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</row>
        <row r="118">
          <cell r="B118" t="str">
            <v>Increase/(decrease) in total debt</v>
          </cell>
          <cell r="C118" t="str">
            <v>CHG_LT_DEBT</v>
          </cell>
          <cell r="D118" t="str">
            <v>USD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1975</v>
          </cell>
          <cell r="BU118">
            <v>21</v>
          </cell>
          <cell r="BV118">
            <v>-1</v>
          </cell>
          <cell r="BW118">
            <v>3751</v>
          </cell>
          <cell r="BX118">
            <v>5746</v>
          </cell>
          <cell r="BY118">
            <v>250</v>
          </cell>
          <cell r="BZ118">
            <v>-2</v>
          </cell>
          <cell r="CA118">
            <v>0</v>
          </cell>
          <cell r="CB118">
            <v>-58</v>
          </cell>
          <cell r="CC118">
            <v>190</v>
          </cell>
          <cell r="CD118">
            <v>4721</v>
          </cell>
          <cell r="CE118">
            <v>-1000</v>
          </cell>
          <cell r="CF118">
            <v>2239</v>
          </cell>
          <cell r="CG118">
            <v>0</v>
          </cell>
          <cell r="CH118">
            <v>5960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2232</v>
          </cell>
          <cell r="CP118">
            <v>0</v>
          </cell>
          <cell r="CQ118">
            <v>1305</v>
          </cell>
          <cell r="CR118">
            <v>3537</v>
          </cell>
          <cell r="CS118">
            <v>300</v>
          </cell>
          <cell r="CT118">
            <v>6962</v>
          </cell>
          <cell r="CU118">
            <v>-300</v>
          </cell>
          <cell r="CV118">
            <v>0</v>
          </cell>
          <cell r="CW118">
            <v>6962</v>
          </cell>
          <cell r="CX118">
            <v>1499</v>
          </cell>
          <cell r="CY118">
            <v>4798</v>
          </cell>
          <cell r="CZ118">
            <v>4105</v>
          </cell>
          <cell r="DA118">
            <v>3259</v>
          </cell>
          <cell r="DB118">
            <v>13661</v>
          </cell>
          <cell r="DC118">
            <v>3261</v>
          </cell>
          <cell r="DD118">
            <v>5976</v>
          </cell>
          <cell r="DE118">
            <v>1747</v>
          </cell>
          <cell r="DF118">
            <v>7299</v>
          </cell>
          <cell r="DG118">
            <v>18283</v>
          </cell>
          <cell r="DH118">
            <v>21362</v>
          </cell>
          <cell r="DI118">
            <v>9196</v>
          </cell>
          <cell r="DJ118">
            <v>-966</v>
          </cell>
          <cell r="DK118">
            <v>1867</v>
          </cell>
          <cell r="DL118">
            <v>31459</v>
          </cell>
          <cell r="DM118">
            <v>-925</v>
          </cell>
          <cell r="DN118">
            <v>3661</v>
          </cell>
          <cell r="DO118">
            <v>-12256</v>
          </cell>
          <cell r="DP118">
            <v>-681</v>
          </cell>
          <cell r="DQ118">
            <v>-10201</v>
          </cell>
          <cell r="DR118">
            <v>0</v>
          </cell>
          <cell r="DS118">
            <v>-3000</v>
          </cell>
          <cell r="DT118">
            <v>0</v>
          </cell>
          <cell r="DU118">
            <v>-1000</v>
          </cell>
          <cell r="DV118">
            <v>-4000</v>
          </cell>
          <cell r="DW118">
            <v>-2500</v>
          </cell>
          <cell r="DX118">
            <v>-18</v>
          </cell>
          <cell r="DY118">
            <v>-3000</v>
          </cell>
          <cell r="DZ118">
            <v>-3417</v>
          </cell>
          <cell r="EA118">
            <v>-8935</v>
          </cell>
          <cell r="EB118">
            <v>0</v>
          </cell>
          <cell r="EC118">
            <v>-3250</v>
          </cell>
          <cell r="ED118">
            <v>-2254</v>
          </cell>
          <cell r="EE118">
            <v>0</v>
          </cell>
          <cell r="EF118">
            <v>-5504</v>
          </cell>
          <cell r="EG118">
            <v>-4826</v>
          </cell>
          <cell r="EH118">
            <v>0</v>
          </cell>
          <cell r="EI118">
            <v>-4197</v>
          </cell>
          <cell r="EJ118">
            <v>0</v>
          </cell>
          <cell r="EK118">
            <v>-9023</v>
          </cell>
          <cell r="EL118">
            <v>-1000</v>
          </cell>
          <cell r="EM118">
            <v>-750</v>
          </cell>
          <cell r="EN118">
            <v>0</v>
          </cell>
          <cell r="EO118">
            <v>-1000</v>
          </cell>
          <cell r="EP118">
            <v>-2750</v>
          </cell>
          <cell r="EQ118">
            <v>24265</v>
          </cell>
          <cell r="ER118">
            <v>-633</v>
          </cell>
          <cell r="ES118">
            <v>-9047</v>
          </cell>
          <cell r="ET118">
            <v>0</v>
          </cell>
          <cell r="EU118">
            <v>14585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</row>
        <row r="119">
          <cell r="B119" t="str">
            <v>Lease principal payments  (applicable to IFRS cos.)</v>
          </cell>
          <cell r="C119" t="str">
            <v>LEASE_PRINCIPAL_CASH</v>
          </cell>
          <cell r="D119" t="str">
            <v>USD</v>
          </cell>
        </row>
        <row r="120">
          <cell r="B120" t="str">
            <v>Other financing cash flow items</v>
          </cell>
          <cell r="C120" t="str">
            <v>OTH_FIN_CF</v>
          </cell>
          <cell r="D120" t="str">
            <v>USD</v>
          </cell>
          <cell r="F120">
            <v>188</v>
          </cell>
          <cell r="G120">
            <v>59</v>
          </cell>
          <cell r="H120">
            <v>13</v>
          </cell>
          <cell r="I120">
            <v>151</v>
          </cell>
          <cell r="J120">
            <v>124</v>
          </cell>
          <cell r="K120">
            <v>347</v>
          </cell>
          <cell r="L120">
            <v>144</v>
          </cell>
          <cell r="M120">
            <v>1144</v>
          </cell>
          <cell r="N120">
            <v>268</v>
          </cell>
          <cell r="O120">
            <v>306</v>
          </cell>
          <cell r="P120">
            <v>1862</v>
          </cell>
          <cell r="Q120">
            <v>456</v>
          </cell>
          <cell r="R120">
            <v>229</v>
          </cell>
          <cell r="S120">
            <v>541</v>
          </cell>
          <cell r="T120">
            <v>808</v>
          </cell>
          <cell r="U120">
            <v>2034</v>
          </cell>
          <cell r="V120">
            <v>828</v>
          </cell>
          <cell r="W120">
            <v>789</v>
          </cell>
          <cell r="X120">
            <v>1396</v>
          </cell>
          <cell r="Y120">
            <v>-2223</v>
          </cell>
          <cell r="Z120">
            <v>790</v>
          </cell>
          <cell r="AA120">
            <v>1517</v>
          </cell>
          <cell r="AB120">
            <v>1598</v>
          </cell>
          <cell r="AC120">
            <v>1410</v>
          </cell>
          <cell r="AD120">
            <v>-4037</v>
          </cell>
          <cell r="AE120">
            <v>488</v>
          </cell>
          <cell r="AF120">
            <v>148</v>
          </cell>
          <cell r="AG120">
            <v>-561</v>
          </cell>
          <cell r="AH120">
            <v>-256</v>
          </cell>
          <cell r="AI120">
            <v>-489</v>
          </cell>
          <cell r="AJ120">
            <v>-1158</v>
          </cell>
          <cell r="AK120">
            <v>5</v>
          </cell>
          <cell r="AL120">
            <v>4</v>
          </cell>
          <cell r="AM120">
            <v>-14</v>
          </cell>
          <cell r="AN120">
            <v>7</v>
          </cell>
          <cell r="AO120">
            <v>2</v>
          </cell>
          <cell r="AP120">
            <v>5</v>
          </cell>
          <cell r="AQ120">
            <v>37</v>
          </cell>
          <cell r="AR120">
            <v>-3</v>
          </cell>
          <cell r="AS120">
            <v>22</v>
          </cell>
          <cell r="AT120">
            <v>61</v>
          </cell>
          <cell r="AU120">
            <v>4</v>
          </cell>
          <cell r="AV120">
            <v>26</v>
          </cell>
          <cell r="AW120">
            <v>7</v>
          </cell>
          <cell r="AX120">
            <v>-10</v>
          </cell>
          <cell r="AY120">
            <v>27</v>
          </cell>
          <cell r="AZ120">
            <v>3</v>
          </cell>
          <cell r="BA120">
            <v>54</v>
          </cell>
          <cell r="BB120">
            <v>-8</v>
          </cell>
          <cell r="BC120">
            <v>-74</v>
          </cell>
          <cell r="BD120">
            <v>-25</v>
          </cell>
          <cell r="BE120">
            <v>27</v>
          </cell>
          <cell r="BF120">
            <v>1</v>
          </cell>
          <cell r="BG120">
            <v>30</v>
          </cell>
          <cell r="BH120">
            <v>49</v>
          </cell>
          <cell r="BI120">
            <v>107</v>
          </cell>
          <cell r="BJ120">
            <v>35</v>
          </cell>
          <cell r="BK120">
            <v>27</v>
          </cell>
          <cell r="BL120">
            <v>20</v>
          </cell>
          <cell r="BM120">
            <v>28</v>
          </cell>
          <cell r="BN120">
            <v>110</v>
          </cell>
          <cell r="BO120">
            <v>127</v>
          </cell>
          <cell r="BP120">
            <v>61</v>
          </cell>
          <cell r="BQ120">
            <v>51</v>
          </cell>
          <cell r="BR120">
            <v>18</v>
          </cell>
          <cell r="BS120">
            <v>257</v>
          </cell>
          <cell r="BT120">
            <v>-12</v>
          </cell>
          <cell r="BU120">
            <v>-81</v>
          </cell>
          <cell r="BV120">
            <v>-34</v>
          </cell>
          <cell r="BW120">
            <v>93</v>
          </cell>
          <cell r="BX120">
            <v>-34</v>
          </cell>
          <cell r="BY120">
            <v>38</v>
          </cell>
          <cell r="BZ120">
            <v>14</v>
          </cell>
          <cell r="CA120">
            <v>-16</v>
          </cell>
          <cell r="CB120">
            <v>-20</v>
          </cell>
          <cell r="CC120">
            <v>16</v>
          </cell>
          <cell r="CD120">
            <v>38</v>
          </cell>
          <cell r="CE120">
            <v>1</v>
          </cell>
          <cell r="CF120">
            <v>18</v>
          </cell>
          <cell r="CG120">
            <v>23</v>
          </cell>
          <cell r="CH120">
            <v>80</v>
          </cell>
          <cell r="CI120">
            <v>32</v>
          </cell>
          <cell r="CJ120">
            <v>-48</v>
          </cell>
          <cell r="CK120">
            <v>40</v>
          </cell>
          <cell r="CL120">
            <v>-35</v>
          </cell>
          <cell r="CM120">
            <v>-11</v>
          </cell>
          <cell r="CN120">
            <v>224</v>
          </cell>
          <cell r="CO120">
            <v>8</v>
          </cell>
          <cell r="CP120">
            <v>-33</v>
          </cell>
          <cell r="CQ120">
            <v>-8</v>
          </cell>
          <cell r="CR120">
            <v>191</v>
          </cell>
          <cell r="CS120">
            <v>229</v>
          </cell>
          <cell r="CT120">
            <v>14</v>
          </cell>
          <cell r="CU120">
            <v>24</v>
          </cell>
          <cell r="CV120">
            <v>-174</v>
          </cell>
          <cell r="CW120">
            <v>93</v>
          </cell>
          <cell r="CX120">
            <v>496</v>
          </cell>
          <cell r="CY120">
            <v>273</v>
          </cell>
          <cell r="CZ120">
            <v>311</v>
          </cell>
          <cell r="DA120">
            <v>-203</v>
          </cell>
          <cell r="DB120">
            <v>877</v>
          </cell>
          <cell r="DC120">
            <v>60</v>
          </cell>
          <cell r="DD120">
            <v>-63</v>
          </cell>
          <cell r="DE120">
            <v>-106</v>
          </cell>
          <cell r="DF120">
            <v>-25</v>
          </cell>
          <cell r="DG120">
            <v>-134</v>
          </cell>
          <cell r="DH120">
            <v>-102</v>
          </cell>
          <cell r="DI120">
            <v>294</v>
          </cell>
          <cell r="DJ120">
            <v>-363</v>
          </cell>
          <cell r="DK120">
            <v>0</v>
          </cell>
          <cell r="DL120">
            <v>-171</v>
          </cell>
          <cell r="DM120">
            <v>-124</v>
          </cell>
          <cell r="DN120">
            <v>-173</v>
          </cell>
          <cell r="DO120">
            <v>-615</v>
          </cell>
          <cell r="DP120">
            <v>-9</v>
          </cell>
          <cell r="DQ120">
            <v>-921</v>
          </cell>
          <cell r="DR120">
            <v>-909</v>
          </cell>
          <cell r="DS120">
            <v>-442</v>
          </cell>
          <cell r="DT120">
            <v>422</v>
          </cell>
          <cell r="DU120">
            <v>139</v>
          </cell>
          <cell r="DV120">
            <v>-790</v>
          </cell>
          <cell r="DW120">
            <v>214</v>
          </cell>
          <cell r="DX120">
            <v>-21</v>
          </cell>
          <cell r="DY120">
            <v>-1116</v>
          </cell>
          <cell r="DZ120">
            <v>388</v>
          </cell>
          <cell r="EA120">
            <v>-535</v>
          </cell>
          <cell r="EB120">
            <v>-281</v>
          </cell>
          <cell r="EC120">
            <v>93</v>
          </cell>
          <cell r="ED120">
            <v>-216</v>
          </cell>
          <cell r="EE120">
            <v>-394</v>
          </cell>
          <cell r="EF120">
            <v>-798</v>
          </cell>
          <cell r="EG120">
            <v>-245</v>
          </cell>
          <cell r="EH120">
            <v>-86</v>
          </cell>
          <cell r="EI120">
            <v>-134</v>
          </cell>
          <cell r="EJ120">
            <v>-539</v>
          </cell>
          <cell r="EK120">
            <v>-1004</v>
          </cell>
          <cell r="EL120">
            <v>-494</v>
          </cell>
          <cell r="EM120">
            <v>-229</v>
          </cell>
          <cell r="EN120">
            <v>-229</v>
          </cell>
          <cell r="EO120">
            <v>-248</v>
          </cell>
          <cell r="EP120">
            <v>-1200</v>
          </cell>
          <cell r="EQ120">
            <v>-406</v>
          </cell>
          <cell r="ER120">
            <v>-129</v>
          </cell>
          <cell r="ES120">
            <v>-578</v>
          </cell>
          <cell r="ET120">
            <v>0</v>
          </cell>
          <cell r="EU120">
            <v>-1113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</row>
        <row r="121">
          <cell r="B121" t="str">
            <v>Cash flow from financing</v>
          </cell>
          <cell r="C121" t="str">
            <v>CF_FIN</v>
          </cell>
          <cell r="D121" t="str">
            <v>USD</v>
          </cell>
          <cell r="F121">
            <v>-129</v>
          </cell>
          <cell r="G121">
            <v>28</v>
          </cell>
          <cell r="H121">
            <v>-255</v>
          </cell>
          <cell r="I121">
            <v>34</v>
          </cell>
          <cell r="J121">
            <v>-217</v>
          </cell>
          <cell r="K121">
            <v>-410</v>
          </cell>
          <cell r="L121">
            <v>-370</v>
          </cell>
          <cell r="M121">
            <v>871</v>
          </cell>
          <cell r="N121">
            <v>-1493</v>
          </cell>
          <cell r="O121">
            <v>497</v>
          </cell>
          <cell r="P121">
            <v>-495</v>
          </cell>
          <cell r="Q121">
            <v>-250</v>
          </cell>
          <cell r="R121">
            <v>-333</v>
          </cell>
          <cell r="S121">
            <v>854</v>
          </cell>
          <cell r="T121">
            <v>254</v>
          </cell>
          <cell r="U121">
            <v>525</v>
          </cell>
          <cell r="V121">
            <v>640</v>
          </cell>
          <cell r="W121">
            <v>819</v>
          </cell>
          <cell r="X121">
            <v>1129</v>
          </cell>
          <cell r="Y121">
            <v>-3398</v>
          </cell>
          <cell r="Z121">
            <v>-810</v>
          </cell>
          <cell r="AA121">
            <v>944</v>
          </cell>
          <cell r="AB121">
            <v>-1768</v>
          </cell>
          <cell r="AC121">
            <v>2227</v>
          </cell>
          <cell r="AD121">
            <v>-3566</v>
          </cell>
          <cell r="AE121">
            <v>-2163</v>
          </cell>
          <cell r="AF121">
            <v>-1229</v>
          </cell>
          <cell r="AG121">
            <v>-1711</v>
          </cell>
          <cell r="AH121">
            <v>-1015</v>
          </cell>
          <cell r="AI121">
            <v>-1657</v>
          </cell>
          <cell r="AJ121">
            <v>-5612</v>
          </cell>
          <cell r="AK121">
            <v>-729</v>
          </cell>
          <cell r="AL121">
            <v>258</v>
          </cell>
          <cell r="AM121">
            <v>-265</v>
          </cell>
          <cell r="AN121">
            <v>-3834</v>
          </cell>
          <cell r="AO121">
            <v>-4570</v>
          </cell>
          <cell r="AP121">
            <v>-2953</v>
          </cell>
          <cell r="AQ121">
            <v>-534</v>
          </cell>
          <cell r="AR121">
            <v>-1214</v>
          </cell>
          <cell r="AS121">
            <v>-461</v>
          </cell>
          <cell r="AT121">
            <v>-5162</v>
          </cell>
          <cell r="AU121">
            <v>-346</v>
          </cell>
          <cell r="AV121">
            <v>-2244</v>
          </cell>
          <cell r="AW121">
            <v>-1033</v>
          </cell>
          <cell r="AX121">
            <v>1286</v>
          </cell>
          <cell r="AY121">
            <v>-2337</v>
          </cell>
          <cell r="AZ121">
            <v>-735</v>
          </cell>
          <cell r="BA121">
            <v>-33618</v>
          </cell>
          <cell r="BB121">
            <v>-2966</v>
          </cell>
          <cell r="BC121">
            <v>-3766</v>
          </cell>
          <cell r="BD121">
            <v>-41085</v>
          </cell>
          <cell r="BE121">
            <v>-2945</v>
          </cell>
          <cell r="BF121">
            <v>-7814</v>
          </cell>
          <cell r="BG121">
            <v>-5128</v>
          </cell>
          <cell r="BH121">
            <v>-4657</v>
          </cell>
          <cell r="BI121">
            <v>-20544</v>
          </cell>
          <cell r="BJ121">
            <v>-8160</v>
          </cell>
          <cell r="BK121">
            <v>-2301</v>
          </cell>
          <cell r="BL121">
            <v>-7050</v>
          </cell>
          <cell r="BM121">
            <v>-6977</v>
          </cell>
          <cell r="BN121">
            <v>-24488</v>
          </cell>
          <cell r="BO121">
            <v>-3095</v>
          </cell>
          <cell r="BP121">
            <v>-2695</v>
          </cell>
          <cell r="BQ121">
            <v>-1944</v>
          </cell>
          <cell r="BR121">
            <v>-5063</v>
          </cell>
          <cell r="BS121">
            <v>-12797</v>
          </cell>
          <cell r="BT121">
            <v>-5300</v>
          </cell>
          <cell r="BU121">
            <v>-3941</v>
          </cell>
          <cell r="BV121">
            <v>-1096</v>
          </cell>
          <cell r="BW121">
            <v>2807</v>
          </cell>
          <cell r="BX121">
            <v>-7530</v>
          </cell>
          <cell r="BY121">
            <v>-2161</v>
          </cell>
          <cell r="BZ121">
            <v>-4278</v>
          </cell>
          <cell r="CA121">
            <v>-2756</v>
          </cell>
          <cell r="CB121">
            <v>-4135</v>
          </cell>
          <cell r="CC121">
            <v>-13330</v>
          </cell>
          <cell r="CD121">
            <v>-581</v>
          </cell>
          <cell r="CE121">
            <v>-6754</v>
          </cell>
          <cell r="CF121">
            <v>1465</v>
          </cell>
          <cell r="CG121">
            <v>-2403</v>
          </cell>
          <cell r="CH121">
            <v>-8273</v>
          </cell>
          <cell r="CI121">
            <v>-2907</v>
          </cell>
          <cell r="CJ121">
            <v>-2565</v>
          </cell>
          <cell r="CK121">
            <v>-1575</v>
          </cell>
          <cell r="CL121">
            <v>-2465</v>
          </cell>
          <cell r="CM121">
            <v>-9512</v>
          </cell>
          <cell r="CN121">
            <v>-2667</v>
          </cell>
          <cell r="CO121">
            <v>-1206</v>
          </cell>
          <cell r="CP121">
            <v>-2783</v>
          </cell>
          <cell r="CQ121">
            <v>-1500</v>
          </cell>
          <cell r="CR121">
            <v>-8156</v>
          </cell>
          <cell r="CS121">
            <v>-3372</v>
          </cell>
          <cell r="CT121">
            <v>2648</v>
          </cell>
          <cell r="CU121">
            <v>-4302</v>
          </cell>
          <cell r="CV121">
            <v>-3507</v>
          </cell>
          <cell r="CW121">
            <v>-8533</v>
          </cell>
          <cell r="CX121">
            <v>-2984</v>
          </cell>
          <cell r="CY121">
            <v>500</v>
          </cell>
          <cell r="CZ121">
            <v>-3101</v>
          </cell>
          <cell r="DA121">
            <v>-3568</v>
          </cell>
          <cell r="DB121">
            <v>-9153</v>
          </cell>
          <cell r="DC121">
            <v>-3692</v>
          </cell>
          <cell r="DD121">
            <v>-516</v>
          </cell>
          <cell r="DE121">
            <v>-4899</v>
          </cell>
          <cell r="DF121">
            <v>949</v>
          </cell>
          <cell r="DG121">
            <v>-8158</v>
          </cell>
          <cell r="DH121">
            <v>14339</v>
          </cell>
          <cell r="DI121">
            <v>2998</v>
          </cell>
          <cell r="DJ121">
            <v>-6224</v>
          </cell>
          <cell r="DK121">
            <v>-2686</v>
          </cell>
          <cell r="DL121">
            <v>8427</v>
          </cell>
          <cell r="DM121">
            <v>-6315</v>
          </cell>
          <cell r="DN121">
            <v>-1569</v>
          </cell>
          <cell r="DO121">
            <v>-19633</v>
          </cell>
          <cell r="DP121">
            <v>-6023</v>
          </cell>
          <cell r="DQ121">
            <v>-33540</v>
          </cell>
          <cell r="DR121">
            <v>-7513</v>
          </cell>
          <cell r="DS121">
            <v>-13199</v>
          </cell>
          <cell r="DT121">
            <v>-7583</v>
          </cell>
          <cell r="DU121">
            <v>-8707</v>
          </cell>
          <cell r="DV121">
            <v>-37002</v>
          </cell>
          <cell r="DW121">
            <v>-10281</v>
          </cell>
          <cell r="DX121">
            <v>-8897</v>
          </cell>
          <cell r="DY121">
            <v>-14709</v>
          </cell>
          <cell r="DZ121">
            <v>-12345</v>
          </cell>
          <cell r="EA121">
            <v>-46232</v>
          </cell>
          <cell r="EB121">
            <v>-10335</v>
          </cell>
          <cell r="EC121">
            <v>-13620</v>
          </cell>
          <cell r="ED121">
            <v>-13225</v>
          </cell>
          <cell r="EE121">
            <v>-11335</v>
          </cell>
          <cell r="EF121">
            <v>-48515</v>
          </cell>
          <cell r="EG121">
            <v>-16349</v>
          </cell>
          <cell r="EH121">
            <v>-11880</v>
          </cell>
          <cell r="EI121">
            <v>-17321</v>
          </cell>
          <cell r="EJ121">
            <v>-13467</v>
          </cell>
          <cell r="EK121">
            <v>-59017</v>
          </cell>
          <cell r="EL121">
            <v>-11113</v>
          </cell>
          <cell r="EM121">
            <v>-11261</v>
          </cell>
          <cell r="EN121">
            <v>-10261</v>
          </cell>
          <cell r="EO121">
            <v>-11494</v>
          </cell>
          <cell r="EP121">
            <v>-44129</v>
          </cell>
          <cell r="EQ121">
            <v>14662</v>
          </cell>
          <cell r="ER121">
            <v>-10075</v>
          </cell>
          <cell r="ES121">
            <v>-18888</v>
          </cell>
          <cell r="ET121">
            <v>-5568.6249506381937</v>
          </cell>
          <cell r="EU121">
            <v>-19869.624950638194</v>
          </cell>
          <cell r="EV121">
            <v>-5561.0093001038049</v>
          </cell>
          <cell r="EW121">
            <v>-6125.9198659384683</v>
          </cell>
          <cell r="EX121">
            <v>-6116.2086461833769</v>
          </cell>
          <cell r="EY121">
            <v>-6109.1682286903233</v>
          </cell>
          <cell r="EZ121">
            <v>-23912.306040915973</v>
          </cell>
          <cell r="FA121">
            <v>-6101.5224017435576</v>
          </cell>
          <cell r="FB121">
            <v>-6722.1304747566192</v>
          </cell>
          <cell r="FC121">
            <v>-6712.2702881476735</v>
          </cell>
          <cell r="FD121">
            <v>-6705.3651055923656</v>
          </cell>
          <cell r="FE121">
            <v>-26241.288270240217</v>
          </cell>
        </row>
        <row r="122">
          <cell r="B122" t="str">
            <v>Total cash flow</v>
          </cell>
          <cell r="C122" t="str">
            <v>TOT_CF</v>
          </cell>
          <cell r="D122" t="str">
            <v>USD</v>
          </cell>
          <cell r="F122">
            <v>485</v>
          </cell>
          <cell r="G122">
            <v>-56</v>
          </cell>
          <cell r="H122">
            <v>417</v>
          </cell>
          <cell r="I122">
            <v>614</v>
          </cell>
          <cell r="J122">
            <v>-336</v>
          </cell>
          <cell r="K122">
            <v>639</v>
          </cell>
          <cell r="L122">
            <v>417</v>
          </cell>
          <cell r="M122">
            <v>78</v>
          </cell>
          <cell r="N122">
            <v>756</v>
          </cell>
          <cell r="O122">
            <v>-146</v>
          </cell>
          <cell r="P122">
            <v>1105</v>
          </cell>
          <cell r="Q122">
            <v>239</v>
          </cell>
          <cell r="R122">
            <v>-1363</v>
          </cell>
          <cell r="S122">
            <v>1528</v>
          </cell>
          <cell r="T122">
            <v>-271</v>
          </cell>
          <cell r="U122">
            <v>133</v>
          </cell>
          <cell r="V122">
            <v>1352</v>
          </cell>
          <cell r="W122">
            <v>922</v>
          </cell>
          <cell r="X122">
            <v>90</v>
          </cell>
          <cell r="Y122">
            <v>-1228</v>
          </cell>
          <cell r="Z122">
            <v>1136</v>
          </cell>
          <cell r="AA122">
            <v>-186</v>
          </cell>
          <cell r="AB122">
            <v>243</v>
          </cell>
          <cell r="AC122">
            <v>160</v>
          </cell>
          <cell r="AD122">
            <v>-346</v>
          </cell>
          <cell r="AE122">
            <v>-129</v>
          </cell>
          <cell r="AF122">
            <v>-2205</v>
          </cell>
          <cell r="AG122">
            <v>890</v>
          </cell>
          <cell r="AH122">
            <v>618</v>
          </cell>
          <cell r="AI122">
            <v>-227</v>
          </cell>
          <cell r="AJ122">
            <v>-924</v>
          </cell>
          <cell r="AK122">
            <v>-809</v>
          </cell>
          <cell r="AL122">
            <v>2143</v>
          </cell>
          <cell r="AM122">
            <v>-140</v>
          </cell>
          <cell r="AN122">
            <v>-2100</v>
          </cell>
          <cell r="AO122">
            <v>-906</v>
          </cell>
          <cell r="AP122">
            <v>2322</v>
          </cell>
          <cell r="AQ122">
            <v>214</v>
          </cell>
          <cell r="AR122">
            <v>-1252</v>
          </cell>
          <cell r="AS122">
            <v>2138</v>
          </cell>
          <cell r="AT122">
            <v>3422</v>
          </cell>
          <cell r="AU122">
            <v>-670</v>
          </cell>
          <cell r="AV122">
            <v>381</v>
          </cell>
          <cell r="AW122">
            <v>3199</v>
          </cell>
          <cell r="AX122">
            <v>6634</v>
          </cell>
          <cell r="AY122">
            <v>9544</v>
          </cell>
          <cell r="AZ122">
            <v>-4841</v>
          </cell>
          <cell r="BA122">
            <v>-6585</v>
          </cell>
          <cell r="BB122">
            <v>224</v>
          </cell>
          <cell r="BC122">
            <v>1069</v>
          </cell>
          <cell r="BD122">
            <v>-10133</v>
          </cell>
          <cell r="BE122">
            <v>-1877</v>
          </cell>
          <cell r="BF122">
            <v>1109</v>
          </cell>
          <cell r="BG122">
            <v>268</v>
          </cell>
          <cell r="BH122">
            <v>2363</v>
          </cell>
          <cell r="BI122">
            <v>1863</v>
          </cell>
          <cell r="BJ122">
            <v>2362</v>
          </cell>
          <cell r="BK122">
            <v>-2217</v>
          </cell>
          <cell r="BL122">
            <v>752</v>
          </cell>
          <cell r="BM122">
            <v>-1500</v>
          </cell>
          <cell r="BN122">
            <v>-603</v>
          </cell>
          <cell r="BO122">
            <v>526</v>
          </cell>
          <cell r="BP122">
            <v>823</v>
          </cell>
          <cell r="BQ122">
            <v>4360</v>
          </cell>
          <cell r="BR122">
            <v>-1481</v>
          </cell>
          <cell r="BS122">
            <v>4228</v>
          </cell>
          <cell r="BT122">
            <v>-1335</v>
          </cell>
          <cell r="BU122">
            <v>-658</v>
          </cell>
          <cell r="BV122">
            <v>-1061</v>
          </cell>
          <cell r="BW122">
            <v>-1209</v>
          </cell>
          <cell r="BX122">
            <v>-4263</v>
          </cell>
          <cell r="BY122">
            <v>2747</v>
          </cell>
          <cell r="BZ122">
            <v>599</v>
          </cell>
          <cell r="CA122">
            <v>-1267</v>
          </cell>
          <cell r="CB122">
            <v>-2650</v>
          </cell>
          <cell r="CC122">
            <v>-571</v>
          </cell>
          <cell r="CD122">
            <v>2656</v>
          </cell>
          <cell r="CE122">
            <v>-4138</v>
          </cell>
          <cell r="CF122">
            <v>2998</v>
          </cell>
          <cell r="CG122">
            <v>2589</v>
          </cell>
          <cell r="CH122">
            <v>4105</v>
          </cell>
          <cell r="CI122">
            <v>3271</v>
          </cell>
          <cell r="CJ122">
            <v>-2271</v>
          </cell>
          <cell r="CK122">
            <v>-4222</v>
          </cell>
          <cell r="CL122">
            <v>550</v>
          </cell>
          <cell r="CM122">
            <v>-2672</v>
          </cell>
          <cell r="CN122">
            <v>-1902</v>
          </cell>
          <cell r="CO122">
            <v>981</v>
          </cell>
          <cell r="CP122">
            <v>-777</v>
          </cell>
          <cell r="CQ122">
            <v>-1436</v>
          </cell>
          <cell r="CR122">
            <v>-3134</v>
          </cell>
          <cell r="CS122">
            <v>219</v>
          </cell>
          <cell r="CT122">
            <v>6036</v>
          </cell>
          <cell r="CU122">
            <v>1513</v>
          </cell>
          <cell r="CV122">
            <v>-2903</v>
          </cell>
          <cell r="CW122">
            <v>4865</v>
          </cell>
          <cell r="CX122">
            <v>-2367</v>
          </cell>
          <cell r="CY122">
            <v>124</v>
          </cell>
          <cell r="CZ122">
            <v>988</v>
          </cell>
          <cell r="DA122">
            <v>-1819</v>
          </cell>
          <cell r="DB122">
            <v>-3074</v>
          </cell>
          <cell r="DC122">
            <v>-164</v>
          </cell>
          <cell r="DD122">
            <v>1754</v>
          </cell>
          <cell r="DE122">
            <v>-15</v>
          </cell>
          <cell r="DF122">
            <v>-660</v>
          </cell>
          <cell r="DG122">
            <v>915</v>
          </cell>
          <cell r="DH122">
            <v>7418</v>
          </cell>
          <cell r="DI122">
            <v>-5460</v>
          </cell>
          <cell r="DJ122">
            <v>-1755</v>
          </cell>
          <cell r="DK122">
            <v>950</v>
          </cell>
          <cell r="DL122">
            <v>1153</v>
          </cell>
          <cell r="DM122">
            <v>-779</v>
          </cell>
          <cell r="DN122">
            <v>5975</v>
          </cell>
          <cell r="DO122">
            <v>-3638</v>
          </cell>
          <cell r="DP122">
            <v>2725</v>
          </cell>
          <cell r="DQ122">
            <v>4283</v>
          </cell>
          <cell r="DR122">
            <v>3191</v>
          </cell>
          <cell r="DS122">
            <v>-8499</v>
          </cell>
          <cell r="DT122">
            <v>4574</v>
          </cell>
          <cell r="DU122">
            <v>144</v>
          </cell>
          <cell r="DV122">
            <v>-590</v>
          </cell>
          <cell r="DW122">
            <v>1761</v>
          </cell>
          <cell r="DX122">
            <v>-4253</v>
          </cell>
          <cell r="DY122">
            <v>2846</v>
          </cell>
          <cell r="DZ122">
            <v>1866</v>
          </cell>
          <cell r="EA122">
            <v>2220</v>
          </cell>
          <cell r="EB122">
            <v>3629</v>
          </cell>
          <cell r="EC122">
            <v>-2773</v>
          </cell>
          <cell r="ED122">
            <v>-730</v>
          </cell>
          <cell r="EE122">
            <v>522</v>
          </cell>
          <cell r="EF122">
            <v>648</v>
          </cell>
          <cell r="EG122">
            <v>4941</v>
          </cell>
          <cell r="EH122">
            <v>1439</v>
          </cell>
          <cell r="EI122">
            <v>-8106</v>
          </cell>
          <cell r="EJ122">
            <v>1433</v>
          </cell>
          <cell r="EK122">
            <v>-293</v>
          </cell>
          <cell r="EL122">
            <v>8953</v>
          </cell>
          <cell r="EM122">
            <v>-7238</v>
          </cell>
          <cell r="EN122">
            <v>10916</v>
          </cell>
          <cell r="EO122">
            <v>8142</v>
          </cell>
          <cell r="EP122">
            <v>20773</v>
          </cell>
          <cell r="EQ122">
            <v>45748</v>
          </cell>
          <cell r="ER122">
            <v>-63147</v>
          </cell>
          <cell r="ES122">
            <v>2329</v>
          </cell>
          <cell r="ET122">
            <v>25065.735657951234</v>
          </cell>
          <cell r="EU122">
            <v>9995.7356579512343</v>
          </cell>
          <cell r="EV122">
            <v>15904.970823663563</v>
          </cell>
          <cell r="EW122">
            <v>4696.1820226046484</v>
          </cell>
          <cell r="EX122">
            <v>17451.177975440653</v>
          </cell>
          <cell r="EY122">
            <v>20400.530487547927</v>
          </cell>
          <cell r="EZ122">
            <v>58452.86130925679</v>
          </cell>
          <cell r="FA122">
            <v>27341.036608338003</v>
          </cell>
          <cell r="FB122">
            <v>2901.2764915623884</v>
          </cell>
          <cell r="FC122">
            <v>29132.83994264606</v>
          </cell>
          <cell r="FD122">
            <v>24371.338225550357</v>
          </cell>
          <cell r="FE122">
            <v>83746.491268096812</v>
          </cell>
        </row>
        <row r="123">
          <cell r="A123" t="str">
            <v>Additional Cash Flow Items</v>
          </cell>
        </row>
        <row r="124">
          <cell r="B124" t="str">
            <v>Associate and JV add-back</v>
          </cell>
          <cell r="C124" t="str">
            <v>ASSOC_JV_ADDBK</v>
          </cell>
          <cell r="D124" t="str">
            <v>USD</v>
          </cell>
        </row>
        <row r="125">
          <cell r="B125" t="str">
            <v>Profit/(loss) on sale of assets</v>
          </cell>
          <cell r="C125" t="str">
            <v>PL_SALE_ASSETS</v>
          </cell>
          <cell r="D125" t="str">
            <v>USD</v>
          </cell>
        </row>
        <row r="126">
          <cell r="B126" t="str">
            <v>Other non-cash adjustments</v>
          </cell>
          <cell r="C126" t="str">
            <v>OTH_NONCASH_ADJ</v>
          </cell>
          <cell r="D126" t="str">
            <v>USD</v>
          </cell>
        </row>
        <row r="127">
          <cell r="B127" t="str">
            <v>Other DACF adjustments</v>
          </cell>
          <cell r="C127" t="str">
            <v>OTH_DACF_ADJ</v>
          </cell>
          <cell r="D127" t="str">
            <v>USD</v>
          </cell>
        </row>
        <row r="128">
          <cell r="B128" t="str">
            <v>Change in LT deferred income taxes (Cash flow)</v>
          </cell>
          <cell r="C128" t="str">
            <v>CHG_DEF_TAX_CF</v>
          </cell>
          <cell r="D128" t="str">
            <v>USD</v>
          </cell>
        </row>
        <row r="129">
          <cell r="B129" t="str">
            <v>Other items/adjustments for computing cash tax rate (except def taxes)</v>
          </cell>
          <cell r="C129" t="str">
            <v>OTH_ADJ_CASH_TAX</v>
          </cell>
          <cell r="D129" t="str">
            <v>USD</v>
          </cell>
        </row>
        <row r="130">
          <cell r="B130" t="str">
            <v>Cash interest expense</v>
          </cell>
          <cell r="C130" t="str">
            <v>CASH_INT_EXP</v>
          </cell>
          <cell r="D130" t="str">
            <v>USD</v>
          </cell>
        </row>
        <row r="131">
          <cell r="B131" t="str">
            <v>Cash tax expense</v>
          </cell>
          <cell r="C131" t="str">
            <v>CASH_TAX_EXP</v>
          </cell>
          <cell r="D131" t="str">
            <v>USD</v>
          </cell>
        </row>
        <row r="132">
          <cell r="B132" t="str">
            <v>Dividends received from associates/JVs</v>
          </cell>
          <cell r="C132" t="str">
            <v>DIVDS_ASSOC_JV</v>
          </cell>
          <cell r="D132" t="str">
            <v>USD</v>
          </cell>
        </row>
        <row r="133">
          <cell r="B133" t="str">
            <v>Capex maintenance</v>
          </cell>
          <cell r="C133" t="str">
            <v>CAPEX_MAINTENANCE</v>
          </cell>
          <cell r="D133" t="str">
            <v>USD</v>
          </cell>
        </row>
        <row r="134">
          <cell r="B134" t="str">
            <v>Capex expansion</v>
          </cell>
          <cell r="C134" t="str">
            <v>CAPEX_EXPANSION</v>
          </cell>
          <cell r="D134" t="str">
            <v>USD</v>
          </cell>
        </row>
        <row r="135">
          <cell r="B135" t="str">
            <v>Non-PP&amp;E capex</v>
          </cell>
          <cell r="C135" t="str">
            <v>NONPPE_CAPEX</v>
          </cell>
          <cell r="D135" t="str">
            <v>USD</v>
          </cell>
        </row>
        <row r="136">
          <cell r="B136" t="str">
            <v>Dividends paid to minorities</v>
          </cell>
          <cell r="C136" t="str">
            <v>DIVDS_PD_MINORITIES</v>
          </cell>
          <cell r="D136" t="str">
            <v>USD</v>
          </cell>
        </row>
        <row r="137">
          <cell r="B137" t="str">
            <v>Free cash flow (unlevered)</v>
          </cell>
          <cell r="C137" t="str">
            <v>FCF_UNLEVERED</v>
          </cell>
          <cell r="D137" t="str">
            <v>USD</v>
          </cell>
        </row>
        <row r="138">
          <cell r="A138" t="str">
            <v>Other Items</v>
          </cell>
        </row>
        <row r="139">
          <cell r="B139" t="str">
            <v>License revenue</v>
          </cell>
          <cell r="C139" t="str">
            <v>LICENSE_REV</v>
          </cell>
          <cell r="D139" t="str">
            <v>USD</v>
          </cell>
        </row>
        <row r="140">
          <cell r="B140" t="str">
            <v>Maintenance revenue</v>
          </cell>
          <cell r="C140" t="str">
            <v>MAINTEN_REV</v>
          </cell>
          <cell r="D140" t="str">
            <v>USD</v>
          </cell>
        </row>
        <row r="141">
          <cell r="B141" t="str">
            <v>Number of employees</v>
          </cell>
          <cell r="C141" t="str">
            <v>EMPLOYEES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114000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124000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131000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144000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163000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181000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221000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221000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</row>
        <row r="142">
          <cell r="B142" t="str">
            <v>Total billings (revenue plus change in deferred revenue)</v>
          </cell>
          <cell r="C142" t="str">
            <v>TOT_BILLINGS</v>
          </cell>
          <cell r="D142" t="str">
            <v>USD</v>
          </cell>
          <cell r="F142">
            <v>5937</v>
          </cell>
          <cell r="G142">
            <v>2016</v>
          </cell>
          <cell r="H142">
            <v>2195</v>
          </cell>
          <cell r="I142">
            <v>2205</v>
          </cell>
          <cell r="J142">
            <v>2255</v>
          </cell>
          <cell r="K142">
            <v>8671</v>
          </cell>
          <cell r="L142">
            <v>2295</v>
          </cell>
          <cell r="M142">
            <v>2680</v>
          </cell>
          <cell r="N142">
            <v>3208</v>
          </cell>
          <cell r="O142">
            <v>3175</v>
          </cell>
          <cell r="P142">
            <v>11358</v>
          </cell>
          <cell r="Q142">
            <v>3130</v>
          </cell>
          <cell r="R142">
            <v>3585</v>
          </cell>
          <cell r="S142">
            <v>3774</v>
          </cell>
          <cell r="T142">
            <v>3995</v>
          </cell>
          <cell r="U142">
            <v>14484</v>
          </cell>
          <cell r="V142">
            <v>4193</v>
          </cell>
          <cell r="W142">
            <v>5195</v>
          </cell>
          <cell r="X142">
            <v>4595</v>
          </cell>
          <cell r="Y142">
            <v>5764</v>
          </cell>
          <cell r="Z142">
            <v>19747</v>
          </cell>
          <cell r="AA142">
            <v>5384</v>
          </cell>
          <cell r="AB142">
            <v>6112</v>
          </cell>
          <cell r="AC142">
            <v>5656</v>
          </cell>
          <cell r="AD142">
            <v>5804</v>
          </cell>
          <cell r="AE142">
            <v>22956</v>
          </cell>
          <cell r="AF142">
            <v>5766</v>
          </cell>
          <cell r="AG142">
            <v>6550</v>
          </cell>
          <cell r="AH142">
            <v>6403</v>
          </cell>
          <cell r="AI142">
            <v>6577</v>
          </cell>
          <cell r="AJ142">
            <v>25296</v>
          </cell>
          <cell r="AK142">
            <v>6126</v>
          </cell>
          <cell r="AL142">
            <v>7741</v>
          </cell>
          <cell r="AM142">
            <v>7245</v>
          </cell>
          <cell r="AN142">
            <v>7253</v>
          </cell>
          <cell r="AO142">
            <v>28365</v>
          </cell>
          <cell r="AP142">
            <v>7746</v>
          </cell>
          <cell r="AQ142">
            <v>8541</v>
          </cell>
          <cell r="AR142">
            <v>7835</v>
          </cell>
          <cell r="AS142">
            <v>8065</v>
          </cell>
          <cell r="AT142">
            <v>32187</v>
          </cell>
          <cell r="AU142">
            <v>8215</v>
          </cell>
          <cell r="AV142">
            <v>10153</v>
          </cell>
          <cell r="AW142">
            <v>9175</v>
          </cell>
          <cell r="AX142">
            <v>9292</v>
          </cell>
          <cell r="AY142">
            <v>36835</v>
          </cell>
          <cell r="AZ142">
            <v>9189</v>
          </cell>
          <cell r="BA142">
            <v>10818</v>
          </cell>
          <cell r="BB142">
            <v>9620</v>
          </cell>
          <cell r="BC142">
            <v>10161</v>
          </cell>
          <cell r="BD142">
            <v>39788</v>
          </cell>
          <cell r="BE142">
            <v>9741</v>
          </cell>
          <cell r="BF142">
            <v>11837</v>
          </cell>
          <cell r="BG142">
            <v>10900</v>
          </cell>
          <cell r="BH142">
            <v>11804</v>
          </cell>
          <cell r="BI142">
            <v>44282</v>
          </cell>
          <cell r="BJ142">
            <v>10811</v>
          </cell>
          <cell r="BK142">
            <v>12542</v>
          </cell>
          <cell r="BL142">
            <v>14398</v>
          </cell>
          <cell r="BM142">
            <v>13371</v>
          </cell>
          <cell r="BN142">
            <v>51122</v>
          </cell>
          <cell r="BO142">
            <v>13762</v>
          </cell>
          <cell r="BP142">
            <v>16367</v>
          </cell>
          <cell r="BQ142">
            <v>14454</v>
          </cell>
          <cell r="BR142">
            <v>15837</v>
          </cell>
          <cell r="BS142">
            <v>60420</v>
          </cell>
          <cell r="BT142">
            <v>15061</v>
          </cell>
          <cell r="BU142">
            <v>16629</v>
          </cell>
          <cell r="BV142">
            <v>13648</v>
          </cell>
          <cell r="BW142">
            <v>13099</v>
          </cell>
          <cell r="BX142">
            <v>58437</v>
          </cell>
          <cell r="BY142">
            <v>12920</v>
          </cell>
          <cell r="BZ142">
            <v>19022</v>
          </cell>
          <cell r="CA142">
            <v>14503</v>
          </cell>
          <cell r="CB142">
            <v>16039</v>
          </cell>
          <cell r="CC142">
            <v>62484</v>
          </cell>
          <cell r="CD142">
            <v>16195</v>
          </cell>
          <cell r="CE142">
            <v>19953</v>
          </cell>
          <cell r="CF142">
            <v>16428</v>
          </cell>
          <cell r="CG142">
            <v>17367</v>
          </cell>
          <cell r="CH142">
            <v>69943</v>
          </cell>
          <cell r="CI142">
            <v>17372</v>
          </cell>
          <cell r="CJ142">
            <v>20885</v>
          </cell>
          <cell r="CK142">
            <v>17407</v>
          </cell>
          <cell r="CL142">
            <v>18059</v>
          </cell>
          <cell r="CM142">
            <v>73723</v>
          </cell>
          <cell r="CN142">
            <v>16008</v>
          </cell>
          <cell r="CO142">
            <v>21456</v>
          </cell>
          <cell r="CP142">
            <v>20489</v>
          </cell>
          <cell r="CQ142">
            <v>19896</v>
          </cell>
          <cell r="CR142">
            <v>77849</v>
          </cell>
          <cell r="CS142">
            <v>18529</v>
          </cell>
          <cell r="CT142">
            <v>24519</v>
          </cell>
          <cell r="CU142">
            <v>20403</v>
          </cell>
          <cell r="CV142">
            <v>23382</v>
          </cell>
          <cell r="CW142">
            <v>86833</v>
          </cell>
          <cell r="CX142">
            <v>23201</v>
          </cell>
          <cell r="CY142">
            <v>26470</v>
          </cell>
          <cell r="CZ142">
            <v>21729</v>
          </cell>
          <cell r="DA142">
            <v>22180</v>
          </cell>
          <cell r="DB142">
            <v>93580</v>
          </cell>
          <cell r="DC142">
            <v>20379</v>
          </cell>
          <cell r="DD142">
            <v>23796</v>
          </cell>
          <cell r="DE142">
            <v>20531</v>
          </cell>
          <cell r="DF142">
            <v>20614</v>
          </cell>
          <cell r="DG142">
            <v>85320</v>
          </cell>
          <cell r="DH142">
            <v>20121</v>
          </cell>
          <cell r="DI142">
            <v>24749</v>
          </cell>
          <cell r="DJ142">
            <v>23167</v>
          </cell>
          <cell r="DK142">
            <v>32354</v>
          </cell>
          <cell r="DL142">
            <v>100391</v>
          </cell>
          <cell r="DM142">
            <v>22732</v>
          </cell>
          <cell r="DN142">
            <v>27853</v>
          </cell>
          <cell r="DO142">
            <v>26910</v>
          </cell>
          <cell r="DP142">
            <v>38787</v>
          </cell>
          <cell r="DQ142">
            <v>116282</v>
          </cell>
          <cell r="DR142">
            <v>26643</v>
          </cell>
          <cell r="DS142">
            <v>30349</v>
          </cell>
          <cell r="DT142">
            <v>30591</v>
          </cell>
          <cell r="DU142">
            <v>42722</v>
          </cell>
          <cell r="DV142">
            <v>130305</v>
          </cell>
          <cell r="DW142">
            <v>30163</v>
          </cell>
          <cell r="DX142">
            <v>33970</v>
          </cell>
          <cell r="DY142">
            <v>34285</v>
          </cell>
          <cell r="DZ142">
            <v>46809</v>
          </cell>
          <cell r="EA142">
            <v>145227</v>
          </cell>
          <cell r="EB142">
            <v>34090</v>
          </cell>
          <cell r="EC142">
            <v>39849</v>
          </cell>
          <cell r="ED142">
            <v>41233</v>
          </cell>
          <cell r="EE142">
            <v>57549</v>
          </cell>
          <cell r="EF142">
            <v>172721</v>
          </cell>
          <cell r="EG142">
            <v>42432</v>
          </cell>
          <cell r="EH142">
            <v>47385</v>
          </cell>
          <cell r="EI142">
            <v>49151</v>
          </cell>
          <cell r="EJ142">
            <v>64411</v>
          </cell>
          <cell r="EK142">
            <v>203379</v>
          </cell>
          <cell r="EL142">
            <v>46800</v>
          </cell>
          <cell r="EM142">
            <v>47561</v>
          </cell>
          <cell r="EN142">
            <v>52676</v>
          </cell>
          <cell r="EO142">
            <v>70413</v>
          </cell>
          <cell r="EP142">
            <v>217450</v>
          </cell>
          <cell r="EQ142">
            <v>52391</v>
          </cell>
          <cell r="ER142">
            <v>56482</v>
          </cell>
          <cell r="ES142">
            <v>61213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</row>
        <row r="143">
          <cell r="B143" t="str">
            <v>Short term billings (revenue plus change in short term deferred revenue)</v>
          </cell>
          <cell r="C143" t="str">
            <v>ST_BILLINGS</v>
          </cell>
          <cell r="D143" t="str">
            <v>USD</v>
          </cell>
          <cell r="F143">
            <v>5937</v>
          </cell>
          <cell r="G143">
            <v>2323</v>
          </cell>
          <cell r="H143">
            <v>2690</v>
          </cell>
          <cell r="I143">
            <v>2750</v>
          </cell>
          <cell r="J143">
            <v>2815</v>
          </cell>
          <cell r="K143">
            <v>9231</v>
          </cell>
          <cell r="L143">
            <v>2639</v>
          </cell>
          <cell r="M143">
            <v>3198</v>
          </cell>
          <cell r="N143">
            <v>3948</v>
          </cell>
          <cell r="O143">
            <v>4033</v>
          </cell>
          <cell r="P143">
            <v>12216</v>
          </cell>
          <cell r="Q143">
            <v>4150</v>
          </cell>
          <cell r="R143">
            <v>4610</v>
          </cell>
          <cell r="S143">
            <v>4952</v>
          </cell>
          <cell r="T143">
            <v>5465</v>
          </cell>
          <cell r="U143">
            <v>15954</v>
          </cell>
          <cell r="V143">
            <v>5655</v>
          </cell>
          <cell r="W143">
            <v>6709</v>
          </cell>
          <cell r="X143">
            <v>6327</v>
          </cell>
          <cell r="Y143">
            <v>7115</v>
          </cell>
          <cell r="Z143">
            <v>21098</v>
          </cell>
          <cell r="AA143">
            <v>6380</v>
          </cell>
          <cell r="AB143">
            <v>6819</v>
          </cell>
          <cell r="AC143">
            <v>5920</v>
          </cell>
          <cell r="AD143">
            <v>6381</v>
          </cell>
          <cell r="AE143">
            <v>23533</v>
          </cell>
          <cell r="AF143">
            <v>6403</v>
          </cell>
          <cell r="AG143">
            <v>7415</v>
          </cell>
          <cell r="AH143">
            <v>7249</v>
          </cell>
          <cell r="AI143">
            <v>7375</v>
          </cell>
          <cell r="AJ143">
            <v>26094</v>
          </cell>
          <cell r="AK143">
            <v>7209</v>
          </cell>
          <cell r="AL143">
            <v>7917</v>
          </cell>
          <cell r="AM143">
            <v>7508</v>
          </cell>
          <cell r="AN143">
            <v>7559</v>
          </cell>
          <cell r="AO143">
            <v>28671</v>
          </cell>
          <cell r="AP143">
            <v>8738</v>
          </cell>
          <cell r="AQ143">
            <v>10051</v>
          </cell>
          <cell r="AR143">
            <v>9065</v>
          </cell>
          <cell r="AS143">
            <v>9370</v>
          </cell>
          <cell r="AT143">
            <v>33492</v>
          </cell>
          <cell r="AU143">
            <v>7994</v>
          </cell>
          <cell r="AV143">
            <v>9572</v>
          </cell>
          <cell r="AW143">
            <v>8326</v>
          </cell>
          <cell r="AX143">
            <v>8581</v>
          </cell>
          <cell r="AY143">
            <v>36124</v>
          </cell>
          <cell r="AZ143">
            <v>8718</v>
          </cell>
          <cell r="BA143">
            <v>10856</v>
          </cell>
          <cell r="BB143">
            <v>9946</v>
          </cell>
          <cell r="BC143">
            <v>11149</v>
          </cell>
          <cell r="BD143">
            <v>40776</v>
          </cell>
          <cell r="BE143">
            <v>10740</v>
          </cell>
          <cell r="BF143">
            <v>12688</v>
          </cell>
          <cell r="BG143">
            <v>11840</v>
          </cell>
          <cell r="BH143">
            <v>13440</v>
          </cell>
          <cell r="BI143">
            <v>45918</v>
          </cell>
          <cell r="BJ143">
            <v>11973</v>
          </cell>
          <cell r="BK143">
            <v>15447</v>
          </cell>
          <cell r="BL143">
            <v>15734</v>
          </cell>
          <cell r="BM143">
            <v>15012</v>
          </cell>
          <cell r="BN143">
            <v>52763</v>
          </cell>
          <cell r="BO143">
            <v>15239</v>
          </cell>
          <cell r="BP143">
            <v>16565</v>
          </cell>
          <cell r="BQ143">
            <v>16288</v>
          </cell>
          <cell r="BR143">
            <v>18455</v>
          </cell>
          <cell r="BS143">
            <v>63038</v>
          </cell>
          <cell r="BT143">
            <v>17089</v>
          </cell>
          <cell r="BU143">
            <v>17940</v>
          </cell>
          <cell r="BV143">
            <v>14187</v>
          </cell>
          <cell r="BW143">
            <v>12705</v>
          </cell>
          <cell r="BX143">
            <v>58043</v>
          </cell>
          <cell r="BY143">
            <v>14672</v>
          </cell>
          <cell r="BZ143">
            <v>18851</v>
          </cell>
          <cell r="CA143">
            <v>14750</v>
          </cell>
          <cell r="CB143">
            <v>16688</v>
          </cell>
          <cell r="CC143">
            <v>63133</v>
          </cell>
          <cell r="CD143">
            <v>15395</v>
          </cell>
          <cell r="CE143">
            <v>20655</v>
          </cell>
          <cell r="CF143">
            <v>17144</v>
          </cell>
          <cell r="CG143">
            <v>19437</v>
          </cell>
          <cell r="CH143">
            <v>72013</v>
          </cell>
          <cell r="CI143">
            <v>18950</v>
          </cell>
          <cell r="CJ143">
            <v>22807</v>
          </cell>
          <cell r="CK143">
            <v>19449</v>
          </cell>
          <cell r="CL143">
            <v>20990</v>
          </cell>
          <cell r="CM143">
            <v>76654</v>
          </cell>
          <cell r="CN143">
            <v>19958</v>
          </cell>
          <cell r="CO143">
            <v>25825</v>
          </cell>
          <cell r="CP143">
            <v>23071</v>
          </cell>
          <cell r="CQ143">
            <v>21882</v>
          </cell>
          <cell r="CR143">
            <v>79835</v>
          </cell>
          <cell r="CS143">
            <v>18819</v>
          </cell>
          <cell r="CT143">
            <v>23781</v>
          </cell>
          <cell r="CU143">
            <v>21562</v>
          </cell>
          <cell r="CV143">
            <v>25893</v>
          </cell>
          <cell r="CW143">
            <v>89344</v>
          </cell>
          <cell r="CX143">
            <v>25329</v>
          </cell>
          <cell r="CY143">
            <v>28046</v>
          </cell>
          <cell r="CZ143">
            <v>22291</v>
          </cell>
          <cell r="DA143">
            <v>22253</v>
          </cell>
          <cell r="DB143">
            <v>93653</v>
          </cell>
          <cell r="DC143">
            <v>21269</v>
          </cell>
          <cell r="DD143">
            <v>25533</v>
          </cell>
          <cell r="DE143">
            <v>23175</v>
          </cell>
          <cell r="DF143">
            <v>24859</v>
          </cell>
          <cell r="DG143">
            <v>89565</v>
          </cell>
          <cell r="DH143">
            <v>18978</v>
          </cell>
          <cell r="DI143">
            <v>22963</v>
          </cell>
          <cell r="DJ143">
            <v>20472</v>
          </cell>
          <cell r="DK143">
            <v>22150</v>
          </cell>
          <cell r="DL143">
            <v>93116</v>
          </cell>
          <cell r="DM143">
            <v>28663</v>
          </cell>
          <cell r="DN143">
            <v>32161</v>
          </cell>
          <cell r="DO143">
            <v>30053</v>
          </cell>
          <cell r="DP143">
            <v>34977</v>
          </cell>
          <cell r="DQ143">
            <v>115252</v>
          </cell>
          <cell r="DR143">
            <v>33010</v>
          </cell>
          <cell r="DS143">
            <v>35447</v>
          </cell>
          <cell r="DT143">
            <v>33452</v>
          </cell>
          <cell r="DU143">
            <v>37488</v>
          </cell>
          <cell r="DV143">
            <v>129614</v>
          </cell>
          <cell r="DW143">
            <v>36255</v>
          </cell>
          <cell r="DX143">
            <v>39964</v>
          </cell>
          <cell r="DY143">
            <v>37782</v>
          </cell>
          <cell r="DZ143">
            <v>41357</v>
          </cell>
          <cell r="EA143">
            <v>146339</v>
          </cell>
          <cell r="EB143">
            <v>40726</v>
          </cell>
          <cell r="EC143">
            <v>46135</v>
          </cell>
          <cell r="ED143">
            <v>44777</v>
          </cell>
          <cell r="EE143">
            <v>51677</v>
          </cell>
          <cell r="EF143">
            <v>173613</v>
          </cell>
          <cell r="EG143">
            <v>50306</v>
          </cell>
          <cell r="EH143">
            <v>55327</v>
          </cell>
          <cell r="EI143">
            <v>53304</v>
          </cell>
          <cell r="EJ143">
            <v>55878</v>
          </cell>
          <cell r="EK143">
            <v>202283</v>
          </cell>
          <cell r="EL143">
            <v>52997</v>
          </cell>
          <cell r="EM143">
            <v>55728</v>
          </cell>
          <cell r="EN143">
            <v>55733</v>
          </cell>
          <cell r="EO143">
            <v>61552</v>
          </cell>
          <cell r="EP143">
            <v>217278</v>
          </cell>
          <cell r="EQ143">
            <v>61606</v>
          </cell>
          <cell r="ER143">
            <v>68106</v>
          </cell>
          <cell r="ES143">
            <v>66843</v>
          </cell>
          <cell r="ET143">
            <v>69485.826469703723</v>
          </cell>
          <cell r="EU143">
            <v>249880.82646970372</v>
          </cell>
          <cell r="EV143">
            <v>70335.438369105264</v>
          </cell>
          <cell r="EW143">
            <v>74253.739938190003</v>
          </cell>
          <cell r="EX143">
            <v>74125.751979936977</v>
          </cell>
          <cell r="EY143">
            <v>78974.268066571196</v>
          </cell>
          <cell r="EZ143">
            <v>285864.54835380346</v>
          </cell>
          <cell r="FA143">
            <v>79610.646176820082</v>
          </cell>
          <cell r="FB143">
            <v>84066.981483144744</v>
          </cell>
          <cell r="FC143">
            <v>84075.916447055686</v>
          </cell>
          <cell r="FD143">
            <v>89746.011216392944</v>
          </cell>
          <cell r="FE143">
            <v>324610.68682341342</v>
          </cell>
        </row>
        <row r="144">
          <cell r="B144" t="str">
            <v>Remaining performance obligations</v>
          </cell>
          <cell r="C144" t="str">
            <v>REM_PERF_OBLIG</v>
          </cell>
          <cell r="D144" t="str">
            <v>USD</v>
          </cell>
          <cell r="DM144">
            <v>59000</v>
          </cell>
          <cell r="DN144">
            <v>61000</v>
          </cell>
          <cell r="DO144">
            <v>61000</v>
          </cell>
          <cell r="DP144">
            <v>73000</v>
          </cell>
          <cell r="DQ144">
            <v>73000</v>
          </cell>
          <cell r="DR144">
            <v>71000</v>
          </cell>
          <cell r="DS144">
            <v>72000</v>
          </cell>
          <cell r="DT144">
            <v>75000</v>
          </cell>
          <cell r="DU144">
            <v>91000</v>
          </cell>
          <cell r="DV144">
            <v>91000</v>
          </cell>
          <cell r="DW144">
            <v>89000</v>
          </cell>
          <cell r="DX144">
            <v>93000</v>
          </cell>
          <cell r="DY144">
            <v>93000</v>
          </cell>
          <cell r="DZ144">
            <v>111000</v>
          </cell>
          <cell r="EA144">
            <v>111000</v>
          </cell>
          <cell r="EB144">
            <v>111000</v>
          </cell>
          <cell r="EC144">
            <v>117000</v>
          </cell>
          <cell r="ED144">
            <v>121000</v>
          </cell>
          <cell r="EE144">
            <v>146000</v>
          </cell>
          <cell r="EF144">
            <v>146000</v>
          </cell>
          <cell r="EG144">
            <v>142000</v>
          </cell>
          <cell r="EH144">
            <v>152000</v>
          </cell>
          <cell r="EI144">
            <v>160000</v>
          </cell>
          <cell r="EJ144">
            <v>193000</v>
          </cell>
          <cell r="EK144">
            <v>193000</v>
          </cell>
          <cell r="EL144">
            <v>183000</v>
          </cell>
          <cell r="EM144">
            <v>193000</v>
          </cell>
          <cell r="EN144">
            <v>201000</v>
          </cell>
          <cell r="EO144">
            <v>229000</v>
          </cell>
          <cell r="EP144">
            <v>229000</v>
          </cell>
          <cell r="EQ144">
            <v>216000</v>
          </cell>
          <cell r="ER144">
            <v>229000</v>
          </cell>
          <cell r="ES144">
            <v>242000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  <cell r="EX144">
            <v>0</v>
          </cell>
          <cell r="EY144">
            <v>0</v>
          </cell>
          <cell r="EZ144">
            <v>0</v>
          </cell>
          <cell r="FA144">
            <v>0</v>
          </cell>
          <cell r="FB144">
            <v>0</v>
          </cell>
          <cell r="FC144">
            <v>0</v>
          </cell>
          <cell r="FD144">
            <v>0</v>
          </cell>
          <cell r="FE144">
            <v>0</v>
          </cell>
        </row>
        <row r="145">
          <cell r="B145" t="str">
            <v>Current remaining performance obligations</v>
          </cell>
          <cell r="C145" t="str">
            <v>CUR_REM_PERF_OBLIG</v>
          </cell>
          <cell r="D145" t="str">
            <v>USD</v>
          </cell>
          <cell r="DM145">
            <v>35400</v>
          </cell>
          <cell r="DN145">
            <v>36600</v>
          </cell>
          <cell r="DO145">
            <v>36600</v>
          </cell>
          <cell r="DP145">
            <v>43800</v>
          </cell>
          <cell r="DQ145">
            <v>43800</v>
          </cell>
          <cell r="DR145">
            <v>42600</v>
          </cell>
          <cell r="DS145">
            <v>43200</v>
          </cell>
          <cell r="DT145">
            <v>41250</v>
          </cell>
          <cell r="DU145">
            <v>45500</v>
          </cell>
          <cell r="DV145">
            <v>45500</v>
          </cell>
          <cell r="DW145">
            <v>44500</v>
          </cell>
          <cell r="DX145">
            <v>46500</v>
          </cell>
          <cell r="DY145">
            <v>46500</v>
          </cell>
          <cell r="DZ145">
            <v>55500</v>
          </cell>
          <cell r="EA145">
            <v>55500</v>
          </cell>
          <cell r="EB145">
            <v>55500</v>
          </cell>
          <cell r="EC145">
            <v>58500</v>
          </cell>
          <cell r="ED145">
            <v>60500</v>
          </cell>
          <cell r="EE145">
            <v>73000</v>
          </cell>
          <cell r="EF145">
            <v>73000</v>
          </cell>
          <cell r="EG145">
            <v>71000</v>
          </cell>
          <cell r="EH145">
            <v>68400</v>
          </cell>
          <cell r="EI145">
            <v>80000</v>
          </cell>
          <cell r="EJ145">
            <v>86850</v>
          </cell>
          <cell r="EK145">
            <v>86850</v>
          </cell>
          <cell r="EL145">
            <v>82350</v>
          </cell>
          <cell r="EM145">
            <v>86850</v>
          </cell>
          <cell r="EN145">
            <v>90450</v>
          </cell>
          <cell r="EO145">
            <v>103050</v>
          </cell>
          <cell r="EP145">
            <v>103050</v>
          </cell>
          <cell r="EQ145">
            <v>97200</v>
          </cell>
          <cell r="ER145">
            <v>103050</v>
          </cell>
          <cell r="ES145">
            <v>108900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  <cell r="EX145">
            <v>0</v>
          </cell>
          <cell r="EY145">
            <v>0</v>
          </cell>
          <cell r="EZ145">
            <v>0</v>
          </cell>
          <cell r="FA145">
            <v>0</v>
          </cell>
          <cell r="FB145">
            <v>0</v>
          </cell>
          <cell r="FC145">
            <v>0</v>
          </cell>
          <cell r="FD145">
            <v>0</v>
          </cell>
          <cell r="FE145">
            <v>0</v>
          </cell>
        </row>
        <row r="146">
          <cell r="B146" t="str">
            <v>Segment revenue name 1</v>
          </cell>
          <cell r="C146" t="str">
            <v>SEGMENT1_REV_NAME</v>
          </cell>
          <cell r="E146" t="str">
            <v>Recurring Revenue</v>
          </cell>
        </row>
        <row r="147">
          <cell r="B147" t="str">
            <v>Segment revenue value 1</v>
          </cell>
          <cell r="C147" t="str">
            <v>SEGMENT1_REV_VALUE</v>
          </cell>
          <cell r="D147" t="str">
            <v>USD</v>
          </cell>
        </row>
        <row r="148">
          <cell r="B148" t="str">
            <v>Segment revenue name 2</v>
          </cell>
          <cell r="C148" t="str">
            <v>SEGMENT2_REV_NAME</v>
          </cell>
          <cell r="E148" t="str">
            <v>Cloud Revenue</v>
          </cell>
        </row>
        <row r="149">
          <cell r="B149" t="str">
            <v>Segment revenue value 2</v>
          </cell>
          <cell r="C149" t="str">
            <v>SEGMENT2_REV_VALUE</v>
          </cell>
          <cell r="D149" t="str">
            <v>USD</v>
          </cell>
        </row>
        <row r="150">
          <cell r="B150" t="str">
            <v>Segment revenue name 3</v>
          </cell>
          <cell r="C150" t="str">
            <v>SEGMENT3_REV_NAME</v>
          </cell>
          <cell r="E150" t="str">
            <v>ARR</v>
          </cell>
        </row>
        <row r="151">
          <cell r="B151" t="str">
            <v>Segment revenue value 3</v>
          </cell>
          <cell r="C151" t="str">
            <v>SEGMENT3_REV_VALUE</v>
          </cell>
          <cell r="D151" t="str">
            <v>USD</v>
          </cell>
          <cell r="F151">
            <v>5937</v>
          </cell>
          <cell r="G151">
            <v>8064</v>
          </cell>
          <cell r="H151">
            <v>8780</v>
          </cell>
          <cell r="I151">
            <v>8820</v>
          </cell>
          <cell r="J151">
            <v>9020</v>
          </cell>
          <cell r="K151">
            <v>8671</v>
          </cell>
          <cell r="L151">
            <v>9180</v>
          </cell>
          <cell r="M151">
            <v>10720</v>
          </cell>
          <cell r="N151">
            <v>12832</v>
          </cell>
          <cell r="O151">
            <v>12700</v>
          </cell>
          <cell r="P151">
            <v>11358</v>
          </cell>
          <cell r="Q151">
            <v>12520</v>
          </cell>
          <cell r="R151">
            <v>14340</v>
          </cell>
          <cell r="S151">
            <v>15096</v>
          </cell>
          <cell r="T151">
            <v>15980</v>
          </cell>
          <cell r="U151">
            <v>14484</v>
          </cell>
          <cell r="V151">
            <v>16772</v>
          </cell>
          <cell r="W151">
            <v>20780</v>
          </cell>
          <cell r="X151">
            <v>18380</v>
          </cell>
          <cell r="Y151">
            <v>23056</v>
          </cell>
          <cell r="Z151">
            <v>19747</v>
          </cell>
          <cell r="AA151">
            <v>21536</v>
          </cell>
          <cell r="AB151">
            <v>24448</v>
          </cell>
          <cell r="AC151">
            <v>22624</v>
          </cell>
          <cell r="AD151">
            <v>23216</v>
          </cell>
          <cell r="AE151">
            <v>22956</v>
          </cell>
          <cell r="AF151">
            <v>23064</v>
          </cell>
          <cell r="AG151">
            <v>26200</v>
          </cell>
          <cell r="AH151">
            <v>25612</v>
          </cell>
          <cell r="AI151">
            <v>26308</v>
          </cell>
          <cell r="AJ151">
            <v>25296</v>
          </cell>
          <cell r="AK151">
            <v>24504</v>
          </cell>
          <cell r="AL151">
            <v>30964</v>
          </cell>
          <cell r="AM151">
            <v>28980</v>
          </cell>
          <cell r="AN151">
            <v>29012</v>
          </cell>
          <cell r="AO151">
            <v>28365</v>
          </cell>
          <cell r="AP151">
            <v>30984</v>
          </cell>
          <cell r="AQ151">
            <v>34164</v>
          </cell>
          <cell r="AR151">
            <v>31340</v>
          </cell>
          <cell r="AS151">
            <v>32260</v>
          </cell>
          <cell r="AT151">
            <v>32187</v>
          </cell>
          <cell r="AU151">
            <v>32860</v>
          </cell>
          <cell r="AV151">
            <v>40612</v>
          </cell>
          <cell r="AW151">
            <v>36700</v>
          </cell>
          <cell r="AX151">
            <v>37168</v>
          </cell>
          <cell r="AY151">
            <v>36835</v>
          </cell>
          <cell r="AZ151">
            <v>36756</v>
          </cell>
          <cell r="BA151">
            <v>43272</v>
          </cell>
          <cell r="BB151">
            <v>38480</v>
          </cell>
          <cell r="BC151">
            <v>40644</v>
          </cell>
          <cell r="BD151">
            <v>39788</v>
          </cell>
          <cell r="BE151">
            <v>38964</v>
          </cell>
          <cell r="BF151">
            <v>47348</v>
          </cell>
          <cell r="BG151">
            <v>43600</v>
          </cell>
          <cell r="BH151">
            <v>47216</v>
          </cell>
          <cell r="BI151">
            <v>44282</v>
          </cell>
          <cell r="BJ151">
            <v>43244</v>
          </cell>
          <cell r="BK151">
            <v>50168</v>
          </cell>
          <cell r="BL151">
            <v>57592</v>
          </cell>
          <cell r="BM151">
            <v>53484</v>
          </cell>
          <cell r="BN151">
            <v>51122</v>
          </cell>
          <cell r="BO151">
            <v>55048</v>
          </cell>
          <cell r="BP151">
            <v>65468</v>
          </cell>
          <cell r="BQ151">
            <v>57816</v>
          </cell>
          <cell r="BR151">
            <v>63348</v>
          </cell>
          <cell r="BS151">
            <v>60420</v>
          </cell>
          <cell r="BT151">
            <v>60244</v>
          </cell>
          <cell r="BU151">
            <v>66516</v>
          </cell>
          <cell r="BV151">
            <v>54592</v>
          </cell>
          <cell r="BW151">
            <v>52396</v>
          </cell>
          <cell r="BX151">
            <v>58437</v>
          </cell>
          <cell r="BY151">
            <v>51680</v>
          </cell>
          <cell r="BZ151">
            <v>76088</v>
          </cell>
          <cell r="CA151">
            <v>58012</v>
          </cell>
          <cell r="CB151">
            <v>64156</v>
          </cell>
          <cell r="CC151">
            <v>62484</v>
          </cell>
          <cell r="CD151">
            <v>64780</v>
          </cell>
          <cell r="CE151">
            <v>79812</v>
          </cell>
          <cell r="CF151">
            <v>65712</v>
          </cell>
          <cell r="CG151">
            <v>69468</v>
          </cell>
          <cell r="CH151">
            <v>69943</v>
          </cell>
          <cell r="CI151">
            <v>69488</v>
          </cell>
          <cell r="CJ151">
            <v>83540</v>
          </cell>
          <cell r="CK151">
            <v>69628</v>
          </cell>
          <cell r="CL151">
            <v>72236</v>
          </cell>
          <cell r="CM151">
            <v>73723</v>
          </cell>
          <cell r="CN151">
            <v>64032</v>
          </cell>
          <cell r="CO151">
            <v>85824</v>
          </cell>
          <cell r="CP151">
            <v>81956</v>
          </cell>
          <cell r="CQ151">
            <v>79584</v>
          </cell>
          <cell r="CR151">
            <v>77849</v>
          </cell>
          <cell r="CS151">
            <v>74116</v>
          </cell>
          <cell r="CT151">
            <v>98076</v>
          </cell>
          <cell r="CU151">
            <v>81612</v>
          </cell>
          <cell r="CV151">
            <v>93528</v>
          </cell>
          <cell r="CW151">
            <v>86833</v>
          </cell>
          <cell r="CX151">
            <v>92804</v>
          </cell>
          <cell r="CY151">
            <v>105880</v>
          </cell>
          <cell r="CZ151">
            <v>86916</v>
          </cell>
          <cell r="DA151">
            <v>88720</v>
          </cell>
          <cell r="DB151">
            <v>93580</v>
          </cell>
          <cell r="DC151">
            <v>81516</v>
          </cell>
          <cell r="DD151">
            <v>95184</v>
          </cell>
          <cell r="DE151">
            <v>82124</v>
          </cell>
          <cell r="DF151">
            <v>82456</v>
          </cell>
          <cell r="DG151">
            <v>85320</v>
          </cell>
          <cell r="DH151">
            <v>87712</v>
          </cell>
          <cell r="DI151">
            <v>103304</v>
          </cell>
          <cell r="DJ151">
            <v>92848</v>
          </cell>
          <cell r="DK151">
            <v>102420</v>
          </cell>
          <cell r="DL151">
            <v>96571</v>
          </cell>
          <cell r="DM151">
            <v>98152</v>
          </cell>
          <cell r="DN151">
            <v>115672</v>
          </cell>
          <cell r="DO151">
            <v>107276</v>
          </cell>
          <cell r="DP151">
            <v>120340</v>
          </cell>
          <cell r="DQ151">
            <v>110360</v>
          </cell>
          <cell r="DR151">
            <v>116336</v>
          </cell>
          <cell r="DS151">
            <v>129884</v>
          </cell>
          <cell r="DT151">
            <v>122284</v>
          </cell>
          <cell r="DU151">
            <v>134868</v>
          </cell>
          <cell r="DV151">
            <v>125843</v>
          </cell>
          <cell r="DW151">
            <v>132220</v>
          </cell>
          <cell r="DX151">
            <v>147624</v>
          </cell>
          <cell r="DY151">
            <v>140084</v>
          </cell>
          <cell r="DZ151">
            <v>152132</v>
          </cell>
          <cell r="EA151">
            <v>143015</v>
          </cell>
          <cell r="EB151">
            <v>148616</v>
          </cell>
          <cell r="EC151">
            <v>172304</v>
          </cell>
          <cell r="ED151">
            <v>166824</v>
          </cell>
          <cell r="EE151">
            <v>184608</v>
          </cell>
          <cell r="EF151">
            <v>168088</v>
          </cell>
          <cell r="EG151">
            <v>181268</v>
          </cell>
          <cell r="EH151">
            <v>206912</v>
          </cell>
          <cell r="EI151">
            <v>197440</v>
          </cell>
          <cell r="EJ151">
            <v>207460</v>
          </cell>
          <cell r="EK151">
            <v>198270</v>
          </cell>
          <cell r="EL151">
            <v>200488</v>
          </cell>
          <cell r="EM151">
            <v>210988</v>
          </cell>
          <cell r="EN151">
            <v>211428</v>
          </cell>
          <cell r="EO151">
            <v>224756</v>
          </cell>
          <cell r="EP151">
            <v>211915</v>
          </cell>
          <cell r="EQ151">
            <v>226068</v>
          </cell>
          <cell r="ER151">
            <v>248080</v>
          </cell>
          <cell r="ES151">
            <v>247432</v>
          </cell>
          <cell r="ET151">
            <v>259618.94587881485</v>
          </cell>
          <cell r="EU151">
            <v>245299.73646970373</v>
          </cell>
          <cell r="EV151">
            <v>264627.31347642106</v>
          </cell>
          <cell r="EW151">
            <v>281510.47975276003</v>
          </cell>
          <cell r="EX151">
            <v>281423.32791974791</v>
          </cell>
          <cell r="EY151">
            <v>295923.51986628474</v>
          </cell>
          <cell r="EZ151">
            <v>280871.16025380342</v>
          </cell>
          <cell r="FA151">
            <v>300223.8451072803</v>
          </cell>
          <cell r="FB151">
            <v>319368.04273257894</v>
          </cell>
          <cell r="FC151">
            <v>319866.81458822271</v>
          </cell>
          <cell r="FD151">
            <v>337212.87274957175</v>
          </cell>
          <cell r="FE151">
            <v>319167.89379441342</v>
          </cell>
        </row>
        <row r="152">
          <cell r="B152" t="str">
            <v>Segment revenue name 4</v>
          </cell>
          <cell r="C152" t="str">
            <v>SEGMENT4_REV_NAME</v>
          </cell>
          <cell r="E152" t="str">
            <v>GAAP Recurring COGS</v>
          </cell>
        </row>
        <row r="153">
          <cell r="B153" t="str">
            <v>Segment revenue value 4</v>
          </cell>
          <cell r="C153" t="str">
            <v>SEGMENT4_REV_VALUE</v>
          </cell>
          <cell r="D153" t="str">
            <v>USD</v>
          </cell>
        </row>
        <row r="154">
          <cell r="B154" t="str">
            <v>Segment revenue name 5</v>
          </cell>
          <cell r="C154" t="str">
            <v>SEGMENT5_REV_NAME</v>
          </cell>
          <cell r="E154" t="str">
            <v>GAAP S&amp;M</v>
          </cell>
          <cell r="F154">
            <v>1895</v>
          </cell>
          <cell r="G154">
            <v>621</v>
          </cell>
          <cell r="H154">
            <v>690</v>
          </cell>
          <cell r="I154">
            <v>685</v>
          </cell>
          <cell r="J154">
            <v>661</v>
          </cell>
          <cell r="K154">
            <v>2657</v>
          </cell>
          <cell r="L154">
            <v>625</v>
          </cell>
          <cell r="M154">
            <v>737</v>
          </cell>
          <cell r="N154">
            <v>750</v>
          </cell>
          <cell r="O154">
            <v>744</v>
          </cell>
          <cell r="P154">
            <v>2856</v>
          </cell>
          <cell r="Q154">
            <v>788</v>
          </cell>
          <cell r="R154">
            <v>876</v>
          </cell>
          <cell r="S154">
            <v>829</v>
          </cell>
          <cell r="T154">
            <v>919</v>
          </cell>
          <cell r="U154">
            <v>3412</v>
          </cell>
          <cell r="V154">
            <v>688</v>
          </cell>
          <cell r="W154">
            <v>794</v>
          </cell>
          <cell r="X154">
            <v>849</v>
          </cell>
          <cell r="Y154">
            <v>900</v>
          </cell>
          <cell r="Z154">
            <v>3231</v>
          </cell>
          <cell r="AA154">
            <v>903</v>
          </cell>
          <cell r="AB154">
            <v>1027</v>
          </cell>
          <cell r="AC154">
            <v>1042</v>
          </cell>
          <cell r="AD154">
            <v>1169</v>
          </cell>
          <cell r="AE154">
            <v>4141</v>
          </cell>
          <cell r="AF154">
            <v>1038</v>
          </cell>
          <cell r="AG154">
            <v>1290</v>
          </cell>
          <cell r="AH154">
            <v>1198</v>
          </cell>
          <cell r="AI154">
            <v>1359</v>
          </cell>
          <cell r="AJ154">
            <v>4885</v>
          </cell>
          <cell r="AK154">
            <v>1145</v>
          </cell>
          <cell r="AL154">
            <v>1479</v>
          </cell>
          <cell r="AM154">
            <v>1240</v>
          </cell>
          <cell r="AN154">
            <v>1543</v>
          </cell>
          <cell r="AO154">
            <v>5407</v>
          </cell>
          <cell r="AP154">
            <v>1415</v>
          </cell>
          <cell r="AQ154">
            <v>2159</v>
          </cell>
          <cell r="AR154">
            <v>1700</v>
          </cell>
          <cell r="AS154">
            <v>2288</v>
          </cell>
          <cell r="AT154">
            <v>7562</v>
          </cell>
          <cell r="AU154">
            <v>1505</v>
          </cell>
          <cell r="AV154">
            <v>2467</v>
          </cell>
          <cell r="AW154">
            <v>1928</v>
          </cell>
          <cell r="AX154">
            <v>2409</v>
          </cell>
          <cell r="AY154">
            <v>8309</v>
          </cell>
          <cell r="AZ154">
            <v>1664</v>
          </cell>
          <cell r="BA154">
            <v>2122</v>
          </cell>
          <cell r="BB154">
            <v>2070</v>
          </cell>
          <cell r="BC154">
            <v>2821</v>
          </cell>
          <cell r="BD154">
            <v>8677</v>
          </cell>
          <cell r="BE154">
            <v>1945</v>
          </cell>
          <cell r="BF154">
            <v>2689</v>
          </cell>
          <cell r="BG154">
            <v>2362</v>
          </cell>
          <cell r="BH154">
            <v>2822</v>
          </cell>
          <cell r="BI154">
            <v>9818</v>
          </cell>
          <cell r="BJ154">
            <v>2191</v>
          </cell>
          <cell r="BK154">
            <v>2999</v>
          </cell>
          <cell r="BL154">
            <v>2936</v>
          </cell>
          <cell r="BM154">
            <v>3329</v>
          </cell>
          <cell r="BN154">
            <v>11455</v>
          </cell>
          <cell r="BO154">
            <v>2614</v>
          </cell>
          <cell r="BP154">
            <v>3392</v>
          </cell>
          <cell r="BQ154">
            <v>3155</v>
          </cell>
          <cell r="BR154">
            <v>3878</v>
          </cell>
          <cell r="BS154">
            <v>13039</v>
          </cell>
          <cell r="BT154">
            <v>3044</v>
          </cell>
          <cell r="BU154">
            <v>3662</v>
          </cell>
          <cell r="BV154">
            <v>2981</v>
          </cell>
          <cell r="BW154">
            <v>3192</v>
          </cell>
          <cell r="BX154">
            <v>12879</v>
          </cell>
          <cell r="BY154">
            <v>2790</v>
          </cell>
          <cell r="BZ154">
            <v>3619</v>
          </cell>
          <cell r="CA154">
            <v>3203</v>
          </cell>
          <cell r="CB154">
            <v>3602</v>
          </cell>
          <cell r="CC154">
            <v>13214</v>
          </cell>
          <cell r="CD154">
            <v>2806</v>
          </cell>
          <cell r="CE154">
            <v>3825</v>
          </cell>
          <cell r="CF154">
            <v>3393</v>
          </cell>
          <cell r="CG154">
            <v>3916</v>
          </cell>
          <cell r="CH154">
            <v>13940</v>
          </cell>
          <cell r="CI154">
            <v>2900</v>
          </cell>
          <cell r="CJ154">
            <v>3762</v>
          </cell>
          <cell r="CK154">
            <v>3414</v>
          </cell>
          <cell r="CL154">
            <v>3781</v>
          </cell>
          <cell r="CM154">
            <v>13857</v>
          </cell>
          <cell r="CN154">
            <v>2945</v>
          </cell>
          <cell r="CO154">
            <v>4309</v>
          </cell>
          <cell r="CP154">
            <v>3794</v>
          </cell>
          <cell r="CQ154">
            <v>4228</v>
          </cell>
          <cell r="CR154">
            <v>15276</v>
          </cell>
          <cell r="CS154">
            <v>3304</v>
          </cell>
          <cell r="CT154">
            <v>4283</v>
          </cell>
          <cell r="CU154">
            <v>3542</v>
          </cell>
          <cell r="CV154">
            <v>4682</v>
          </cell>
          <cell r="CW154">
            <v>15811</v>
          </cell>
          <cell r="CX154">
            <v>3728</v>
          </cell>
          <cell r="CY154">
            <v>4315</v>
          </cell>
          <cell r="CZ154">
            <v>3709</v>
          </cell>
          <cell r="DA154">
            <v>3961</v>
          </cell>
          <cell r="DB154">
            <v>15713</v>
          </cell>
          <cell r="DC154">
            <v>3333</v>
          </cell>
          <cell r="DD154">
            <v>3960</v>
          </cell>
          <cell r="DE154">
            <v>3406</v>
          </cell>
          <cell r="DF154">
            <v>3998</v>
          </cell>
          <cell r="DG154">
            <v>14697</v>
          </cell>
          <cell r="DH154">
            <v>3218</v>
          </cell>
          <cell r="DI154">
            <v>4079</v>
          </cell>
          <cell r="DJ154">
            <v>3872</v>
          </cell>
          <cell r="DK154">
            <v>4292</v>
          </cell>
          <cell r="DL154">
            <v>15461</v>
          </cell>
          <cell r="DM154">
            <v>3812</v>
          </cell>
          <cell r="DN154">
            <v>4562</v>
          </cell>
          <cell r="DO154">
            <v>4335</v>
          </cell>
          <cell r="DP154">
            <v>4760</v>
          </cell>
          <cell r="DQ154">
            <v>17469</v>
          </cell>
          <cell r="DR154">
            <v>4098</v>
          </cell>
          <cell r="DS154">
            <v>4588</v>
          </cell>
          <cell r="DT154">
            <v>4565</v>
          </cell>
          <cell r="DU154">
            <v>4962</v>
          </cell>
          <cell r="DV154">
            <v>18213</v>
          </cell>
          <cell r="DW154">
            <v>4337</v>
          </cell>
          <cell r="DX154">
            <v>4933</v>
          </cell>
          <cell r="DY154">
            <v>4911</v>
          </cell>
          <cell r="DZ154">
            <v>5417</v>
          </cell>
          <cell r="EA154">
            <v>19598</v>
          </cell>
          <cell r="EB154">
            <v>4231</v>
          </cell>
          <cell r="EC154">
            <v>4947</v>
          </cell>
          <cell r="ED154">
            <v>5082</v>
          </cell>
          <cell r="EE154">
            <v>5857</v>
          </cell>
          <cell r="EF154">
            <v>20117</v>
          </cell>
          <cell r="EG154">
            <v>4547</v>
          </cell>
          <cell r="EH154">
            <v>5379</v>
          </cell>
          <cell r="EI154">
            <v>5595</v>
          </cell>
          <cell r="EJ154">
            <v>6304</v>
          </cell>
          <cell r="EK154">
            <v>21825</v>
          </cell>
          <cell r="EL154">
            <v>5126</v>
          </cell>
          <cell r="EM154">
            <v>5679</v>
          </cell>
          <cell r="EN154">
            <v>5750</v>
          </cell>
          <cell r="EO154">
            <v>6204</v>
          </cell>
          <cell r="EP154">
            <v>22759</v>
          </cell>
          <cell r="EQ154">
            <v>5187</v>
          </cell>
          <cell r="ER154">
            <v>6246</v>
          </cell>
          <cell r="ES154">
            <v>6207</v>
          </cell>
          <cell r="ET154">
            <v>6490.4736469703712</v>
          </cell>
          <cell r="EU154">
            <v>24130.473646970371</v>
          </cell>
          <cell r="EV154">
            <v>6483.3691801723162</v>
          </cell>
          <cell r="EW154">
            <v>6897.0067539426209</v>
          </cell>
          <cell r="EX154">
            <v>6894.871534033824</v>
          </cell>
          <cell r="EY154">
            <v>7250.126236723976</v>
          </cell>
          <cell r="EZ154">
            <v>27525.373704872738</v>
          </cell>
          <cell r="FA154">
            <v>7055.2603600210869</v>
          </cell>
          <cell r="FB154">
            <v>7505.1490042156047</v>
          </cell>
          <cell r="FC154">
            <v>7516.8701428232334</v>
          </cell>
          <cell r="FD154">
            <v>7924.5025096149357</v>
          </cell>
          <cell r="FE154">
            <v>30001.782016674861</v>
          </cell>
        </row>
        <row r="155">
          <cell r="B155" t="str">
            <v>Segment revenue value 5</v>
          </cell>
          <cell r="C155" t="str">
            <v>SEGMENT5_REV_VALUE</v>
          </cell>
          <cell r="D155" t="str">
            <v>USD</v>
          </cell>
        </row>
        <row r="156">
          <cell r="B156" t="str">
            <v>Segment revenue name 6</v>
          </cell>
          <cell r="C156" t="str">
            <v>SEGMENT6_REV_NAME</v>
          </cell>
          <cell r="E156" t="str">
            <v>Recurring GM</v>
          </cell>
        </row>
        <row r="157">
          <cell r="B157" t="str">
            <v>Segment revenue value 6</v>
          </cell>
          <cell r="C157" t="str">
            <v>SEGMENT6_REV_VALUE</v>
          </cell>
          <cell r="D157" t="str">
            <v>USD</v>
          </cell>
        </row>
        <row r="158">
          <cell r="B158" t="str">
            <v>Segment revenue name 7</v>
          </cell>
          <cell r="C158" t="str">
            <v>SEGMENT7_REV_NAME</v>
          </cell>
          <cell r="E158" t="str">
            <v>Cloud GM</v>
          </cell>
        </row>
        <row r="159">
          <cell r="B159" t="str">
            <v>Segment revenue value 7</v>
          </cell>
          <cell r="C159" t="str">
            <v>SEGMENT7_REV_VALUE</v>
          </cell>
          <cell r="D159" t="str">
            <v>USD</v>
          </cell>
        </row>
        <row r="160">
          <cell r="B160" t="str">
            <v>Segment revenue name 8</v>
          </cell>
          <cell r="C160" t="str">
            <v>SEGMENT8_REV_NAME</v>
          </cell>
          <cell r="E160" t="str">
            <v>CAC</v>
          </cell>
        </row>
        <row r="161">
          <cell r="B161" t="str">
            <v>Segment revenue value 8</v>
          </cell>
          <cell r="C161" t="str">
            <v>SEGMENT8_REV_VALUE</v>
          </cell>
          <cell r="D161" t="str">
            <v>USD</v>
          </cell>
        </row>
        <row r="162">
          <cell r="B162" t="str">
            <v>Segment revenue name 9</v>
          </cell>
          <cell r="C162" t="str">
            <v>SEGMENT9_REV_NAME</v>
          </cell>
          <cell r="E162" t="str">
            <v>NRR</v>
          </cell>
        </row>
        <row r="163">
          <cell r="B163" t="str">
            <v>Segment revenue value 9</v>
          </cell>
          <cell r="C163" t="str">
            <v>SEGMENT9_REV_VALUE</v>
          </cell>
          <cell r="D163" t="str">
            <v>USD</v>
          </cell>
        </row>
        <row r="164">
          <cell r="B164" t="str">
            <v>Segment revenue name 10</v>
          </cell>
          <cell r="C164" t="str">
            <v>SEGMENT10_REV_NAME</v>
          </cell>
          <cell r="E164" t="str">
            <v>Customers</v>
          </cell>
        </row>
        <row r="165">
          <cell r="B165" t="str">
            <v>Segment revenue value 10</v>
          </cell>
          <cell r="C165" t="str">
            <v>SEGMENT10_REV_VALUE</v>
          </cell>
          <cell r="D165" t="str">
            <v>USD</v>
          </cell>
        </row>
        <row r="166">
          <cell r="A166" t="str">
            <v>Geographical Breakdown</v>
          </cell>
        </row>
        <row r="167">
          <cell r="B167" t="str">
            <v>Sales - % Canada</v>
          </cell>
          <cell r="C167" t="str">
            <v>SALES_CANADA</v>
          </cell>
        </row>
        <row r="168">
          <cell r="B168" t="str">
            <v>Sales - % United States</v>
          </cell>
          <cell r="C168" t="str">
            <v>SALES_US</v>
          </cell>
          <cell r="DH168">
            <v>0.51144655235315584</v>
          </cell>
          <cell r="DI168">
            <v>0.54654224424998066</v>
          </cell>
          <cell r="DJ168">
            <v>0.52981216612097193</v>
          </cell>
          <cell r="DK168">
            <v>0.52528802968170274</v>
          </cell>
          <cell r="DL168">
            <v>0.52891654844622094</v>
          </cell>
          <cell r="DM168">
            <v>0.51051430434428235</v>
          </cell>
          <cell r="DN168">
            <v>0.52251193028563525</v>
          </cell>
          <cell r="DO168">
            <v>0.50177113240613003</v>
          </cell>
          <cell r="DP168">
            <v>0.49300315771979392</v>
          </cell>
          <cell r="DQ168">
            <v>0.50675969554186295</v>
          </cell>
          <cell r="DR168">
            <v>0.5068078668683812</v>
          </cell>
          <cell r="DS168">
            <v>0.51698438606756802</v>
          </cell>
          <cell r="DT168">
            <v>0.50282947891792873</v>
          </cell>
          <cell r="DU168">
            <v>0.51309428478215735</v>
          </cell>
          <cell r="DV168">
            <v>0.51015153802754221</v>
          </cell>
          <cell r="DW168">
            <v>0.52246256239600664</v>
          </cell>
          <cell r="DX168">
            <v>0.51885872215899853</v>
          </cell>
          <cell r="DY168">
            <v>0.49764427058050886</v>
          </cell>
          <cell r="DZ168">
            <v>0.50779586148870715</v>
          </cell>
          <cell r="EA168">
            <v>0.51155473202111668</v>
          </cell>
          <cell r="EB168">
            <v>0.51205792108521286</v>
          </cell>
          <cell r="EC168">
            <v>0.50691800538582965</v>
          </cell>
          <cell r="ED168">
            <v>0.48849086462379515</v>
          </cell>
          <cell r="EE168">
            <v>0.49226469058762351</v>
          </cell>
          <cell r="EF168">
            <v>0.4994586169149493</v>
          </cell>
          <cell r="EG168">
            <v>0.50378445175099851</v>
          </cell>
          <cell r="EH168">
            <v>0.5115798020414476</v>
          </cell>
          <cell r="EI168">
            <v>0.50184359805510537</v>
          </cell>
          <cell r="EJ168">
            <v>0.50427070278607922</v>
          </cell>
          <cell r="EK168">
            <v>0.50546224844908461</v>
          </cell>
          <cell r="EL168">
            <v>0.51608076293843019</v>
          </cell>
          <cell r="EM168">
            <v>0.51142245056590896</v>
          </cell>
          <cell r="EN168">
            <v>0.4920256541233895</v>
          </cell>
          <cell r="EO168">
            <v>0.49643168591717241</v>
          </cell>
          <cell r="EP168">
            <v>0.50371139371917983</v>
          </cell>
          <cell r="EQ168">
            <v>0.50979351345612822</v>
          </cell>
          <cell r="ER168">
            <v>0.52071912286359234</v>
          </cell>
          <cell r="ES168">
            <v>0.5082123573345404</v>
          </cell>
          <cell r="ET168">
            <v>0</v>
          </cell>
          <cell r="EU168">
            <v>0</v>
          </cell>
          <cell r="EV168">
            <v>0</v>
          </cell>
          <cell r="EW168">
            <v>0</v>
          </cell>
          <cell r="EX168">
            <v>0</v>
          </cell>
          <cell r="EY168">
            <v>0</v>
          </cell>
          <cell r="EZ168">
            <v>0</v>
          </cell>
          <cell r="FA168">
            <v>0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</row>
        <row r="169">
          <cell r="B169" t="str">
            <v>Sales - % Other North Americas</v>
          </cell>
          <cell r="C169" t="str">
            <v>SALES_OTH_NO_AMER</v>
          </cell>
        </row>
        <row r="170">
          <cell r="B170" t="str">
            <v>Sales - % Argentina</v>
          </cell>
          <cell r="C170" t="str">
            <v>SALES_ARGENTINA</v>
          </cell>
        </row>
        <row r="171">
          <cell r="B171" t="str">
            <v>Sales - % Brazil</v>
          </cell>
          <cell r="C171" t="str">
            <v>SALES_BRAZIL</v>
          </cell>
        </row>
        <row r="172">
          <cell r="B172" t="str">
            <v>Sales - % Chile</v>
          </cell>
          <cell r="C172" t="str">
            <v>SALES_CHILE</v>
          </cell>
        </row>
        <row r="173">
          <cell r="B173" t="str">
            <v>Sales - % Colombia</v>
          </cell>
          <cell r="C173" t="str">
            <v>SALES_COLOMBIA</v>
          </cell>
        </row>
        <row r="174">
          <cell r="B174" t="str">
            <v>Sales - % Mexico</v>
          </cell>
          <cell r="C174" t="str">
            <v>SALES_MEXICO</v>
          </cell>
        </row>
        <row r="175">
          <cell r="B175" t="str">
            <v>Sales - % Venezuela</v>
          </cell>
          <cell r="C175" t="str">
            <v>SALES_VENEZUELA</v>
          </cell>
        </row>
        <row r="176">
          <cell r="B176" t="str">
            <v>Sales - % Other Latin Americas</v>
          </cell>
          <cell r="C176" t="str">
            <v>SALES_OTH_LATAM</v>
          </cell>
        </row>
        <row r="177">
          <cell r="B177" t="str">
            <v>Sales - % Austria</v>
          </cell>
          <cell r="C177" t="str">
            <v>SALES_AUSTRIA</v>
          </cell>
        </row>
        <row r="178">
          <cell r="B178" t="str">
            <v>Sales - % Belgium</v>
          </cell>
          <cell r="C178" t="str">
            <v>SALES_BEL</v>
          </cell>
        </row>
        <row r="179">
          <cell r="B179" t="str">
            <v>Sales - % France</v>
          </cell>
          <cell r="C179" t="str">
            <v>SALES_FRA</v>
          </cell>
        </row>
        <row r="180">
          <cell r="B180" t="str">
            <v>Sales - % Germany</v>
          </cell>
          <cell r="C180" t="str">
            <v>SALES_GER</v>
          </cell>
        </row>
        <row r="181">
          <cell r="B181" t="str">
            <v>Sales - % Greece</v>
          </cell>
          <cell r="C181" t="str">
            <v>SALES_GRE</v>
          </cell>
        </row>
        <row r="182">
          <cell r="B182" t="str">
            <v>Sales - % Ireland</v>
          </cell>
          <cell r="C182" t="str">
            <v>SALES_IRE</v>
          </cell>
        </row>
        <row r="183">
          <cell r="B183" t="str">
            <v>Sales - % Italy</v>
          </cell>
          <cell r="C183" t="str">
            <v>SALES_ITA</v>
          </cell>
        </row>
        <row r="184">
          <cell r="B184" t="str">
            <v>Sales - % Netherlands</v>
          </cell>
          <cell r="C184" t="str">
            <v>SALES_NETH</v>
          </cell>
        </row>
        <row r="185">
          <cell r="B185" t="str">
            <v>Sales - % Norway</v>
          </cell>
          <cell r="C185" t="str">
            <v>SALES_NOR</v>
          </cell>
        </row>
        <row r="186">
          <cell r="B186" t="str">
            <v>Sales - % Portugal</v>
          </cell>
          <cell r="C186" t="str">
            <v>SALES_POR</v>
          </cell>
        </row>
        <row r="187">
          <cell r="B187" t="str">
            <v>Sales - % Spain</v>
          </cell>
          <cell r="C187" t="str">
            <v>SALES_SPA</v>
          </cell>
        </row>
        <row r="188">
          <cell r="B188" t="str">
            <v>Sales - % Sweden</v>
          </cell>
          <cell r="C188" t="str">
            <v>SALES_SWE</v>
          </cell>
        </row>
        <row r="189">
          <cell r="B189" t="str">
            <v>Sales - % Switzerland</v>
          </cell>
          <cell r="C189" t="str">
            <v>SALES_SWIT</v>
          </cell>
        </row>
        <row r="190">
          <cell r="B190" t="str">
            <v>Sales - % UK</v>
          </cell>
          <cell r="C190" t="str">
            <v>SALES_UK</v>
          </cell>
        </row>
        <row r="191">
          <cell r="B191" t="str">
            <v>Sales - % Other Western Europe</v>
          </cell>
          <cell r="C191" t="str">
            <v>SALES_OTH_WEST_EURO</v>
          </cell>
        </row>
        <row r="192">
          <cell r="B192" t="str">
            <v>Sales - % Poland</v>
          </cell>
          <cell r="C192" t="str">
            <v>SALES_POLAND</v>
          </cell>
        </row>
        <row r="193">
          <cell r="B193" t="str">
            <v>Sales - % Russia</v>
          </cell>
          <cell r="C193" t="str">
            <v>SALES_RUSSIA</v>
          </cell>
        </row>
        <row r="194">
          <cell r="B194" t="str">
            <v>Sales - % Turkey</v>
          </cell>
          <cell r="C194" t="str">
            <v>SALES_TURKEY</v>
          </cell>
        </row>
        <row r="195">
          <cell r="B195" t="str">
            <v>Sales - % Other CEE</v>
          </cell>
          <cell r="C195" t="str">
            <v>SALES_OTH_CEE</v>
          </cell>
        </row>
        <row r="196">
          <cell r="B196" t="str">
            <v>Sales - % Saudi Arabia</v>
          </cell>
          <cell r="C196" t="str">
            <v>SALES_SAUDI_ARABIA</v>
          </cell>
        </row>
        <row r="197">
          <cell r="B197" t="str">
            <v>Sales - % United Arab Emirates</v>
          </cell>
          <cell r="C197" t="str">
            <v>SALES_UAE</v>
          </cell>
        </row>
        <row r="198">
          <cell r="B198" t="str">
            <v>Sales - % Other Middle East</v>
          </cell>
          <cell r="C198" t="str">
            <v>SALES_OTH_ME</v>
          </cell>
        </row>
        <row r="199">
          <cell r="B199" t="str">
            <v>Sales - % Nigeria</v>
          </cell>
          <cell r="C199" t="str">
            <v>SALES_NIGERIA</v>
          </cell>
        </row>
        <row r="200">
          <cell r="B200" t="str">
            <v>Sales - % South Africa</v>
          </cell>
          <cell r="C200" t="str">
            <v>SALES_SO_AFRICA</v>
          </cell>
        </row>
        <row r="201">
          <cell r="B201" t="str">
            <v>Sales - % Other Africa</v>
          </cell>
          <cell r="C201" t="str">
            <v>SALES_OTH_AFRICA</v>
          </cell>
        </row>
        <row r="202">
          <cell r="B202" t="str">
            <v>Sales - % Hong Kong</v>
          </cell>
          <cell r="C202" t="str">
            <v>SALES_HONG_KONG</v>
          </cell>
        </row>
        <row r="203">
          <cell r="B203" t="str">
            <v>Sales - % Japan</v>
          </cell>
          <cell r="C203" t="str">
            <v>SALES_JAPAN</v>
          </cell>
        </row>
        <row r="204">
          <cell r="B204" t="str">
            <v>Sales - % Singapore</v>
          </cell>
          <cell r="C204" t="str">
            <v>SALES_SINGAPORE</v>
          </cell>
        </row>
        <row r="205">
          <cell r="B205" t="str">
            <v>Sales - % South Korea</v>
          </cell>
          <cell r="C205" t="str">
            <v>SALES_SK</v>
          </cell>
        </row>
        <row r="206">
          <cell r="B206" t="str">
            <v>Sales - % Taiwan</v>
          </cell>
          <cell r="C206" t="str">
            <v>SALES_TAIWAN</v>
          </cell>
        </row>
        <row r="207">
          <cell r="B207" t="str">
            <v>Sales - % Other Developed Asia</v>
          </cell>
          <cell r="C207" t="str">
            <v>SALES_OTH_DEV_ASIA</v>
          </cell>
        </row>
        <row r="208">
          <cell r="B208" t="str">
            <v>Sales - % China</v>
          </cell>
          <cell r="C208" t="str">
            <v>SALES_CHINA</v>
          </cell>
        </row>
        <row r="209">
          <cell r="B209" t="str">
            <v>Sales - % India</v>
          </cell>
          <cell r="C209" t="str">
            <v>SALES_INDIA</v>
          </cell>
        </row>
        <row r="210">
          <cell r="B210" t="str">
            <v>Sales - % Indonesia</v>
          </cell>
          <cell r="C210" t="str">
            <v>SALES_INDONESIA</v>
          </cell>
        </row>
        <row r="211">
          <cell r="B211" t="str">
            <v>Sales - % Thailand</v>
          </cell>
          <cell r="C211" t="str">
            <v>SALES_THAILAND</v>
          </cell>
        </row>
        <row r="212">
          <cell r="B212" t="str">
            <v>Sales - % Other Emerging Asia</v>
          </cell>
          <cell r="C212" t="str">
            <v>SALES_OTH_EMERG_ASIA</v>
          </cell>
        </row>
        <row r="213">
          <cell r="B213" t="str">
            <v>Sales - % Australia</v>
          </cell>
          <cell r="C213" t="str">
            <v>SALES_AUSTRA</v>
          </cell>
        </row>
        <row r="214">
          <cell r="B214" t="str">
            <v>Sales - % New Zealand</v>
          </cell>
          <cell r="C214" t="str">
            <v>SALES_NZ</v>
          </cell>
        </row>
        <row r="215">
          <cell r="B215" t="str">
            <v>Sales - % Others</v>
          </cell>
          <cell r="C215" t="str">
            <v>SALES_OTHER</v>
          </cell>
          <cell r="DH215">
            <v>0.48855344764684422</v>
          </cell>
          <cell r="DI215">
            <v>0.45345775575001934</v>
          </cell>
          <cell r="DJ215">
            <v>0.47018783387902807</v>
          </cell>
          <cell r="DK215">
            <v>0.47471197031829721</v>
          </cell>
          <cell r="DL215">
            <v>0.47108345155377906</v>
          </cell>
          <cell r="DM215">
            <v>0.48948569565571765</v>
          </cell>
          <cell r="DN215">
            <v>0.47748806971436475</v>
          </cell>
          <cell r="DO215">
            <v>0.49822886759387003</v>
          </cell>
          <cell r="DP215">
            <v>0.50699684228020603</v>
          </cell>
          <cell r="DQ215">
            <v>0.49324030445813699</v>
          </cell>
          <cell r="DR215">
            <v>0.49319213313161875</v>
          </cell>
          <cell r="DS215">
            <v>0.48301561393243203</v>
          </cell>
          <cell r="DT215">
            <v>0.49717052108207127</v>
          </cell>
          <cell r="DU215">
            <v>0.48690571521784265</v>
          </cell>
          <cell r="DV215">
            <v>0.48984846197245774</v>
          </cell>
          <cell r="DW215">
            <v>0.47753743760399336</v>
          </cell>
          <cell r="DX215">
            <v>0.48114127784100147</v>
          </cell>
          <cell r="DY215">
            <v>0.50235572941949114</v>
          </cell>
          <cell r="DZ215">
            <v>0.4922041385112928</v>
          </cell>
          <cell r="EA215">
            <v>0.48844526797888332</v>
          </cell>
          <cell r="EB215">
            <v>0.48794207891478708</v>
          </cell>
          <cell r="EC215">
            <v>0.49308199461417029</v>
          </cell>
          <cell r="ED215">
            <v>0.5115091353762049</v>
          </cell>
          <cell r="EE215">
            <v>0.50773530941237655</v>
          </cell>
          <cell r="EF215">
            <v>0.5005413830850507</v>
          </cell>
          <cell r="EG215">
            <v>0.49621554824900149</v>
          </cell>
          <cell r="EH215">
            <v>0.4884201979585524</v>
          </cell>
          <cell r="EI215">
            <v>0.49815640194489463</v>
          </cell>
          <cell r="EJ215">
            <v>0.49572929721392078</v>
          </cell>
          <cell r="EK215">
            <v>0.49453775155091539</v>
          </cell>
          <cell r="EL215">
            <v>0.48391923706156975</v>
          </cell>
          <cell r="EM215">
            <v>0.48857754943409104</v>
          </cell>
          <cell r="EN215">
            <v>0.5079743458766105</v>
          </cell>
          <cell r="EO215">
            <v>0.50356831408282765</v>
          </cell>
          <cell r="EP215">
            <v>0.49628860628082017</v>
          </cell>
          <cell r="EQ215">
            <v>0.49020648654387178</v>
          </cell>
          <cell r="ER215">
            <v>0.4792808771364076</v>
          </cell>
          <cell r="ES215">
            <v>0.4917876426654596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</row>
        <row r="216">
          <cell r="B216" t="str">
            <v>% of CoGS from U.S. (GS estimate)</v>
          </cell>
          <cell r="C216" t="str">
            <v>COGS_PCT_US</v>
          </cell>
          <cell r="F216">
            <v>0.55000000000000004</v>
          </cell>
          <cell r="G216">
            <v>0.55000000000000004</v>
          </cell>
          <cell r="H216">
            <v>0.55000000000000004</v>
          </cell>
          <cell r="I216">
            <v>0.55000000000000004</v>
          </cell>
          <cell r="J216">
            <v>0.55000000000000004</v>
          </cell>
          <cell r="K216">
            <v>0.55000000000000004</v>
          </cell>
          <cell r="L216">
            <v>0.55000000000000004</v>
          </cell>
          <cell r="M216">
            <v>0.55000000000000004</v>
          </cell>
          <cell r="N216">
            <v>0.55000000000000004</v>
          </cell>
          <cell r="O216">
            <v>0.55000000000000004</v>
          </cell>
          <cell r="P216">
            <v>0.55000000000000004</v>
          </cell>
          <cell r="Q216">
            <v>0.55000000000000004</v>
          </cell>
          <cell r="R216">
            <v>0.55000000000000004</v>
          </cell>
          <cell r="S216">
            <v>0.55000000000000004</v>
          </cell>
          <cell r="T216">
            <v>0.55000000000000004</v>
          </cell>
          <cell r="U216">
            <v>0.55000000000000004</v>
          </cell>
          <cell r="V216">
            <v>0.55000000000000004</v>
          </cell>
          <cell r="W216">
            <v>0.55000000000000004</v>
          </cell>
          <cell r="X216">
            <v>0.55000000000000004</v>
          </cell>
          <cell r="Y216">
            <v>0.55000000000000004</v>
          </cell>
          <cell r="Z216">
            <v>0.55000000000000004</v>
          </cell>
          <cell r="AA216">
            <v>0.55000000000000004</v>
          </cell>
          <cell r="AB216">
            <v>0.55000000000000004</v>
          </cell>
          <cell r="AC216">
            <v>0.55000000000000004</v>
          </cell>
          <cell r="AD216">
            <v>0.55000000000000004</v>
          </cell>
          <cell r="AE216">
            <v>0.55000000000000004</v>
          </cell>
          <cell r="AF216">
            <v>0.55000000000000004</v>
          </cell>
          <cell r="AG216">
            <v>0.55000000000000004</v>
          </cell>
          <cell r="AH216">
            <v>0.55000000000000004</v>
          </cell>
          <cell r="AI216">
            <v>0.55000000000000004</v>
          </cell>
          <cell r="AJ216">
            <v>0.55000000000000004</v>
          </cell>
          <cell r="AK216">
            <v>0.55000000000000004</v>
          </cell>
          <cell r="AL216">
            <v>0.55000000000000004</v>
          </cell>
          <cell r="AM216">
            <v>0.55000000000000004</v>
          </cell>
          <cell r="AN216">
            <v>0.55000000000000004</v>
          </cell>
          <cell r="AO216">
            <v>0.55000000000000004</v>
          </cell>
          <cell r="AP216">
            <v>0.55000000000000004</v>
          </cell>
          <cell r="AQ216">
            <v>0.55000000000000004</v>
          </cell>
          <cell r="AR216">
            <v>0.55000000000000004</v>
          </cell>
          <cell r="AS216">
            <v>0.55000000000000004</v>
          </cell>
          <cell r="AT216">
            <v>0.55000000000000004</v>
          </cell>
          <cell r="AU216">
            <v>0.55000000000000004</v>
          </cell>
          <cell r="AV216">
            <v>0.55000000000000004</v>
          </cell>
          <cell r="AW216">
            <v>0.55000000000000004</v>
          </cell>
          <cell r="AX216">
            <v>0.55000000000000004</v>
          </cell>
          <cell r="AY216">
            <v>0.55000000000000004</v>
          </cell>
          <cell r="AZ216">
            <v>0.55000000000000004</v>
          </cell>
          <cell r="BA216">
            <v>0.55000000000000004</v>
          </cell>
          <cell r="BB216">
            <v>0.55000000000000004</v>
          </cell>
          <cell r="BC216">
            <v>0.55000000000000004</v>
          </cell>
          <cell r="BD216">
            <v>0.55000000000000004</v>
          </cell>
          <cell r="BE216">
            <v>0.55000000000000004</v>
          </cell>
          <cell r="BF216">
            <v>0.55000000000000004</v>
          </cell>
          <cell r="BG216">
            <v>0.55000000000000004</v>
          </cell>
          <cell r="BH216">
            <v>0.55000000000000004</v>
          </cell>
          <cell r="BI216">
            <v>0.55000000000000004</v>
          </cell>
          <cell r="BJ216">
            <v>0.55000000000000004</v>
          </cell>
          <cell r="BK216">
            <v>0.55000000000000004</v>
          </cell>
          <cell r="BL216">
            <v>0.55000000000000004</v>
          </cell>
          <cell r="BM216">
            <v>0.55000000000000004</v>
          </cell>
          <cell r="BN216">
            <v>0.55000000000000004</v>
          </cell>
          <cell r="BO216">
            <v>0.55000000000000004</v>
          </cell>
          <cell r="BP216">
            <v>0.55000000000000004</v>
          </cell>
          <cell r="BQ216">
            <v>0.55000000000000004</v>
          </cell>
          <cell r="BR216">
            <v>0.55000000000000004</v>
          </cell>
          <cell r="BS216">
            <v>0.55000000000000004</v>
          </cell>
          <cell r="BT216">
            <v>0.55000000000000004</v>
          </cell>
          <cell r="BU216">
            <v>0.55000000000000004</v>
          </cell>
          <cell r="BV216">
            <v>0.55000000000000004</v>
          </cell>
          <cell r="BW216">
            <v>0.55000000000000004</v>
          </cell>
          <cell r="BX216">
            <v>0.55000000000000004</v>
          </cell>
          <cell r="BY216">
            <v>0.55000000000000004</v>
          </cell>
          <cell r="BZ216">
            <v>0.55000000000000004</v>
          </cell>
          <cell r="CA216">
            <v>0.55000000000000004</v>
          </cell>
          <cell r="CB216">
            <v>0.55000000000000004</v>
          </cell>
          <cell r="CC216">
            <v>0.55000000000000004</v>
          </cell>
          <cell r="CD216">
            <v>0.55000000000000004</v>
          </cell>
          <cell r="CE216">
            <v>0.55000000000000004</v>
          </cell>
          <cell r="CF216">
            <v>0.55000000000000004</v>
          </cell>
          <cell r="CG216">
            <v>0.55000000000000004</v>
          </cell>
          <cell r="CH216">
            <v>0.55000000000000004</v>
          </cell>
          <cell r="CI216">
            <v>0.55000000000000004</v>
          </cell>
          <cell r="CJ216">
            <v>0.55000000000000004</v>
          </cell>
          <cell r="CK216">
            <v>0.55000000000000004</v>
          </cell>
          <cell r="CL216">
            <v>0.55000000000000004</v>
          </cell>
          <cell r="CM216">
            <v>0.55000000000000004</v>
          </cell>
          <cell r="CN216">
            <v>0.55000000000000004</v>
          </cell>
          <cell r="CO216">
            <v>0.55000000000000004</v>
          </cell>
          <cell r="CP216">
            <v>0.55000000000000004</v>
          </cell>
          <cell r="CQ216">
            <v>0.55000000000000004</v>
          </cell>
          <cell r="CR216">
            <v>0.55000000000000004</v>
          </cell>
          <cell r="CS216">
            <v>0.55000000000000004</v>
          </cell>
          <cell r="CT216">
            <v>0.55000000000000004</v>
          </cell>
          <cell r="CU216">
            <v>0.55000000000000004</v>
          </cell>
          <cell r="CV216">
            <v>0.55000000000000004</v>
          </cell>
          <cell r="CW216">
            <v>0.55000000000000004</v>
          </cell>
          <cell r="CX216">
            <v>0.55000000000000004</v>
          </cell>
          <cell r="CY216">
            <v>0.55000000000000004</v>
          </cell>
          <cell r="CZ216">
            <v>0.55000000000000004</v>
          </cell>
          <cell r="DA216">
            <v>0.55000000000000004</v>
          </cell>
          <cell r="DB216">
            <v>0.55000000000000004</v>
          </cell>
          <cell r="DC216">
            <v>0.55000000000000004</v>
          </cell>
          <cell r="DD216">
            <v>0.55000000000000004</v>
          </cell>
          <cell r="DE216">
            <v>0.55000000000000004</v>
          </cell>
          <cell r="DF216">
            <v>0.55000000000000004</v>
          </cell>
          <cell r="DG216">
            <v>0.55000000000000004</v>
          </cell>
          <cell r="DH216">
            <v>0.55000000000000004</v>
          </cell>
          <cell r="DI216">
            <v>0.55000000000000004</v>
          </cell>
          <cell r="DJ216">
            <v>0.55000000000000004</v>
          </cell>
          <cell r="DK216">
            <v>0.55000000000000004</v>
          </cell>
          <cell r="DL216">
            <v>0.55000000000000004</v>
          </cell>
          <cell r="DM216">
            <v>0.55000000000000004</v>
          </cell>
          <cell r="DN216">
            <v>0.55000000000000004</v>
          </cell>
          <cell r="DO216">
            <v>0.55000000000000004</v>
          </cell>
          <cell r="DP216">
            <v>0.55000000000000004</v>
          </cell>
          <cell r="DQ216">
            <v>0.55000000000000004</v>
          </cell>
          <cell r="DR216">
            <v>0.55000000000000004</v>
          </cell>
          <cell r="DS216">
            <v>0.55000000000000004</v>
          </cell>
          <cell r="DT216">
            <v>0.55000000000000004</v>
          </cell>
          <cell r="DU216">
            <v>0.55000000000000004</v>
          </cell>
          <cell r="DV216">
            <v>0.55000000000000004</v>
          </cell>
          <cell r="DW216">
            <v>0.55000000000000004</v>
          </cell>
          <cell r="DX216">
            <v>0.55000000000000004</v>
          </cell>
          <cell r="DY216">
            <v>0.55000000000000004</v>
          </cell>
          <cell r="DZ216">
            <v>0.55000000000000004</v>
          </cell>
          <cell r="EA216">
            <v>0.55000000000000004</v>
          </cell>
          <cell r="EB216">
            <v>0.55000000000000004</v>
          </cell>
          <cell r="EC216">
            <v>0.55000000000000004</v>
          </cell>
          <cell r="ED216">
            <v>0.55000000000000004</v>
          </cell>
          <cell r="EE216">
            <v>0.55000000000000004</v>
          </cell>
          <cell r="EF216">
            <v>0.55000000000000004</v>
          </cell>
          <cell r="EG216">
            <v>0.55000000000000004</v>
          </cell>
          <cell r="EH216">
            <v>0.55000000000000004</v>
          </cell>
          <cell r="EI216">
            <v>0.55000000000000004</v>
          </cell>
          <cell r="EJ216">
            <v>0.55000000000000004</v>
          </cell>
          <cell r="EK216">
            <v>0.55000000000000004</v>
          </cell>
          <cell r="EL216">
            <v>0.55000000000000004</v>
          </cell>
          <cell r="EM216">
            <v>0.55000000000000004</v>
          </cell>
          <cell r="EN216">
            <v>0.55000000000000004</v>
          </cell>
          <cell r="EO216">
            <v>0.55000000000000004</v>
          </cell>
          <cell r="EP216">
            <v>0.55000000000000004</v>
          </cell>
          <cell r="EQ216">
            <v>0.55000000000000004</v>
          </cell>
          <cell r="ER216">
            <v>0.55000000000000004</v>
          </cell>
          <cell r="ES216">
            <v>0.55000000000000004</v>
          </cell>
          <cell r="ET216">
            <v>0.55000000000000004</v>
          </cell>
          <cell r="EU216">
            <v>0.55000000000000004</v>
          </cell>
          <cell r="EV216">
            <v>0.55000000000000004</v>
          </cell>
          <cell r="EW216">
            <v>0.55000000000000004</v>
          </cell>
          <cell r="EX216">
            <v>0.55000000000000004</v>
          </cell>
          <cell r="EY216">
            <v>0.55000000000000004</v>
          </cell>
          <cell r="EZ216">
            <v>0.55000000000000004</v>
          </cell>
          <cell r="FA216">
            <v>0.55000000000000004</v>
          </cell>
          <cell r="FB216">
            <v>0.55000000000000004</v>
          </cell>
          <cell r="FC216">
            <v>0.55000000000000004</v>
          </cell>
          <cell r="FD216">
            <v>0.55000000000000004</v>
          </cell>
          <cell r="FE216">
            <v>0.55000000000000004</v>
          </cell>
        </row>
        <row r="217">
          <cell r="B217" t="str">
            <v>% of CoGS from non-U.S. (GS estimate)</v>
          </cell>
          <cell r="C217" t="str">
            <v>COGS_PCT_ROW</v>
          </cell>
          <cell r="F217">
            <v>0.45</v>
          </cell>
          <cell r="G217">
            <v>0.45</v>
          </cell>
          <cell r="H217">
            <v>0.45</v>
          </cell>
          <cell r="I217">
            <v>0.45</v>
          </cell>
          <cell r="J217">
            <v>0.45</v>
          </cell>
          <cell r="K217">
            <v>0.45</v>
          </cell>
          <cell r="L217">
            <v>0.45</v>
          </cell>
          <cell r="M217">
            <v>0.45</v>
          </cell>
          <cell r="N217">
            <v>0.45</v>
          </cell>
          <cell r="O217">
            <v>0.45</v>
          </cell>
          <cell r="P217">
            <v>0.45</v>
          </cell>
          <cell r="Q217">
            <v>0.45</v>
          </cell>
          <cell r="R217">
            <v>0.45</v>
          </cell>
          <cell r="S217">
            <v>0.45</v>
          </cell>
          <cell r="T217">
            <v>0.45</v>
          </cell>
          <cell r="U217">
            <v>0.45</v>
          </cell>
          <cell r="V217">
            <v>0.45</v>
          </cell>
          <cell r="W217">
            <v>0.45</v>
          </cell>
          <cell r="X217">
            <v>0.45</v>
          </cell>
          <cell r="Y217">
            <v>0.45</v>
          </cell>
          <cell r="Z217">
            <v>0.45</v>
          </cell>
          <cell r="AA217">
            <v>0.45</v>
          </cell>
          <cell r="AB217">
            <v>0.45</v>
          </cell>
          <cell r="AC217">
            <v>0.45</v>
          </cell>
          <cell r="AD217">
            <v>0.45</v>
          </cell>
          <cell r="AE217">
            <v>0.45</v>
          </cell>
          <cell r="AF217">
            <v>0.45</v>
          </cell>
          <cell r="AG217">
            <v>0.45</v>
          </cell>
          <cell r="AH217">
            <v>0.45</v>
          </cell>
          <cell r="AI217">
            <v>0.45</v>
          </cell>
          <cell r="AJ217">
            <v>0.45</v>
          </cell>
          <cell r="AK217">
            <v>0.45</v>
          </cell>
          <cell r="AL217">
            <v>0.45</v>
          </cell>
          <cell r="AM217">
            <v>0.45</v>
          </cell>
          <cell r="AN217">
            <v>0.45</v>
          </cell>
          <cell r="AO217">
            <v>0.45</v>
          </cell>
          <cell r="AP217">
            <v>0.45</v>
          </cell>
          <cell r="AQ217">
            <v>0.45</v>
          </cell>
          <cell r="AR217">
            <v>0.45</v>
          </cell>
          <cell r="AS217">
            <v>0.45</v>
          </cell>
          <cell r="AT217">
            <v>0.45</v>
          </cell>
          <cell r="AU217">
            <v>0.45</v>
          </cell>
          <cell r="AV217">
            <v>0.45</v>
          </cell>
          <cell r="AW217">
            <v>0.45</v>
          </cell>
          <cell r="AX217">
            <v>0.45</v>
          </cell>
          <cell r="AY217">
            <v>0.45</v>
          </cell>
          <cell r="AZ217">
            <v>0.45</v>
          </cell>
          <cell r="BA217">
            <v>0.45</v>
          </cell>
          <cell r="BB217">
            <v>0.45</v>
          </cell>
          <cell r="BC217">
            <v>0.45</v>
          </cell>
          <cell r="BD217">
            <v>0.45</v>
          </cell>
          <cell r="BE217">
            <v>0.45</v>
          </cell>
          <cell r="BF217">
            <v>0.45</v>
          </cell>
          <cell r="BG217">
            <v>0.45</v>
          </cell>
          <cell r="BH217">
            <v>0.45</v>
          </cell>
          <cell r="BI217">
            <v>0.45</v>
          </cell>
          <cell r="BJ217">
            <v>0.45</v>
          </cell>
          <cell r="BK217">
            <v>0.45</v>
          </cell>
          <cell r="BL217">
            <v>0.45</v>
          </cell>
          <cell r="BM217">
            <v>0.45</v>
          </cell>
          <cell r="BN217">
            <v>0.45</v>
          </cell>
          <cell r="BO217">
            <v>0.45</v>
          </cell>
          <cell r="BP217">
            <v>0.45</v>
          </cell>
          <cell r="BQ217">
            <v>0.45</v>
          </cell>
          <cell r="BR217">
            <v>0.45</v>
          </cell>
          <cell r="BS217">
            <v>0.45</v>
          </cell>
          <cell r="BT217">
            <v>0.45</v>
          </cell>
          <cell r="BU217">
            <v>0.45</v>
          </cell>
          <cell r="BV217">
            <v>0.45</v>
          </cell>
          <cell r="BW217">
            <v>0.45</v>
          </cell>
          <cell r="BX217">
            <v>0.45</v>
          </cell>
          <cell r="BY217">
            <v>0.45</v>
          </cell>
          <cell r="BZ217">
            <v>0.45</v>
          </cell>
          <cell r="CA217">
            <v>0.45</v>
          </cell>
          <cell r="CB217">
            <v>0.45</v>
          </cell>
          <cell r="CC217">
            <v>0.45</v>
          </cell>
          <cell r="CD217">
            <v>0.45</v>
          </cell>
          <cell r="CE217">
            <v>0.45</v>
          </cell>
          <cell r="CF217">
            <v>0.45</v>
          </cell>
          <cell r="CG217">
            <v>0.45</v>
          </cell>
          <cell r="CH217">
            <v>0.45</v>
          </cell>
          <cell r="CI217">
            <v>0.45</v>
          </cell>
          <cell r="CJ217">
            <v>0.45</v>
          </cell>
          <cell r="CK217">
            <v>0.45</v>
          </cell>
          <cell r="CL217">
            <v>0.45</v>
          </cell>
          <cell r="CM217">
            <v>0.45</v>
          </cell>
          <cell r="CN217">
            <v>0.45</v>
          </cell>
          <cell r="CO217">
            <v>0.45</v>
          </cell>
          <cell r="CP217">
            <v>0.45</v>
          </cell>
          <cell r="CQ217">
            <v>0.45</v>
          </cell>
          <cell r="CR217">
            <v>0.45</v>
          </cell>
          <cell r="CS217">
            <v>0.45</v>
          </cell>
          <cell r="CT217">
            <v>0.45</v>
          </cell>
          <cell r="CU217">
            <v>0.45</v>
          </cell>
          <cell r="CV217">
            <v>0.45</v>
          </cell>
          <cell r="CW217">
            <v>0.45</v>
          </cell>
          <cell r="CX217">
            <v>0.45</v>
          </cell>
          <cell r="CY217">
            <v>0.45</v>
          </cell>
          <cell r="CZ217">
            <v>0.45</v>
          </cell>
          <cell r="DA217">
            <v>0.45</v>
          </cell>
          <cell r="DB217">
            <v>0.45</v>
          </cell>
          <cell r="DC217">
            <v>0.45</v>
          </cell>
          <cell r="DD217">
            <v>0.45</v>
          </cell>
          <cell r="DE217">
            <v>0.45</v>
          </cell>
          <cell r="DF217">
            <v>0.45</v>
          </cell>
          <cell r="DG217">
            <v>0.45</v>
          </cell>
          <cell r="DH217">
            <v>0.45</v>
          </cell>
          <cell r="DI217">
            <v>0.45</v>
          </cell>
          <cell r="DJ217">
            <v>0.45</v>
          </cell>
          <cell r="DK217">
            <v>0.45</v>
          </cell>
          <cell r="DL217">
            <v>0.45</v>
          </cell>
          <cell r="DM217">
            <v>0.45</v>
          </cell>
          <cell r="DN217">
            <v>0.45</v>
          </cell>
          <cell r="DO217">
            <v>0.45</v>
          </cell>
          <cell r="DP217">
            <v>0.45</v>
          </cell>
          <cell r="DQ217">
            <v>0.45</v>
          </cell>
          <cell r="DR217">
            <v>0.45</v>
          </cell>
          <cell r="DS217">
            <v>0.45</v>
          </cell>
          <cell r="DT217">
            <v>0.45</v>
          </cell>
          <cell r="DU217">
            <v>0.45</v>
          </cell>
          <cell r="DV217">
            <v>0.45</v>
          </cell>
          <cell r="DW217">
            <v>0.45</v>
          </cell>
          <cell r="DX217">
            <v>0.45</v>
          </cell>
          <cell r="DY217">
            <v>0.45</v>
          </cell>
          <cell r="DZ217">
            <v>0.45</v>
          </cell>
          <cell r="EA217">
            <v>0.45</v>
          </cell>
          <cell r="EB217">
            <v>0.45</v>
          </cell>
          <cell r="EC217">
            <v>0.45</v>
          </cell>
          <cell r="ED217">
            <v>0.45</v>
          </cell>
          <cell r="EE217">
            <v>0.45</v>
          </cell>
          <cell r="EF217">
            <v>0.45</v>
          </cell>
          <cell r="EG217">
            <v>0.45</v>
          </cell>
          <cell r="EH217">
            <v>0.45</v>
          </cell>
          <cell r="EI217">
            <v>0.45</v>
          </cell>
          <cell r="EJ217">
            <v>0.45</v>
          </cell>
          <cell r="EK217">
            <v>0.45</v>
          </cell>
          <cell r="EL217">
            <v>0.45</v>
          </cell>
          <cell r="EM217">
            <v>0.45</v>
          </cell>
          <cell r="EN217">
            <v>0.45</v>
          </cell>
          <cell r="EO217">
            <v>0.45</v>
          </cell>
          <cell r="EP217">
            <v>0.45</v>
          </cell>
          <cell r="EQ217">
            <v>0.45</v>
          </cell>
          <cell r="ER217">
            <v>0.45</v>
          </cell>
          <cell r="ES217">
            <v>0.45</v>
          </cell>
          <cell r="ET217">
            <v>0.45</v>
          </cell>
          <cell r="EU217">
            <v>0.45</v>
          </cell>
          <cell r="EV217">
            <v>0.45</v>
          </cell>
          <cell r="EW217">
            <v>0.45</v>
          </cell>
          <cell r="EX217">
            <v>0.45</v>
          </cell>
          <cell r="EY217">
            <v>0.45</v>
          </cell>
          <cell r="EZ217">
            <v>0.45</v>
          </cell>
          <cell r="FA217">
            <v>0.45</v>
          </cell>
          <cell r="FB217">
            <v>0.45</v>
          </cell>
          <cell r="FC217">
            <v>0.45</v>
          </cell>
          <cell r="FD217">
            <v>0.45</v>
          </cell>
          <cell r="FE217">
            <v>0.45</v>
          </cell>
        </row>
        <row r="218">
          <cell r="B218" t="str">
            <v>% of SG&amp;A from U.S. (GS estimate)</v>
          </cell>
          <cell r="C218" t="str">
            <v>SGA_PCT_US</v>
          </cell>
          <cell r="F218">
            <v>0.55000000000000004</v>
          </cell>
          <cell r="G218">
            <v>0.55000000000000004</v>
          </cell>
          <cell r="H218">
            <v>0.55000000000000004</v>
          </cell>
          <cell r="I218">
            <v>0.55000000000000004</v>
          </cell>
          <cell r="J218">
            <v>0.55000000000000004</v>
          </cell>
          <cell r="K218">
            <v>0.55000000000000004</v>
          </cell>
          <cell r="L218">
            <v>0.55000000000000004</v>
          </cell>
          <cell r="M218">
            <v>0.55000000000000004</v>
          </cell>
          <cell r="N218">
            <v>0.55000000000000004</v>
          </cell>
          <cell r="O218">
            <v>0.55000000000000004</v>
          </cell>
          <cell r="P218">
            <v>0.55000000000000004</v>
          </cell>
          <cell r="Q218">
            <v>0.55000000000000004</v>
          </cell>
          <cell r="R218">
            <v>0.55000000000000004</v>
          </cell>
          <cell r="S218">
            <v>0.55000000000000004</v>
          </cell>
          <cell r="T218">
            <v>0.55000000000000004</v>
          </cell>
          <cell r="U218">
            <v>0.55000000000000004</v>
          </cell>
          <cell r="V218">
            <v>0.55000000000000004</v>
          </cell>
          <cell r="W218">
            <v>0.55000000000000004</v>
          </cell>
          <cell r="X218">
            <v>0.55000000000000004</v>
          </cell>
          <cell r="Y218">
            <v>0.55000000000000004</v>
          </cell>
          <cell r="Z218">
            <v>0.55000000000000004</v>
          </cell>
          <cell r="AA218">
            <v>0.55000000000000004</v>
          </cell>
          <cell r="AB218">
            <v>0.55000000000000004</v>
          </cell>
          <cell r="AC218">
            <v>0.55000000000000004</v>
          </cell>
          <cell r="AD218">
            <v>0.55000000000000004</v>
          </cell>
          <cell r="AE218">
            <v>0.55000000000000004</v>
          </cell>
          <cell r="AF218">
            <v>0.55000000000000004</v>
          </cell>
          <cell r="AG218">
            <v>0.55000000000000004</v>
          </cell>
          <cell r="AH218">
            <v>0.55000000000000004</v>
          </cell>
          <cell r="AI218">
            <v>0.55000000000000004</v>
          </cell>
          <cell r="AJ218">
            <v>0.55000000000000004</v>
          </cell>
          <cell r="AK218">
            <v>0.55000000000000004</v>
          </cell>
          <cell r="AL218">
            <v>0.55000000000000004</v>
          </cell>
          <cell r="AM218">
            <v>0.55000000000000004</v>
          </cell>
          <cell r="AN218">
            <v>0.55000000000000004</v>
          </cell>
          <cell r="AO218">
            <v>0.55000000000000004</v>
          </cell>
          <cell r="AP218">
            <v>0.55000000000000004</v>
          </cell>
          <cell r="AQ218">
            <v>0.55000000000000004</v>
          </cell>
          <cell r="AR218">
            <v>0.55000000000000004</v>
          </cell>
          <cell r="AS218">
            <v>0.55000000000000004</v>
          </cell>
          <cell r="AT218">
            <v>0.55000000000000004</v>
          </cell>
          <cell r="AU218">
            <v>0.55000000000000004</v>
          </cell>
          <cell r="AV218">
            <v>0.55000000000000004</v>
          </cell>
          <cell r="AW218">
            <v>0.55000000000000004</v>
          </cell>
          <cell r="AX218">
            <v>0.55000000000000004</v>
          </cell>
          <cell r="AY218">
            <v>0.55000000000000004</v>
          </cell>
          <cell r="AZ218">
            <v>0.55000000000000004</v>
          </cell>
          <cell r="BA218">
            <v>0.55000000000000004</v>
          </cell>
          <cell r="BB218">
            <v>0.55000000000000004</v>
          </cell>
          <cell r="BC218">
            <v>0.55000000000000004</v>
          </cell>
          <cell r="BD218">
            <v>0.55000000000000004</v>
          </cell>
          <cell r="BE218">
            <v>0.55000000000000004</v>
          </cell>
          <cell r="BF218">
            <v>0.55000000000000004</v>
          </cell>
          <cell r="BG218">
            <v>0.55000000000000004</v>
          </cell>
          <cell r="BH218">
            <v>0.55000000000000004</v>
          </cell>
          <cell r="BI218">
            <v>0.55000000000000004</v>
          </cell>
          <cell r="BJ218">
            <v>0.55000000000000004</v>
          </cell>
          <cell r="BK218">
            <v>0.55000000000000004</v>
          </cell>
          <cell r="BL218">
            <v>0.55000000000000004</v>
          </cell>
          <cell r="BM218">
            <v>0.55000000000000004</v>
          </cell>
          <cell r="BN218">
            <v>0.55000000000000004</v>
          </cell>
          <cell r="BO218">
            <v>0.55000000000000004</v>
          </cell>
          <cell r="BP218">
            <v>0.55000000000000004</v>
          </cell>
          <cell r="BQ218">
            <v>0.55000000000000004</v>
          </cell>
          <cell r="BR218">
            <v>0.55000000000000004</v>
          </cell>
          <cell r="BS218">
            <v>0.55000000000000004</v>
          </cell>
          <cell r="BT218">
            <v>0.55000000000000004</v>
          </cell>
          <cell r="BU218">
            <v>0.55000000000000004</v>
          </cell>
          <cell r="BV218">
            <v>0.55000000000000004</v>
          </cell>
          <cell r="BW218">
            <v>0.55000000000000004</v>
          </cell>
          <cell r="BX218">
            <v>0.55000000000000004</v>
          </cell>
          <cell r="BY218">
            <v>0.55000000000000004</v>
          </cell>
          <cell r="BZ218">
            <v>0.55000000000000004</v>
          </cell>
          <cell r="CA218">
            <v>0.55000000000000004</v>
          </cell>
          <cell r="CB218">
            <v>0.55000000000000004</v>
          </cell>
          <cell r="CC218">
            <v>0.55000000000000004</v>
          </cell>
          <cell r="CD218">
            <v>0.55000000000000004</v>
          </cell>
          <cell r="CE218">
            <v>0.55000000000000004</v>
          </cell>
          <cell r="CF218">
            <v>0.55000000000000004</v>
          </cell>
          <cell r="CG218">
            <v>0.55000000000000004</v>
          </cell>
          <cell r="CH218">
            <v>0.55000000000000004</v>
          </cell>
          <cell r="CI218">
            <v>0.55000000000000004</v>
          </cell>
          <cell r="CJ218">
            <v>0.55000000000000004</v>
          </cell>
          <cell r="CK218">
            <v>0.55000000000000004</v>
          </cell>
          <cell r="CL218">
            <v>0.55000000000000004</v>
          </cell>
          <cell r="CM218">
            <v>0.55000000000000004</v>
          </cell>
          <cell r="CN218">
            <v>0.55000000000000004</v>
          </cell>
          <cell r="CO218">
            <v>0.55000000000000004</v>
          </cell>
          <cell r="CP218">
            <v>0.55000000000000004</v>
          </cell>
          <cell r="CQ218">
            <v>0.55000000000000004</v>
          </cell>
          <cell r="CR218">
            <v>0.55000000000000004</v>
          </cell>
          <cell r="CS218">
            <v>0.55000000000000004</v>
          </cell>
          <cell r="CT218">
            <v>0.55000000000000004</v>
          </cell>
          <cell r="CU218">
            <v>0.55000000000000004</v>
          </cell>
          <cell r="CV218">
            <v>0.55000000000000004</v>
          </cell>
          <cell r="CW218">
            <v>0.55000000000000004</v>
          </cell>
          <cell r="CX218">
            <v>0.55000000000000004</v>
          </cell>
          <cell r="CY218">
            <v>0.55000000000000004</v>
          </cell>
          <cell r="CZ218">
            <v>0.55000000000000004</v>
          </cell>
          <cell r="DA218">
            <v>0.55000000000000004</v>
          </cell>
          <cell r="DB218">
            <v>0.55000000000000004</v>
          </cell>
          <cell r="DC218">
            <v>0.55000000000000004</v>
          </cell>
          <cell r="DD218">
            <v>0.55000000000000004</v>
          </cell>
          <cell r="DE218">
            <v>0.55000000000000004</v>
          </cell>
          <cell r="DF218">
            <v>0.55000000000000004</v>
          </cell>
          <cell r="DG218">
            <v>0.55000000000000004</v>
          </cell>
          <cell r="DH218">
            <v>0.55000000000000004</v>
          </cell>
          <cell r="DI218">
            <v>0.55000000000000004</v>
          </cell>
          <cell r="DJ218">
            <v>0.55000000000000004</v>
          </cell>
          <cell r="DK218">
            <v>0.55000000000000004</v>
          </cell>
          <cell r="DL218">
            <v>0.55000000000000004</v>
          </cell>
          <cell r="DM218">
            <v>0.55000000000000004</v>
          </cell>
          <cell r="DN218">
            <v>0.55000000000000004</v>
          </cell>
          <cell r="DO218">
            <v>0.55000000000000004</v>
          </cell>
          <cell r="DP218">
            <v>0.55000000000000004</v>
          </cell>
          <cell r="DQ218">
            <v>0.55000000000000004</v>
          </cell>
          <cell r="DR218">
            <v>0.55000000000000004</v>
          </cell>
          <cell r="DS218">
            <v>0.55000000000000004</v>
          </cell>
          <cell r="DT218">
            <v>0.55000000000000004</v>
          </cell>
          <cell r="DU218">
            <v>0.55000000000000004</v>
          </cell>
          <cell r="DV218">
            <v>0.55000000000000004</v>
          </cell>
          <cell r="DW218">
            <v>0.55000000000000004</v>
          </cell>
          <cell r="DX218">
            <v>0.55000000000000004</v>
          </cell>
          <cell r="DY218">
            <v>0.55000000000000004</v>
          </cell>
          <cell r="DZ218">
            <v>0.55000000000000004</v>
          </cell>
          <cell r="EA218">
            <v>0.55000000000000004</v>
          </cell>
          <cell r="EB218">
            <v>0.55000000000000004</v>
          </cell>
          <cell r="EC218">
            <v>0.55000000000000004</v>
          </cell>
          <cell r="ED218">
            <v>0.55000000000000004</v>
          </cell>
          <cell r="EE218">
            <v>0.55000000000000004</v>
          </cell>
          <cell r="EF218">
            <v>0.55000000000000004</v>
          </cell>
          <cell r="EG218">
            <v>0.55000000000000004</v>
          </cell>
          <cell r="EH218">
            <v>0.55000000000000004</v>
          </cell>
          <cell r="EI218">
            <v>0.55000000000000004</v>
          </cell>
          <cell r="EJ218">
            <v>0.55000000000000004</v>
          </cell>
          <cell r="EK218">
            <v>0.55000000000000004</v>
          </cell>
          <cell r="EL218">
            <v>0.55000000000000004</v>
          </cell>
          <cell r="EM218">
            <v>0.55000000000000004</v>
          </cell>
          <cell r="EN218">
            <v>0.55000000000000004</v>
          </cell>
          <cell r="EO218">
            <v>0.55000000000000004</v>
          </cell>
          <cell r="EP218">
            <v>0.55000000000000004</v>
          </cell>
          <cell r="EQ218">
            <v>0.55000000000000004</v>
          </cell>
          <cell r="ER218">
            <v>0.55000000000000004</v>
          </cell>
          <cell r="ES218">
            <v>0.55000000000000004</v>
          </cell>
          <cell r="ET218">
            <v>0.55000000000000004</v>
          </cell>
          <cell r="EU218">
            <v>0.55000000000000004</v>
          </cell>
          <cell r="EV218">
            <v>0.55000000000000004</v>
          </cell>
          <cell r="EW218">
            <v>0.55000000000000004</v>
          </cell>
          <cell r="EX218">
            <v>0.55000000000000004</v>
          </cell>
          <cell r="EY218">
            <v>0.55000000000000004</v>
          </cell>
          <cell r="EZ218">
            <v>0.55000000000000004</v>
          </cell>
          <cell r="FA218">
            <v>0.55000000000000004</v>
          </cell>
          <cell r="FB218">
            <v>0.55000000000000004</v>
          </cell>
          <cell r="FC218">
            <v>0.55000000000000004</v>
          </cell>
          <cell r="FD218">
            <v>0.55000000000000004</v>
          </cell>
          <cell r="FE218">
            <v>0.55000000000000004</v>
          </cell>
        </row>
        <row r="219">
          <cell r="B219" t="str">
            <v>% of SG&amp;A from non-U.S. (GS estimate)</v>
          </cell>
          <cell r="C219" t="str">
            <v>SGA_PCT_ROW</v>
          </cell>
          <cell r="F219">
            <v>0.45</v>
          </cell>
          <cell r="G219">
            <v>0.45</v>
          </cell>
          <cell r="H219">
            <v>0.45</v>
          </cell>
          <cell r="I219">
            <v>0.45</v>
          </cell>
          <cell r="J219">
            <v>0.45</v>
          </cell>
          <cell r="K219">
            <v>0.45</v>
          </cell>
          <cell r="L219">
            <v>0.45</v>
          </cell>
          <cell r="M219">
            <v>0.45</v>
          </cell>
          <cell r="N219">
            <v>0.45</v>
          </cell>
          <cell r="O219">
            <v>0.45</v>
          </cell>
          <cell r="P219">
            <v>0.45</v>
          </cell>
          <cell r="Q219">
            <v>0.45</v>
          </cell>
          <cell r="R219">
            <v>0.45</v>
          </cell>
          <cell r="S219">
            <v>0.45</v>
          </cell>
          <cell r="T219">
            <v>0.45</v>
          </cell>
          <cell r="U219">
            <v>0.45</v>
          </cell>
          <cell r="V219">
            <v>0.45</v>
          </cell>
          <cell r="W219">
            <v>0.45</v>
          </cell>
          <cell r="X219">
            <v>0.45</v>
          </cell>
          <cell r="Y219">
            <v>0.45</v>
          </cell>
          <cell r="Z219">
            <v>0.45</v>
          </cell>
          <cell r="AA219">
            <v>0.45</v>
          </cell>
          <cell r="AB219">
            <v>0.45</v>
          </cell>
          <cell r="AC219">
            <v>0.45</v>
          </cell>
          <cell r="AD219">
            <v>0.45</v>
          </cell>
          <cell r="AE219">
            <v>0.45</v>
          </cell>
          <cell r="AF219">
            <v>0.45</v>
          </cell>
          <cell r="AG219">
            <v>0.45</v>
          </cell>
          <cell r="AH219">
            <v>0.45</v>
          </cell>
          <cell r="AI219">
            <v>0.45</v>
          </cell>
          <cell r="AJ219">
            <v>0.45</v>
          </cell>
          <cell r="AK219">
            <v>0.45</v>
          </cell>
          <cell r="AL219">
            <v>0.45</v>
          </cell>
          <cell r="AM219">
            <v>0.45</v>
          </cell>
          <cell r="AN219">
            <v>0.45</v>
          </cell>
          <cell r="AO219">
            <v>0.45</v>
          </cell>
          <cell r="AP219">
            <v>0.45</v>
          </cell>
          <cell r="AQ219">
            <v>0.45</v>
          </cell>
          <cell r="AR219">
            <v>0.45</v>
          </cell>
          <cell r="AS219">
            <v>0.45</v>
          </cell>
          <cell r="AT219">
            <v>0.45</v>
          </cell>
          <cell r="AU219">
            <v>0.45</v>
          </cell>
          <cell r="AV219">
            <v>0.45</v>
          </cell>
          <cell r="AW219">
            <v>0.45</v>
          </cell>
          <cell r="AX219">
            <v>0.45</v>
          </cell>
          <cell r="AY219">
            <v>0.45</v>
          </cell>
          <cell r="AZ219">
            <v>0.45</v>
          </cell>
          <cell r="BA219">
            <v>0.45</v>
          </cell>
          <cell r="BB219">
            <v>0.45</v>
          </cell>
          <cell r="BC219">
            <v>0.45</v>
          </cell>
          <cell r="BD219">
            <v>0.45</v>
          </cell>
          <cell r="BE219">
            <v>0.45</v>
          </cell>
          <cell r="BF219">
            <v>0.45</v>
          </cell>
          <cell r="BG219">
            <v>0.45</v>
          </cell>
          <cell r="BH219">
            <v>0.45</v>
          </cell>
          <cell r="BI219">
            <v>0.45</v>
          </cell>
          <cell r="BJ219">
            <v>0.45</v>
          </cell>
          <cell r="BK219">
            <v>0.45</v>
          </cell>
          <cell r="BL219">
            <v>0.45</v>
          </cell>
          <cell r="BM219">
            <v>0.45</v>
          </cell>
          <cell r="BN219">
            <v>0.45</v>
          </cell>
          <cell r="BO219">
            <v>0.45</v>
          </cell>
          <cell r="BP219">
            <v>0.45</v>
          </cell>
          <cell r="BQ219">
            <v>0.45</v>
          </cell>
          <cell r="BR219">
            <v>0.45</v>
          </cell>
          <cell r="BS219">
            <v>0.45</v>
          </cell>
          <cell r="BT219">
            <v>0.45</v>
          </cell>
          <cell r="BU219">
            <v>0.45</v>
          </cell>
          <cell r="BV219">
            <v>0.45</v>
          </cell>
          <cell r="BW219">
            <v>0.45</v>
          </cell>
          <cell r="BX219">
            <v>0.45</v>
          </cell>
          <cell r="BY219">
            <v>0.45</v>
          </cell>
          <cell r="BZ219">
            <v>0.45</v>
          </cell>
          <cell r="CA219">
            <v>0.45</v>
          </cell>
          <cell r="CB219">
            <v>0.45</v>
          </cell>
          <cell r="CC219">
            <v>0.45</v>
          </cell>
          <cell r="CD219">
            <v>0.45</v>
          </cell>
          <cell r="CE219">
            <v>0.45</v>
          </cell>
          <cell r="CF219">
            <v>0.45</v>
          </cell>
          <cell r="CG219">
            <v>0.45</v>
          </cell>
          <cell r="CH219">
            <v>0.45</v>
          </cell>
          <cell r="CI219">
            <v>0.45</v>
          </cell>
          <cell r="CJ219">
            <v>0.45</v>
          </cell>
          <cell r="CK219">
            <v>0.45</v>
          </cell>
          <cell r="CL219">
            <v>0.45</v>
          </cell>
          <cell r="CM219">
            <v>0.45</v>
          </cell>
          <cell r="CN219">
            <v>0.45</v>
          </cell>
          <cell r="CO219">
            <v>0.45</v>
          </cell>
          <cell r="CP219">
            <v>0.45</v>
          </cell>
          <cell r="CQ219">
            <v>0.45</v>
          </cell>
          <cell r="CR219">
            <v>0.45</v>
          </cell>
          <cell r="CS219">
            <v>0.45</v>
          </cell>
          <cell r="CT219">
            <v>0.45</v>
          </cell>
          <cell r="CU219">
            <v>0.45</v>
          </cell>
          <cell r="CV219">
            <v>0.45</v>
          </cell>
          <cell r="CW219">
            <v>0.45</v>
          </cell>
          <cell r="CX219">
            <v>0.45</v>
          </cell>
          <cell r="CY219">
            <v>0.45</v>
          </cell>
          <cell r="CZ219">
            <v>0.45</v>
          </cell>
          <cell r="DA219">
            <v>0.45</v>
          </cell>
          <cell r="DB219">
            <v>0.45</v>
          </cell>
          <cell r="DC219">
            <v>0.45</v>
          </cell>
          <cell r="DD219">
            <v>0.45</v>
          </cell>
          <cell r="DE219">
            <v>0.45</v>
          </cell>
          <cell r="DF219">
            <v>0.45</v>
          </cell>
          <cell r="DG219">
            <v>0.45</v>
          </cell>
          <cell r="DH219">
            <v>0.45</v>
          </cell>
          <cell r="DI219">
            <v>0.45</v>
          </cell>
          <cell r="DJ219">
            <v>0.45</v>
          </cell>
          <cell r="DK219">
            <v>0.45</v>
          </cell>
          <cell r="DL219">
            <v>0.45</v>
          </cell>
          <cell r="DM219">
            <v>0.45</v>
          </cell>
          <cell r="DN219">
            <v>0.45</v>
          </cell>
          <cell r="DO219">
            <v>0.45</v>
          </cell>
          <cell r="DP219">
            <v>0.45</v>
          </cell>
          <cell r="DQ219">
            <v>0.45</v>
          </cell>
          <cell r="DR219">
            <v>0.45</v>
          </cell>
          <cell r="DS219">
            <v>0.45</v>
          </cell>
          <cell r="DT219">
            <v>0.45</v>
          </cell>
          <cell r="DU219">
            <v>0.45</v>
          </cell>
          <cell r="DV219">
            <v>0.45</v>
          </cell>
          <cell r="DW219">
            <v>0.45</v>
          </cell>
          <cell r="DX219">
            <v>0.45</v>
          </cell>
          <cell r="DY219">
            <v>0.45</v>
          </cell>
          <cell r="DZ219">
            <v>0.45</v>
          </cell>
          <cell r="EA219">
            <v>0.45</v>
          </cell>
          <cell r="EB219">
            <v>0.45</v>
          </cell>
          <cell r="EC219">
            <v>0.45</v>
          </cell>
          <cell r="ED219">
            <v>0.45</v>
          </cell>
          <cell r="EE219">
            <v>0.45</v>
          </cell>
          <cell r="EF219">
            <v>0.45</v>
          </cell>
          <cell r="EG219">
            <v>0.45</v>
          </cell>
          <cell r="EH219">
            <v>0.45</v>
          </cell>
          <cell r="EI219">
            <v>0.45</v>
          </cell>
          <cell r="EJ219">
            <v>0.45</v>
          </cell>
          <cell r="EK219">
            <v>0.45</v>
          </cell>
          <cell r="EL219">
            <v>0.45</v>
          </cell>
          <cell r="EM219">
            <v>0.45</v>
          </cell>
          <cell r="EN219">
            <v>0.45</v>
          </cell>
          <cell r="EO219">
            <v>0.45</v>
          </cell>
          <cell r="EP219">
            <v>0.45</v>
          </cell>
          <cell r="EQ219">
            <v>0.45</v>
          </cell>
          <cell r="ER219">
            <v>0.45</v>
          </cell>
          <cell r="ES219">
            <v>0.45</v>
          </cell>
          <cell r="ET219">
            <v>0.45</v>
          </cell>
          <cell r="EU219">
            <v>0.45</v>
          </cell>
          <cell r="EV219">
            <v>0.45</v>
          </cell>
          <cell r="EW219">
            <v>0.45</v>
          </cell>
          <cell r="EX219">
            <v>0.45</v>
          </cell>
          <cell r="EY219">
            <v>0.45</v>
          </cell>
          <cell r="EZ219">
            <v>0.45</v>
          </cell>
          <cell r="FA219">
            <v>0.45</v>
          </cell>
          <cell r="FB219">
            <v>0.45</v>
          </cell>
          <cell r="FC219">
            <v>0.45</v>
          </cell>
          <cell r="FD219">
            <v>0.45</v>
          </cell>
          <cell r="FE219">
            <v>0.45</v>
          </cell>
        </row>
        <row r="220">
          <cell r="B220" t="str">
            <v>Sales -% Consumer (C)</v>
          </cell>
          <cell r="C220" t="str">
            <v>SALES_CONS</v>
          </cell>
          <cell r="F220">
            <v>0.5</v>
          </cell>
          <cell r="G220">
            <v>0.5</v>
          </cell>
          <cell r="H220">
            <v>0.5</v>
          </cell>
          <cell r="I220">
            <v>0.5</v>
          </cell>
          <cell r="J220">
            <v>0.5</v>
          </cell>
          <cell r="K220">
            <v>0.5</v>
          </cell>
          <cell r="L220">
            <v>0.5</v>
          </cell>
          <cell r="M220">
            <v>0.5</v>
          </cell>
          <cell r="N220">
            <v>0.5</v>
          </cell>
          <cell r="O220">
            <v>0.5</v>
          </cell>
          <cell r="P220">
            <v>0.5</v>
          </cell>
          <cell r="Q220">
            <v>0.5</v>
          </cell>
          <cell r="R220">
            <v>0.5</v>
          </cell>
          <cell r="S220">
            <v>0.5</v>
          </cell>
          <cell r="T220">
            <v>0.5</v>
          </cell>
          <cell r="U220">
            <v>0.5</v>
          </cell>
          <cell r="V220">
            <v>0.5</v>
          </cell>
          <cell r="W220">
            <v>0.5</v>
          </cell>
          <cell r="X220">
            <v>0.5</v>
          </cell>
          <cell r="Y220">
            <v>0.5</v>
          </cell>
          <cell r="Z220">
            <v>0.5</v>
          </cell>
          <cell r="AA220">
            <v>0.5</v>
          </cell>
          <cell r="AB220">
            <v>0.5</v>
          </cell>
          <cell r="AC220">
            <v>0.5</v>
          </cell>
          <cell r="AD220">
            <v>0.5</v>
          </cell>
          <cell r="AE220">
            <v>0.5</v>
          </cell>
          <cell r="AF220">
            <v>0.5</v>
          </cell>
          <cell r="AG220">
            <v>0.5</v>
          </cell>
          <cell r="AH220">
            <v>0.5</v>
          </cell>
          <cell r="AI220">
            <v>0.5</v>
          </cell>
          <cell r="AJ220">
            <v>0.5</v>
          </cell>
          <cell r="AK220">
            <v>0.5</v>
          </cell>
          <cell r="AL220">
            <v>0.5</v>
          </cell>
          <cell r="AM220">
            <v>0.5</v>
          </cell>
          <cell r="AN220">
            <v>0.5</v>
          </cell>
          <cell r="AO220">
            <v>0.5</v>
          </cell>
          <cell r="AP220">
            <v>0.5</v>
          </cell>
          <cell r="AQ220">
            <v>0.5</v>
          </cell>
          <cell r="AR220">
            <v>0.5</v>
          </cell>
          <cell r="AS220">
            <v>0.5</v>
          </cell>
          <cell r="AT220">
            <v>0.5</v>
          </cell>
          <cell r="AU220">
            <v>0.5</v>
          </cell>
          <cell r="AV220">
            <v>0.5</v>
          </cell>
          <cell r="AW220">
            <v>0.5</v>
          </cell>
          <cell r="AX220">
            <v>0.5</v>
          </cell>
          <cell r="AY220">
            <v>0.5</v>
          </cell>
          <cell r="AZ220">
            <v>0.5</v>
          </cell>
          <cell r="BA220">
            <v>0.5</v>
          </cell>
          <cell r="BB220">
            <v>0.5</v>
          </cell>
          <cell r="BC220">
            <v>0.5</v>
          </cell>
          <cell r="BD220">
            <v>0.5</v>
          </cell>
          <cell r="BE220">
            <v>0.5</v>
          </cell>
          <cell r="BF220">
            <v>0.5</v>
          </cell>
          <cell r="BG220">
            <v>0.5</v>
          </cell>
          <cell r="BH220">
            <v>0.5</v>
          </cell>
          <cell r="BI220">
            <v>0.5</v>
          </cell>
          <cell r="BJ220">
            <v>0.5</v>
          </cell>
          <cell r="BK220">
            <v>0.5</v>
          </cell>
          <cell r="BL220">
            <v>0.5</v>
          </cell>
          <cell r="BM220">
            <v>0.5</v>
          </cell>
          <cell r="BN220">
            <v>0.5</v>
          </cell>
          <cell r="BO220">
            <v>0.5</v>
          </cell>
          <cell r="BP220">
            <v>0.5</v>
          </cell>
          <cell r="BQ220">
            <v>0.5</v>
          </cell>
          <cell r="BR220">
            <v>0.5</v>
          </cell>
          <cell r="BS220">
            <v>0.5</v>
          </cell>
          <cell r="BT220">
            <v>0.5</v>
          </cell>
          <cell r="BU220">
            <v>0.5</v>
          </cell>
          <cell r="BV220">
            <v>0.5</v>
          </cell>
          <cell r="BW220">
            <v>0.5</v>
          </cell>
          <cell r="BX220">
            <v>0.5</v>
          </cell>
          <cell r="BY220">
            <v>0.5</v>
          </cell>
          <cell r="BZ220">
            <v>0.5</v>
          </cell>
          <cell r="CA220">
            <v>0.5</v>
          </cell>
          <cell r="CB220">
            <v>0.5</v>
          </cell>
          <cell r="CC220">
            <v>0.5</v>
          </cell>
          <cell r="CD220">
            <v>0.5</v>
          </cell>
          <cell r="CE220">
            <v>0.5</v>
          </cell>
          <cell r="CF220">
            <v>0.5</v>
          </cell>
          <cell r="CG220">
            <v>0.5</v>
          </cell>
          <cell r="CH220">
            <v>0.5</v>
          </cell>
          <cell r="CI220">
            <v>0.5</v>
          </cell>
          <cell r="CJ220">
            <v>0.5</v>
          </cell>
          <cell r="CK220">
            <v>0.5</v>
          </cell>
          <cell r="CL220">
            <v>0.5</v>
          </cell>
          <cell r="CM220">
            <v>0.5</v>
          </cell>
          <cell r="CN220">
            <v>0.5</v>
          </cell>
          <cell r="CO220">
            <v>0.5</v>
          </cell>
          <cell r="CP220">
            <v>0.5</v>
          </cell>
          <cell r="CQ220">
            <v>0.5</v>
          </cell>
          <cell r="CR220">
            <v>0.5</v>
          </cell>
          <cell r="CS220">
            <v>0.5</v>
          </cell>
          <cell r="CT220">
            <v>0.5</v>
          </cell>
          <cell r="CU220">
            <v>0.5</v>
          </cell>
          <cell r="CV220">
            <v>0.5</v>
          </cell>
          <cell r="CW220">
            <v>0.5</v>
          </cell>
          <cell r="CX220">
            <v>0.5</v>
          </cell>
          <cell r="CY220">
            <v>0.5</v>
          </cell>
          <cell r="CZ220">
            <v>0.5</v>
          </cell>
          <cell r="DA220">
            <v>0.5</v>
          </cell>
          <cell r="DB220">
            <v>0.5</v>
          </cell>
          <cell r="DC220">
            <v>0.5</v>
          </cell>
          <cell r="DD220">
            <v>0.5</v>
          </cell>
          <cell r="DE220">
            <v>0.5</v>
          </cell>
          <cell r="DF220">
            <v>0.5</v>
          </cell>
          <cell r="DG220">
            <v>0.5</v>
          </cell>
          <cell r="DH220">
            <v>0.5</v>
          </cell>
          <cell r="DI220">
            <v>0.5</v>
          </cell>
          <cell r="DJ220">
            <v>0.5</v>
          </cell>
          <cell r="DK220">
            <v>0.5</v>
          </cell>
          <cell r="DL220">
            <v>0.5</v>
          </cell>
          <cell r="DM220">
            <v>0.5</v>
          </cell>
          <cell r="DN220">
            <v>0.5</v>
          </cell>
          <cell r="DO220">
            <v>0.5</v>
          </cell>
          <cell r="DP220">
            <v>0.5</v>
          </cell>
          <cell r="DQ220">
            <v>0.5</v>
          </cell>
          <cell r="DR220">
            <v>0.5</v>
          </cell>
          <cell r="DS220">
            <v>0.5</v>
          </cell>
          <cell r="DT220">
            <v>0.5</v>
          </cell>
          <cell r="DU220">
            <v>0.5</v>
          </cell>
          <cell r="DV220">
            <v>0.5</v>
          </cell>
          <cell r="DW220">
            <v>0.5</v>
          </cell>
          <cell r="DX220">
            <v>0.5</v>
          </cell>
          <cell r="DY220">
            <v>0.5</v>
          </cell>
          <cell r="DZ220">
            <v>0.5</v>
          </cell>
          <cell r="EA220">
            <v>0.5</v>
          </cell>
          <cell r="EB220">
            <v>0.5</v>
          </cell>
          <cell r="EC220">
            <v>0.5</v>
          </cell>
          <cell r="ED220">
            <v>0.5</v>
          </cell>
          <cell r="EE220">
            <v>0.5</v>
          </cell>
          <cell r="EF220">
            <v>0.5</v>
          </cell>
          <cell r="EG220">
            <v>0.5</v>
          </cell>
          <cell r="EH220">
            <v>0.5</v>
          </cell>
          <cell r="EI220">
            <v>0.5</v>
          </cell>
          <cell r="EJ220">
            <v>0.5</v>
          </cell>
          <cell r="EK220">
            <v>0.5</v>
          </cell>
          <cell r="EL220">
            <v>0.5</v>
          </cell>
          <cell r="EM220">
            <v>0.5</v>
          </cell>
          <cell r="EN220">
            <v>0.5</v>
          </cell>
          <cell r="EO220">
            <v>0.5</v>
          </cell>
          <cell r="EP220">
            <v>0.5</v>
          </cell>
          <cell r="EQ220">
            <v>0.5</v>
          </cell>
          <cell r="ER220">
            <v>0.5</v>
          </cell>
          <cell r="ES220">
            <v>0.5</v>
          </cell>
          <cell r="ET220">
            <v>0.5</v>
          </cell>
          <cell r="EU220">
            <v>0.5</v>
          </cell>
          <cell r="EV220">
            <v>0.5</v>
          </cell>
          <cell r="EW220">
            <v>0.5</v>
          </cell>
          <cell r="EX220">
            <v>0.5</v>
          </cell>
          <cell r="EY220">
            <v>0.5</v>
          </cell>
          <cell r="EZ220">
            <v>0.5</v>
          </cell>
          <cell r="FA220">
            <v>0.5</v>
          </cell>
          <cell r="FB220">
            <v>0.5</v>
          </cell>
          <cell r="FC220">
            <v>0.5</v>
          </cell>
          <cell r="FD220">
            <v>0.5</v>
          </cell>
          <cell r="FE220">
            <v>0.5</v>
          </cell>
        </row>
        <row r="221">
          <cell r="B221" t="str">
            <v>Sales -% Industry (I)</v>
          </cell>
          <cell r="C221" t="str">
            <v>SALES_IND</v>
          </cell>
          <cell r="F221">
            <v>0.45</v>
          </cell>
          <cell r="G221">
            <v>0.45</v>
          </cell>
          <cell r="H221">
            <v>0.45</v>
          </cell>
          <cell r="I221">
            <v>0.45</v>
          </cell>
          <cell r="J221">
            <v>0.45</v>
          </cell>
          <cell r="K221">
            <v>0.45</v>
          </cell>
          <cell r="L221">
            <v>0.45</v>
          </cell>
          <cell r="M221">
            <v>0.45</v>
          </cell>
          <cell r="N221">
            <v>0.45</v>
          </cell>
          <cell r="O221">
            <v>0.45</v>
          </cell>
          <cell r="P221">
            <v>0.45</v>
          </cell>
          <cell r="Q221">
            <v>0.45</v>
          </cell>
          <cell r="R221">
            <v>0.45</v>
          </cell>
          <cell r="S221">
            <v>0.45</v>
          </cell>
          <cell r="T221">
            <v>0.45</v>
          </cell>
          <cell r="U221">
            <v>0.45</v>
          </cell>
          <cell r="V221">
            <v>0.45</v>
          </cell>
          <cell r="W221">
            <v>0.45</v>
          </cell>
          <cell r="X221">
            <v>0.45</v>
          </cell>
          <cell r="Y221">
            <v>0.45</v>
          </cell>
          <cell r="Z221">
            <v>0.45</v>
          </cell>
          <cell r="AA221">
            <v>0.45</v>
          </cell>
          <cell r="AB221">
            <v>0.45</v>
          </cell>
          <cell r="AC221">
            <v>0.45</v>
          </cell>
          <cell r="AD221">
            <v>0.45</v>
          </cell>
          <cell r="AE221">
            <v>0.45</v>
          </cell>
          <cell r="AF221">
            <v>0.45</v>
          </cell>
          <cell r="AG221">
            <v>0.45</v>
          </cell>
          <cell r="AH221">
            <v>0.45</v>
          </cell>
          <cell r="AI221">
            <v>0.45</v>
          </cell>
          <cell r="AJ221">
            <v>0.45</v>
          </cell>
          <cell r="AK221">
            <v>0.45</v>
          </cell>
          <cell r="AL221">
            <v>0.45</v>
          </cell>
          <cell r="AM221">
            <v>0.45</v>
          </cell>
          <cell r="AN221">
            <v>0.45</v>
          </cell>
          <cell r="AO221">
            <v>0.45</v>
          </cell>
          <cell r="AP221">
            <v>0.45</v>
          </cell>
          <cell r="AQ221">
            <v>0.45</v>
          </cell>
          <cell r="AR221">
            <v>0.45</v>
          </cell>
          <cell r="AS221">
            <v>0.45</v>
          </cell>
          <cell r="AT221">
            <v>0.45</v>
          </cell>
          <cell r="AU221">
            <v>0.45</v>
          </cell>
          <cell r="AV221">
            <v>0.45</v>
          </cell>
          <cell r="AW221">
            <v>0.45</v>
          </cell>
          <cell r="AX221">
            <v>0.45</v>
          </cell>
          <cell r="AY221">
            <v>0.45</v>
          </cell>
          <cell r="AZ221">
            <v>0.45</v>
          </cell>
          <cell r="BA221">
            <v>0.45</v>
          </cell>
          <cell r="BB221">
            <v>0.45</v>
          </cell>
          <cell r="BC221">
            <v>0.45</v>
          </cell>
          <cell r="BD221">
            <v>0.45</v>
          </cell>
          <cell r="BE221">
            <v>0.45</v>
          </cell>
          <cell r="BF221">
            <v>0.45</v>
          </cell>
          <cell r="BG221">
            <v>0.45</v>
          </cell>
          <cell r="BH221">
            <v>0.45</v>
          </cell>
          <cell r="BI221">
            <v>0.45</v>
          </cell>
          <cell r="BJ221">
            <v>0.45</v>
          </cell>
          <cell r="BK221">
            <v>0.45</v>
          </cell>
          <cell r="BL221">
            <v>0.45</v>
          </cell>
          <cell r="BM221">
            <v>0.45</v>
          </cell>
          <cell r="BN221">
            <v>0.45</v>
          </cell>
          <cell r="BO221">
            <v>0.45</v>
          </cell>
          <cell r="BP221">
            <v>0.45</v>
          </cell>
          <cell r="BQ221">
            <v>0.45</v>
          </cell>
          <cell r="BR221">
            <v>0.45</v>
          </cell>
          <cell r="BS221">
            <v>0.45</v>
          </cell>
          <cell r="BT221">
            <v>0.45</v>
          </cell>
          <cell r="BU221">
            <v>0.45</v>
          </cell>
          <cell r="BV221">
            <v>0.45</v>
          </cell>
          <cell r="BW221">
            <v>0.45</v>
          </cell>
          <cell r="BX221">
            <v>0.45</v>
          </cell>
          <cell r="BY221">
            <v>0.45</v>
          </cell>
          <cell r="BZ221">
            <v>0.45</v>
          </cell>
          <cell r="CA221">
            <v>0.45</v>
          </cell>
          <cell r="CB221">
            <v>0.45</v>
          </cell>
          <cell r="CC221">
            <v>0.45</v>
          </cell>
          <cell r="CD221">
            <v>0.45</v>
          </cell>
          <cell r="CE221">
            <v>0.45</v>
          </cell>
          <cell r="CF221">
            <v>0.45</v>
          </cell>
          <cell r="CG221">
            <v>0.45</v>
          </cell>
          <cell r="CH221">
            <v>0.45</v>
          </cell>
          <cell r="CI221">
            <v>0.45</v>
          </cell>
          <cell r="CJ221">
            <v>0.45</v>
          </cell>
          <cell r="CK221">
            <v>0.45</v>
          </cell>
          <cell r="CL221">
            <v>0.45</v>
          </cell>
          <cell r="CM221">
            <v>0.45</v>
          </cell>
          <cell r="CN221">
            <v>0.45</v>
          </cell>
          <cell r="CO221">
            <v>0.45</v>
          </cell>
          <cell r="CP221">
            <v>0.45</v>
          </cell>
          <cell r="CQ221">
            <v>0.45</v>
          </cell>
          <cell r="CR221">
            <v>0.45</v>
          </cell>
          <cell r="CS221">
            <v>0.45</v>
          </cell>
          <cell r="CT221">
            <v>0.45</v>
          </cell>
          <cell r="CU221">
            <v>0.45</v>
          </cell>
          <cell r="CV221">
            <v>0.45</v>
          </cell>
          <cell r="CW221">
            <v>0.45</v>
          </cell>
          <cell r="CX221">
            <v>0.45</v>
          </cell>
          <cell r="CY221">
            <v>0.45</v>
          </cell>
          <cell r="CZ221">
            <v>0.45</v>
          </cell>
          <cell r="DA221">
            <v>0.45</v>
          </cell>
          <cell r="DB221">
            <v>0.45</v>
          </cell>
          <cell r="DC221">
            <v>0.45</v>
          </cell>
          <cell r="DD221">
            <v>0.45</v>
          </cell>
          <cell r="DE221">
            <v>0.45</v>
          </cell>
          <cell r="DF221">
            <v>0.45</v>
          </cell>
          <cell r="DG221">
            <v>0.45</v>
          </cell>
          <cell r="DH221">
            <v>0.45</v>
          </cell>
          <cell r="DI221">
            <v>0.45</v>
          </cell>
          <cell r="DJ221">
            <v>0.45</v>
          </cell>
          <cell r="DK221">
            <v>0.45</v>
          </cell>
          <cell r="DL221">
            <v>0.45</v>
          </cell>
          <cell r="DM221">
            <v>0.45</v>
          </cell>
          <cell r="DN221">
            <v>0.45</v>
          </cell>
          <cell r="DO221">
            <v>0.45</v>
          </cell>
          <cell r="DP221">
            <v>0.45</v>
          </cell>
          <cell r="DQ221">
            <v>0.45</v>
          </cell>
          <cell r="DR221">
            <v>0.45</v>
          </cell>
          <cell r="DS221">
            <v>0.45</v>
          </cell>
          <cell r="DT221">
            <v>0.45</v>
          </cell>
          <cell r="DU221">
            <v>0.45</v>
          </cell>
          <cell r="DV221">
            <v>0.45</v>
          </cell>
          <cell r="DW221">
            <v>0.45</v>
          </cell>
          <cell r="DX221">
            <v>0.45</v>
          </cell>
          <cell r="DY221">
            <v>0.45</v>
          </cell>
          <cell r="DZ221">
            <v>0.45</v>
          </cell>
          <cell r="EA221">
            <v>0.45</v>
          </cell>
          <cell r="EB221">
            <v>0.45</v>
          </cell>
          <cell r="EC221">
            <v>0.45</v>
          </cell>
          <cell r="ED221">
            <v>0.45</v>
          </cell>
          <cell r="EE221">
            <v>0.45</v>
          </cell>
          <cell r="EF221">
            <v>0.45</v>
          </cell>
          <cell r="EG221">
            <v>0.45</v>
          </cell>
          <cell r="EH221">
            <v>0.45</v>
          </cell>
          <cell r="EI221">
            <v>0.45</v>
          </cell>
          <cell r="EJ221">
            <v>0.45</v>
          </cell>
          <cell r="EK221">
            <v>0.45</v>
          </cell>
          <cell r="EL221">
            <v>0.45</v>
          </cell>
          <cell r="EM221">
            <v>0.45</v>
          </cell>
          <cell r="EN221">
            <v>0.45</v>
          </cell>
          <cell r="EO221">
            <v>0.45</v>
          </cell>
          <cell r="EP221">
            <v>0.45</v>
          </cell>
          <cell r="EQ221">
            <v>0.45</v>
          </cell>
          <cell r="ER221">
            <v>0.45</v>
          </cell>
          <cell r="ES221">
            <v>0.45</v>
          </cell>
          <cell r="ET221">
            <v>0.45</v>
          </cell>
          <cell r="EU221">
            <v>0.45</v>
          </cell>
          <cell r="EV221">
            <v>0.45</v>
          </cell>
          <cell r="EW221">
            <v>0.45</v>
          </cell>
          <cell r="EX221">
            <v>0.45</v>
          </cell>
          <cell r="EY221">
            <v>0.45</v>
          </cell>
          <cell r="EZ221">
            <v>0.45</v>
          </cell>
          <cell r="FA221">
            <v>0.45</v>
          </cell>
          <cell r="FB221">
            <v>0.45</v>
          </cell>
          <cell r="FC221">
            <v>0.45</v>
          </cell>
          <cell r="FD221">
            <v>0.45</v>
          </cell>
          <cell r="FE221">
            <v>0.45</v>
          </cell>
        </row>
        <row r="222">
          <cell r="B222" t="str">
            <v>Sales -% Government (G)</v>
          </cell>
          <cell r="C222" t="str">
            <v>SALES_GOV</v>
          </cell>
          <cell r="F222">
            <v>0.05</v>
          </cell>
          <cell r="G222">
            <v>0.05</v>
          </cell>
          <cell r="H222">
            <v>0.05</v>
          </cell>
          <cell r="I222">
            <v>0.05</v>
          </cell>
          <cell r="J222">
            <v>0.05</v>
          </cell>
          <cell r="K222">
            <v>0.05</v>
          </cell>
          <cell r="L222">
            <v>0.05</v>
          </cell>
          <cell r="M222">
            <v>0.05</v>
          </cell>
          <cell r="N222">
            <v>0.05</v>
          </cell>
          <cell r="O222">
            <v>0.05</v>
          </cell>
          <cell r="P222">
            <v>0.05</v>
          </cell>
          <cell r="Q222">
            <v>0.05</v>
          </cell>
          <cell r="R222">
            <v>0.05</v>
          </cell>
          <cell r="S222">
            <v>0.05</v>
          </cell>
          <cell r="T222">
            <v>0.05</v>
          </cell>
          <cell r="U222">
            <v>0.05</v>
          </cell>
          <cell r="V222">
            <v>0.05</v>
          </cell>
          <cell r="W222">
            <v>0.05</v>
          </cell>
          <cell r="X222">
            <v>0.05</v>
          </cell>
          <cell r="Y222">
            <v>0.05</v>
          </cell>
          <cell r="Z222">
            <v>0.05</v>
          </cell>
          <cell r="AA222">
            <v>0.05</v>
          </cell>
          <cell r="AB222">
            <v>0.05</v>
          </cell>
          <cell r="AC222">
            <v>0.05</v>
          </cell>
          <cell r="AD222">
            <v>0.05</v>
          </cell>
          <cell r="AE222">
            <v>0.05</v>
          </cell>
          <cell r="AF222">
            <v>0.05</v>
          </cell>
          <cell r="AG222">
            <v>0.05</v>
          </cell>
          <cell r="AH222">
            <v>0.05</v>
          </cell>
          <cell r="AI222">
            <v>0.05</v>
          </cell>
          <cell r="AJ222">
            <v>0.05</v>
          </cell>
          <cell r="AK222">
            <v>0.05</v>
          </cell>
          <cell r="AL222">
            <v>0.05</v>
          </cell>
          <cell r="AM222">
            <v>0.05</v>
          </cell>
          <cell r="AN222">
            <v>0.05</v>
          </cell>
          <cell r="AO222">
            <v>0.05</v>
          </cell>
          <cell r="AP222">
            <v>0.05</v>
          </cell>
          <cell r="AQ222">
            <v>0.05</v>
          </cell>
          <cell r="AR222">
            <v>0.05</v>
          </cell>
          <cell r="AS222">
            <v>0.05</v>
          </cell>
          <cell r="AT222">
            <v>0.05</v>
          </cell>
          <cell r="AU222">
            <v>0.05</v>
          </cell>
          <cell r="AV222">
            <v>0.05</v>
          </cell>
          <cell r="AW222">
            <v>0.05</v>
          </cell>
          <cell r="AX222">
            <v>0.05</v>
          </cell>
          <cell r="AY222">
            <v>0.05</v>
          </cell>
          <cell r="AZ222">
            <v>0.05</v>
          </cell>
          <cell r="BA222">
            <v>0.05</v>
          </cell>
          <cell r="BB222">
            <v>0.05</v>
          </cell>
          <cell r="BC222">
            <v>0.05</v>
          </cell>
          <cell r="BD222">
            <v>0.05</v>
          </cell>
          <cell r="BE222">
            <v>0.05</v>
          </cell>
          <cell r="BF222">
            <v>0.05</v>
          </cell>
          <cell r="BG222">
            <v>0.05</v>
          </cell>
          <cell r="BH222">
            <v>0.05</v>
          </cell>
          <cell r="BI222">
            <v>0.05</v>
          </cell>
          <cell r="BJ222">
            <v>0.05</v>
          </cell>
          <cell r="BK222">
            <v>0.05</v>
          </cell>
          <cell r="BL222">
            <v>0.05</v>
          </cell>
          <cell r="BM222">
            <v>0.05</v>
          </cell>
          <cell r="BN222">
            <v>0.05</v>
          </cell>
          <cell r="BO222">
            <v>0.05</v>
          </cell>
          <cell r="BP222">
            <v>0.05</v>
          </cell>
          <cell r="BQ222">
            <v>0.05</v>
          </cell>
          <cell r="BR222">
            <v>0.05</v>
          </cell>
          <cell r="BS222">
            <v>0.05</v>
          </cell>
          <cell r="BT222">
            <v>0.05</v>
          </cell>
          <cell r="BU222">
            <v>0.05</v>
          </cell>
          <cell r="BV222">
            <v>0.05</v>
          </cell>
          <cell r="BW222">
            <v>0.05</v>
          </cell>
          <cell r="BX222">
            <v>0.05</v>
          </cell>
          <cell r="BY222">
            <v>0.05</v>
          </cell>
          <cell r="BZ222">
            <v>0.05</v>
          </cell>
          <cell r="CA222">
            <v>0.05</v>
          </cell>
          <cell r="CB222">
            <v>0.05</v>
          </cell>
          <cell r="CC222">
            <v>0.05</v>
          </cell>
          <cell r="CD222">
            <v>0.05</v>
          </cell>
          <cell r="CE222">
            <v>0.05</v>
          </cell>
          <cell r="CF222">
            <v>0.05</v>
          </cell>
          <cell r="CG222">
            <v>0.05</v>
          </cell>
          <cell r="CH222">
            <v>0.05</v>
          </cell>
          <cell r="CI222">
            <v>0.05</v>
          </cell>
          <cell r="CJ222">
            <v>0.05</v>
          </cell>
          <cell r="CK222">
            <v>0.05</v>
          </cell>
          <cell r="CL222">
            <v>0.05</v>
          </cell>
          <cell r="CM222">
            <v>0.05</v>
          </cell>
          <cell r="CN222">
            <v>0.05</v>
          </cell>
          <cell r="CO222">
            <v>0.05</v>
          </cell>
          <cell r="CP222">
            <v>0.05</v>
          </cell>
          <cell r="CQ222">
            <v>0.05</v>
          </cell>
          <cell r="CR222">
            <v>0.05</v>
          </cell>
          <cell r="CS222">
            <v>0.05</v>
          </cell>
          <cell r="CT222">
            <v>0.05</v>
          </cell>
          <cell r="CU222">
            <v>0.05</v>
          </cell>
          <cell r="CV222">
            <v>0.05</v>
          </cell>
          <cell r="CW222">
            <v>0.05</v>
          </cell>
          <cell r="CX222">
            <v>0.05</v>
          </cell>
          <cell r="CY222">
            <v>0.05</v>
          </cell>
          <cell r="CZ222">
            <v>0.05</v>
          </cell>
          <cell r="DA222">
            <v>0.05</v>
          </cell>
          <cell r="DB222">
            <v>0.05</v>
          </cell>
          <cell r="DC222">
            <v>0.05</v>
          </cell>
          <cell r="DD222">
            <v>0.05</v>
          </cell>
          <cell r="DE222">
            <v>0.05</v>
          </cell>
          <cell r="DF222">
            <v>0.05</v>
          </cell>
          <cell r="DG222">
            <v>0.05</v>
          </cell>
          <cell r="DH222">
            <v>0.05</v>
          </cell>
          <cell r="DI222">
            <v>0.05</v>
          </cell>
          <cell r="DJ222">
            <v>0.05</v>
          </cell>
          <cell r="DK222">
            <v>0.05</v>
          </cell>
          <cell r="DL222">
            <v>0.05</v>
          </cell>
          <cell r="DM222">
            <v>0.05</v>
          </cell>
          <cell r="DN222">
            <v>0.05</v>
          </cell>
          <cell r="DO222">
            <v>0.05</v>
          </cell>
          <cell r="DP222">
            <v>0.05</v>
          </cell>
          <cell r="DQ222">
            <v>0.05</v>
          </cell>
          <cell r="DR222">
            <v>0.05</v>
          </cell>
          <cell r="DS222">
            <v>0.05</v>
          </cell>
          <cell r="DT222">
            <v>0.05</v>
          </cell>
          <cell r="DU222">
            <v>0.05</v>
          </cell>
          <cell r="DV222">
            <v>0.05</v>
          </cell>
          <cell r="DW222">
            <v>0.05</v>
          </cell>
          <cell r="DX222">
            <v>0.05</v>
          </cell>
          <cell r="DY222">
            <v>0.05</v>
          </cell>
          <cell r="DZ222">
            <v>0.05</v>
          </cell>
          <cell r="EA222">
            <v>0.05</v>
          </cell>
          <cell r="EB222">
            <v>0.05</v>
          </cell>
          <cell r="EC222">
            <v>0.05</v>
          </cell>
          <cell r="ED222">
            <v>0.05</v>
          </cell>
          <cell r="EE222">
            <v>0.05</v>
          </cell>
          <cell r="EF222">
            <v>0.05</v>
          </cell>
          <cell r="EG222">
            <v>0.05</v>
          </cell>
          <cell r="EH222">
            <v>0.05</v>
          </cell>
          <cell r="EI222">
            <v>0.05</v>
          </cell>
          <cell r="EJ222">
            <v>0.05</v>
          </cell>
          <cell r="EK222">
            <v>0.05</v>
          </cell>
          <cell r="EL222">
            <v>0.05</v>
          </cell>
          <cell r="EM222">
            <v>0.05</v>
          </cell>
          <cell r="EN222">
            <v>0.05</v>
          </cell>
          <cell r="EO222">
            <v>0.05</v>
          </cell>
          <cell r="EP222">
            <v>0.05</v>
          </cell>
          <cell r="EQ222">
            <v>0.05</v>
          </cell>
          <cell r="ER222">
            <v>0.05</v>
          </cell>
          <cell r="ES222">
            <v>0.05</v>
          </cell>
          <cell r="ET222">
            <v>0.05</v>
          </cell>
          <cell r="EU222">
            <v>0.05</v>
          </cell>
          <cell r="EV222">
            <v>0.05</v>
          </cell>
          <cell r="EW222">
            <v>0.05</v>
          </cell>
          <cell r="EX222">
            <v>0.05</v>
          </cell>
          <cell r="EY222">
            <v>0.05</v>
          </cell>
          <cell r="EZ222">
            <v>0.05</v>
          </cell>
          <cell r="FA222">
            <v>0.05</v>
          </cell>
          <cell r="FB222">
            <v>0.05</v>
          </cell>
          <cell r="FC222">
            <v>0.05</v>
          </cell>
          <cell r="FD222">
            <v>0.05</v>
          </cell>
          <cell r="FE222">
            <v>0.05</v>
          </cell>
        </row>
        <row r="223">
          <cell r="B223" t="str">
            <v>Sales - % Industry Sub-Segment: Financial Services</v>
          </cell>
          <cell r="C223" t="str">
            <v>SALES_FINAN</v>
          </cell>
        </row>
        <row r="224">
          <cell r="B224" t="str">
            <v>Sales - % Industry Sub-Segment: Oil &amp; Gas</v>
          </cell>
          <cell r="C224" t="str">
            <v>SALES_OIL_GAS</v>
          </cell>
        </row>
        <row r="225">
          <cell r="B225" t="str">
            <v>Sales (%) SMB</v>
          </cell>
          <cell r="C225" t="str">
            <v>SALES_SMB</v>
          </cell>
        </row>
        <row r="226">
          <cell r="B226" t="str">
            <v>% of total cash balance held overseas (outside the US)</v>
          </cell>
          <cell r="C226" t="str">
            <v>CASH_PCT_OS_US</v>
          </cell>
        </row>
        <row r="227">
          <cell r="B227" t="str">
            <v>Sales - % from Captive Financing Business</v>
          </cell>
          <cell r="C227" t="str">
            <v>REV_FIN_SEGMENT</v>
          </cell>
        </row>
        <row r="228">
          <cell r="B228" t="str">
            <v>Operating Earnings - % from Captive Financing Business</v>
          </cell>
          <cell r="C228" t="str">
            <v>EBIT_FIN_SEGMENT</v>
          </cell>
        </row>
        <row r="229">
          <cell r="A229" t="str">
            <v>Commodities Exposure - Expense</v>
          </cell>
        </row>
        <row r="230">
          <cell r="B230" t="str">
            <v>Expense - % Oil/Petrol/Fuel</v>
          </cell>
          <cell r="C230" t="str">
            <v>EXP_OIL_PETRO_FUEL</v>
          </cell>
        </row>
        <row r="231">
          <cell r="B231" t="str">
            <v>Expense - % Oil derivatives/NGLs/plastics</v>
          </cell>
          <cell r="C231" t="str">
            <v>EXP_OIL_DERIV_NGLS_PLASTICS</v>
          </cell>
        </row>
        <row r="232">
          <cell r="A232" t="str">
            <v>FX Exposure - Sales</v>
          </cell>
        </row>
        <row r="233">
          <cell r="B233" t="str">
            <v>Sales - % FX: British Pounds/Pence</v>
          </cell>
          <cell r="C233" t="str">
            <v>SALES_FX_GPB</v>
          </cell>
        </row>
        <row r="234">
          <cell r="B234" t="str">
            <v>Sales - % FX: Euro</v>
          </cell>
          <cell r="C234" t="str">
            <v>SALES_FX_EUR</v>
          </cell>
        </row>
        <row r="235">
          <cell r="B235" t="str">
            <v>Sales - % FX: New Russian Ruble</v>
          </cell>
          <cell r="C235" t="str">
            <v>SALES_FX_RUB</v>
          </cell>
        </row>
        <row r="236">
          <cell r="B236" t="str">
            <v>Sales - % FX: U.S. Dollar</v>
          </cell>
          <cell r="C236" t="str">
            <v>SALES_FX_USD</v>
          </cell>
        </row>
        <row r="237">
          <cell r="B237" t="str">
            <v>Sales - % FX: Brazilian Real</v>
          </cell>
          <cell r="C237" t="str">
            <v>SALES_FX_BRL</v>
          </cell>
        </row>
        <row r="238">
          <cell r="B238" t="str">
            <v>Sales - % FX: Japanese Yen</v>
          </cell>
          <cell r="C238" t="str">
            <v>SALES_FX_YEN</v>
          </cell>
        </row>
        <row r="239">
          <cell r="B239" t="str">
            <v>Sales - % FX: Chinese Renminbi</v>
          </cell>
          <cell r="C239" t="str">
            <v>SALES_FX_CNY</v>
          </cell>
        </row>
        <row r="240">
          <cell r="B240" t="str">
            <v>Sales - % FX: Indian Rupee</v>
          </cell>
          <cell r="C240" t="str">
            <v>SALES_FX_INR</v>
          </cell>
        </row>
        <row r="241">
          <cell r="B241" t="str">
            <v>Sales - % FX: Canadian Dollar</v>
          </cell>
          <cell r="C241" t="str">
            <v>SALES_FX_CAD</v>
          </cell>
        </row>
        <row r="242">
          <cell r="B242" t="str">
            <v>Sales - % FX: Mexican Peso</v>
          </cell>
          <cell r="C242" t="str">
            <v>SALES_FX_MXN</v>
          </cell>
        </row>
        <row r="243">
          <cell r="B243" t="str">
            <v>Sales - % FX: Colombian Peso</v>
          </cell>
          <cell r="C243" t="str">
            <v>SALES_FX_COP</v>
          </cell>
        </row>
        <row r="244">
          <cell r="B244" t="str">
            <v>Sales - % FX: Argentine Peso</v>
          </cell>
          <cell r="C244" t="str">
            <v>SALES_FX_ARS</v>
          </cell>
        </row>
        <row r="245">
          <cell r="B245" t="str">
            <v>Sales - % FX: Chilean Peso</v>
          </cell>
          <cell r="C245" t="str">
            <v>SALES_FX_CLP</v>
          </cell>
        </row>
        <row r="246">
          <cell r="B246" t="str">
            <v>Sales - % FX: Venezuelan bolivar</v>
          </cell>
          <cell r="C246" t="str">
            <v>SALES_FX_VEF</v>
          </cell>
        </row>
        <row r="247">
          <cell r="B247" t="str">
            <v>Sales - % FX: Other Currency</v>
          </cell>
          <cell r="C247" t="str">
            <v>SALES_FX_OTH</v>
          </cell>
        </row>
        <row r="248">
          <cell r="A248" t="str">
            <v>Items to be removed</v>
          </cell>
        </row>
        <row r="249">
          <cell r="B249" t="str">
            <v>Sales - Total % Americas</v>
          </cell>
          <cell r="C249" t="str">
            <v>SALES_TOT_AM</v>
          </cell>
        </row>
        <row r="250">
          <cell r="B250" t="str">
            <v>Sales - % Other Americas</v>
          </cell>
          <cell r="C250" t="str">
            <v>SALES_OTH_AM</v>
          </cell>
        </row>
        <row r="251">
          <cell r="B251" t="str">
            <v>Sales - Total % EMEA</v>
          </cell>
          <cell r="C251" t="str">
            <v>SALES_TOT_EMEA</v>
          </cell>
        </row>
        <row r="252">
          <cell r="B252" t="str">
            <v>Sales - % Western Europe-Ex UK</v>
          </cell>
          <cell r="C252" t="str">
            <v>SALES_EU_EX_UK</v>
          </cell>
        </row>
        <row r="253">
          <cell r="B253" t="str">
            <v>Sales - % Central &amp; Eastern Europe</v>
          </cell>
          <cell r="C253" t="str">
            <v>SALES_CEE</v>
          </cell>
        </row>
        <row r="254">
          <cell r="B254" t="str">
            <v>Sales - % Middle East</v>
          </cell>
          <cell r="C254" t="str">
            <v>SALES_ME</v>
          </cell>
        </row>
        <row r="255">
          <cell r="B255" t="str">
            <v>Sales - % Total Africa</v>
          </cell>
          <cell r="C255" t="str">
            <v>SALES_TOT_AFRICA</v>
          </cell>
        </row>
        <row r="256">
          <cell r="B256" t="str">
            <v>Sales - % Other EMEA</v>
          </cell>
          <cell r="C256" t="str">
            <v>SALES_OTH_EMEA</v>
          </cell>
        </row>
        <row r="257">
          <cell r="B257" t="str">
            <v>Sales - Total % Asia (incl Australia &amp; New Zealand)</v>
          </cell>
          <cell r="C257" t="str">
            <v>SALES_TOT_ASIA</v>
          </cell>
        </row>
        <row r="258">
          <cell r="B258" t="str">
            <v>Sales - % Other Asia</v>
          </cell>
          <cell r="C258" t="str">
            <v>SALES_OTH_AEJ</v>
          </cell>
        </row>
        <row r="259">
          <cell r="A259" t="str">
            <v>Security: Microsoft Corp.</v>
          </cell>
        </row>
        <row r="260">
          <cell r="A260" t="str">
            <v>Reference Data</v>
          </cell>
        </row>
        <row r="261">
          <cell r="B261" t="str">
            <v>Ticker</v>
          </cell>
          <cell r="C261" t="str">
            <v>Ticker</v>
          </cell>
          <cell r="E261" t="str">
            <v>MSFT</v>
          </cell>
        </row>
        <row r="262">
          <cell r="B262" t="str">
            <v>Security Name</v>
          </cell>
          <cell r="C262" t="str">
            <v>Security Name</v>
          </cell>
          <cell r="E262" t="str">
            <v>Microsoft Corp.</v>
          </cell>
        </row>
        <row r="263">
          <cell r="B263" t="str">
            <v>Interim Type</v>
          </cell>
          <cell r="C263" t="str">
            <v>Interim Type</v>
          </cell>
          <cell r="E263" t="str">
            <v>Q</v>
          </cell>
        </row>
        <row r="264">
          <cell r="B264" t="str">
            <v>Publishing Currency</v>
          </cell>
          <cell r="C264" t="str">
            <v>PUB_CURRENCY_ISO</v>
          </cell>
          <cell r="E264" t="str">
            <v>USD</v>
          </cell>
        </row>
        <row r="265">
          <cell r="B265" t="str">
            <v>Pricing Currency</v>
          </cell>
          <cell r="C265" t="str">
            <v>PRICE_CURRENCY_ISO</v>
          </cell>
          <cell r="E265" t="str">
            <v>USD</v>
          </cell>
        </row>
        <row r="266">
          <cell r="B266" t="str">
            <v>Reporting Currency</v>
          </cell>
          <cell r="C266" t="str">
            <v>CURRENCY_ISO</v>
          </cell>
          <cell r="E266" t="str">
            <v>USD</v>
          </cell>
        </row>
        <row r="267">
          <cell r="A267" t="str">
            <v>General Information</v>
          </cell>
        </row>
        <row r="268">
          <cell r="B268" t="str">
            <v>Americas Investment List</v>
          </cell>
          <cell r="C268" t="str">
            <v>AMER_LIST</v>
          </cell>
          <cell r="E268" t="str">
            <v>Buy</v>
          </cell>
        </row>
        <row r="269">
          <cell r="B269" t="str">
            <v>Americas Conviction List</v>
          </cell>
          <cell r="C269" t="str">
            <v>NOT IN USE</v>
          </cell>
        </row>
        <row r="270">
          <cell r="B270" t="str">
            <v>Legal rating</v>
          </cell>
          <cell r="C270" t="str">
            <v>LEGAL_RATING</v>
          </cell>
        </row>
        <row r="271">
          <cell r="B271" t="str">
            <v>Target price</v>
          </cell>
          <cell r="C271" t="str">
            <v>TARGET_PRICE</v>
          </cell>
          <cell r="D271" t="str">
            <v>USD</v>
          </cell>
          <cell r="E271">
            <v>515</v>
          </cell>
        </row>
        <row r="272">
          <cell r="B272" t="str">
            <v>Target price period</v>
          </cell>
          <cell r="C272" t="str">
            <v>TP_PERIOD</v>
          </cell>
          <cell r="E272" t="str">
            <v>12 months</v>
          </cell>
        </row>
        <row r="273">
          <cell r="B273" t="str">
            <v>Fundamental value</v>
          </cell>
          <cell r="C273" t="str">
            <v>TARGET_PRICE_FUNDAMENTAL</v>
          </cell>
          <cell r="D273" t="str">
            <v>USD</v>
          </cell>
          <cell r="E273">
            <v>515</v>
          </cell>
        </row>
        <row r="274">
          <cell r="B274" t="str">
            <v>M&amp;A value</v>
          </cell>
          <cell r="C274" t="str">
            <v>TARGET_PRICE_MA</v>
          </cell>
          <cell r="D274" t="str">
            <v>USD</v>
          </cell>
        </row>
        <row r="275">
          <cell r="B275" t="str">
            <v>Current shares outstanding (mn)</v>
          </cell>
          <cell r="C275" t="str">
            <v>NUM_SH</v>
          </cell>
          <cell r="E275">
            <v>7472</v>
          </cell>
        </row>
        <row r="276">
          <cell r="B276" t="str">
            <v>Free float</v>
          </cell>
          <cell r="C276" t="str">
            <v>FREE_FLOAT</v>
          </cell>
        </row>
        <row r="277">
          <cell r="A277" t="str">
            <v>Publishing Items</v>
          </cell>
        </row>
        <row r="278">
          <cell r="B278" t="str">
            <v>Book value per share, BVPS (Pub)</v>
          </cell>
          <cell r="C278" t="str">
            <v>BVPS_PUB</v>
          </cell>
          <cell r="D278" t="str">
            <v>USD</v>
          </cell>
          <cell r="F278">
            <v>9.3508771929824555</v>
          </cell>
          <cell r="G278">
            <v>10.0015625</v>
          </cell>
          <cell r="H278">
            <v>10.760188087774294</v>
          </cell>
          <cell r="I278">
            <v>11.464788732394366</v>
          </cell>
          <cell r="J278">
            <v>11.888372093023255</v>
          </cell>
          <cell r="K278">
            <v>11.971896955503514</v>
          </cell>
          <cell r="L278">
            <v>6.2418856259659972</v>
          </cell>
          <cell r="M278">
            <v>8.0350000000000001</v>
          </cell>
          <cell r="N278">
            <v>3.8058333333333332</v>
          </cell>
          <cell r="O278">
            <v>4.4904166666666665</v>
          </cell>
          <cell r="P278">
            <v>5.9100630655333148</v>
          </cell>
          <cell r="Q278">
            <v>8.600150037509378</v>
          </cell>
          <cell r="R278">
            <v>10.118032786885246</v>
          </cell>
          <cell r="S278">
            <v>5.9902040816326529</v>
          </cell>
          <cell r="T278">
            <v>6.5203921568627452</v>
          </cell>
          <cell r="U278">
            <v>8.805507745266782</v>
          </cell>
          <cell r="V278">
            <v>7.7268686868686869</v>
          </cell>
          <cell r="W278">
            <v>9.0312000000000001</v>
          </cell>
          <cell r="X278">
            <v>5.0435294117647063</v>
          </cell>
          <cell r="Y278">
            <v>5.5760784313725491</v>
          </cell>
          <cell r="Z278">
            <v>7.4960131795716638</v>
          </cell>
          <cell r="AA278">
            <v>6.1450980392156866</v>
          </cell>
          <cell r="AB278">
            <v>6.6517307692307694</v>
          </cell>
          <cell r="AC278">
            <v>7.6523076923076925</v>
          </cell>
          <cell r="AD278">
            <v>7.750285714285714</v>
          </cell>
          <cell r="AE278">
            <v>7.8436626506024094</v>
          </cell>
          <cell r="AF278">
            <v>8.5568975278354404</v>
          </cell>
          <cell r="AG278">
            <v>8.709568480300188</v>
          </cell>
          <cell r="AH278">
            <v>9.0123688155922039</v>
          </cell>
          <cell r="AI278">
            <v>8.7881434677569228</v>
          </cell>
          <cell r="AJ278">
            <v>8.8614260282956998</v>
          </cell>
          <cell r="AK278">
            <v>8.9857354575768795</v>
          </cell>
          <cell r="AL278">
            <v>9.5547729379054687</v>
          </cell>
          <cell r="AM278">
            <v>10.02770083102493</v>
          </cell>
          <cell r="AN278">
            <v>9.6361957525392423</v>
          </cell>
          <cell r="AO278">
            <v>9.6526846413541136</v>
          </cell>
          <cell r="AP278">
            <v>4.9833317813576681</v>
          </cell>
          <cell r="AQ278">
            <v>5.2146127254040922</v>
          </cell>
          <cell r="AR278">
            <v>5.4392907139524036</v>
          </cell>
          <cell r="AS278">
            <v>5.6831517183570828</v>
          </cell>
          <cell r="AT278">
            <v>5.6903063365505666</v>
          </cell>
          <cell r="AU278">
            <v>6.1677920636388865</v>
          </cell>
          <cell r="AV278">
            <v>6.4147086031452361</v>
          </cell>
          <cell r="AW278">
            <v>6.5442744552619381</v>
          </cell>
          <cell r="AX278">
            <v>6.9243938552655928</v>
          </cell>
          <cell r="AY278">
            <v>6.9263167638618901</v>
          </cell>
          <cell r="AZ278">
            <v>7.0191299549342405</v>
          </cell>
          <cell r="BA278">
            <v>4.3423738163096441</v>
          </cell>
          <cell r="BB278">
            <v>4.3637619749447314</v>
          </cell>
          <cell r="BC278">
            <v>4.4758139534883723</v>
          </cell>
          <cell r="BD278">
            <v>4.4390626441553644</v>
          </cell>
          <cell r="BE278">
            <v>4.5182311144353031</v>
          </cell>
          <cell r="BF278">
            <v>4.1863636363636365</v>
          </cell>
          <cell r="BG278">
            <v>4.0801708240318355</v>
          </cell>
          <cell r="BH278">
            <v>3.9371686628706066</v>
          </cell>
          <cell r="BI278">
            <v>3.8427596119295724</v>
          </cell>
          <cell r="BJ278">
            <v>3.6359149964749724</v>
          </cell>
          <cell r="BK278">
            <v>3.7358759942892106</v>
          </cell>
          <cell r="BL278">
            <v>3.5961953727506426</v>
          </cell>
          <cell r="BM278">
            <v>3.2709582412958871</v>
          </cell>
          <cell r="BN278">
            <v>3.1921369363820671</v>
          </cell>
          <cell r="BO278">
            <v>3.4259061833688698</v>
          </cell>
          <cell r="BP278">
            <v>3.6781326781326782</v>
          </cell>
          <cell r="BQ278">
            <v>4.0350273987321374</v>
          </cell>
          <cell r="BR278">
            <v>3.9168825561312608</v>
          </cell>
          <cell r="BS278">
            <v>3.8900085763293308</v>
          </cell>
          <cell r="BT278">
            <v>3.6981505944517834</v>
          </cell>
          <cell r="BU278">
            <v>3.8726272043131527</v>
          </cell>
          <cell r="BV278">
            <v>4.155100663592397</v>
          </cell>
          <cell r="BW278">
            <v>4.4442197505898218</v>
          </cell>
          <cell r="BX278">
            <v>4.4224824617792562</v>
          </cell>
          <cell r="BY278">
            <v>4.6232892079874359</v>
          </cell>
          <cell r="BZ278">
            <v>5.0003387533875339</v>
          </cell>
          <cell r="CA278">
            <v>5.2138701950496182</v>
          </cell>
          <cell r="CB278">
            <v>5.3001606978879705</v>
          </cell>
          <cell r="CC278">
            <v>5.2398649607081049</v>
          </cell>
          <cell r="CD278">
            <v>5.4495008126306015</v>
          </cell>
          <cell r="CE278">
            <v>5.7056608214663997</v>
          </cell>
          <cell r="CF278">
            <v>6.3482185273159146</v>
          </cell>
          <cell r="CG278">
            <v>6.7722149721200617</v>
          </cell>
          <cell r="CH278">
            <v>6.7235571260306246</v>
          </cell>
          <cell r="CI278">
            <v>7.0770972354623449</v>
          </cell>
          <cell r="CJ278">
            <v>7.6316353249226374</v>
          </cell>
          <cell r="CK278">
            <v>8.1727175336269493</v>
          </cell>
          <cell r="CL278">
            <v>7.9116595135908439</v>
          </cell>
          <cell r="CM278">
            <v>7.9043563707828364</v>
          </cell>
          <cell r="CN278">
            <v>8.198666031443544</v>
          </cell>
          <cell r="CO278">
            <v>8.6472060050041701</v>
          </cell>
          <cell r="CP278">
            <v>9.1688187470109987</v>
          </cell>
          <cell r="CQ278">
            <v>9.4600359496704609</v>
          </cell>
          <cell r="CR278">
            <v>9.4267120425100011</v>
          </cell>
          <cell r="CS278">
            <v>9.7902626214174369</v>
          </cell>
          <cell r="CT278">
            <v>10.220994475138122</v>
          </cell>
          <cell r="CU278">
            <v>10.553355866731048</v>
          </cell>
          <cell r="CV278">
            <v>10.88818821246665</v>
          </cell>
          <cell r="CW278">
            <v>10.818978761861727</v>
          </cell>
          <cell r="CX278">
            <v>10.931021942053583</v>
          </cell>
          <cell r="CY278">
            <v>11.166626154594068</v>
          </cell>
          <cell r="CZ278">
            <v>11.036120974654096</v>
          </cell>
          <cell r="DA278">
            <v>9.9346234958441872</v>
          </cell>
          <cell r="DB278">
            <v>9.7945879834887624</v>
          </cell>
          <cell r="DC278">
            <v>9.6854677338669326</v>
          </cell>
          <cell r="DD278">
            <v>9.6408839779005522</v>
          </cell>
          <cell r="DE278">
            <v>9.4751108296390125</v>
          </cell>
          <cell r="DF278">
            <v>9.180948737566947</v>
          </cell>
          <cell r="DG278">
            <v>9.0856547938290682</v>
          </cell>
          <cell r="DH278">
            <v>10.586981640775452</v>
          </cell>
          <cell r="DI278">
            <v>10.551773049645391</v>
          </cell>
          <cell r="DJ278">
            <v>10.807896440129451</v>
          </cell>
          <cell r="DK278">
            <v>11.368891769280623</v>
          </cell>
          <cell r="DL278">
            <v>11.323392718822618</v>
          </cell>
          <cell r="DM278">
            <v>11.630384016606124</v>
          </cell>
          <cell r="DN278">
            <v>10.163424124513618</v>
          </cell>
          <cell r="DO278">
            <v>10.293452844894778</v>
          </cell>
          <cell r="DP278">
            <v>10.76636730443837</v>
          </cell>
          <cell r="DQ278">
            <v>10.742946199551934</v>
          </cell>
          <cell r="DR278">
            <v>11.203831617359572</v>
          </cell>
          <cell r="DS278">
            <v>11.977119084763391</v>
          </cell>
          <cell r="DT278">
            <v>12.364963503649635</v>
          </cell>
          <cell r="DU278">
            <v>13.36773350751143</v>
          </cell>
          <cell r="DV278">
            <v>13.336374299491725</v>
          </cell>
          <cell r="DW278">
            <v>13.893240764998691</v>
          </cell>
          <cell r="DX278">
            <v>14.448103923369636</v>
          </cell>
          <cell r="DY278">
            <v>15.061957379636938</v>
          </cell>
          <cell r="DZ278">
            <v>15.607387862796834</v>
          </cell>
          <cell r="EA278">
            <v>15.547392975654631</v>
          </cell>
          <cell r="EB278">
            <v>16.308749669574411</v>
          </cell>
          <cell r="EC278">
            <v>17.238385175380543</v>
          </cell>
          <cell r="ED278">
            <v>17.841225626740947</v>
          </cell>
          <cell r="EE278">
            <v>18.863823568486779</v>
          </cell>
          <cell r="EF278">
            <v>18.813833311249503</v>
          </cell>
          <cell r="EG278">
            <v>20.228670304805004</v>
          </cell>
          <cell r="EH278">
            <v>21.320453031312457</v>
          </cell>
          <cell r="EI278">
            <v>21.743493927665821</v>
          </cell>
          <cell r="EJ278">
            <v>22.282847203639282</v>
          </cell>
          <cell r="EK278">
            <v>22.217449306296693</v>
          </cell>
          <cell r="EL278">
            <v>23.275579991953869</v>
          </cell>
          <cell r="EM278">
            <v>24.578714266541404</v>
          </cell>
          <cell r="EN278">
            <v>26.163553285848675</v>
          </cell>
          <cell r="EO278">
            <v>27.740516545601292</v>
          </cell>
          <cell r="EP278">
            <v>27.695809830781627</v>
          </cell>
          <cell r="EQ278">
            <v>29.70978597388612</v>
          </cell>
          <cell r="ER278">
            <v>32.059741657696449</v>
          </cell>
          <cell r="ES278">
            <v>34.067016552280982</v>
          </cell>
          <cell r="ET278">
            <v>36.744738297129281</v>
          </cell>
          <cell r="EU278">
            <v>36.757099441681902</v>
          </cell>
          <cell r="EV278">
            <v>39.775415385008344</v>
          </cell>
          <cell r="EW278">
            <v>42.858108633684367</v>
          </cell>
          <cell r="EX278">
            <v>45.944954223508432</v>
          </cell>
          <cell r="EY278">
            <v>49.31947476884045</v>
          </cell>
          <cell r="EZ278">
            <v>49.293299649165526</v>
          </cell>
          <cell r="FA278">
            <v>52.957753501666673</v>
          </cell>
          <cell r="FB278">
            <v>56.71560044033653</v>
          </cell>
          <cell r="FC278">
            <v>60.471954385786951</v>
          </cell>
          <cell r="FD278">
            <v>64.544308578975006</v>
          </cell>
          <cell r="FE278">
            <v>64.415380074905372</v>
          </cell>
        </row>
        <row r="279">
          <cell r="B279" t="str">
            <v>DPS, dividend per share (Pub)</v>
          </cell>
          <cell r="C279" t="str">
            <v>DPS_PUB</v>
          </cell>
          <cell r="D279" t="str">
            <v>USD</v>
          </cell>
        </row>
        <row r="280">
          <cell r="B280" t="str">
            <v>Special dividend per share</v>
          </cell>
          <cell r="C280" t="str">
            <v>DPS_SPECIAL_PUB</v>
          </cell>
          <cell r="D280" t="str">
            <v>USD</v>
          </cell>
        </row>
        <row r="281">
          <cell r="B281" t="str">
            <v>EBITDA (Pub)</v>
          </cell>
          <cell r="C281" t="str">
            <v>EBITDA_PUB</v>
          </cell>
          <cell r="D281" t="str">
            <v>USD</v>
          </cell>
          <cell r="F281">
            <v>2307</v>
          </cell>
          <cell r="G281">
            <v>777</v>
          </cell>
          <cell r="H281">
            <v>864</v>
          </cell>
          <cell r="I281">
            <v>963</v>
          </cell>
          <cell r="J281">
            <v>954</v>
          </cell>
          <cell r="K281">
            <v>3558</v>
          </cell>
          <cell r="L281">
            <v>902</v>
          </cell>
          <cell r="M281">
            <v>1081</v>
          </cell>
          <cell r="N281">
            <v>1568</v>
          </cell>
          <cell r="O281">
            <v>1579</v>
          </cell>
          <cell r="P281">
            <v>5130</v>
          </cell>
          <cell r="Q281">
            <v>1131</v>
          </cell>
          <cell r="R281">
            <v>1663</v>
          </cell>
          <cell r="S281">
            <v>1927</v>
          </cell>
          <cell r="T281">
            <v>1923</v>
          </cell>
          <cell r="U281">
            <v>6644</v>
          </cell>
          <cell r="V281">
            <v>2261</v>
          </cell>
          <cell r="W281">
            <v>2891</v>
          </cell>
          <cell r="X281">
            <v>2387</v>
          </cell>
          <cell r="Y281">
            <v>3315</v>
          </cell>
          <cell r="Z281">
            <v>10854</v>
          </cell>
          <cell r="AA281">
            <v>3207</v>
          </cell>
          <cell r="AB281">
            <v>3243</v>
          </cell>
          <cell r="AC281">
            <v>3003</v>
          </cell>
          <cell r="AD281">
            <v>2232</v>
          </cell>
          <cell r="AE281">
            <v>11685</v>
          </cell>
          <cell r="AF281">
            <v>3027</v>
          </cell>
          <cell r="AG281">
            <v>3433</v>
          </cell>
          <cell r="AH281">
            <v>3481</v>
          </cell>
          <cell r="AI281">
            <v>3315</v>
          </cell>
          <cell r="AJ281">
            <v>13256</v>
          </cell>
          <cell r="AK281">
            <v>3179</v>
          </cell>
          <cell r="AL281">
            <v>3136</v>
          </cell>
          <cell r="AM281">
            <v>3446</v>
          </cell>
          <cell r="AN281">
            <v>3233</v>
          </cell>
          <cell r="AO281">
            <v>12994</v>
          </cell>
          <cell r="AP281">
            <v>3301</v>
          </cell>
          <cell r="AQ281">
            <v>2508</v>
          </cell>
          <cell r="AR281">
            <v>3127</v>
          </cell>
          <cell r="AS281">
            <v>2002</v>
          </cell>
          <cell r="AT281">
            <v>10938</v>
          </cell>
          <cell r="AU281">
            <v>3476</v>
          </cell>
          <cell r="AV281">
            <v>1775</v>
          </cell>
          <cell r="AW281">
            <v>1527</v>
          </cell>
          <cell r="AX281">
            <v>3442</v>
          </cell>
          <cell r="AY281">
            <v>10220</v>
          </cell>
          <cell r="AZ281">
            <v>3677</v>
          </cell>
          <cell r="BA281">
            <v>4857</v>
          </cell>
          <cell r="BB281">
            <v>3611</v>
          </cell>
          <cell r="BC281">
            <v>3271</v>
          </cell>
          <cell r="BD281">
            <v>15416</v>
          </cell>
          <cell r="BE281">
            <v>4280</v>
          </cell>
          <cell r="BF281">
            <v>4888</v>
          </cell>
          <cell r="BG281">
            <v>4065</v>
          </cell>
          <cell r="BH281">
            <v>4142</v>
          </cell>
          <cell r="BI281">
            <v>17375</v>
          </cell>
          <cell r="BJ281">
            <v>4723</v>
          </cell>
          <cell r="BK281">
            <v>3837</v>
          </cell>
          <cell r="BL281">
            <v>7034</v>
          </cell>
          <cell r="BM281">
            <v>4370</v>
          </cell>
          <cell r="BN281">
            <v>19964</v>
          </cell>
          <cell r="BO281">
            <v>6353</v>
          </cell>
          <cell r="BP281">
            <v>6962</v>
          </cell>
          <cell r="BQ281">
            <v>4941</v>
          </cell>
          <cell r="BR281">
            <v>6292</v>
          </cell>
          <cell r="BS281">
            <v>24548</v>
          </cell>
          <cell r="BT281">
            <v>6584</v>
          </cell>
          <cell r="BU281">
            <v>6571</v>
          </cell>
          <cell r="BV281">
            <v>5102</v>
          </cell>
          <cell r="BW281">
            <v>4668</v>
          </cell>
          <cell r="BX281">
            <v>22925</v>
          </cell>
          <cell r="BY281">
            <v>5128</v>
          </cell>
          <cell r="BZ281">
            <v>9128</v>
          </cell>
          <cell r="CA281">
            <v>5867</v>
          </cell>
          <cell r="CB281">
            <v>6648</v>
          </cell>
          <cell r="CC281">
            <v>26771</v>
          </cell>
          <cell r="CD281">
            <v>7810</v>
          </cell>
          <cell r="CE281">
            <v>8828</v>
          </cell>
          <cell r="CF281">
            <v>6429</v>
          </cell>
          <cell r="CG281">
            <v>6860</v>
          </cell>
          <cell r="CH281">
            <v>29927</v>
          </cell>
          <cell r="CI281">
            <v>7929</v>
          </cell>
          <cell r="CJ281">
            <v>8672</v>
          </cell>
          <cell r="CK281">
            <v>7140</v>
          </cell>
          <cell r="CL281">
            <v>989</v>
          </cell>
          <cell r="CM281">
            <v>24730</v>
          </cell>
          <cell r="CN281">
            <v>6018</v>
          </cell>
          <cell r="CO281">
            <v>8780</v>
          </cell>
          <cell r="CP281">
            <v>8665</v>
          </cell>
          <cell r="CQ281">
            <v>7056</v>
          </cell>
          <cell r="CR281">
            <v>30519</v>
          </cell>
          <cell r="CS281">
            <v>7288</v>
          </cell>
          <cell r="CT281">
            <v>9230</v>
          </cell>
          <cell r="CU281">
            <v>8229</v>
          </cell>
          <cell r="CV281">
            <v>8224</v>
          </cell>
          <cell r="CW281">
            <v>32971</v>
          </cell>
          <cell r="CX281">
            <v>7272</v>
          </cell>
          <cell r="CY281">
            <v>9297</v>
          </cell>
          <cell r="CZ281">
            <v>8109</v>
          </cell>
          <cell r="DA281">
            <v>-560</v>
          </cell>
          <cell r="DB281">
            <v>24118</v>
          </cell>
          <cell r="DC281">
            <v>7254</v>
          </cell>
          <cell r="DD281">
            <v>7570</v>
          </cell>
          <cell r="DE281">
            <v>6990</v>
          </cell>
          <cell r="DF281">
            <v>4990</v>
          </cell>
          <cell r="DG281">
            <v>26804</v>
          </cell>
          <cell r="DH281">
            <v>8531</v>
          </cell>
          <cell r="DI281">
            <v>10071</v>
          </cell>
          <cell r="DJ281">
            <v>9176</v>
          </cell>
          <cell r="DK281">
            <v>10025</v>
          </cell>
          <cell r="DL281">
            <v>37803</v>
          </cell>
          <cell r="DM281">
            <v>10207</v>
          </cell>
          <cell r="DN281">
            <v>11215</v>
          </cell>
          <cell r="DO281">
            <v>11002</v>
          </cell>
          <cell r="DP281">
            <v>12895</v>
          </cell>
          <cell r="DQ281">
            <v>45319</v>
          </cell>
          <cell r="DR281">
            <v>12792</v>
          </cell>
          <cell r="DS281">
            <v>13253</v>
          </cell>
          <cell r="DT281">
            <v>13267</v>
          </cell>
          <cell r="DU281">
            <v>15329</v>
          </cell>
          <cell r="DV281">
            <v>54641</v>
          </cell>
          <cell r="DW281">
            <v>15657</v>
          </cell>
          <cell r="DX281">
            <v>17094</v>
          </cell>
          <cell r="DY281">
            <v>16093</v>
          </cell>
          <cell r="DZ281">
            <v>16911</v>
          </cell>
          <cell r="EA281">
            <v>65755</v>
          </cell>
          <cell r="EB281">
            <v>18521</v>
          </cell>
          <cell r="EC281">
            <v>20658</v>
          </cell>
          <cell r="ED281">
            <v>19984</v>
          </cell>
          <cell r="EE281">
            <v>22439</v>
          </cell>
          <cell r="EF281">
            <v>81602</v>
          </cell>
          <cell r="EG281">
            <v>23450</v>
          </cell>
          <cell r="EH281">
            <v>25743</v>
          </cell>
          <cell r="EI281">
            <v>24137</v>
          </cell>
          <cell r="EJ281">
            <v>24513</v>
          </cell>
          <cell r="EK281">
            <v>97843</v>
          </cell>
          <cell r="EL281">
            <v>24308</v>
          </cell>
          <cell r="EM281">
            <v>24047</v>
          </cell>
          <cell r="EN281">
            <v>25901</v>
          </cell>
          <cell r="EO281">
            <v>28128</v>
          </cell>
          <cell r="EP281">
            <v>102384</v>
          </cell>
          <cell r="EQ281">
            <v>30816</v>
          </cell>
          <cell r="ER281">
            <v>32991</v>
          </cell>
          <cell r="ES281">
            <v>33608</v>
          </cell>
          <cell r="ET281">
            <v>33574.879646781228</v>
          </cell>
          <cell r="EU281">
            <v>130989.87964678122</v>
          </cell>
          <cell r="EV281">
            <v>36059.268619561328</v>
          </cell>
          <cell r="EW281">
            <v>39001.66164963648</v>
          </cell>
          <cell r="EX281">
            <v>38653.904098121784</v>
          </cell>
          <cell r="EY281">
            <v>39800.837037934311</v>
          </cell>
          <cell r="EZ281">
            <v>153515.6714052539</v>
          </cell>
          <cell r="FA281">
            <v>41401.97839035072</v>
          </cell>
          <cell r="FB281">
            <v>43212.559184375874</v>
          </cell>
          <cell r="FC281">
            <v>43332.12610712304</v>
          </cell>
          <cell r="FD281">
            <v>46121.415805375233</v>
          </cell>
          <cell r="FE281">
            <v>174068.07948722487</v>
          </cell>
        </row>
        <row r="282">
          <cell r="B282" t="str">
            <v>EPS (Pub)</v>
          </cell>
          <cell r="C282" t="str">
            <v>EPS_PUB</v>
          </cell>
          <cell r="D282" t="str">
            <v>USD</v>
          </cell>
          <cell r="F282">
            <v>2.3173843700159491</v>
          </cell>
          <cell r="G282">
            <v>0.77968749999999998</v>
          </cell>
          <cell r="H282">
            <v>0.90125391849529779</v>
          </cell>
          <cell r="I282">
            <v>0.87949921752738658</v>
          </cell>
          <cell r="J282">
            <v>0.8666666666666667</v>
          </cell>
          <cell r="K282">
            <v>3.4270101483216235</v>
          </cell>
          <cell r="L282">
            <v>0.47230769230769232</v>
          </cell>
          <cell r="M282">
            <v>0.56999999999999995</v>
          </cell>
          <cell r="N282">
            <v>0.40076923076923077</v>
          </cell>
          <cell r="O282">
            <v>0.39886792452830189</v>
          </cell>
          <cell r="P282">
            <v>1.76</v>
          </cell>
          <cell r="Q282">
            <v>0.49477611940298505</v>
          </cell>
          <cell r="R282">
            <v>0.84552238805970148</v>
          </cell>
          <cell r="S282">
            <v>0.49518518518518517</v>
          </cell>
          <cell r="T282">
            <v>0.48464285714285715</v>
          </cell>
          <cell r="U282">
            <v>2.19559902200489</v>
          </cell>
          <cell r="V282">
            <v>0.62333333333333329</v>
          </cell>
          <cell r="W282">
            <v>0.73444444444444446</v>
          </cell>
          <cell r="X282">
            <v>0.34854545454545455</v>
          </cell>
          <cell r="Y282">
            <v>0.3988407897120087</v>
          </cell>
          <cell r="Z282">
            <v>1.8963522318981791</v>
          </cell>
          <cell r="AA282">
            <v>0.39836363636363636</v>
          </cell>
          <cell r="AB282">
            <v>0.44290909090909092</v>
          </cell>
          <cell r="AC282">
            <v>0.43363636363636365</v>
          </cell>
          <cell r="AD282">
            <v>0.43507314430196858</v>
          </cell>
          <cell r="AE282">
            <v>1.7100331261060944</v>
          </cell>
          <cell r="AF282">
            <v>0.39697678603563075</v>
          </cell>
          <cell r="AG282">
            <v>0.47109515260323159</v>
          </cell>
          <cell r="AH282">
            <v>0.44058960992270357</v>
          </cell>
          <cell r="AI282">
            <v>1.1623748211731044E-2</v>
          </cell>
          <cell r="AJ282">
            <v>1.3187326092810341</v>
          </cell>
          <cell r="AK282">
            <v>0.23046524160229925</v>
          </cell>
          <cell r="AL282">
            <v>0.41090712742980562</v>
          </cell>
          <cell r="AM282">
            <v>0.49209202012940328</v>
          </cell>
          <cell r="AN282">
            <v>0.27576853526220613</v>
          </cell>
          <cell r="AO282">
            <v>1.4095512445424674</v>
          </cell>
          <cell r="AP282">
            <v>0.18668252080856124</v>
          </cell>
          <cell r="AQ282">
            <v>0.17195279365664762</v>
          </cell>
          <cell r="AR282">
            <v>0.19765617790901541</v>
          </cell>
          <cell r="AS282">
            <v>0.1365310255938133</v>
          </cell>
          <cell r="AT282">
            <v>0.69285615713694282</v>
          </cell>
          <cell r="AU282">
            <v>0.2401469912723932</v>
          </cell>
          <cell r="AV282">
            <v>0.14212313056243692</v>
          </cell>
          <cell r="AW282">
            <v>0.12113117170228445</v>
          </cell>
          <cell r="AX282">
            <v>0.24760677466863035</v>
          </cell>
          <cell r="AY282">
            <v>0.75101140125045973</v>
          </cell>
          <cell r="AZ282">
            <v>0.23150183150183151</v>
          </cell>
          <cell r="BA282">
            <v>0.3160825118656444</v>
          </cell>
          <cell r="BB282">
            <v>0.23447077120117099</v>
          </cell>
          <cell r="BC282">
            <v>0.34199094186153989</v>
          </cell>
          <cell r="BD282">
            <v>1.1235501765002522</v>
          </cell>
          <cell r="BE282">
            <v>0.29158930560712959</v>
          </cell>
          <cell r="BF282">
            <v>0.34339161496521903</v>
          </cell>
          <cell r="BG282">
            <v>0.285837734037446</v>
          </cell>
          <cell r="BH282">
            <v>0.27576791808873719</v>
          </cell>
          <cell r="BI282">
            <v>1.1976235741444867</v>
          </cell>
          <cell r="BJ282">
            <v>0.34745254745254744</v>
          </cell>
          <cell r="BK282">
            <v>0.26413196539931605</v>
          </cell>
          <cell r="BL282">
            <v>0.49949300344757658</v>
          </cell>
          <cell r="BM282">
            <v>0.31427979703841774</v>
          </cell>
          <cell r="BN282">
            <v>1.4253502571508196</v>
          </cell>
          <cell r="BO282">
            <v>0.45085672237990121</v>
          </cell>
          <cell r="BP282">
            <v>0.49531726823108491</v>
          </cell>
          <cell r="BQ282">
            <v>0.46542214679677557</v>
          </cell>
          <cell r="BR282">
            <v>0.45810234541577827</v>
          </cell>
          <cell r="BS282">
            <v>1.8698181049069373</v>
          </cell>
          <cell r="BT282">
            <v>0.47620603288685615</v>
          </cell>
          <cell r="BU282">
            <v>0.46825218757011444</v>
          </cell>
          <cell r="BV282">
            <v>0.33434411500449235</v>
          </cell>
          <cell r="BW282">
            <v>0.34106182795698925</v>
          </cell>
          <cell r="BX282">
            <v>1.62197667622255</v>
          </cell>
          <cell r="BY282">
            <v>0.39786262941110989</v>
          </cell>
          <cell r="BZ282">
            <v>0.74427438275053071</v>
          </cell>
          <cell r="CA282">
            <v>0.45132942767012169</v>
          </cell>
          <cell r="CB282">
            <v>0.5121868268903752</v>
          </cell>
          <cell r="CC282">
            <v>2.1060312649097694</v>
          </cell>
          <cell r="CD282">
            <v>0.62219666474985624</v>
          </cell>
          <cell r="CE282">
            <v>0.77409568261376893</v>
          </cell>
          <cell r="CF282">
            <v>0.61480611045828437</v>
          </cell>
          <cell r="CG282">
            <v>0.68935570942377655</v>
          </cell>
          <cell r="CH282">
            <v>2.7000233263354327</v>
          </cell>
          <cell r="CI282">
            <v>0.67585394581861014</v>
          </cell>
          <cell r="CJ282">
            <v>0.78251624335499115</v>
          </cell>
          <cell r="CK282">
            <v>0.60108260767239352</v>
          </cell>
          <cell r="CL282">
            <v>-5.8655221745350504E-2</v>
          </cell>
          <cell r="CM282">
            <v>2.0067964894654415</v>
          </cell>
          <cell r="CN282">
            <v>0.52578290558040974</v>
          </cell>
          <cell r="CO282">
            <v>0.75521080056845102</v>
          </cell>
          <cell r="CP282">
            <v>0.71835330406928466</v>
          </cell>
          <cell r="CQ282">
            <v>0.58813077469793884</v>
          </cell>
          <cell r="CR282">
            <v>2.5866485255405367</v>
          </cell>
          <cell r="CS282">
            <v>0.62176903011619633</v>
          </cell>
          <cell r="CT282">
            <v>0.7811792733770101</v>
          </cell>
          <cell r="CU282">
            <v>0.6764670730249791</v>
          </cell>
          <cell r="CV282">
            <v>0.55266626722588374</v>
          </cell>
          <cell r="CW282">
            <v>2.6324796517694762</v>
          </cell>
          <cell r="CX282">
            <v>0.54364746736917735</v>
          </cell>
          <cell r="CY282">
            <v>0.7066409545618898</v>
          </cell>
          <cell r="CZ282">
            <v>0.60519606652907609</v>
          </cell>
          <cell r="DA282">
            <v>-0.39635280982508375</v>
          </cell>
          <cell r="DB282">
            <v>1.4803618041643902</v>
          </cell>
          <cell r="DC282">
            <v>0.57277460947185721</v>
          </cell>
          <cell r="DD282">
            <v>0.62257100149476829</v>
          </cell>
          <cell r="DE282">
            <v>0.47038196618659989</v>
          </cell>
          <cell r="DF282">
            <v>0.39374448228023712</v>
          </cell>
          <cell r="DG282">
            <v>2.0614846288427895</v>
          </cell>
          <cell r="DH282">
            <v>0.71952767902488568</v>
          </cell>
          <cell r="DI282">
            <v>0.80038314176245207</v>
          </cell>
          <cell r="DJ282">
            <v>0.70216306156405994</v>
          </cell>
          <cell r="DK282">
            <v>1.033692031770433</v>
          </cell>
          <cell r="DL282">
            <v>3.2547805267358338</v>
          </cell>
          <cell r="DM282">
            <v>0.84318502372098991</v>
          </cell>
          <cell r="DN282">
            <v>-0.81738002594033721</v>
          </cell>
          <cell r="DO282">
            <v>0.95252758532204262</v>
          </cell>
          <cell r="DP282">
            <v>1.1412218649517685</v>
          </cell>
          <cell r="DQ282">
            <v>2.1328270802496943</v>
          </cell>
          <cell r="DR282">
            <v>1.1362348699459182</v>
          </cell>
          <cell r="DS282">
            <v>1.0839340885684861</v>
          </cell>
          <cell r="DT282">
            <v>1.1375258264462811</v>
          </cell>
          <cell r="DU282">
            <v>1.7059508408796895</v>
          </cell>
          <cell r="DV282">
            <v>5.0619195046439627</v>
          </cell>
          <cell r="DW282">
            <v>1.3849546044098573</v>
          </cell>
          <cell r="DX282">
            <v>1.5146274866727343</v>
          </cell>
          <cell r="DY282">
            <v>1.4009120521172638</v>
          </cell>
          <cell r="DZ282">
            <v>1.4643137254901961</v>
          </cell>
          <cell r="EA282">
            <v>5.7646293041723622</v>
          </cell>
          <cell r="EB282">
            <v>1.8191698310855047</v>
          </cell>
          <cell r="EC282">
            <v>2.0303308823529411</v>
          </cell>
          <cell r="ED282">
            <v>2.0346189285244174</v>
          </cell>
          <cell r="EE282">
            <v>2.1709537000395724</v>
          </cell>
          <cell r="EF282">
            <v>8.0534963196635125</v>
          </cell>
          <cell r="EG282">
            <v>2.7097925201532971</v>
          </cell>
          <cell r="EH282">
            <v>2.4837855724685638</v>
          </cell>
          <cell r="EI282">
            <v>2.2203344836740113</v>
          </cell>
          <cell r="EJ282">
            <v>2.2302158273381294</v>
          </cell>
          <cell r="EK282">
            <v>9.6469496021220156</v>
          </cell>
          <cell r="EL282">
            <v>2.3454909819639278</v>
          </cell>
          <cell r="EM282">
            <v>2.1979124849458049</v>
          </cell>
          <cell r="EN282">
            <v>2.4516345123258305</v>
          </cell>
          <cell r="EO282">
            <v>2.6892995848399623</v>
          </cell>
          <cell r="EP282">
            <v>9.6842880085653107</v>
          </cell>
          <cell r="EQ282">
            <v>2.9872688287322435</v>
          </cell>
          <cell r="ER282">
            <v>2.9284949116229244</v>
          </cell>
          <cell r="ES282">
            <v>2.936161670235546</v>
          </cell>
          <cell r="ET282">
            <v>3.0376847250287238</v>
          </cell>
          <cell r="EU282">
            <v>11.88949489854677</v>
          </cell>
          <cell r="EV282">
            <v>3.345359575051261</v>
          </cell>
          <cell r="EW282">
            <v>3.4943009930462181</v>
          </cell>
          <cell r="EX282">
            <v>3.4797709650896929</v>
          </cell>
          <cell r="EY282">
            <v>3.7181251466257086</v>
          </cell>
          <cell r="EZ282">
            <v>14.036819677774121</v>
          </cell>
          <cell r="FA282">
            <v>3.9630896177206862</v>
          </cell>
          <cell r="FB282">
            <v>4.1378412573461221</v>
          </cell>
          <cell r="FC282">
            <v>4.1298755910947582</v>
          </cell>
          <cell r="FD282">
            <v>4.4189291497373802</v>
          </cell>
          <cell r="FE282">
            <v>16.648908869616285</v>
          </cell>
        </row>
        <row r="283">
          <cell r="B283" t="str">
            <v>Consensus earnings equivalent estimate</v>
          </cell>
          <cell r="C283" t="str">
            <v>CEEE_EPS</v>
          </cell>
          <cell r="D283" t="str">
            <v>USD</v>
          </cell>
        </row>
        <row r="284">
          <cell r="B284" t="str">
            <v>EPS (excl. ESO) (Pub)</v>
          </cell>
          <cell r="C284" t="str">
            <v>EPS_PUB_EX_ESO</v>
          </cell>
          <cell r="D284" t="str">
            <v>USD</v>
          </cell>
        </row>
        <row r="285">
          <cell r="B285" t="str">
            <v>EV adjustment (Pub)</v>
          </cell>
          <cell r="C285" t="str">
            <v>EV_ADJ_PUB</v>
          </cell>
          <cell r="D285" t="str">
            <v>USD</v>
          </cell>
        </row>
        <row r="286">
          <cell r="B286" t="str">
            <v>Net debt (Pub)</v>
          </cell>
          <cell r="C286" t="str">
            <v>NET_DEBT_PUB</v>
          </cell>
          <cell r="D286" t="str">
            <v>USD</v>
          </cell>
          <cell r="F286">
            <v>-4750</v>
          </cell>
          <cell r="G286">
            <v>-5064</v>
          </cell>
          <cell r="H286">
            <v>-6017</v>
          </cell>
          <cell r="I286">
            <v>-6770</v>
          </cell>
          <cell r="J286">
            <v>-6940</v>
          </cell>
          <cell r="K286">
            <v>-6940</v>
          </cell>
          <cell r="L286">
            <v>-7098</v>
          </cell>
          <cell r="M286">
            <v>-9160</v>
          </cell>
          <cell r="N286">
            <v>-9086</v>
          </cell>
          <cell r="O286">
            <v>-8966</v>
          </cell>
          <cell r="P286">
            <v>-8966</v>
          </cell>
          <cell r="Q286">
            <v>-9634</v>
          </cell>
          <cell r="R286">
            <v>-10105</v>
          </cell>
          <cell r="S286">
            <v>-12322</v>
          </cell>
          <cell r="T286">
            <v>-13927</v>
          </cell>
          <cell r="U286">
            <v>-13927</v>
          </cell>
          <cell r="V286">
            <v>-17242</v>
          </cell>
          <cell r="W286">
            <v>-19237</v>
          </cell>
          <cell r="X286">
            <v>-21761</v>
          </cell>
          <cell r="Y286">
            <v>-17236</v>
          </cell>
          <cell r="Z286">
            <v>-17236</v>
          </cell>
          <cell r="AA286">
            <v>-18902</v>
          </cell>
          <cell r="AB286">
            <v>-17843</v>
          </cell>
          <cell r="AC286">
            <v>-21205</v>
          </cell>
          <cell r="AD286">
            <v>-23798</v>
          </cell>
          <cell r="AE286">
            <v>-23798</v>
          </cell>
          <cell r="AF286">
            <v>-24711</v>
          </cell>
          <cell r="AG286">
            <v>-26889</v>
          </cell>
          <cell r="AH286">
            <v>-30018</v>
          </cell>
          <cell r="AI286">
            <v>-31600</v>
          </cell>
          <cell r="AJ286">
            <v>-31600</v>
          </cell>
          <cell r="AK286">
            <v>-36163</v>
          </cell>
          <cell r="AL286">
            <v>-38229</v>
          </cell>
          <cell r="AM286">
            <v>-38693</v>
          </cell>
          <cell r="AN286">
            <v>-38652</v>
          </cell>
          <cell r="AO286">
            <v>-38652</v>
          </cell>
          <cell r="AP286">
            <v>-40475</v>
          </cell>
          <cell r="AQ286">
            <v>-43424</v>
          </cell>
          <cell r="AR286">
            <v>-46178</v>
          </cell>
          <cell r="AS286">
            <v>-49048</v>
          </cell>
          <cell r="AT286">
            <v>-49048</v>
          </cell>
          <cell r="AU286">
            <v>-51622</v>
          </cell>
          <cell r="AV286">
            <v>-52777</v>
          </cell>
          <cell r="AW286">
            <v>-56407</v>
          </cell>
          <cell r="AX286">
            <v>-60592</v>
          </cell>
          <cell r="AY286">
            <v>-60592</v>
          </cell>
          <cell r="AZ286">
            <v>-64415</v>
          </cell>
          <cell r="BA286">
            <v>-34504</v>
          </cell>
          <cell r="BB286">
            <v>-37594</v>
          </cell>
          <cell r="BC286">
            <v>-37751</v>
          </cell>
          <cell r="BD286">
            <v>-37751</v>
          </cell>
          <cell r="BE286">
            <v>-40056</v>
          </cell>
          <cell r="BF286">
            <v>-34701</v>
          </cell>
          <cell r="BG286">
            <v>-34816</v>
          </cell>
          <cell r="BH286">
            <v>-34161</v>
          </cell>
          <cell r="BI286">
            <v>-34161</v>
          </cell>
          <cell r="BJ286">
            <v>-31832</v>
          </cell>
          <cell r="BK286">
            <v>-28873</v>
          </cell>
          <cell r="BL286">
            <v>-28236</v>
          </cell>
          <cell r="BM286">
            <v>-23411</v>
          </cell>
          <cell r="BN286">
            <v>-23411</v>
          </cell>
          <cell r="BO286">
            <v>-21574</v>
          </cell>
          <cell r="BP286">
            <v>-21076</v>
          </cell>
          <cell r="BQ286">
            <v>-26341</v>
          </cell>
          <cell r="BR286">
            <v>-23662</v>
          </cell>
          <cell r="BS286">
            <v>-23662</v>
          </cell>
          <cell r="BT286">
            <v>-18747</v>
          </cell>
          <cell r="BU286">
            <v>-18715</v>
          </cell>
          <cell r="BV286">
            <v>-23341</v>
          </cell>
          <cell r="BW286">
            <v>-25701</v>
          </cell>
          <cell r="BX286">
            <v>-25701</v>
          </cell>
          <cell r="BY286">
            <v>-30732</v>
          </cell>
          <cell r="BZ286">
            <v>-30104</v>
          </cell>
          <cell r="CA286">
            <v>-33671</v>
          </cell>
          <cell r="CB286">
            <v>-30849</v>
          </cell>
          <cell r="CC286">
            <v>-30849</v>
          </cell>
          <cell r="CD286">
            <v>-33508</v>
          </cell>
          <cell r="CE286">
            <v>-31581</v>
          </cell>
          <cell r="CF286">
            <v>-38235</v>
          </cell>
          <cell r="CG286">
            <v>-40851</v>
          </cell>
          <cell r="CH286">
            <v>-40851</v>
          </cell>
          <cell r="CI286">
            <v>-45476</v>
          </cell>
          <cell r="CJ286">
            <v>-39804</v>
          </cell>
          <cell r="CK286">
            <v>-47591</v>
          </cell>
          <cell r="CL286">
            <v>-51096</v>
          </cell>
          <cell r="CM286">
            <v>-51096</v>
          </cell>
          <cell r="CN286">
            <v>-54694</v>
          </cell>
          <cell r="CO286">
            <v>-54124</v>
          </cell>
          <cell r="CP286">
            <v>-60288</v>
          </cell>
          <cell r="CQ286">
            <v>-61422</v>
          </cell>
          <cell r="CR286">
            <v>-61422</v>
          </cell>
          <cell r="CS286">
            <v>-64740</v>
          </cell>
          <cell r="CT286">
            <v>-60968</v>
          </cell>
          <cell r="CU286">
            <v>-65746</v>
          </cell>
          <cell r="CV286">
            <v>-63064</v>
          </cell>
          <cell r="CW286">
            <v>-63064</v>
          </cell>
          <cell r="CX286">
            <v>-65473</v>
          </cell>
          <cell r="CY286">
            <v>-61941</v>
          </cell>
          <cell r="CZ286">
            <v>-63570</v>
          </cell>
          <cell r="DA286">
            <v>-61234</v>
          </cell>
          <cell r="DB286">
            <v>-61234</v>
          </cell>
          <cell r="DC286">
            <v>-60788</v>
          </cell>
          <cell r="DD286">
            <v>-58211</v>
          </cell>
          <cell r="DE286">
            <v>-59158</v>
          </cell>
          <cell r="DF286">
            <v>-59553</v>
          </cell>
          <cell r="DG286">
            <v>-59553</v>
          </cell>
          <cell r="DH286">
            <v>-62242</v>
          </cell>
          <cell r="DI286">
            <v>-37811</v>
          </cell>
          <cell r="DJ286">
            <v>-42010</v>
          </cell>
          <cell r="DK286">
            <v>-46787</v>
          </cell>
          <cell r="DL286">
            <v>-46787</v>
          </cell>
          <cell r="DM286">
            <v>-52996</v>
          </cell>
          <cell r="DN286">
            <v>-53520</v>
          </cell>
          <cell r="DO286">
            <v>-55113</v>
          </cell>
          <cell r="DP286">
            <v>-57528</v>
          </cell>
          <cell r="DQ286">
            <v>-57528</v>
          </cell>
          <cell r="DR286">
            <v>-59650</v>
          </cell>
          <cell r="DS286">
            <v>-54493</v>
          </cell>
          <cell r="DT286">
            <v>-58518</v>
          </cell>
          <cell r="DU286">
            <v>-61641</v>
          </cell>
          <cell r="DV286">
            <v>-61641</v>
          </cell>
          <cell r="DW286">
            <v>-67141</v>
          </cell>
          <cell r="DX286">
            <v>-64645</v>
          </cell>
          <cell r="DY286">
            <v>-71016</v>
          </cell>
          <cell r="DZ286">
            <v>-73200</v>
          </cell>
          <cell r="EA286">
            <v>-73200</v>
          </cell>
          <cell r="EB286">
            <v>-74425</v>
          </cell>
          <cell r="EC286">
            <v>-71445</v>
          </cell>
          <cell r="ED286">
            <v>-67349</v>
          </cell>
          <cell r="EE286">
            <v>-72188</v>
          </cell>
          <cell r="EF286">
            <v>-72188</v>
          </cell>
          <cell r="EG286">
            <v>-77327</v>
          </cell>
          <cell r="EH286">
            <v>-72111</v>
          </cell>
          <cell r="EI286">
            <v>-54767</v>
          </cell>
          <cell r="EJ286">
            <v>-54976</v>
          </cell>
          <cell r="EK286">
            <v>-54976</v>
          </cell>
          <cell r="EL286">
            <v>-58640</v>
          </cell>
          <cell r="EM286">
            <v>-51392</v>
          </cell>
          <cell r="EN286">
            <v>-56217</v>
          </cell>
          <cell r="EO286">
            <v>-64025</v>
          </cell>
          <cell r="EP286">
            <v>-64025</v>
          </cell>
          <cell r="EQ286">
            <v>-72449</v>
          </cell>
          <cell r="ER286">
            <v>-6798</v>
          </cell>
          <cell r="ES286">
            <v>-14579</v>
          </cell>
          <cell r="ET286">
            <v>-39644.735657951242</v>
          </cell>
          <cell r="EU286">
            <v>-39644.735657951242</v>
          </cell>
          <cell r="EV286">
            <v>-55549.70648161479</v>
          </cell>
          <cell r="EW286">
            <v>-60245.888504219445</v>
          </cell>
          <cell r="EX286">
            <v>-77697.066479660105</v>
          </cell>
          <cell r="EY286">
            <v>-98097.596967208025</v>
          </cell>
          <cell r="EZ286">
            <v>-98097.596967208025</v>
          </cell>
          <cell r="FA286">
            <v>-125438.63357554603</v>
          </cell>
          <cell r="FB286">
            <v>-128339.91006710843</v>
          </cell>
          <cell r="FC286">
            <v>-157472.7500097545</v>
          </cell>
          <cell r="FD286">
            <v>-181844.08823530487</v>
          </cell>
          <cell r="FE286">
            <v>-181844.08823530487</v>
          </cell>
        </row>
        <row r="287">
          <cell r="B287" t="str">
            <v>Net Debt (ex leases) (Pub)</v>
          </cell>
          <cell r="C287" t="str">
            <v>NET_DEBT_EX_LEASES_PUB</v>
          </cell>
          <cell r="D287" t="str">
            <v>USD</v>
          </cell>
          <cell r="F287">
            <v>-4750</v>
          </cell>
          <cell r="G287">
            <v>-5064</v>
          </cell>
          <cell r="H287">
            <v>-6017</v>
          </cell>
          <cell r="I287">
            <v>-6770</v>
          </cell>
          <cell r="J287">
            <v>-6940</v>
          </cell>
          <cell r="K287">
            <v>-6940</v>
          </cell>
          <cell r="L287">
            <v>-7098</v>
          </cell>
          <cell r="M287">
            <v>-9160</v>
          </cell>
          <cell r="N287">
            <v>-9086</v>
          </cell>
          <cell r="O287">
            <v>-8966</v>
          </cell>
          <cell r="P287">
            <v>-8966</v>
          </cell>
          <cell r="Q287">
            <v>-9634</v>
          </cell>
          <cell r="R287">
            <v>-10105</v>
          </cell>
          <cell r="S287">
            <v>-12322</v>
          </cell>
          <cell r="T287">
            <v>-13927</v>
          </cell>
          <cell r="U287">
            <v>-13927</v>
          </cell>
          <cell r="V287">
            <v>-17242</v>
          </cell>
          <cell r="W287">
            <v>-19237</v>
          </cell>
          <cell r="X287">
            <v>-21761</v>
          </cell>
          <cell r="Y287">
            <v>-17236</v>
          </cell>
          <cell r="Z287">
            <v>-17236</v>
          </cell>
          <cell r="AA287">
            <v>-18902</v>
          </cell>
          <cell r="AB287">
            <v>-17843</v>
          </cell>
          <cell r="AC287">
            <v>-21205</v>
          </cell>
          <cell r="AD287">
            <v>-23798</v>
          </cell>
          <cell r="AE287">
            <v>-23798</v>
          </cell>
          <cell r="AF287">
            <v>-24711</v>
          </cell>
          <cell r="AG287">
            <v>-26889</v>
          </cell>
          <cell r="AH287">
            <v>-30018</v>
          </cell>
          <cell r="AI287">
            <v>-31600</v>
          </cell>
          <cell r="AJ287">
            <v>-31600</v>
          </cell>
          <cell r="AK287">
            <v>-36163</v>
          </cell>
          <cell r="AL287">
            <v>-38229</v>
          </cell>
          <cell r="AM287">
            <v>-38693</v>
          </cell>
          <cell r="AN287">
            <v>-38652</v>
          </cell>
          <cell r="AO287">
            <v>-38652</v>
          </cell>
          <cell r="AP287">
            <v>-40475</v>
          </cell>
          <cell r="AQ287">
            <v>-43424</v>
          </cell>
          <cell r="AR287">
            <v>-46178</v>
          </cell>
          <cell r="AS287">
            <v>-49048</v>
          </cell>
          <cell r="AT287">
            <v>-49048</v>
          </cell>
          <cell r="AU287">
            <v>-51622</v>
          </cell>
          <cell r="AV287">
            <v>-52777</v>
          </cell>
          <cell r="AW287">
            <v>-56407</v>
          </cell>
          <cell r="AX287">
            <v>-60592</v>
          </cell>
          <cell r="AY287">
            <v>-60592</v>
          </cell>
          <cell r="AZ287">
            <v>-64415</v>
          </cell>
          <cell r="BA287">
            <v>-34504</v>
          </cell>
          <cell r="BB287">
            <v>-37594</v>
          </cell>
          <cell r="BC287">
            <v>-37751</v>
          </cell>
          <cell r="BD287">
            <v>-37751</v>
          </cell>
          <cell r="BE287">
            <v>-40056</v>
          </cell>
          <cell r="BF287">
            <v>-34701</v>
          </cell>
          <cell r="BG287">
            <v>-34816</v>
          </cell>
          <cell r="BH287">
            <v>-34161</v>
          </cell>
          <cell r="BI287">
            <v>-34161</v>
          </cell>
          <cell r="BJ287">
            <v>-31832</v>
          </cell>
          <cell r="BK287">
            <v>-28873</v>
          </cell>
          <cell r="BL287">
            <v>-28236</v>
          </cell>
          <cell r="BM287">
            <v>-23411</v>
          </cell>
          <cell r="BN287">
            <v>-23411</v>
          </cell>
          <cell r="BO287">
            <v>-21574</v>
          </cell>
          <cell r="BP287">
            <v>-21076</v>
          </cell>
          <cell r="BQ287">
            <v>-26341</v>
          </cell>
          <cell r="BR287">
            <v>-23662</v>
          </cell>
          <cell r="BS287">
            <v>-23662</v>
          </cell>
          <cell r="BT287">
            <v>-18747</v>
          </cell>
          <cell r="BU287">
            <v>-18715</v>
          </cell>
          <cell r="BV287">
            <v>-23341</v>
          </cell>
          <cell r="BW287">
            <v>-25701</v>
          </cell>
          <cell r="BX287">
            <v>-25701</v>
          </cell>
          <cell r="BY287">
            <v>-30732</v>
          </cell>
          <cell r="BZ287">
            <v>-30104</v>
          </cell>
          <cell r="CA287">
            <v>-33671</v>
          </cell>
          <cell r="CB287">
            <v>-30849</v>
          </cell>
          <cell r="CC287">
            <v>-30849</v>
          </cell>
          <cell r="CD287">
            <v>-33508</v>
          </cell>
          <cell r="CE287">
            <v>-31581</v>
          </cell>
          <cell r="CF287">
            <v>-38235</v>
          </cell>
          <cell r="CG287">
            <v>-40851</v>
          </cell>
          <cell r="CH287">
            <v>-40851</v>
          </cell>
          <cell r="CI287">
            <v>-45476</v>
          </cell>
          <cell r="CJ287">
            <v>-39804</v>
          </cell>
          <cell r="CK287">
            <v>-47591</v>
          </cell>
          <cell r="CL287">
            <v>-51096</v>
          </cell>
          <cell r="CM287">
            <v>-51096</v>
          </cell>
          <cell r="CN287">
            <v>-54694</v>
          </cell>
          <cell r="CO287">
            <v>-54124</v>
          </cell>
          <cell r="CP287">
            <v>-60288</v>
          </cell>
          <cell r="CQ287">
            <v>-61422</v>
          </cell>
          <cell r="CR287">
            <v>-61422</v>
          </cell>
          <cell r="CS287">
            <v>-64740</v>
          </cell>
          <cell r="CT287">
            <v>-60968</v>
          </cell>
          <cell r="CU287">
            <v>-65746</v>
          </cell>
          <cell r="CV287">
            <v>-63064</v>
          </cell>
          <cell r="CW287">
            <v>-63064</v>
          </cell>
          <cell r="CX287">
            <v>-65473</v>
          </cell>
          <cell r="CY287">
            <v>-61941</v>
          </cell>
          <cell r="CZ287">
            <v>-63570</v>
          </cell>
          <cell r="DA287">
            <v>-61234</v>
          </cell>
          <cell r="DB287">
            <v>-61234</v>
          </cell>
          <cell r="DC287">
            <v>-60788</v>
          </cell>
          <cell r="DD287">
            <v>-58211</v>
          </cell>
          <cell r="DE287">
            <v>-59158</v>
          </cell>
          <cell r="DF287">
            <v>-59553</v>
          </cell>
          <cell r="DG287">
            <v>-59553</v>
          </cell>
          <cell r="DH287">
            <v>-62242</v>
          </cell>
          <cell r="DI287">
            <v>-37811</v>
          </cell>
          <cell r="DJ287">
            <v>-42010</v>
          </cell>
          <cell r="DK287">
            <v>-46787</v>
          </cell>
          <cell r="DL287">
            <v>-46787</v>
          </cell>
          <cell r="DM287">
            <v>-52996</v>
          </cell>
          <cell r="DN287">
            <v>-53520</v>
          </cell>
          <cell r="DO287">
            <v>-55113</v>
          </cell>
          <cell r="DP287">
            <v>-57528</v>
          </cell>
          <cell r="DQ287">
            <v>-57528</v>
          </cell>
          <cell r="DR287">
            <v>-59650</v>
          </cell>
          <cell r="DS287">
            <v>-54493</v>
          </cell>
          <cell r="DT287">
            <v>-58518</v>
          </cell>
          <cell r="DU287">
            <v>-61641</v>
          </cell>
          <cell r="DV287">
            <v>-61641</v>
          </cell>
          <cell r="DW287">
            <v>-67141</v>
          </cell>
          <cell r="DX287">
            <v>-64645</v>
          </cell>
          <cell r="DY287">
            <v>-71016</v>
          </cell>
          <cell r="DZ287">
            <v>-73200</v>
          </cell>
          <cell r="EA287">
            <v>-73200</v>
          </cell>
          <cell r="EB287">
            <v>-74425</v>
          </cell>
          <cell r="EC287">
            <v>-71445</v>
          </cell>
          <cell r="ED287">
            <v>-67349</v>
          </cell>
          <cell r="EE287">
            <v>-72188</v>
          </cell>
          <cell r="EF287">
            <v>-72188</v>
          </cell>
          <cell r="EG287">
            <v>-77327</v>
          </cell>
          <cell r="EH287">
            <v>-72111</v>
          </cell>
          <cell r="EI287">
            <v>-54767</v>
          </cell>
          <cell r="EJ287">
            <v>-54976</v>
          </cell>
          <cell r="EK287">
            <v>-54976</v>
          </cell>
          <cell r="EL287">
            <v>-58640</v>
          </cell>
          <cell r="EM287">
            <v>-51392</v>
          </cell>
          <cell r="EN287">
            <v>-56217</v>
          </cell>
          <cell r="EO287">
            <v>-64025</v>
          </cell>
          <cell r="EP287">
            <v>-64025</v>
          </cell>
          <cell r="EQ287">
            <v>-72449</v>
          </cell>
          <cell r="ER287">
            <v>-6798</v>
          </cell>
          <cell r="ES287">
            <v>-14579</v>
          </cell>
          <cell r="ET287">
            <v>-39644.735657951242</v>
          </cell>
          <cell r="EU287">
            <v>-39644.735657951242</v>
          </cell>
          <cell r="EV287">
            <v>-55549.70648161479</v>
          </cell>
          <cell r="EW287">
            <v>-60245.888504219445</v>
          </cell>
          <cell r="EX287">
            <v>-77697.066479660105</v>
          </cell>
          <cell r="EY287">
            <v>-98097.596967208025</v>
          </cell>
          <cell r="EZ287">
            <v>-98097.596967208025</v>
          </cell>
          <cell r="FA287">
            <v>-125438.63357554603</v>
          </cell>
          <cell r="FB287">
            <v>-128339.91006710843</v>
          </cell>
          <cell r="FC287">
            <v>-157472.7500097545</v>
          </cell>
          <cell r="FD287">
            <v>-181844.08823530487</v>
          </cell>
          <cell r="FE287">
            <v>-181844.08823530487</v>
          </cell>
        </row>
        <row r="288">
          <cell r="B288" t="str">
            <v>Consensus equivalent net debt</v>
          </cell>
          <cell r="C288" t="str">
            <v>CEEE_NDEBT</v>
          </cell>
          <cell r="D288" t="str">
            <v>USD</v>
          </cell>
        </row>
        <row r="289">
          <cell r="B289" t="str">
            <v>Net income (Pub)</v>
          </cell>
          <cell r="C289" t="str">
            <v>NI_PUB</v>
          </cell>
          <cell r="D289" t="str">
            <v>USD</v>
          </cell>
          <cell r="F289">
            <v>1453</v>
          </cell>
          <cell r="G289">
            <v>499</v>
          </cell>
          <cell r="H289">
            <v>575</v>
          </cell>
          <cell r="I289">
            <v>562</v>
          </cell>
          <cell r="J289">
            <v>559</v>
          </cell>
          <cell r="K289">
            <v>2195</v>
          </cell>
          <cell r="L289">
            <v>614</v>
          </cell>
          <cell r="M289">
            <v>741</v>
          </cell>
          <cell r="N289">
            <v>1042</v>
          </cell>
          <cell r="O289">
            <v>1057</v>
          </cell>
          <cell r="P289">
            <v>3454</v>
          </cell>
          <cell r="Q289">
            <v>663</v>
          </cell>
          <cell r="R289">
            <v>1133</v>
          </cell>
          <cell r="S289">
            <v>1337</v>
          </cell>
          <cell r="T289">
            <v>1357</v>
          </cell>
          <cell r="U289">
            <v>4490</v>
          </cell>
          <cell r="V289">
            <v>1683</v>
          </cell>
          <cell r="W289">
            <v>1983</v>
          </cell>
          <cell r="X289">
            <v>1917</v>
          </cell>
          <cell r="Y289">
            <v>2202</v>
          </cell>
          <cell r="Z289">
            <v>7785</v>
          </cell>
          <cell r="AA289">
            <v>2191</v>
          </cell>
          <cell r="AB289">
            <v>2436</v>
          </cell>
          <cell r="AC289">
            <v>2385</v>
          </cell>
          <cell r="AD289">
            <v>2409</v>
          </cell>
          <cell r="AE289">
            <v>9421</v>
          </cell>
          <cell r="AF289">
            <v>2206</v>
          </cell>
          <cell r="AG289">
            <v>2624</v>
          </cell>
          <cell r="AH289">
            <v>2451</v>
          </cell>
          <cell r="AI289">
            <v>65</v>
          </cell>
          <cell r="AJ289">
            <v>7346</v>
          </cell>
          <cell r="AK289">
            <v>1283</v>
          </cell>
          <cell r="AL289">
            <v>2283</v>
          </cell>
          <cell r="AM289">
            <v>2738</v>
          </cell>
          <cell r="AN289">
            <v>1525</v>
          </cell>
          <cell r="AO289">
            <v>7829</v>
          </cell>
          <cell r="AP289">
            <v>2041</v>
          </cell>
          <cell r="AQ289">
            <v>1865</v>
          </cell>
          <cell r="AR289">
            <v>2142</v>
          </cell>
          <cell r="AS289">
            <v>1483</v>
          </cell>
          <cell r="AT289">
            <v>7531</v>
          </cell>
          <cell r="AU289">
            <v>2614</v>
          </cell>
          <cell r="AV289">
            <v>1549</v>
          </cell>
          <cell r="AW289">
            <v>1315</v>
          </cell>
          <cell r="AX289">
            <v>2690</v>
          </cell>
          <cell r="AY289">
            <v>8168</v>
          </cell>
          <cell r="AZ289">
            <v>2528</v>
          </cell>
          <cell r="BA289">
            <v>3463</v>
          </cell>
          <cell r="BB289">
            <v>2563</v>
          </cell>
          <cell r="BC289">
            <v>3700</v>
          </cell>
          <cell r="BD289">
            <v>12254</v>
          </cell>
          <cell r="BE289">
            <v>3141</v>
          </cell>
          <cell r="BF289">
            <v>3653</v>
          </cell>
          <cell r="BG289">
            <v>2977</v>
          </cell>
          <cell r="BH289">
            <v>2828</v>
          </cell>
          <cell r="BI289">
            <v>12599</v>
          </cell>
          <cell r="BJ289">
            <v>3478</v>
          </cell>
          <cell r="BK289">
            <v>2626</v>
          </cell>
          <cell r="BL289">
            <v>4926</v>
          </cell>
          <cell r="BM289">
            <v>3035</v>
          </cell>
          <cell r="BN289">
            <v>14065</v>
          </cell>
          <cell r="BO289">
            <v>4289</v>
          </cell>
          <cell r="BP289">
            <v>4707</v>
          </cell>
          <cell r="BQ289">
            <v>4388</v>
          </cell>
          <cell r="BR289">
            <v>4297</v>
          </cell>
          <cell r="BS289">
            <v>17681</v>
          </cell>
          <cell r="BT289">
            <v>4373</v>
          </cell>
          <cell r="BU289">
            <v>4174</v>
          </cell>
          <cell r="BV289">
            <v>2977</v>
          </cell>
          <cell r="BW289">
            <v>3045</v>
          </cell>
          <cell r="BX289">
            <v>14569</v>
          </cell>
          <cell r="BY289">
            <v>3574</v>
          </cell>
          <cell r="BZ289">
            <v>6662</v>
          </cell>
          <cell r="CA289">
            <v>4006</v>
          </cell>
          <cell r="CB289">
            <v>4518</v>
          </cell>
          <cell r="CC289">
            <v>18760</v>
          </cell>
          <cell r="CD289">
            <v>5410</v>
          </cell>
          <cell r="CE289">
            <v>6634</v>
          </cell>
          <cell r="CF289">
            <v>5232</v>
          </cell>
          <cell r="CG289">
            <v>5874</v>
          </cell>
          <cell r="CH289">
            <v>23150</v>
          </cell>
          <cell r="CI289">
            <v>5738</v>
          </cell>
          <cell r="CJ289">
            <v>6624</v>
          </cell>
          <cell r="CK289">
            <v>5108</v>
          </cell>
          <cell r="CL289">
            <v>-492</v>
          </cell>
          <cell r="CM289">
            <v>16978</v>
          </cell>
          <cell r="CN289">
            <v>4466</v>
          </cell>
          <cell r="CO289">
            <v>6377</v>
          </cell>
          <cell r="CP289">
            <v>6055</v>
          </cell>
          <cell r="CQ289">
            <v>4965</v>
          </cell>
          <cell r="CR289">
            <v>21863</v>
          </cell>
          <cell r="CS289">
            <v>5244</v>
          </cell>
          <cell r="CT289">
            <v>6558</v>
          </cell>
          <cell r="CU289">
            <v>5660</v>
          </cell>
          <cell r="CV289">
            <v>4612</v>
          </cell>
          <cell r="CW289">
            <v>22074</v>
          </cell>
          <cell r="CX289">
            <v>4540</v>
          </cell>
          <cell r="CY289">
            <v>5863</v>
          </cell>
          <cell r="CZ289">
            <v>4985</v>
          </cell>
          <cell r="DA289">
            <v>-3195</v>
          </cell>
          <cell r="DB289">
            <v>12193</v>
          </cell>
          <cell r="DC289">
            <v>4620</v>
          </cell>
          <cell r="DD289">
            <v>4998</v>
          </cell>
          <cell r="DE289">
            <v>3756</v>
          </cell>
          <cell r="DF289">
            <v>3122</v>
          </cell>
          <cell r="DG289">
            <v>16496</v>
          </cell>
          <cell r="DH289">
            <v>5667</v>
          </cell>
          <cell r="DI289">
            <v>6267</v>
          </cell>
          <cell r="DJ289">
            <v>5486</v>
          </cell>
          <cell r="DK289">
            <v>8069</v>
          </cell>
          <cell r="DL289">
            <v>25489</v>
          </cell>
          <cell r="DM289">
            <v>6576</v>
          </cell>
          <cell r="DN289">
            <v>-6302</v>
          </cell>
          <cell r="DO289">
            <v>7424</v>
          </cell>
          <cell r="DP289">
            <v>8873</v>
          </cell>
          <cell r="DQ289">
            <v>16571</v>
          </cell>
          <cell r="DR289">
            <v>8824</v>
          </cell>
          <cell r="DS289">
            <v>8420</v>
          </cell>
          <cell r="DT289">
            <v>8809</v>
          </cell>
          <cell r="DU289">
            <v>13187</v>
          </cell>
          <cell r="DV289">
            <v>39240</v>
          </cell>
          <cell r="DW289">
            <v>10678</v>
          </cell>
          <cell r="DX289">
            <v>11649</v>
          </cell>
          <cell r="DY289">
            <v>10752</v>
          </cell>
          <cell r="DZ289">
            <v>11202</v>
          </cell>
          <cell r="EA289">
            <v>44281</v>
          </cell>
          <cell r="EB289">
            <v>13893</v>
          </cell>
          <cell r="EC289">
            <v>15463</v>
          </cell>
          <cell r="ED289">
            <v>15457</v>
          </cell>
          <cell r="EE289">
            <v>16458</v>
          </cell>
          <cell r="EF289">
            <v>61271</v>
          </cell>
          <cell r="EG289">
            <v>20505</v>
          </cell>
          <cell r="EH289">
            <v>18765</v>
          </cell>
          <cell r="EI289">
            <v>16728</v>
          </cell>
          <cell r="EJ289">
            <v>16740</v>
          </cell>
          <cell r="EK289">
            <v>72738</v>
          </cell>
          <cell r="EL289">
            <v>17556</v>
          </cell>
          <cell r="EM289">
            <v>16425</v>
          </cell>
          <cell r="EN289">
            <v>18299</v>
          </cell>
          <cell r="EO289">
            <v>20081</v>
          </cell>
          <cell r="EP289">
            <v>72361</v>
          </cell>
          <cell r="EQ289">
            <v>22291</v>
          </cell>
          <cell r="ER289">
            <v>21870</v>
          </cell>
          <cell r="ES289">
            <v>21939</v>
          </cell>
          <cell r="ET289">
            <v>22656.296310360609</v>
          </cell>
          <cell r="EU289">
            <v>88756.296310360602</v>
          </cell>
          <cell r="EV289">
            <v>24915.128417862026</v>
          </cell>
          <cell r="EW289">
            <v>25988.829439035107</v>
          </cell>
          <cell r="EX289">
            <v>25845.687676435162</v>
          </cell>
          <cell r="EY289">
            <v>27580.365395134035</v>
          </cell>
          <cell r="EZ289">
            <v>104330.01092846633</v>
          </cell>
          <cell r="FA289">
            <v>29358.527921110952</v>
          </cell>
          <cell r="FB289">
            <v>30614.777964250032</v>
          </cell>
          <cell r="FC289">
            <v>30518.036171532171</v>
          </cell>
          <cell r="FD289">
            <v>32615.81309362821</v>
          </cell>
          <cell r="FE289">
            <v>123107.15515052137</v>
          </cell>
        </row>
        <row r="290">
          <cell r="B290" t="str">
            <v>EBIT, operating profit (Pub)</v>
          </cell>
          <cell r="C290" t="str">
            <v>EBIT_PUB</v>
          </cell>
          <cell r="D290" t="str">
            <v>USD</v>
          </cell>
          <cell r="F290">
            <v>2038</v>
          </cell>
          <cell r="G290">
            <v>708</v>
          </cell>
          <cell r="H290">
            <v>786</v>
          </cell>
          <cell r="I290">
            <v>774</v>
          </cell>
          <cell r="J290">
            <v>810</v>
          </cell>
          <cell r="K290">
            <v>3078</v>
          </cell>
          <cell r="L290">
            <v>902</v>
          </cell>
          <cell r="M290">
            <v>1081</v>
          </cell>
          <cell r="N290">
            <v>1568</v>
          </cell>
          <cell r="O290">
            <v>1579</v>
          </cell>
          <cell r="P290">
            <v>5130</v>
          </cell>
          <cell r="Q290">
            <v>1131</v>
          </cell>
          <cell r="R290">
            <v>1663</v>
          </cell>
          <cell r="S290">
            <v>1927</v>
          </cell>
          <cell r="T290">
            <v>1923</v>
          </cell>
          <cell r="U290">
            <v>6644</v>
          </cell>
          <cell r="V290">
            <v>2082</v>
          </cell>
          <cell r="W290">
            <v>2714</v>
          </cell>
          <cell r="X290">
            <v>2229</v>
          </cell>
          <cell r="Y290">
            <v>2903</v>
          </cell>
          <cell r="Z290">
            <v>9928</v>
          </cell>
          <cell r="AA290">
            <v>2767</v>
          </cell>
          <cell r="AB290">
            <v>2918</v>
          </cell>
          <cell r="AC290">
            <v>2728</v>
          </cell>
          <cell r="AD290">
            <v>2524</v>
          </cell>
          <cell r="AE290">
            <v>10937</v>
          </cell>
          <cell r="AF290">
            <v>2777</v>
          </cell>
          <cell r="AG290">
            <v>3194</v>
          </cell>
          <cell r="AH290">
            <v>2998</v>
          </cell>
          <cell r="AI290">
            <v>2751</v>
          </cell>
          <cell r="AJ290">
            <v>11720</v>
          </cell>
          <cell r="AK290">
            <v>2897</v>
          </cell>
          <cell r="AL290">
            <v>2841</v>
          </cell>
          <cell r="AM290">
            <v>3298</v>
          </cell>
          <cell r="AN290">
            <v>2874</v>
          </cell>
          <cell r="AO290">
            <v>11910</v>
          </cell>
          <cell r="AP290">
            <v>3028</v>
          </cell>
          <cell r="AQ290">
            <v>2233</v>
          </cell>
          <cell r="AR290">
            <v>2744</v>
          </cell>
          <cell r="AS290">
            <v>1540</v>
          </cell>
          <cell r="AT290">
            <v>9545</v>
          </cell>
          <cell r="AU290">
            <v>3148</v>
          </cell>
          <cell r="AV290">
            <v>1475</v>
          </cell>
          <cell r="AW290">
            <v>1278</v>
          </cell>
          <cell r="AX290">
            <v>3133</v>
          </cell>
          <cell r="AY290">
            <v>9034</v>
          </cell>
          <cell r="AZ290">
            <v>3494</v>
          </cell>
          <cell r="BA290">
            <v>4749</v>
          </cell>
          <cell r="BB290">
            <v>3329</v>
          </cell>
          <cell r="BC290">
            <v>2989</v>
          </cell>
          <cell r="BD290">
            <v>14561</v>
          </cell>
          <cell r="BE290">
            <v>4046</v>
          </cell>
          <cell r="BF290">
            <v>4657</v>
          </cell>
          <cell r="BG290">
            <v>3888</v>
          </cell>
          <cell r="BH290">
            <v>3881</v>
          </cell>
          <cell r="BI290">
            <v>16472</v>
          </cell>
          <cell r="BJ290">
            <v>4474</v>
          </cell>
          <cell r="BK290">
            <v>3472</v>
          </cell>
          <cell r="BL290">
            <v>6589</v>
          </cell>
          <cell r="BM290">
            <v>3989</v>
          </cell>
          <cell r="BN290">
            <v>18524</v>
          </cell>
          <cell r="BO290">
            <v>5918</v>
          </cell>
          <cell r="BP290">
            <v>6481</v>
          </cell>
          <cell r="BQ290">
            <v>4409</v>
          </cell>
          <cell r="BR290">
            <v>5684</v>
          </cell>
          <cell r="BS290">
            <v>22492</v>
          </cell>
          <cell r="BT290">
            <v>5999</v>
          </cell>
          <cell r="BU290">
            <v>5939</v>
          </cell>
          <cell r="BV290">
            <v>4438</v>
          </cell>
          <cell r="BW290">
            <v>3987</v>
          </cell>
          <cell r="BX290">
            <v>20363</v>
          </cell>
          <cell r="BY290">
            <v>4482</v>
          </cell>
          <cell r="BZ290">
            <v>8513</v>
          </cell>
          <cell r="CA290">
            <v>5173</v>
          </cell>
          <cell r="CB290">
            <v>5930</v>
          </cell>
          <cell r="CC290">
            <v>24098</v>
          </cell>
          <cell r="CD290">
            <v>7116</v>
          </cell>
          <cell r="CE290">
            <v>8165</v>
          </cell>
          <cell r="CF290">
            <v>5709</v>
          </cell>
          <cell r="CG290">
            <v>6171</v>
          </cell>
          <cell r="CH290">
            <v>27161</v>
          </cell>
          <cell r="CI290">
            <v>7203</v>
          </cell>
          <cell r="CJ290">
            <v>7994</v>
          </cell>
          <cell r="CK290">
            <v>6374</v>
          </cell>
          <cell r="CL290">
            <v>192</v>
          </cell>
          <cell r="CM290">
            <v>21763</v>
          </cell>
          <cell r="CN290">
            <v>5308</v>
          </cell>
          <cell r="CO290">
            <v>7771</v>
          </cell>
          <cell r="CP290">
            <v>7612</v>
          </cell>
          <cell r="CQ290">
            <v>6073</v>
          </cell>
          <cell r="CR290">
            <v>26764</v>
          </cell>
          <cell r="CS290">
            <v>6334</v>
          </cell>
          <cell r="CT290">
            <v>7969</v>
          </cell>
          <cell r="CU290">
            <v>6974</v>
          </cell>
          <cell r="CV290">
            <v>6482</v>
          </cell>
          <cell r="CW290">
            <v>27759</v>
          </cell>
          <cell r="CX290">
            <v>5844</v>
          </cell>
          <cell r="CY290">
            <v>7776</v>
          </cell>
          <cell r="CZ290">
            <v>6594</v>
          </cell>
          <cell r="DA290">
            <v>-2053</v>
          </cell>
          <cell r="DB290">
            <v>18161</v>
          </cell>
          <cell r="DC290">
            <v>5793</v>
          </cell>
          <cell r="DD290">
            <v>6026</v>
          </cell>
          <cell r="DE290">
            <v>5283</v>
          </cell>
          <cell r="DF290">
            <v>3080</v>
          </cell>
          <cell r="DG290">
            <v>20182</v>
          </cell>
          <cell r="DH290">
            <v>6715</v>
          </cell>
          <cell r="DI290">
            <v>7905</v>
          </cell>
          <cell r="DJ290">
            <v>6723</v>
          </cell>
          <cell r="DK290">
            <v>7682</v>
          </cell>
          <cell r="DL290">
            <v>29025</v>
          </cell>
          <cell r="DM290">
            <v>7708</v>
          </cell>
          <cell r="DN290">
            <v>8679</v>
          </cell>
          <cell r="DO290">
            <v>8292</v>
          </cell>
          <cell r="DP290">
            <v>10379</v>
          </cell>
          <cell r="DQ290">
            <v>35058</v>
          </cell>
          <cell r="DR290">
            <v>9955</v>
          </cell>
          <cell r="DS290">
            <v>10258</v>
          </cell>
          <cell r="DT290">
            <v>10341</v>
          </cell>
          <cell r="DU290">
            <v>12405</v>
          </cell>
          <cell r="DV290">
            <v>42959</v>
          </cell>
          <cell r="DW290">
            <v>12686</v>
          </cell>
          <cell r="DX290">
            <v>13891</v>
          </cell>
          <cell r="DY290">
            <v>12975</v>
          </cell>
          <cell r="DZ290">
            <v>13407</v>
          </cell>
          <cell r="EA290">
            <v>52959</v>
          </cell>
          <cell r="EB290">
            <v>15876</v>
          </cell>
          <cell r="EC290">
            <v>17897</v>
          </cell>
          <cell r="ED290">
            <v>17048</v>
          </cell>
          <cell r="EE290">
            <v>19095</v>
          </cell>
          <cell r="EF290">
            <v>69916</v>
          </cell>
          <cell r="EG290">
            <v>20238</v>
          </cell>
          <cell r="EH290">
            <v>22247</v>
          </cell>
          <cell r="EI290">
            <v>20364</v>
          </cell>
          <cell r="EJ290">
            <v>20534</v>
          </cell>
          <cell r="EK290">
            <v>83383</v>
          </cell>
          <cell r="EL290">
            <v>21518</v>
          </cell>
          <cell r="EM290">
            <v>20399</v>
          </cell>
          <cell r="EN290">
            <v>22352</v>
          </cell>
          <cell r="EO290">
            <v>24254</v>
          </cell>
          <cell r="EP290">
            <v>88523</v>
          </cell>
          <cell r="EQ290">
            <v>26895</v>
          </cell>
          <cell r="ER290">
            <v>27032</v>
          </cell>
          <cell r="ES290">
            <v>27581</v>
          </cell>
          <cell r="ET290">
            <v>28479.629646781228</v>
          </cell>
          <cell r="EU290">
            <v>109987.62964678122</v>
          </cell>
          <cell r="EV290">
            <v>30384.302948612225</v>
          </cell>
          <cell r="EW290">
            <v>31693.694437847691</v>
          </cell>
          <cell r="EX290">
            <v>31519.131312725807</v>
          </cell>
          <cell r="EY290">
            <v>33634.591945285407</v>
          </cell>
          <cell r="EZ290">
            <v>127231.72064447112</v>
          </cell>
          <cell r="FA290">
            <v>35303.082830623112</v>
          </cell>
          <cell r="FB290">
            <v>36835.095078353697</v>
          </cell>
          <cell r="FC290">
            <v>36717.117282356303</v>
          </cell>
          <cell r="FD290">
            <v>39275.381821497816</v>
          </cell>
          <cell r="FE290">
            <v>148130.67701283091</v>
          </cell>
        </row>
        <row r="291">
          <cell r="B291" t="str">
            <v>Pre-tax profit (Pub)</v>
          </cell>
          <cell r="C291" t="str">
            <v>PTP_PUB</v>
          </cell>
          <cell r="D291" t="str">
            <v>USD</v>
          </cell>
          <cell r="F291">
            <v>2167</v>
          </cell>
          <cell r="G291">
            <v>770</v>
          </cell>
          <cell r="H291">
            <v>885</v>
          </cell>
          <cell r="I291">
            <v>864</v>
          </cell>
          <cell r="J291">
            <v>860</v>
          </cell>
          <cell r="K291">
            <v>3379</v>
          </cell>
          <cell r="L291">
            <v>945</v>
          </cell>
          <cell r="M291">
            <v>1140</v>
          </cell>
          <cell r="N291">
            <v>1603</v>
          </cell>
          <cell r="O291">
            <v>1626</v>
          </cell>
          <cell r="P291">
            <v>5314</v>
          </cell>
          <cell r="Q291">
            <v>1202</v>
          </cell>
          <cell r="R291">
            <v>1770</v>
          </cell>
          <cell r="S291">
            <v>2057</v>
          </cell>
          <cell r="T291">
            <v>2088</v>
          </cell>
          <cell r="U291">
            <v>7117</v>
          </cell>
          <cell r="V291">
            <v>2503</v>
          </cell>
          <cell r="W291">
            <v>3051</v>
          </cell>
          <cell r="X291">
            <v>2949</v>
          </cell>
          <cell r="Y291">
            <v>3388</v>
          </cell>
          <cell r="Z291">
            <v>11891</v>
          </cell>
          <cell r="AA291">
            <v>3320</v>
          </cell>
          <cell r="AB291">
            <v>3691</v>
          </cell>
          <cell r="AC291">
            <v>3613</v>
          </cell>
          <cell r="AD291">
            <v>3651</v>
          </cell>
          <cell r="AE291">
            <v>14275</v>
          </cell>
          <cell r="AF291">
            <v>3852</v>
          </cell>
          <cell r="AG291">
            <v>3917</v>
          </cell>
          <cell r="AH291">
            <v>3658</v>
          </cell>
          <cell r="AI291">
            <v>98</v>
          </cell>
          <cell r="AJ291">
            <v>11525</v>
          </cell>
          <cell r="AK291">
            <v>1887</v>
          </cell>
          <cell r="AL291">
            <v>3357</v>
          </cell>
          <cell r="AM291">
            <v>4026</v>
          </cell>
          <cell r="AN291">
            <v>2243</v>
          </cell>
          <cell r="AO291">
            <v>11513</v>
          </cell>
          <cell r="AP291">
            <v>3047</v>
          </cell>
          <cell r="AQ291">
            <v>2596</v>
          </cell>
          <cell r="AR291">
            <v>3197</v>
          </cell>
          <cell r="AS291">
            <v>2214</v>
          </cell>
          <cell r="AT291">
            <v>11054</v>
          </cell>
          <cell r="AU291">
            <v>3901</v>
          </cell>
          <cell r="AV291">
            <v>2312</v>
          </cell>
          <cell r="AW291">
            <v>2279</v>
          </cell>
          <cell r="AX291">
            <v>3704</v>
          </cell>
          <cell r="AY291">
            <v>12196</v>
          </cell>
          <cell r="AZ291">
            <v>3773</v>
          </cell>
          <cell r="BA291">
            <v>5169</v>
          </cell>
          <cell r="BB291">
            <v>3825</v>
          </cell>
          <cell r="BC291">
            <v>3861</v>
          </cell>
          <cell r="BD291">
            <v>16628</v>
          </cell>
          <cell r="BE291">
            <v>4552</v>
          </cell>
          <cell r="BF291">
            <v>5137</v>
          </cell>
          <cell r="BG291">
            <v>4315</v>
          </cell>
          <cell r="BH291">
            <v>4258</v>
          </cell>
          <cell r="BI291">
            <v>18262</v>
          </cell>
          <cell r="BJ291">
            <v>5041</v>
          </cell>
          <cell r="BK291">
            <v>3805</v>
          </cell>
          <cell r="BL291">
            <v>6971</v>
          </cell>
          <cell r="BM291">
            <v>4284</v>
          </cell>
          <cell r="BN291">
            <v>20101</v>
          </cell>
          <cell r="BO291">
            <v>6216</v>
          </cell>
          <cell r="BP291">
            <v>6820</v>
          </cell>
          <cell r="BQ291">
            <v>4810</v>
          </cell>
          <cell r="BR291">
            <v>5968</v>
          </cell>
          <cell r="BS291">
            <v>23814</v>
          </cell>
          <cell r="BT291">
            <v>5991</v>
          </cell>
          <cell r="BU291">
            <v>5638</v>
          </cell>
          <cell r="BV291">
            <v>4050</v>
          </cell>
          <cell r="BW291">
            <v>4142</v>
          </cell>
          <cell r="BX291">
            <v>19821</v>
          </cell>
          <cell r="BY291">
            <v>4765</v>
          </cell>
          <cell r="BZ291">
            <v>8883</v>
          </cell>
          <cell r="CA291">
            <v>5341</v>
          </cell>
          <cell r="CB291">
            <v>6024</v>
          </cell>
          <cell r="CC291">
            <v>25013</v>
          </cell>
          <cell r="CD291">
            <v>7230</v>
          </cell>
          <cell r="CE291">
            <v>8497</v>
          </cell>
          <cell r="CF291">
            <v>6025</v>
          </cell>
          <cell r="CG291">
            <v>6319</v>
          </cell>
          <cell r="CH291">
            <v>28071</v>
          </cell>
          <cell r="CI291">
            <v>7306</v>
          </cell>
          <cell r="CJ291">
            <v>8239</v>
          </cell>
          <cell r="CK291">
            <v>6363</v>
          </cell>
          <cell r="CL291">
            <v>359</v>
          </cell>
          <cell r="CM291">
            <v>22267</v>
          </cell>
          <cell r="CN291">
            <v>5534</v>
          </cell>
          <cell r="CO291">
            <v>7770</v>
          </cell>
          <cell r="CP291">
            <v>7603</v>
          </cell>
          <cell r="CQ291">
            <v>6145</v>
          </cell>
          <cell r="CR291">
            <v>27052</v>
          </cell>
          <cell r="CS291">
            <v>6408</v>
          </cell>
          <cell r="CT291">
            <v>7878</v>
          </cell>
          <cell r="CU291">
            <v>6957</v>
          </cell>
          <cell r="CV291">
            <v>6577</v>
          </cell>
          <cell r="CW291">
            <v>27820</v>
          </cell>
          <cell r="CX291">
            <v>5896</v>
          </cell>
          <cell r="CY291">
            <v>7850</v>
          </cell>
          <cell r="CZ291">
            <v>6517</v>
          </cell>
          <cell r="DA291">
            <v>-1756</v>
          </cell>
          <cell r="DB291">
            <v>18507</v>
          </cell>
          <cell r="DC291">
            <v>5513</v>
          </cell>
          <cell r="DD291">
            <v>5855</v>
          </cell>
          <cell r="DE291">
            <v>5036</v>
          </cell>
          <cell r="DF291">
            <v>3347</v>
          </cell>
          <cell r="DG291">
            <v>19751</v>
          </cell>
          <cell r="DH291">
            <v>6827</v>
          </cell>
          <cell r="DI291">
            <v>8022</v>
          </cell>
          <cell r="DJ291">
            <v>7094</v>
          </cell>
          <cell r="DK291">
            <v>7958</v>
          </cell>
          <cell r="DL291">
            <v>29901</v>
          </cell>
          <cell r="DM291">
            <v>7984</v>
          </cell>
          <cell r="DN291">
            <v>9169</v>
          </cell>
          <cell r="DO291">
            <v>8641</v>
          </cell>
          <cell r="DP291">
            <v>10680</v>
          </cell>
          <cell r="DQ291">
            <v>36474</v>
          </cell>
          <cell r="DR291">
            <v>10221</v>
          </cell>
          <cell r="DS291">
            <v>10385</v>
          </cell>
          <cell r="DT291">
            <v>10486</v>
          </cell>
          <cell r="DU291">
            <v>12596</v>
          </cell>
          <cell r="DV291">
            <v>43688</v>
          </cell>
          <cell r="DW291">
            <v>12686</v>
          </cell>
          <cell r="DX291">
            <v>14085</v>
          </cell>
          <cell r="DY291">
            <v>12843</v>
          </cell>
          <cell r="DZ291">
            <v>13422</v>
          </cell>
          <cell r="EA291">
            <v>53036</v>
          </cell>
          <cell r="EB291">
            <v>16124</v>
          </cell>
          <cell r="EC291">
            <v>18337</v>
          </cell>
          <cell r="ED291">
            <v>17236</v>
          </cell>
          <cell r="EE291">
            <v>19405</v>
          </cell>
          <cell r="EF291">
            <v>71102</v>
          </cell>
          <cell r="EG291">
            <v>20524</v>
          </cell>
          <cell r="EH291">
            <v>22515</v>
          </cell>
          <cell r="EI291">
            <v>20190</v>
          </cell>
          <cell r="EJ291">
            <v>20487</v>
          </cell>
          <cell r="EK291">
            <v>83716</v>
          </cell>
          <cell r="EL291">
            <v>21572</v>
          </cell>
          <cell r="EM291">
            <v>20339</v>
          </cell>
          <cell r="EN291">
            <v>22673</v>
          </cell>
          <cell r="EO291">
            <v>24727</v>
          </cell>
          <cell r="EP291">
            <v>89311</v>
          </cell>
          <cell r="EQ291">
            <v>27284</v>
          </cell>
          <cell r="ER291">
            <v>26526</v>
          </cell>
          <cell r="ES291">
            <v>26727</v>
          </cell>
          <cell r="ET291">
            <v>27629.629646781228</v>
          </cell>
          <cell r="EU291">
            <v>108166.62964678122</v>
          </cell>
          <cell r="EV291">
            <v>30384.302948612225</v>
          </cell>
          <cell r="EW291">
            <v>31693.694437847691</v>
          </cell>
          <cell r="EX291">
            <v>31519.131312725807</v>
          </cell>
          <cell r="EY291">
            <v>33634.591945285407</v>
          </cell>
          <cell r="EZ291">
            <v>127231.72064447112</v>
          </cell>
          <cell r="FA291">
            <v>35803.082830623112</v>
          </cell>
          <cell r="FB291">
            <v>37335.095078353697</v>
          </cell>
          <cell r="FC291">
            <v>37217.117282356303</v>
          </cell>
          <cell r="FD291">
            <v>39775.381821497816</v>
          </cell>
          <cell r="FE291">
            <v>150130.67701283091</v>
          </cell>
        </row>
        <row r="292">
          <cell r="B292" t="str">
            <v>Sales, revenue (Pub)</v>
          </cell>
          <cell r="C292" t="str">
            <v>REVS_PUB</v>
          </cell>
          <cell r="D292" t="str">
            <v>USD</v>
          </cell>
          <cell r="F292">
            <v>5937</v>
          </cell>
          <cell r="G292">
            <v>2016</v>
          </cell>
          <cell r="H292">
            <v>2195</v>
          </cell>
          <cell r="I292">
            <v>2205</v>
          </cell>
          <cell r="J292">
            <v>2255</v>
          </cell>
          <cell r="K292">
            <v>8671</v>
          </cell>
          <cell r="L292">
            <v>2295</v>
          </cell>
          <cell r="M292">
            <v>2680</v>
          </cell>
          <cell r="N292">
            <v>3208</v>
          </cell>
          <cell r="O292">
            <v>3175</v>
          </cell>
          <cell r="P292">
            <v>11358</v>
          </cell>
          <cell r="Q292">
            <v>3130</v>
          </cell>
          <cell r="R292">
            <v>3585</v>
          </cell>
          <cell r="S292">
            <v>3774</v>
          </cell>
          <cell r="T292">
            <v>3995</v>
          </cell>
          <cell r="U292">
            <v>14484</v>
          </cell>
          <cell r="V292">
            <v>4193</v>
          </cell>
          <cell r="W292">
            <v>5195</v>
          </cell>
          <cell r="X292">
            <v>4595</v>
          </cell>
          <cell r="Y292">
            <v>5764</v>
          </cell>
          <cell r="Z292">
            <v>19747</v>
          </cell>
          <cell r="AA292">
            <v>5384</v>
          </cell>
          <cell r="AB292">
            <v>6112</v>
          </cell>
          <cell r="AC292">
            <v>5656</v>
          </cell>
          <cell r="AD292">
            <v>5804</v>
          </cell>
          <cell r="AE292">
            <v>22956</v>
          </cell>
          <cell r="AF292">
            <v>5766</v>
          </cell>
          <cell r="AG292">
            <v>6550</v>
          </cell>
          <cell r="AH292">
            <v>6403</v>
          </cell>
          <cell r="AI292">
            <v>6577</v>
          </cell>
          <cell r="AJ292">
            <v>25296</v>
          </cell>
          <cell r="AK292">
            <v>6126</v>
          </cell>
          <cell r="AL292">
            <v>7741</v>
          </cell>
          <cell r="AM292">
            <v>7245</v>
          </cell>
          <cell r="AN292">
            <v>7253</v>
          </cell>
          <cell r="AO292">
            <v>28365</v>
          </cell>
          <cell r="AP292">
            <v>7746</v>
          </cell>
          <cell r="AQ292">
            <v>8541</v>
          </cell>
          <cell r="AR292">
            <v>7835</v>
          </cell>
          <cell r="AS292">
            <v>8065</v>
          </cell>
          <cell r="AT292">
            <v>32187</v>
          </cell>
          <cell r="AU292">
            <v>8215</v>
          </cell>
          <cell r="AV292">
            <v>10153</v>
          </cell>
          <cell r="AW292">
            <v>9175</v>
          </cell>
          <cell r="AX292">
            <v>9292</v>
          </cell>
          <cell r="AY292">
            <v>36835</v>
          </cell>
          <cell r="AZ292">
            <v>9189</v>
          </cell>
          <cell r="BA292">
            <v>10818</v>
          </cell>
          <cell r="BB292">
            <v>9620</v>
          </cell>
          <cell r="BC292">
            <v>10161</v>
          </cell>
          <cell r="BD292">
            <v>39788</v>
          </cell>
          <cell r="BE292">
            <v>9741</v>
          </cell>
          <cell r="BF292">
            <v>11837</v>
          </cell>
          <cell r="BG292">
            <v>10900</v>
          </cell>
          <cell r="BH292">
            <v>11804</v>
          </cell>
          <cell r="BI292">
            <v>44282</v>
          </cell>
          <cell r="BJ292">
            <v>10811</v>
          </cell>
          <cell r="BK292">
            <v>12542</v>
          </cell>
          <cell r="BL292">
            <v>14398</v>
          </cell>
          <cell r="BM292">
            <v>13371</v>
          </cell>
          <cell r="BN292">
            <v>51122</v>
          </cell>
          <cell r="BO292">
            <v>13762</v>
          </cell>
          <cell r="BP292">
            <v>16367</v>
          </cell>
          <cell r="BQ292">
            <v>14454</v>
          </cell>
          <cell r="BR292">
            <v>15837</v>
          </cell>
          <cell r="BS292">
            <v>60420</v>
          </cell>
          <cell r="BT292">
            <v>15061</v>
          </cell>
          <cell r="BU292">
            <v>16629</v>
          </cell>
          <cell r="BV292">
            <v>13648</v>
          </cell>
          <cell r="BW292">
            <v>13099</v>
          </cell>
          <cell r="BX292">
            <v>58437</v>
          </cell>
          <cell r="BY292">
            <v>12920</v>
          </cell>
          <cell r="BZ292">
            <v>19022</v>
          </cell>
          <cell r="CA292">
            <v>14503</v>
          </cell>
          <cell r="CB292">
            <v>16039</v>
          </cell>
          <cell r="CC292">
            <v>62484</v>
          </cell>
          <cell r="CD292">
            <v>16195</v>
          </cell>
          <cell r="CE292">
            <v>19953</v>
          </cell>
          <cell r="CF292">
            <v>16428</v>
          </cell>
          <cell r="CG292">
            <v>17367</v>
          </cell>
          <cell r="CH292">
            <v>69943</v>
          </cell>
          <cell r="CI292">
            <v>17372</v>
          </cell>
          <cell r="CJ292">
            <v>20885</v>
          </cell>
          <cell r="CK292">
            <v>17407</v>
          </cell>
          <cell r="CL292">
            <v>18059</v>
          </cell>
          <cell r="CM292">
            <v>73723</v>
          </cell>
          <cell r="CN292">
            <v>16008</v>
          </cell>
          <cell r="CO292">
            <v>21456</v>
          </cell>
          <cell r="CP292">
            <v>20489</v>
          </cell>
          <cell r="CQ292">
            <v>19896</v>
          </cell>
          <cell r="CR292">
            <v>77849</v>
          </cell>
          <cell r="CS292">
            <v>18529</v>
          </cell>
          <cell r="CT292">
            <v>24519</v>
          </cell>
          <cell r="CU292">
            <v>20403</v>
          </cell>
          <cell r="CV292">
            <v>23382</v>
          </cell>
          <cell r="CW292">
            <v>86833</v>
          </cell>
          <cell r="CX292">
            <v>23201</v>
          </cell>
          <cell r="CY292">
            <v>26470</v>
          </cell>
          <cell r="CZ292">
            <v>21729</v>
          </cell>
          <cell r="DA292">
            <v>22180</v>
          </cell>
          <cell r="DB292">
            <v>93580</v>
          </cell>
          <cell r="DC292">
            <v>20379</v>
          </cell>
          <cell r="DD292">
            <v>23796</v>
          </cell>
          <cell r="DE292">
            <v>20531</v>
          </cell>
          <cell r="DF292">
            <v>20614</v>
          </cell>
          <cell r="DG292">
            <v>85320</v>
          </cell>
          <cell r="DH292">
            <v>21928</v>
          </cell>
          <cell r="DI292">
            <v>25826</v>
          </cell>
          <cell r="DJ292">
            <v>23212</v>
          </cell>
          <cell r="DK292">
            <v>25605</v>
          </cell>
          <cell r="DL292">
            <v>96571</v>
          </cell>
          <cell r="DM292">
            <v>24538</v>
          </cell>
          <cell r="DN292">
            <v>28918</v>
          </cell>
          <cell r="DO292">
            <v>26819</v>
          </cell>
          <cell r="DP292">
            <v>30085</v>
          </cell>
          <cell r="DQ292">
            <v>110360</v>
          </cell>
          <cell r="DR292">
            <v>29084</v>
          </cell>
          <cell r="DS292">
            <v>32471</v>
          </cell>
          <cell r="DT292">
            <v>30571</v>
          </cell>
          <cell r="DU292">
            <v>33717</v>
          </cell>
          <cell r="DV292">
            <v>125843</v>
          </cell>
          <cell r="DW292">
            <v>33055</v>
          </cell>
          <cell r="DX292">
            <v>36906</v>
          </cell>
          <cell r="DY292">
            <v>35021</v>
          </cell>
          <cell r="DZ292">
            <v>38033</v>
          </cell>
          <cell r="EA292">
            <v>143015</v>
          </cell>
          <cell r="EB292">
            <v>37154</v>
          </cell>
          <cell r="EC292">
            <v>43076</v>
          </cell>
          <cell r="ED292">
            <v>41706</v>
          </cell>
          <cell r="EE292">
            <v>46152</v>
          </cell>
          <cell r="EF292">
            <v>168088</v>
          </cell>
          <cell r="EG292">
            <v>45317</v>
          </cell>
          <cell r="EH292">
            <v>51728</v>
          </cell>
          <cell r="EI292">
            <v>49360</v>
          </cell>
          <cell r="EJ292">
            <v>51865</v>
          </cell>
          <cell r="EK292">
            <v>198270</v>
          </cell>
          <cell r="EL292">
            <v>50122</v>
          </cell>
          <cell r="EM292">
            <v>52747</v>
          </cell>
          <cell r="EN292">
            <v>52857</v>
          </cell>
          <cell r="EO292">
            <v>56189</v>
          </cell>
          <cell r="EP292">
            <v>211915</v>
          </cell>
          <cell r="EQ292">
            <v>56517</v>
          </cell>
          <cell r="ER292">
            <v>62020</v>
          </cell>
          <cell r="ES292">
            <v>61858</v>
          </cell>
          <cell r="ET292">
            <v>64904.736469703712</v>
          </cell>
          <cell r="EU292">
            <v>245299.73646970373</v>
          </cell>
          <cell r="EV292">
            <v>66156.828369105264</v>
          </cell>
          <cell r="EW292">
            <v>70377.619938190008</v>
          </cell>
          <cell r="EX292">
            <v>70355.831979936978</v>
          </cell>
          <cell r="EY292">
            <v>73980.879966571185</v>
          </cell>
          <cell r="EZ292">
            <v>280871.16025380342</v>
          </cell>
          <cell r="FA292">
            <v>75055.961276820075</v>
          </cell>
          <cell r="FB292">
            <v>79842.010683144734</v>
          </cell>
          <cell r="FC292">
            <v>79966.703647055678</v>
          </cell>
          <cell r="FD292">
            <v>84303.218187392937</v>
          </cell>
          <cell r="FE292">
            <v>319167.89379441342</v>
          </cell>
        </row>
        <row r="293">
          <cell r="B293" t="str">
            <v>Total shareholders' equity (Pub)</v>
          </cell>
          <cell r="C293" t="str">
            <v>EQ_PUB</v>
          </cell>
          <cell r="D293" t="str">
            <v>USD</v>
          </cell>
          <cell r="F293">
            <v>5863</v>
          </cell>
          <cell r="G293">
            <v>6401</v>
          </cell>
          <cell r="H293">
            <v>6865</v>
          </cell>
          <cell r="I293">
            <v>7326</v>
          </cell>
          <cell r="J293">
            <v>7668</v>
          </cell>
          <cell r="K293">
            <v>7668</v>
          </cell>
          <cell r="L293">
            <v>8077</v>
          </cell>
          <cell r="M293">
            <v>9642</v>
          </cell>
          <cell r="N293">
            <v>9134</v>
          </cell>
          <cell r="O293">
            <v>10777</v>
          </cell>
          <cell r="P293">
            <v>10777</v>
          </cell>
          <cell r="Q293">
            <v>11464</v>
          </cell>
          <cell r="R293">
            <v>12344</v>
          </cell>
          <cell r="S293">
            <v>14676</v>
          </cell>
          <cell r="T293">
            <v>16627</v>
          </cell>
          <cell r="U293">
            <v>16627</v>
          </cell>
          <cell r="V293">
            <v>19124</v>
          </cell>
          <cell r="W293">
            <v>22578</v>
          </cell>
          <cell r="X293">
            <v>25722</v>
          </cell>
          <cell r="Y293">
            <v>28438</v>
          </cell>
          <cell r="Z293">
            <v>28438</v>
          </cell>
          <cell r="AA293">
            <v>31340</v>
          </cell>
          <cell r="AB293">
            <v>34589</v>
          </cell>
          <cell r="AC293">
            <v>39792</v>
          </cell>
          <cell r="AD293">
            <v>40689</v>
          </cell>
          <cell r="AE293">
            <v>40689</v>
          </cell>
          <cell r="AF293">
            <v>45343</v>
          </cell>
          <cell r="AG293">
            <v>46422</v>
          </cell>
          <cell r="AH293">
            <v>48090</v>
          </cell>
          <cell r="AI293">
            <v>47289</v>
          </cell>
          <cell r="AJ293">
            <v>47289</v>
          </cell>
          <cell r="AK293">
            <v>48505</v>
          </cell>
          <cell r="AL293">
            <v>51548</v>
          </cell>
          <cell r="AM293">
            <v>54300</v>
          </cell>
          <cell r="AN293">
            <v>52180</v>
          </cell>
          <cell r="AO293">
            <v>52180</v>
          </cell>
          <cell r="AP293">
            <v>53516</v>
          </cell>
          <cell r="AQ293">
            <v>55812</v>
          </cell>
          <cell r="AR293">
            <v>58282</v>
          </cell>
          <cell r="AS293">
            <v>61020</v>
          </cell>
          <cell r="AT293">
            <v>61020</v>
          </cell>
          <cell r="AU293">
            <v>66680</v>
          </cell>
          <cell r="AV293">
            <v>69343</v>
          </cell>
          <cell r="AW293">
            <v>70580</v>
          </cell>
          <cell r="AX293">
            <v>74825</v>
          </cell>
          <cell r="AY293">
            <v>74825</v>
          </cell>
          <cell r="AZ293">
            <v>76319</v>
          </cell>
          <cell r="BA293">
            <v>47232</v>
          </cell>
          <cell r="BB293">
            <v>47373</v>
          </cell>
          <cell r="BC293">
            <v>48115</v>
          </cell>
          <cell r="BD293">
            <v>48115</v>
          </cell>
          <cell r="BE293">
            <v>48327</v>
          </cell>
          <cell r="BF293">
            <v>44208</v>
          </cell>
          <cell r="BG293">
            <v>42038</v>
          </cell>
          <cell r="BH293">
            <v>40104</v>
          </cell>
          <cell r="BI293">
            <v>40104</v>
          </cell>
          <cell r="BJ293">
            <v>36101</v>
          </cell>
          <cell r="BK293">
            <v>36634</v>
          </cell>
          <cell r="BL293">
            <v>34973</v>
          </cell>
          <cell r="BM293">
            <v>31097</v>
          </cell>
          <cell r="BN293">
            <v>31097</v>
          </cell>
          <cell r="BO293">
            <v>32135</v>
          </cell>
          <cell r="BP293">
            <v>34431</v>
          </cell>
          <cell r="BQ293">
            <v>37554</v>
          </cell>
          <cell r="BR293">
            <v>36286</v>
          </cell>
          <cell r="BS293">
            <v>36286</v>
          </cell>
          <cell r="BT293">
            <v>33594</v>
          </cell>
          <cell r="BU293">
            <v>34478</v>
          </cell>
          <cell r="BV293">
            <v>36943</v>
          </cell>
          <cell r="BW293">
            <v>39558</v>
          </cell>
          <cell r="BX293">
            <v>39558</v>
          </cell>
          <cell r="BY293">
            <v>41212</v>
          </cell>
          <cell r="BZ293">
            <v>44283</v>
          </cell>
          <cell r="CA293">
            <v>45710</v>
          </cell>
          <cell r="CB293">
            <v>46175</v>
          </cell>
          <cell r="CC293">
            <v>46175</v>
          </cell>
          <cell r="CD293">
            <v>46942</v>
          </cell>
          <cell r="CE293">
            <v>48481</v>
          </cell>
          <cell r="CF293">
            <v>53452</v>
          </cell>
          <cell r="CG293">
            <v>57083</v>
          </cell>
          <cell r="CH293">
            <v>57083</v>
          </cell>
          <cell r="CI293">
            <v>59391</v>
          </cell>
          <cell r="CJ293">
            <v>64121</v>
          </cell>
          <cell r="CK293">
            <v>68659</v>
          </cell>
          <cell r="CL293">
            <v>66363</v>
          </cell>
          <cell r="CM293">
            <v>66363</v>
          </cell>
          <cell r="CN293">
            <v>68836</v>
          </cell>
          <cell r="CO293">
            <v>72576</v>
          </cell>
          <cell r="CP293">
            <v>76688</v>
          </cell>
          <cell r="CQ293">
            <v>78944</v>
          </cell>
          <cell r="CR293">
            <v>78944</v>
          </cell>
          <cell r="CS293">
            <v>81641</v>
          </cell>
          <cell r="CT293">
            <v>85100</v>
          </cell>
          <cell r="CU293">
            <v>87424</v>
          </cell>
          <cell r="CV293">
            <v>89784</v>
          </cell>
          <cell r="CW293">
            <v>89784</v>
          </cell>
          <cell r="CX293">
            <v>90170</v>
          </cell>
          <cell r="CY293">
            <v>91879</v>
          </cell>
          <cell r="CZ293">
            <v>90132</v>
          </cell>
          <cell r="DA293">
            <v>80083</v>
          </cell>
          <cell r="DB293">
            <v>80083</v>
          </cell>
          <cell r="DC293">
            <v>77445</v>
          </cell>
          <cell r="DD293">
            <v>76780</v>
          </cell>
          <cell r="DE293">
            <v>74806</v>
          </cell>
          <cell r="DF293">
            <v>71997</v>
          </cell>
          <cell r="DG293">
            <v>71997</v>
          </cell>
          <cell r="DH293">
            <v>82462</v>
          </cell>
          <cell r="DI293">
            <v>81829</v>
          </cell>
          <cell r="DJ293">
            <v>83491</v>
          </cell>
          <cell r="DK293">
            <v>87711</v>
          </cell>
          <cell r="DL293">
            <v>87711</v>
          </cell>
          <cell r="DM293">
            <v>89647</v>
          </cell>
          <cell r="DN293">
            <v>78360</v>
          </cell>
          <cell r="DO293">
            <v>79239</v>
          </cell>
          <cell r="DP293">
            <v>82718</v>
          </cell>
          <cell r="DQ293">
            <v>82718</v>
          </cell>
          <cell r="DR293">
            <v>85967</v>
          </cell>
          <cell r="DS293">
            <v>92128</v>
          </cell>
          <cell r="DT293">
            <v>94864</v>
          </cell>
          <cell r="DU293">
            <v>102330</v>
          </cell>
          <cell r="DV293">
            <v>102330</v>
          </cell>
          <cell r="DW293">
            <v>106061</v>
          </cell>
          <cell r="DX293">
            <v>110109</v>
          </cell>
          <cell r="DY293">
            <v>114501</v>
          </cell>
          <cell r="DZ293">
            <v>118304</v>
          </cell>
          <cell r="EA293">
            <v>118304</v>
          </cell>
          <cell r="EB293">
            <v>123392</v>
          </cell>
          <cell r="EC293">
            <v>130236</v>
          </cell>
          <cell r="ED293">
            <v>134505</v>
          </cell>
          <cell r="EE293">
            <v>141988</v>
          </cell>
          <cell r="EF293">
            <v>141988</v>
          </cell>
          <cell r="EG293">
            <v>151978</v>
          </cell>
          <cell r="EH293">
            <v>160010</v>
          </cell>
          <cell r="EI293">
            <v>162924</v>
          </cell>
          <cell r="EJ293">
            <v>166542</v>
          </cell>
          <cell r="EK293">
            <v>166542</v>
          </cell>
          <cell r="EL293">
            <v>173566</v>
          </cell>
          <cell r="EM293">
            <v>183136</v>
          </cell>
          <cell r="EN293">
            <v>194683</v>
          </cell>
          <cell r="EO293">
            <v>206223</v>
          </cell>
          <cell r="EP293">
            <v>206223</v>
          </cell>
          <cell r="EQ293">
            <v>220714</v>
          </cell>
          <cell r="ER293">
            <v>238268</v>
          </cell>
          <cell r="ES293">
            <v>253152</v>
          </cell>
          <cell r="ET293">
            <v>273160.38450085907</v>
          </cell>
          <cell r="EU293">
            <v>273160.38450085907</v>
          </cell>
          <cell r="EV293">
            <v>295491.56089522701</v>
          </cell>
          <cell r="EW293">
            <v>318521.46336554224</v>
          </cell>
          <cell r="EX293">
            <v>341416.95483489113</v>
          </cell>
          <cell r="EY293">
            <v>366217.29159983061</v>
          </cell>
          <cell r="EZ293">
            <v>366217.29159983061</v>
          </cell>
          <cell r="FA293">
            <v>392664.17547346285</v>
          </cell>
          <cell r="FB293">
            <v>419950.10841698985</v>
          </cell>
          <cell r="FC293">
            <v>447154.45920537424</v>
          </cell>
          <cell r="FD293">
            <v>476647.7939663743</v>
          </cell>
          <cell r="FE293">
            <v>476647.7939663743</v>
          </cell>
        </row>
        <row r="294">
          <cell r="A294" t="str">
            <v>Income Statement</v>
          </cell>
        </row>
        <row r="295">
          <cell r="B295" t="str">
            <v>Provision for income tax</v>
          </cell>
          <cell r="C295" t="str">
            <v>PROV_INC_TAX</v>
          </cell>
          <cell r="D295" t="str">
            <v>USD</v>
          </cell>
          <cell r="F295">
            <v>-714</v>
          </cell>
          <cell r="G295">
            <v>-271</v>
          </cell>
          <cell r="H295">
            <v>-310</v>
          </cell>
          <cell r="I295">
            <v>-302</v>
          </cell>
          <cell r="J295">
            <v>-301</v>
          </cell>
          <cell r="K295">
            <v>-1184</v>
          </cell>
          <cell r="L295">
            <v>-331</v>
          </cell>
          <cell r="M295">
            <v>-399</v>
          </cell>
          <cell r="N295">
            <v>-561</v>
          </cell>
          <cell r="O295">
            <v>-569</v>
          </cell>
          <cell r="P295">
            <v>-1860</v>
          </cell>
          <cell r="Q295">
            <v>-539</v>
          </cell>
          <cell r="R295">
            <v>-637</v>
          </cell>
          <cell r="S295">
            <v>-720</v>
          </cell>
          <cell r="T295">
            <v>-731</v>
          </cell>
          <cell r="U295">
            <v>-2627</v>
          </cell>
          <cell r="V295">
            <v>-820</v>
          </cell>
          <cell r="W295">
            <v>-1068</v>
          </cell>
          <cell r="X295">
            <v>-1032</v>
          </cell>
          <cell r="Y295">
            <v>-1186</v>
          </cell>
          <cell r="Z295">
            <v>-4106</v>
          </cell>
          <cell r="AA295">
            <v>-1129</v>
          </cell>
          <cell r="AB295">
            <v>-1255</v>
          </cell>
          <cell r="AC295">
            <v>-1228</v>
          </cell>
          <cell r="AD295">
            <v>-1242</v>
          </cell>
          <cell r="AE295">
            <v>-4854</v>
          </cell>
          <cell r="AF295">
            <v>-1271</v>
          </cell>
          <cell r="AG295">
            <v>-1293</v>
          </cell>
          <cell r="AH295">
            <v>-1207</v>
          </cell>
          <cell r="AI295">
            <v>-33</v>
          </cell>
          <cell r="AJ295">
            <v>-3804</v>
          </cell>
          <cell r="AK295">
            <v>-604</v>
          </cell>
          <cell r="AL295">
            <v>-1074</v>
          </cell>
          <cell r="AM295">
            <v>-1288</v>
          </cell>
          <cell r="AN295">
            <v>-718</v>
          </cell>
          <cell r="AO295">
            <v>-3684</v>
          </cell>
          <cell r="AP295">
            <v>-1006</v>
          </cell>
          <cell r="AQ295">
            <v>-731</v>
          </cell>
          <cell r="AR295">
            <v>-1055</v>
          </cell>
          <cell r="AS295">
            <v>-731</v>
          </cell>
          <cell r="AT295">
            <v>-3523</v>
          </cell>
          <cell r="AU295">
            <v>-1287</v>
          </cell>
          <cell r="AV295">
            <v>-763</v>
          </cell>
          <cell r="AW295">
            <v>-964</v>
          </cell>
          <cell r="AX295">
            <v>-1014</v>
          </cell>
          <cell r="AY295">
            <v>-4028</v>
          </cell>
          <cell r="AZ295">
            <v>-1245</v>
          </cell>
          <cell r="BA295">
            <v>-1706</v>
          </cell>
          <cell r="BB295">
            <v>-1262</v>
          </cell>
          <cell r="BC295">
            <v>-161</v>
          </cell>
          <cell r="BD295">
            <v>-4374</v>
          </cell>
          <cell r="BE295">
            <v>-1411</v>
          </cell>
          <cell r="BF295">
            <v>-1484</v>
          </cell>
          <cell r="BG295">
            <v>-1338</v>
          </cell>
          <cell r="BH295">
            <v>-1430</v>
          </cell>
          <cell r="BI295">
            <v>-5663</v>
          </cell>
          <cell r="BJ295">
            <v>-1563</v>
          </cell>
          <cell r="BK295">
            <v>-1179</v>
          </cell>
          <cell r="BL295">
            <v>-2045</v>
          </cell>
          <cell r="BM295">
            <v>-1249</v>
          </cell>
          <cell r="BN295">
            <v>-6036</v>
          </cell>
          <cell r="BO295">
            <v>-1927</v>
          </cell>
          <cell r="BP295">
            <v>-2113</v>
          </cell>
          <cell r="BQ295">
            <v>-422</v>
          </cell>
          <cell r="BR295">
            <v>-1671</v>
          </cell>
          <cell r="BS295">
            <v>-6133</v>
          </cell>
          <cell r="BT295">
            <v>-1618</v>
          </cell>
          <cell r="BU295">
            <v>-1464</v>
          </cell>
          <cell r="BV295">
            <v>-1073</v>
          </cell>
          <cell r="BW295">
            <v>-1097</v>
          </cell>
          <cell r="BX295">
            <v>-5252</v>
          </cell>
          <cell r="BY295">
            <v>-1191</v>
          </cell>
          <cell r="BZ295">
            <v>-2221</v>
          </cell>
          <cell r="CA295">
            <v>-1335</v>
          </cell>
          <cell r="CB295">
            <v>-1506</v>
          </cell>
          <cell r="CC295">
            <v>-6253</v>
          </cell>
          <cell r="CD295">
            <v>-1820</v>
          </cell>
          <cell r="CE295">
            <v>-1863</v>
          </cell>
          <cell r="CF295">
            <v>-793</v>
          </cell>
          <cell r="CG295">
            <v>-445</v>
          </cell>
          <cell r="CH295">
            <v>-4921</v>
          </cell>
          <cell r="CI295">
            <v>-1568</v>
          </cell>
          <cell r="CJ295">
            <v>-1615</v>
          </cell>
          <cell r="CK295">
            <v>-1255</v>
          </cell>
          <cell r="CL295">
            <v>-851</v>
          </cell>
          <cell r="CM295">
            <v>-5289</v>
          </cell>
          <cell r="CN295">
            <v>-1068</v>
          </cell>
          <cell r="CO295">
            <v>-1393</v>
          </cell>
          <cell r="CP295">
            <v>-1548</v>
          </cell>
          <cell r="CQ295">
            <v>-1180</v>
          </cell>
          <cell r="CR295">
            <v>-5189</v>
          </cell>
          <cell r="CS295">
            <v>-1164</v>
          </cell>
          <cell r="CT295">
            <v>-1320</v>
          </cell>
          <cell r="CU295">
            <v>-1297</v>
          </cell>
          <cell r="CV295">
            <v>-1965</v>
          </cell>
          <cell r="CW295">
            <v>-5746</v>
          </cell>
          <cell r="CX295">
            <v>-1356</v>
          </cell>
          <cell r="CY295">
            <v>-1987</v>
          </cell>
          <cell r="CZ295">
            <v>-1532</v>
          </cell>
          <cell r="DA295">
            <v>-1439</v>
          </cell>
          <cell r="DB295">
            <v>-6314</v>
          </cell>
          <cell r="DC295">
            <v>-893</v>
          </cell>
          <cell r="DD295">
            <v>-857</v>
          </cell>
          <cell r="DE295">
            <v>-1280</v>
          </cell>
          <cell r="DF295">
            <v>-225</v>
          </cell>
          <cell r="DG295">
            <v>-3255</v>
          </cell>
          <cell r="DH295">
            <v>-1160</v>
          </cell>
          <cell r="DI295">
            <v>-1755</v>
          </cell>
          <cell r="DJ295">
            <v>-1608</v>
          </cell>
          <cell r="DK295">
            <v>111</v>
          </cell>
          <cell r="DL295">
            <v>-4412</v>
          </cell>
          <cell r="DM295">
            <v>-1408</v>
          </cell>
          <cell r="DN295">
            <v>-15471</v>
          </cell>
          <cell r="DO295">
            <v>-1217</v>
          </cell>
          <cell r="DP295">
            <v>-1807</v>
          </cell>
          <cell r="DQ295">
            <v>-19903</v>
          </cell>
          <cell r="DR295">
            <v>-1397</v>
          </cell>
          <cell r="DS295">
            <v>-1965</v>
          </cell>
          <cell r="DT295">
            <v>-1677</v>
          </cell>
          <cell r="DU295">
            <v>591</v>
          </cell>
          <cell r="DV295">
            <v>-4448</v>
          </cell>
          <cell r="DW295">
            <v>-2008</v>
          </cell>
          <cell r="DX295">
            <v>-2436</v>
          </cell>
          <cell r="DY295">
            <v>-2091</v>
          </cell>
          <cell r="DZ295">
            <v>-2220</v>
          </cell>
          <cell r="EA295">
            <v>-8755</v>
          </cell>
          <cell r="EB295">
            <v>-2231</v>
          </cell>
          <cell r="EC295">
            <v>-2874</v>
          </cell>
          <cell r="ED295">
            <v>-1779</v>
          </cell>
          <cell r="EE295">
            <v>-2947</v>
          </cell>
          <cell r="EF295">
            <v>-9831</v>
          </cell>
          <cell r="EG295">
            <v>-19</v>
          </cell>
          <cell r="EH295">
            <v>-3750</v>
          </cell>
          <cell r="EI295">
            <v>-3462</v>
          </cell>
          <cell r="EJ295">
            <v>-3747</v>
          </cell>
          <cell r="EK295">
            <v>-10978</v>
          </cell>
          <cell r="EL295">
            <v>-4016</v>
          </cell>
          <cell r="EM295">
            <v>-3914</v>
          </cell>
          <cell r="EN295">
            <v>-4374</v>
          </cell>
          <cell r="EO295">
            <v>-4646</v>
          </cell>
          <cell r="EP295">
            <v>-16950</v>
          </cell>
          <cell r="EQ295">
            <v>-4993</v>
          </cell>
          <cell r="ER295">
            <v>-4656</v>
          </cell>
          <cell r="ES295">
            <v>-4788</v>
          </cell>
          <cell r="ET295">
            <v>-4973.333336420621</v>
          </cell>
          <cell r="EU295">
            <v>-19410.333336420619</v>
          </cell>
          <cell r="EV295">
            <v>-5469.1745307502006</v>
          </cell>
          <cell r="EW295">
            <v>-5704.8649988125844</v>
          </cell>
          <cell r="EX295">
            <v>-5673.4436362906454</v>
          </cell>
          <cell r="EY295">
            <v>-6054.226550151373</v>
          </cell>
          <cell r="EZ295">
            <v>-22901.709716004803</v>
          </cell>
          <cell r="FA295">
            <v>-6444.5549095121596</v>
          </cell>
          <cell r="FB295">
            <v>-6720.3171141036655</v>
          </cell>
          <cell r="FC295">
            <v>-6699.0811108241342</v>
          </cell>
          <cell r="FD295">
            <v>-7159.5687278696068</v>
          </cell>
          <cell r="FE295">
            <v>-27023.521862309564</v>
          </cell>
        </row>
        <row r="296">
          <cell r="B296" t="str">
            <v>Minority interest</v>
          </cell>
          <cell r="C296" t="str">
            <v>INC_MINORITY</v>
          </cell>
          <cell r="D296" t="str">
            <v>USD</v>
          </cell>
        </row>
        <row r="297">
          <cell r="B297" t="str">
            <v>Net income (pre-preferred dividends)</v>
          </cell>
          <cell r="C297" t="str">
            <v>NI_PRE_PREF</v>
          </cell>
          <cell r="D297" t="str">
            <v>USD</v>
          </cell>
          <cell r="F297">
            <v>1453</v>
          </cell>
          <cell r="G297">
            <v>499</v>
          </cell>
          <cell r="H297">
            <v>575</v>
          </cell>
          <cell r="I297">
            <v>562</v>
          </cell>
          <cell r="J297">
            <v>559</v>
          </cell>
          <cell r="K297">
            <v>2195</v>
          </cell>
          <cell r="L297">
            <v>614</v>
          </cell>
          <cell r="M297">
            <v>741</v>
          </cell>
          <cell r="N297">
            <v>1042</v>
          </cell>
          <cell r="O297">
            <v>1057</v>
          </cell>
          <cell r="P297">
            <v>3454</v>
          </cell>
          <cell r="Q297">
            <v>663</v>
          </cell>
          <cell r="R297">
            <v>1133</v>
          </cell>
          <cell r="S297">
            <v>1337</v>
          </cell>
          <cell r="T297">
            <v>1357</v>
          </cell>
          <cell r="U297">
            <v>4490</v>
          </cell>
          <cell r="V297">
            <v>1683</v>
          </cell>
          <cell r="W297">
            <v>1983</v>
          </cell>
          <cell r="X297">
            <v>1917</v>
          </cell>
          <cell r="Y297">
            <v>2202</v>
          </cell>
          <cell r="Z297">
            <v>7785</v>
          </cell>
          <cell r="AA297">
            <v>2191</v>
          </cell>
          <cell r="AB297">
            <v>2436</v>
          </cell>
          <cell r="AC297">
            <v>2385</v>
          </cell>
          <cell r="AD297">
            <v>2409</v>
          </cell>
          <cell r="AE297">
            <v>9421</v>
          </cell>
          <cell r="AF297">
            <v>2206</v>
          </cell>
          <cell r="AG297">
            <v>2624</v>
          </cell>
          <cell r="AH297">
            <v>2451</v>
          </cell>
          <cell r="AI297">
            <v>65</v>
          </cell>
          <cell r="AJ297">
            <v>7346</v>
          </cell>
          <cell r="AK297">
            <v>1283</v>
          </cell>
          <cell r="AL297">
            <v>2283</v>
          </cell>
          <cell r="AM297">
            <v>2738</v>
          </cell>
          <cell r="AN297">
            <v>1525</v>
          </cell>
          <cell r="AO297">
            <v>7829</v>
          </cell>
          <cell r="AP297">
            <v>2041</v>
          </cell>
          <cell r="AQ297">
            <v>1865</v>
          </cell>
          <cell r="AR297">
            <v>2142</v>
          </cell>
          <cell r="AS297">
            <v>1483</v>
          </cell>
          <cell r="AT297">
            <v>7531</v>
          </cell>
          <cell r="AU297">
            <v>2614</v>
          </cell>
          <cell r="AV297">
            <v>1549</v>
          </cell>
          <cell r="AW297">
            <v>1315</v>
          </cell>
          <cell r="AX297">
            <v>2690</v>
          </cell>
          <cell r="AY297">
            <v>8168</v>
          </cell>
          <cell r="AZ297">
            <v>2528</v>
          </cell>
          <cell r="BA297">
            <v>3463</v>
          </cell>
          <cell r="BB297">
            <v>2563</v>
          </cell>
          <cell r="BC297">
            <v>3700</v>
          </cell>
          <cell r="BD297">
            <v>12254</v>
          </cell>
          <cell r="BE297">
            <v>3141</v>
          </cell>
          <cell r="BF297">
            <v>3653</v>
          </cell>
          <cell r="BG297">
            <v>2977</v>
          </cell>
          <cell r="BH297">
            <v>2828</v>
          </cell>
          <cell r="BI297">
            <v>12599</v>
          </cell>
          <cell r="BJ297">
            <v>3478</v>
          </cell>
          <cell r="BK297">
            <v>2626</v>
          </cell>
          <cell r="BL297">
            <v>4926</v>
          </cell>
          <cell r="BM297">
            <v>3035</v>
          </cell>
          <cell r="BN297">
            <v>14065</v>
          </cell>
          <cell r="BO297">
            <v>4289</v>
          </cell>
          <cell r="BP297">
            <v>4707</v>
          </cell>
          <cell r="BQ297">
            <v>4388</v>
          </cell>
          <cell r="BR297">
            <v>4297</v>
          </cell>
          <cell r="BS297">
            <v>17681</v>
          </cell>
          <cell r="BT297">
            <v>4373</v>
          </cell>
          <cell r="BU297">
            <v>4174</v>
          </cell>
          <cell r="BV297">
            <v>2977</v>
          </cell>
          <cell r="BW297">
            <v>3045</v>
          </cell>
          <cell r="BX297">
            <v>14569</v>
          </cell>
          <cell r="BY297">
            <v>3574</v>
          </cell>
          <cell r="BZ297">
            <v>6662</v>
          </cell>
          <cell r="CA297">
            <v>4006</v>
          </cell>
          <cell r="CB297">
            <v>4518</v>
          </cell>
          <cell r="CC297">
            <v>18760</v>
          </cell>
          <cell r="CD297">
            <v>5410</v>
          </cell>
          <cell r="CE297">
            <v>6634</v>
          </cell>
          <cell r="CF297">
            <v>5232</v>
          </cell>
          <cell r="CG297">
            <v>5874</v>
          </cell>
          <cell r="CH297">
            <v>23150</v>
          </cell>
          <cell r="CI297">
            <v>5738</v>
          </cell>
          <cell r="CJ297">
            <v>6624</v>
          </cell>
          <cell r="CK297">
            <v>5108</v>
          </cell>
          <cell r="CL297">
            <v>-492</v>
          </cell>
          <cell r="CM297">
            <v>16978</v>
          </cell>
          <cell r="CN297">
            <v>4466</v>
          </cell>
          <cell r="CO297">
            <v>6377</v>
          </cell>
          <cell r="CP297">
            <v>6055</v>
          </cell>
          <cell r="CQ297">
            <v>4965</v>
          </cell>
          <cell r="CR297">
            <v>21863</v>
          </cell>
          <cell r="CS297">
            <v>5244</v>
          </cell>
          <cell r="CT297">
            <v>6558</v>
          </cell>
          <cell r="CU297">
            <v>5660</v>
          </cell>
          <cell r="CV297">
            <v>4612</v>
          </cell>
          <cell r="CW297">
            <v>22074</v>
          </cell>
          <cell r="CX297">
            <v>4540</v>
          </cell>
          <cell r="CY297">
            <v>5863</v>
          </cell>
          <cell r="CZ297">
            <v>4985</v>
          </cell>
          <cell r="DA297">
            <v>-3195</v>
          </cell>
          <cell r="DB297">
            <v>12193</v>
          </cell>
          <cell r="DC297">
            <v>4620</v>
          </cell>
          <cell r="DD297">
            <v>4998</v>
          </cell>
          <cell r="DE297">
            <v>3756</v>
          </cell>
          <cell r="DF297">
            <v>3122</v>
          </cell>
          <cell r="DG297">
            <v>16496</v>
          </cell>
          <cell r="DH297">
            <v>5667</v>
          </cell>
          <cell r="DI297">
            <v>6267</v>
          </cell>
          <cell r="DJ297">
            <v>5486</v>
          </cell>
          <cell r="DK297">
            <v>8069</v>
          </cell>
          <cell r="DL297">
            <v>25489</v>
          </cell>
          <cell r="DM297">
            <v>6576</v>
          </cell>
          <cell r="DN297">
            <v>-6302</v>
          </cell>
          <cell r="DO297">
            <v>7424</v>
          </cell>
          <cell r="DP297">
            <v>8873</v>
          </cell>
          <cell r="DQ297">
            <v>16571</v>
          </cell>
          <cell r="DR297">
            <v>8824</v>
          </cell>
          <cell r="DS297">
            <v>8420</v>
          </cell>
          <cell r="DT297">
            <v>8809</v>
          </cell>
          <cell r="DU297">
            <v>13187</v>
          </cell>
          <cell r="DV297">
            <v>39240</v>
          </cell>
          <cell r="DW297">
            <v>10678</v>
          </cell>
          <cell r="DX297">
            <v>11649</v>
          </cell>
          <cell r="DY297">
            <v>10752</v>
          </cell>
          <cell r="DZ297">
            <v>11202</v>
          </cell>
          <cell r="EA297">
            <v>44281</v>
          </cell>
          <cell r="EB297">
            <v>13893</v>
          </cell>
          <cell r="EC297">
            <v>15463</v>
          </cell>
          <cell r="ED297">
            <v>15457</v>
          </cell>
          <cell r="EE297">
            <v>16458</v>
          </cell>
          <cell r="EF297">
            <v>61271</v>
          </cell>
          <cell r="EG297">
            <v>20505</v>
          </cell>
          <cell r="EH297">
            <v>18765</v>
          </cell>
          <cell r="EI297">
            <v>16728</v>
          </cell>
          <cell r="EJ297">
            <v>16740</v>
          </cell>
          <cell r="EK297">
            <v>72738</v>
          </cell>
          <cell r="EL297">
            <v>17556</v>
          </cell>
          <cell r="EM297">
            <v>16425</v>
          </cell>
          <cell r="EN297">
            <v>18299</v>
          </cell>
          <cell r="EO297">
            <v>20081</v>
          </cell>
          <cell r="EP297">
            <v>72361</v>
          </cell>
          <cell r="EQ297">
            <v>22291</v>
          </cell>
          <cell r="ER297">
            <v>21870</v>
          </cell>
          <cell r="ES297">
            <v>21939</v>
          </cell>
          <cell r="ET297">
            <v>22656.296310360609</v>
          </cell>
          <cell r="EU297">
            <v>88756.296310360602</v>
          </cell>
          <cell r="EV297">
            <v>24915.128417862026</v>
          </cell>
          <cell r="EW297">
            <v>25988.829439035107</v>
          </cell>
          <cell r="EX297">
            <v>25845.687676435162</v>
          </cell>
          <cell r="EY297">
            <v>27580.365395134035</v>
          </cell>
          <cell r="EZ297">
            <v>104330.01092846633</v>
          </cell>
          <cell r="FA297">
            <v>29358.527921110952</v>
          </cell>
          <cell r="FB297">
            <v>30614.777964250032</v>
          </cell>
          <cell r="FC297">
            <v>30518.036171532171</v>
          </cell>
          <cell r="FD297">
            <v>32615.81309362821</v>
          </cell>
          <cell r="FE297">
            <v>123107.15515052137</v>
          </cell>
        </row>
        <row r="298">
          <cell r="B298" t="str">
            <v>Preferred dividends</v>
          </cell>
          <cell r="C298" t="str">
            <v>PREF_DIV</v>
          </cell>
          <cell r="D298" t="str">
            <v>USD</v>
          </cell>
        </row>
        <row r="299">
          <cell r="B299" t="str">
            <v>Net income (pre-exceptionals)</v>
          </cell>
          <cell r="C299" t="str">
            <v>NET_EARNING</v>
          </cell>
          <cell r="D299" t="str">
            <v>USD</v>
          </cell>
          <cell r="F299">
            <v>1453</v>
          </cell>
          <cell r="G299">
            <v>499</v>
          </cell>
          <cell r="H299">
            <v>575</v>
          </cell>
          <cell r="I299">
            <v>562</v>
          </cell>
          <cell r="J299">
            <v>559</v>
          </cell>
          <cell r="K299">
            <v>2195</v>
          </cell>
          <cell r="L299">
            <v>614</v>
          </cell>
          <cell r="M299">
            <v>741</v>
          </cell>
          <cell r="N299">
            <v>1042</v>
          </cell>
          <cell r="O299">
            <v>1057</v>
          </cell>
          <cell r="P299">
            <v>3454</v>
          </cell>
          <cell r="Q299">
            <v>663</v>
          </cell>
          <cell r="R299">
            <v>1133</v>
          </cell>
          <cell r="S299">
            <v>1337</v>
          </cell>
          <cell r="T299">
            <v>1357</v>
          </cell>
          <cell r="U299">
            <v>4490</v>
          </cell>
          <cell r="V299">
            <v>1683</v>
          </cell>
          <cell r="W299">
            <v>1983</v>
          </cell>
          <cell r="X299">
            <v>1917</v>
          </cell>
          <cell r="Y299">
            <v>2202</v>
          </cell>
          <cell r="Z299">
            <v>7785</v>
          </cell>
          <cell r="AA299">
            <v>2191</v>
          </cell>
          <cell r="AB299">
            <v>2436</v>
          </cell>
          <cell r="AC299">
            <v>2385</v>
          </cell>
          <cell r="AD299">
            <v>2409</v>
          </cell>
          <cell r="AE299">
            <v>9421</v>
          </cell>
          <cell r="AF299">
            <v>2206</v>
          </cell>
          <cell r="AG299">
            <v>2624</v>
          </cell>
          <cell r="AH299">
            <v>2451</v>
          </cell>
          <cell r="AI299">
            <v>65</v>
          </cell>
          <cell r="AJ299">
            <v>7346</v>
          </cell>
          <cell r="AK299">
            <v>1283</v>
          </cell>
          <cell r="AL299">
            <v>2283</v>
          </cell>
          <cell r="AM299">
            <v>2738</v>
          </cell>
          <cell r="AN299">
            <v>1525</v>
          </cell>
          <cell r="AO299">
            <v>7829</v>
          </cell>
          <cell r="AP299">
            <v>2041</v>
          </cell>
          <cell r="AQ299">
            <v>1865</v>
          </cell>
          <cell r="AR299">
            <v>2142</v>
          </cell>
          <cell r="AS299">
            <v>1483</v>
          </cell>
          <cell r="AT299">
            <v>7531</v>
          </cell>
          <cell r="AU299">
            <v>2614</v>
          </cell>
          <cell r="AV299">
            <v>1549</v>
          </cell>
          <cell r="AW299">
            <v>1315</v>
          </cell>
          <cell r="AX299">
            <v>2690</v>
          </cell>
          <cell r="AY299">
            <v>8168</v>
          </cell>
          <cell r="AZ299">
            <v>2528</v>
          </cell>
          <cell r="BA299">
            <v>3463</v>
          </cell>
          <cell r="BB299">
            <v>2563</v>
          </cell>
          <cell r="BC299">
            <v>3700</v>
          </cell>
          <cell r="BD299">
            <v>12254</v>
          </cell>
          <cell r="BE299">
            <v>3141</v>
          </cell>
          <cell r="BF299">
            <v>3653</v>
          </cell>
          <cell r="BG299">
            <v>2977</v>
          </cell>
          <cell r="BH299">
            <v>2828</v>
          </cell>
          <cell r="BI299">
            <v>12599</v>
          </cell>
          <cell r="BJ299">
            <v>3478</v>
          </cell>
          <cell r="BK299">
            <v>2626</v>
          </cell>
          <cell r="BL299">
            <v>4926</v>
          </cell>
          <cell r="BM299">
            <v>3035</v>
          </cell>
          <cell r="BN299">
            <v>14065</v>
          </cell>
          <cell r="BO299">
            <v>4289</v>
          </cell>
          <cell r="BP299">
            <v>4707</v>
          </cell>
          <cell r="BQ299">
            <v>4388</v>
          </cell>
          <cell r="BR299">
            <v>4297</v>
          </cell>
          <cell r="BS299">
            <v>17681</v>
          </cell>
          <cell r="BT299">
            <v>4373</v>
          </cell>
          <cell r="BU299">
            <v>4174</v>
          </cell>
          <cell r="BV299">
            <v>2977</v>
          </cell>
          <cell r="BW299">
            <v>3045</v>
          </cell>
          <cell r="BX299">
            <v>14569</v>
          </cell>
          <cell r="BY299">
            <v>3574</v>
          </cell>
          <cell r="BZ299">
            <v>6662</v>
          </cell>
          <cell r="CA299">
            <v>4006</v>
          </cell>
          <cell r="CB299">
            <v>4518</v>
          </cell>
          <cell r="CC299">
            <v>18760</v>
          </cell>
          <cell r="CD299">
            <v>5410</v>
          </cell>
          <cell r="CE299">
            <v>6634</v>
          </cell>
          <cell r="CF299">
            <v>5232</v>
          </cell>
          <cell r="CG299">
            <v>5874</v>
          </cell>
          <cell r="CH299">
            <v>23150</v>
          </cell>
          <cell r="CI299">
            <v>5738</v>
          </cell>
          <cell r="CJ299">
            <v>6624</v>
          </cell>
          <cell r="CK299">
            <v>5108</v>
          </cell>
          <cell r="CL299">
            <v>-492</v>
          </cell>
          <cell r="CM299">
            <v>16978</v>
          </cell>
          <cell r="CN299">
            <v>4466</v>
          </cell>
          <cell r="CO299">
            <v>6377</v>
          </cell>
          <cell r="CP299">
            <v>6055</v>
          </cell>
          <cell r="CQ299">
            <v>4965</v>
          </cell>
          <cell r="CR299">
            <v>21863</v>
          </cell>
          <cell r="CS299">
            <v>5244</v>
          </cell>
          <cell r="CT299">
            <v>6558</v>
          </cell>
          <cell r="CU299">
            <v>5660</v>
          </cell>
          <cell r="CV299">
            <v>4612</v>
          </cell>
          <cell r="CW299">
            <v>22074</v>
          </cell>
          <cell r="CX299">
            <v>4540</v>
          </cell>
          <cell r="CY299">
            <v>5863</v>
          </cell>
          <cell r="CZ299">
            <v>4985</v>
          </cell>
          <cell r="DA299">
            <v>-3195</v>
          </cell>
          <cell r="DB299">
            <v>12193</v>
          </cell>
          <cell r="DC299">
            <v>4620</v>
          </cell>
          <cell r="DD299">
            <v>4998</v>
          </cell>
          <cell r="DE299">
            <v>3756</v>
          </cell>
          <cell r="DF299">
            <v>3122</v>
          </cell>
          <cell r="DG299">
            <v>16496</v>
          </cell>
          <cell r="DH299">
            <v>5667</v>
          </cell>
          <cell r="DI299">
            <v>6267</v>
          </cell>
          <cell r="DJ299">
            <v>5486</v>
          </cell>
          <cell r="DK299">
            <v>8069</v>
          </cell>
          <cell r="DL299">
            <v>25489</v>
          </cell>
          <cell r="DM299">
            <v>6576</v>
          </cell>
          <cell r="DN299">
            <v>-6302</v>
          </cell>
          <cell r="DO299">
            <v>7424</v>
          </cell>
          <cell r="DP299">
            <v>8873</v>
          </cell>
          <cell r="DQ299">
            <v>16571</v>
          </cell>
          <cell r="DR299">
            <v>8824</v>
          </cell>
          <cell r="DS299">
            <v>8420</v>
          </cell>
          <cell r="DT299">
            <v>8809</v>
          </cell>
          <cell r="DU299">
            <v>13187</v>
          </cell>
          <cell r="DV299">
            <v>39240</v>
          </cell>
          <cell r="DW299">
            <v>10678</v>
          </cell>
          <cell r="DX299">
            <v>11649</v>
          </cell>
          <cell r="DY299">
            <v>10752</v>
          </cell>
          <cell r="DZ299">
            <v>11202</v>
          </cell>
          <cell r="EA299">
            <v>44281</v>
          </cell>
          <cell r="EB299">
            <v>13893</v>
          </cell>
          <cell r="EC299">
            <v>15463</v>
          </cell>
          <cell r="ED299">
            <v>15457</v>
          </cell>
          <cell r="EE299">
            <v>16458</v>
          </cell>
          <cell r="EF299">
            <v>61271</v>
          </cell>
          <cell r="EG299">
            <v>20505</v>
          </cell>
          <cell r="EH299">
            <v>18765</v>
          </cell>
          <cell r="EI299">
            <v>16728</v>
          </cell>
          <cell r="EJ299">
            <v>16740</v>
          </cell>
          <cell r="EK299">
            <v>72738</v>
          </cell>
          <cell r="EL299">
            <v>17556</v>
          </cell>
          <cell r="EM299">
            <v>16425</v>
          </cell>
          <cell r="EN299">
            <v>18299</v>
          </cell>
          <cell r="EO299">
            <v>20081</v>
          </cell>
          <cell r="EP299">
            <v>72361</v>
          </cell>
          <cell r="EQ299">
            <v>22291</v>
          </cell>
          <cell r="ER299">
            <v>21870</v>
          </cell>
          <cell r="ES299">
            <v>21939</v>
          </cell>
          <cell r="ET299">
            <v>22656.296310360609</v>
          </cell>
          <cell r="EU299">
            <v>88756.296310360602</v>
          </cell>
          <cell r="EV299">
            <v>24915.128417862026</v>
          </cell>
          <cell r="EW299">
            <v>25988.829439035107</v>
          </cell>
          <cell r="EX299">
            <v>25845.687676435162</v>
          </cell>
          <cell r="EY299">
            <v>27580.365395134035</v>
          </cell>
          <cell r="EZ299">
            <v>104330.01092846633</v>
          </cell>
          <cell r="FA299">
            <v>29358.527921110952</v>
          </cell>
          <cell r="FB299">
            <v>30614.777964250032</v>
          </cell>
          <cell r="FC299">
            <v>30518.036171532171</v>
          </cell>
          <cell r="FD299">
            <v>32615.81309362821</v>
          </cell>
          <cell r="FE299">
            <v>123107.15515052137</v>
          </cell>
        </row>
        <row r="300">
          <cell r="B300" t="str">
            <v>Post-tax exceptionals</v>
          </cell>
          <cell r="C300" t="str">
            <v>TAX_EXC</v>
          </cell>
          <cell r="D300" t="str">
            <v>USD</v>
          </cell>
        </row>
        <row r="301">
          <cell r="B301" t="str">
            <v>Net income (post-exceptionals)</v>
          </cell>
          <cell r="C301" t="str">
            <v>NET_INC</v>
          </cell>
          <cell r="D301" t="str">
            <v>USD</v>
          </cell>
          <cell r="F301">
            <v>1453</v>
          </cell>
          <cell r="G301">
            <v>499</v>
          </cell>
          <cell r="H301">
            <v>575</v>
          </cell>
          <cell r="I301">
            <v>562</v>
          </cell>
          <cell r="J301">
            <v>559</v>
          </cell>
          <cell r="K301">
            <v>2195</v>
          </cell>
          <cell r="L301">
            <v>614</v>
          </cell>
          <cell r="M301">
            <v>741</v>
          </cell>
          <cell r="N301">
            <v>1042</v>
          </cell>
          <cell r="O301">
            <v>1057</v>
          </cell>
          <cell r="P301">
            <v>3454</v>
          </cell>
          <cell r="Q301">
            <v>663</v>
          </cell>
          <cell r="R301">
            <v>1133</v>
          </cell>
          <cell r="S301">
            <v>1337</v>
          </cell>
          <cell r="T301">
            <v>1357</v>
          </cell>
          <cell r="U301">
            <v>4490</v>
          </cell>
          <cell r="V301">
            <v>1683</v>
          </cell>
          <cell r="W301">
            <v>1983</v>
          </cell>
          <cell r="X301">
            <v>1917</v>
          </cell>
          <cell r="Y301">
            <v>2202</v>
          </cell>
          <cell r="Z301">
            <v>7785</v>
          </cell>
          <cell r="AA301">
            <v>2191</v>
          </cell>
          <cell r="AB301">
            <v>2436</v>
          </cell>
          <cell r="AC301">
            <v>2385</v>
          </cell>
          <cell r="AD301">
            <v>2409</v>
          </cell>
          <cell r="AE301">
            <v>9421</v>
          </cell>
          <cell r="AF301">
            <v>2206</v>
          </cell>
          <cell r="AG301">
            <v>2624</v>
          </cell>
          <cell r="AH301">
            <v>2451</v>
          </cell>
          <cell r="AI301">
            <v>65</v>
          </cell>
          <cell r="AJ301">
            <v>7346</v>
          </cell>
          <cell r="AK301">
            <v>1283</v>
          </cell>
          <cell r="AL301">
            <v>2283</v>
          </cell>
          <cell r="AM301">
            <v>2738</v>
          </cell>
          <cell r="AN301">
            <v>1525</v>
          </cell>
          <cell r="AO301">
            <v>7829</v>
          </cell>
          <cell r="AP301">
            <v>2041</v>
          </cell>
          <cell r="AQ301">
            <v>1865</v>
          </cell>
          <cell r="AR301">
            <v>2142</v>
          </cell>
          <cell r="AS301">
            <v>1483</v>
          </cell>
          <cell r="AT301">
            <v>7531</v>
          </cell>
          <cell r="AU301">
            <v>2614</v>
          </cell>
          <cell r="AV301">
            <v>1549</v>
          </cell>
          <cell r="AW301">
            <v>1315</v>
          </cell>
          <cell r="AX301">
            <v>2690</v>
          </cell>
          <cell r="AY301">
            <v>8168</v>
          </cell>
          <cell r="AZ301">
            <v>2528</v>
          </cell>
          <cell r="BA301">
            <v>3463</v>
          </cell>
          <cell r="BB301">
            <v>2563</v>
          </cell>
          <cell r="BC301">
            <v>3700</v>
          </cell>
          <cell r="BD301">
            <v>12254</v>
          </cell>
          <cell r="BE301">
            <v>3141</v>
          </cell>
          <cell r="BF301">
            <v>3653</v>
          </cell>
          <cell r="BG301">
            <v>2977</v>
          </cell>
          <cell r="BH301">
            <v>2828</v>
          </cell>
          <cell r="BI301">
            <v>12599</v>
          </cell>
          <cell r="BJ301">
            <v>3478</v>
          </cell>
          <cell r="BK301">
            <v>2626</v>
          </cell>
          <cell r="BL301">
            <v>4926</v>
          </cell>
          <cell r="BM301">
            <v>3035</v>
          </cell>
          <cell r="BN301">
            <v>14065</v>
          </cell>
          <cell r="BO301">
            <v>4289</v>
          </cell>
          <cell r="BP301">
            <v>4707</v>
          </cell>
          <cell r="BQ301">
            <v>4388</v>
          </cell>
          <cell r="BR301">
            <v>4297</v>
          </cell>
          <cell r="BS301">
            <v>17681</v>
          </cell>
          <cell r="BT301">
            <v>4373</v>
          </cell>
          <cell r="BU301">
            <v>4174</v>
          </cell>
          <cell r="BV301">
            <v>2977</v>
          </cell>
          <cell r="BW301">
            <v>3045</v>
          </cell>
          <cell r="BX301">
            <v>14569</v>
          </cell>
          <cell r="BY301">
            <v>3574</v>
          </cell>
          <cell r="BZ301">
            <v>6662</v>
          </cell>
          <cell r="CA301">
            <v>4006</v>
          </cell>
          <cell r="CB301">
            <v>4518</v>
          </cell>
          <cell r="CC301">
            <v>18760</v>
          </cell>
          <cell r="CD301">
            <v>5410</v>
          </cell>
          <cell r="CE301">
            <v>6634</v>
          </cell>
          <cell r="CF301">
            <v>5232</v>
          </cell>
          <cell r="CG301">
            <v>5874</v>
          </cell>
          <cell r="CH301">
            <v>23150</v>
          </cell>
          <cell r="CI301">
            <v>5738</v>
          </cell>
          <cell r="CJ301">
            <v>6624</v>
          </cell>
          <cell r="CK301">
            <v>5108</v>
          </cell>
          <cell r="CL301">
            <v>-492</v>
          </cell>
          <cell r="CM301">
            <v>16978</v>
          </cell>
          <cell r="CN301">
            <v>4466</v>
          </cell>
          <cell r="CO301">
            <v>6377</v>
          </cell>
          <cell r="CP301">
            <v>6055</v>
          </cell>
          <cell r="CQ301">
            <v>4965</v>
          </cell>
          <cell r="CR301">
            <v>21863</v>
          </cell>
          <cell r="CS301">
            <v>5244</v>
          </cell>
          <cell r="CT301">
            <v>6558</v>
          </cell>
          <cell r="CU301">
            <v>5660</v>
          </cell>
          <cell r="CV301">
            <v>4612</v>
          </cell>
          <cell r="CW301">
            <v>22074</v>
          </cell>
          <cell r="CX301">
            <v>4540</v>
          </cell>
          <cell r="CY301">
            <v>5863</v>
          </cell>
          <cell r="CZ301">
            <v>4985</v>
          </cell>
          <cell r="DA301">
            <v>-3195</v>
          </cell>
          <cell r="DB301">
            <v>12193</v>
          </cell>
          <cell r="DC301">
            <v>4620</v>
          </cell>
          <cell r="DD301">
            <v>4998</v>
          </cell>
          <cell r="DE301">
            <v>3756</v>
          </cell>
          <cell r="DF301">
            <v>3122</v>
          </cell>
          <cell r="DG301">
            <v>16496</v>
          </cell>
          <cell r="DH301">
            <v>5667</v>
          </cell>
          <cell r="DI301">
            <v>6267</v>
          </cell>
          <cell r="DJ301">
            <v>5486</v>
          </cell>
          <cell r="DK301">
            <v>8069</v>
          </cell>
          <cell r="DL301">
            <v>25489</v>
          </cell>
          <cell r="DM301">
            <v>6576</v>
          </cell>
          <cell r="DN301">
            <v>-6302</v>
          </cell>
          <cell r="DO301">
            <v>7424</v>
          </cell>
          <cell r="DP301">
            <v>8873</v>
          </cell>
          <cell r="DQ301">
            <v>16571</v>
          </cell>
          <cell r="DR301">
            <v>8824</v>
          </cell>
          <cell r="DS301">
            <v>8420</v>
          </cell>
          <cell r="DT301">
            <v>8809</v>
          </cell>
          <cell r="DU301">
            <v>13187</v>
          </cell>
          <cell r="DV301">
            <v>39240</v>
          </cell>
          <cell r="DW301">
            <v>10678</v>
          </cell>
          <cell r="DX301">
            <v>11649</v>
          </cell>
          <cell r="DY301">
            <v>10752</v>
          </cell>
          <cell r="DZ301">
            <v>11202</v>
          </cell>
          <cell r="EA301">
            <v>44281</v>
          </cell>
          <cell r="EB301">
            <v>13893</v>
          </cell>
          <cell r="EC301">
            <v>15463</v>
          </cell>
          <cell r="ED301">
            <v>15457</v>
          </cell>
          <cell r="EE301">
            <v>16458</v>
          </cell>
          <cell r="EF301">
            <v>61271</v>
          </cell>
          <cell r="EG301">
            <v>20505</v>
          </cell>
          <cell r="EH301">
            <v>18765</v>
          </cell>
          <cell r="EI301">
            <v>16728</v>
          </cell>
          <cell r="EJ301">
            <v>16740</v>
          </cell>
          <cell r="EK301">
            <v>72738</v>
          </cell>
          <cell r="EL301">
            <v>17556</v>
          </cell>
          <cell r="EM301">
            <v>16425</v>
          </cell>
          <cell r="EN301">
            <v>18299</v>
          </cell>
          <cell r="EO301">
            <v>20081</v>
          </cell>
          <cell r="EP301">
            <v>72361</v>
          </cell>
          <cell r="EQ301">
            <v>22291</v>
          </cell>
          <cell r="ER301">
            <v>21870</v>
          </cell>
          <cell r="ES301">
            <v>21939</v>
          </cell>
          <cell r="ET301">
            <v>22656.296310360609</v>
          </cell>
          <cell r="EU301">
            <v>88756.296310360602</v>
          </cell>
          <cell r="EV301">
            <v>24915.128417862026</v>
          </cell>
          <cell r="EW301">
            <v>25988.829439035107</v>
          </cell>
          <cell r="EX301">
            <v>25845.687676435162</v>
          </cell>
          <cell r="EY301">
            <v>27580.365395134035</v>
          </cell>
          <cell r="EZ301">
            <v>104330.01092846633</v>
          </cell>
          <cell r="FA301">
            <v>29358.527921110952</v>
          </cell>
          <cell r="FB301">
            <v>30614.777964250032</v>
          </cell>
          <cell r="FC301">
            <v>30518.036171532171</v>
          </cell>
          <cell r="FD301">
            <v>32615.81309362821</v>
          </cell>
          <cell r="FE301">
            <v>123107.15515052137</v>
          </cell>
        </row>
        <row r="302">
          <cell r="B302" t="str">
            <v>EPS (pre-exceptionals, basic)</v>
          </cell>
          <cell r="C302" t="str">
            <v>EPS</v>
          </cell>
          <cell r="D302" t="str">
            <v>USD</v>
          </cell>
          <cell r="F302">
            <v>2.3173843700159491</v>
          </cell>
          <cell r="G302">
            <v>0.77968749999999998</v>
          </cell>
          <cell r="H302">
            <v>0.90125391849529779</v>
          </cell>
          <cell r="I302">
            <v>0.87949921752738658</v>
          </cell>
          <cell r="J302">
            <v>0.8666666666666667</v>
          </cell>
          <cell r="K302">
            <v>3.4270101483216235</v>
          </cell>
          <cell r="L302">
            <v>0.47449768160741884</v>
          </cell>
          <cell r="M302">
            <v>0.61750000000000005</v>
          </cell>
          <cell r="N302">
            <v>0.43416666666666665</v>
          </cell>
          <cell r="O302">
            <v>0.44041666666666668</v>
          </cell>
          <cell r="P302">
            <v>1.8941595832190843</v>
          </cell>
          <cell r="Q302">
            <v>0.49737434358589649</v>
          </cell>
          <cell r="R302">
            <v>0.92868852459016393</v>
          </cell>
          <cell r="S302">
            <v>0.54571428571428571</v>
          </cell>
          <cell r="T302">
            <v>0.53215686274509799</v>
          </cell>
          <cell r="U302">
            <v>2.3778631007546669</v>
          </cell>
          <cell r="V302">
            <v>0.68</v>
          </cell>
          <cell r="W302">
            <v>0.79320000000000002</v>
          </cell>
          <cell r="X302">
            <v>0.37588235294117645</v>
          </cell>
          <cell r="Y302">
            <v>0.43176470588235294</v>
          </cell>
          <cell r="Z302">
            <v>2.0520593080724878</v>
          </cell>
          <cell r="AA302">
            <v>0.42960784313725492</v>
          </cell>
          <cell r="AB302">
            <v>0.46846153846153848</v>
          </cell>
          <cell r="AC302">
            <v>0.45865384615384613</v>
          </cell>
          <cell r="AD302">
            <v>0.45885714285714285</v>
          </cell>
          <cell r="AE302">
            <v>1.8160963855421686</v>
          </cell>
          <cell r="AF302">
            <v>0.41630496320060389</v>
          </cell>
          <cell r="AG302">
            <v>0.49230769230769234</v>
          </cell>
          <cell r="AH302">
            <v>0.45933283358320842</v>
          </cell>
          <cell r="AI302">
            <v>1.207953911912284E-2</v>
          </cell>
          <cell r="AJ302">
            <v>1.3765576688841001</v>
          </cell>
          <cell r="AK302">
            <v>0.23768062245276028</v>
          </cell>
          <cell r="AL302">
            <v>0.42316960148285448</v>
          </cell>
          <cell r="AM302">
            <v>0.50563250230840262</v>
          </cell>
          <cell r="AN302">
            <v>0.28162511542012925</v>
          </cell>
          <cell r="AO302">
            <v>1.4482726726171207</v>
          </cell>
          <cell r="AP302">
            <v>0.19005493993854175</v>
          </cell>
          <cell r="AQ302">
            <v>0.17425021022143325</v>
          </cell>
          <cell r="AR302">
            <v>0.19990667288847411</v>
          </cell>
          <cell r="AS302">
            <v>0.13812051783552204</v>
          </cell>
          <cell r="AT302">
            <v>0.70228936447988066</v>
          </cell>
          <cell r="AU302">
            <v>0.24179076866154842</v>
          </cell>
          <cell r="AV302">
            <v>0.14329324699352453</v>
          </cell>
          <cell r="AW302">
            <v>0.12192860454334724</v>
          </cell>
          <cell r="AX302">
            <v>0.24893577642050713</v>
          </cell>
          <cell r="AY302">
            <v>0.75608627233175973</v>
          </cell>
          <cell r="AZ302">
            <v>0.23250252920077255</v>
          </cell>
          <cell r="BA302">
            <v>0.31837822929116483</v>
          </cell>
          <cell r="BB302">
            <v>0.23609064112011791</v>
          </cell>
          <cell r="BC302">
            <v>0.34418604651162793</v>
          </cell>
          <cell r="BD302">
            <v>1.1305470984408155</v>
          </cell>
          <cell r="BE302">
            <v>0.29366118175018696</v>
          </cell>
          <cell r="BF302">
            <v>0.34592803030303032</v>
          </cell>
          <cell r="BG302">
            <v>0.28894496748519849</v>
          </cell>
          <cell r="BH302">
            <v>0.27763597094050657</v>
          </cell>
          <cell r="BI302">
            <v>1.2072343993292609</v>
          </cell>
          <cell r="BJ302">
            <v>0.35028703796958405</v>
          </cell>
          <cell r="BK302">
            <v>0.26779522741178868</v>
          </cell>
          <cell r="BL302">
            <v>0.50652956298200513</v>
          </cell>
          <cell r="BM302">
            <v>0.31923845587461869</v>
          </cell>
          <cell r="BN302">
            <v>1.4437857674442478</v>
          </cell>
          <cell r="BO302">
            <v>0.45724946695095947</v>
          </cell>
          <cell r="BP302">
            <v>0.50283089413524196</v>
          </cell>
          <cell r="BQ302">
            <v>0.47147308477490063</v>
          </cell>
          <cell r="BR302">
            <v>0.46383851468048359</v>
          </cell>
          <cell r="BS302">
            <v>1.8954759862778732</v>
          </cell>
          <cell r="BT302">
            <v>0.48139586085424924</v>
          </cell>
          <cell r="BU302">
            <v>0.46883073121419744</v>
          </cell>
          <cell r="BV302">
            <v>0.3348329771679226</v>
          </cell>
          <cell r="BW302">
            <v>0.34209639366363331</v>
          </cell>
          <cell r="BX302">
            <v>1.628776656698063</v>
          </cell>
          <cell r="BY302">
            <v>0.40094233789544537</v>
          </cell>
          <cell r="BZ302">
            <v>0.7522583559168925</v>
          </cell>
          <cell r="CA302">
            <v>0.45694080073001025</v>
          </cell>
          <cell r="CB302">
            <v>0.51859504132231404</v>
          </cell>
          <cell r="CC302">
            <v>2.1288547192828164</v>
          </cell>
          <cell r="CD302">
            <v>0.62804736475504996</v>
          </cell>
          <cell r="CE302">
            <v>0.78074614569848177</v>
          </cell>
          <cell r="CF302">
            <v>0.62137767220902618</v>
          </cell>
          <cell r="CG302">
            <v>0.69687981967018631</v>
          </cell>
          <cell r="CH302">
            <v>2.7267373380447584</v>
          </cell>
          <cell r="CI302">
            <v>0.6837464251668256</v>
          </cell>
          <cell r="CJ302">
            <v>0.78838371816234232</v>
          </cell>
          <cell r="CK302">
            <v>0.60802285442209258</v>
          </cell>
          <cell r="CL302">
            <v>-5.8655221745350504E-2</v>
          </cell>
          <cell r="CM302">
            <v>2.0222136199863026</v>
          </cell>
          <cell r="CN302">
            <v>0.53191996188661272</v>
          </cell>
          <cell r="CO302">
            <v>0.75979983319432864</v>
          </cell>
          <cell r="CP302">
            <v>0.72393591582974648</v>
          </cell>
          <cell r="CQ302">
            <v>0.5949670461354104</v>
          </cell>
          <cell r="CR302">
            <v>2.6106633231834735</v>
          </cell>
          <cell r="CS302">
            <v>0.62885238038134073</v>
          </cell>
          <cell r="CT302">
            <v>0.78765313475858756</v>
          </cell>
          <cell r="CU302">
            <v>0.6832448092708836</v>
          </cell>
          <cell r="CV302">
            <v>0.55930147950521469</v>
          </cell>
          <cell r="CW302">
            <v>2.6599186624491642</v>
          </cell>
          <cell r="CX302">
            <v>0.55036974178688325</v>
          </cell>
          <cell r="CY302">
            <v>0.71256684491978606</v>
          </cell>
          <cell r="CZ302">
            <v>0.61038324966327906</v>
          </cell>
          <cell r="DA302">
            <v>-0.39635280982508375</v>
          </cell>
          <cell r="DB302">
            <v>1.4912704479437395</v>
          </cell>
          <cell r="DC302">
            <v>0.57778889444722359</v>
          </cell>
          <cell r="DD302">
            <v>0.62757408337518839</v>
          </cell>
          <cell r="DE302">
            <v>0.47574414186193792</v>
          </cell>
          <cell r="DF302">
            <v>0.39811272634532008</v>
          </cell>
          <cell r="DG302">
            <v>2.081711202952961</v>
          </cell>
          <cell r="DH302">
            <v>0.72756451405828737</v>
          </cell>
          <cell r="DI302">
            <v>0.80812379110251453</v>
          </cell>
          <cell r="DJ302">
            <v>0.71016181229773467</v>
          </cell>
          <cell r="DK302">
            <v>1.0458846403110824</v>
          </cell>
          <cell r="DL302">
            <v>3.2906016008262329</v>
          </cell>
          <cell r="DM302">
            <v>0.85313959522573946</v>
          </cell>
          <cell r="DN302">
            <v>-0.81738002594033721</v>
          </cell>
          <cell r="DO302">
            <v>0.9644063393089114</v>
          </cell>
          <cell r="DP302">
            <v>1.1548874137706624</v>
          </cell>
          <cell r="DQ302">
            <v>2.1521477970063962</v>
          </cell>
          <cell r="DR302">
            <v>1.1500065163560538</v>
          </cell>
          <cell r="DS302">
            <v>1.09464378575143</v>
          </cell>
          <cell r="DT302">
            <v>1.1482012513034412</v>
          </cell>
          <cell r="DU302">
            <v>1.7226649248856956</v>
          </cell>
          <cell r="DV302">
            <v>5.114036230939659</v>
          </cell>
          <cell r="DW302">
            <v>1.3987424679067331</v>
          </cell>
          <cell r="DX302">
            <v>1.5285395617373048</v>
          </cell>
          <cell r="DY302">
            <v>1.4143646408839778</v>
          </cell>
          <cell r="DZ302">
            <v>1.4778364116094986</v>
          </cell>
          <cell r="EA302">
            <v>5.8193645891513617</v>
          </cell>
          <cell r="EB302">
            <v>1.8362410785091197</v>
          </cell>
          <cell r="EC302">
            <v>2.0467240238252811</v>
          </cell>
          <cell r="ED302">
            <v>2.0502719193526993</v>
          </cell>
          <cell r="EE302">
            <v>2.1865284974093266</v>
          </cell>
          <cell r="EF302">
            <v>8.1185901682787858</v>
          </cell>
          <cell r="EG302">
            <v>2.7292692666045522</v>
          </cell>
          <cell r="EH302">
            <v>2.5003331112591605</v>
          </cell>
          <cell r="EI302">
            <v>2.2324836514079807</v>
          </cell>
          <cell r="EJ302">
            <v>2.2397645169922398</v>
          </cell>
          <cell r="EK302">
            <v>9.7035752401280675</v>
          </cell>
          <cell r="EL302">
            <v>2.3542979750569932</v>
          </cell>
          <cell r="EM302">
            <v>2.2044020936787008</v>
          </cell>
          <cell r="EN302">
            <v>2.4592124714420103</v>
          </cell>
          <cell r="EO302">
            <v>2.7012375571697604</v>
          </cell>
          <cell r="EP302">
            <v>9.7181036798280953</v>
          </cell>
          <cell r="EQ302">
            <v>3.000538430475165</v>
          </cell>
          <cell r="ER302">
            <v>2.9426803013993541</v>
          </cell>
          <cell r="ES302">
            <v>2.952361727896649</v>
          </cell>
          <cell r="ET302">
            <v>3.0476589064246178</v>
          </cell>
          <cell r="EU302">
            <v>11.943254566421396</v>
          </cell>
          <cell r="EV302">
            <v>3.3537661082059533</v>
          </cell>
          <cell r="EW302">
            <v>3.4968823249509025</v>
          </cell>
          <cell r="EX302">
            <v>3.4780901192888121</v>
          </cell>
          <cell r="EY302">
            <v>3.7143225249644178</v>
          </cell>
          <cell r="EZ302">
            <v>14.042948296163914</v>
          </cell>
          <cell r="FA302">
            <v>3.959520073210923</v>
          </cell>
          <cell r="FB302">
            <v>4.1346233273642312</v>
          </cell>
          <cell r="FC302">
            <v>4.1271763108171848</v>
          </cell>
          <cell r="FD302">
            <v>4.416605156926046</v>
          </cell>
          <cell r="FE302">
            <v>16.637010155806177</v>
          </cell>
        </row>
        <row r="303">
          <cell r="B303" t="str">
            <v>EPS (pre-exceptionals, diluted)</v>
          </cell>
          <cell r="C303" t="str">
            <v>EPS_FUL_DIL</v>
          </cell>
          <cell r="D303" t="str">
            <v>USD</v>
          </cell>
          <cell r="F303">
            <v>2.3173843700159491</v>
          </cell>
          <cell r="G303">
            <v>0.77968749999999998</v>
          </cell>
          <cell r="H303">
            <v>0.90125391849529779</v>
          </cell>
          <cell r="I303">
            <v>0.87949921752738658</v>
          </cell>
          <cell r="J303">
            <v>0.8666666666666667</v>
          </cell>
          <cell r="K303">
            <v>3.4270101483216235</v>
          </cell>
          <cell r="L303">
            <v>0.47230769230769232</v>
          </cell>
          <cell r="M303">
            <v>0.56999999999999995</v>
          </cell>
          <cell r="N303">
            <v>0.40076923076923077</v>
          </cell>
          <cell r="O303">
            <v>0.39886792452830189</v>
          </cell>
          <cell r="P303">
            <v>1.76</v>
          </cell>
          <cell r="Q303">
            <v>0.49477611940298505</v>
          </cell>
          <cell r="R303">
            <v>0.84552238805970148</v>
          </cell>
          <cell r="S303">
            <v>0.49518518518518517</v>
          </cell>
          <cell r="T303">
            <v>0.48464285714285715</v>
          </cell>
          <cell r="U303">
            <v>2.19559902200489</v>
          </cell>
          <cell r="V303">
            <v>0.62333333333333329</v>
          </cell>
          <cell r="W303">
            <v>0.73444444444444446</v>
          </cell>
          <cell r="X303">
            <v>0.34854545454545455</v>
          </cell>
          <cell r="Y303">
            <v>0.3988407897120087</v>
          </cell>
          <cell r="Z303">
            <v>1.8963522318981791</v>
          </cell>
          <cell r="AA303">
            <v>0.39836363636363636</v>
          </cell>
          <cell r="AB303">
            <v>0.44290909090909092</v>
          </cell>
          <cell r="AC303">
            <v>0.43363636363636365</v>
          </cell>
          <cell r="AD303">
            <v>0.43507314430196858</v>
          </cell>
          <cell r="AE303">
            <v>1.7100331261060944</v>
          </cell>
          <cell r="AF303">
            <v>0.39697678603563075</v>
          </cell>
          <cell r="AG303">
            <v>0.47109515260323159</v>
          </cell>
          <cell r="AH303">
            <v>0.44058960992270357</v>
          </cell>
          <cell r="AI303">
            <v>1.1623748211731044E-2</v>
          </cell>
          <cell r="AJ303">
            <v>1.3187326092810341</v>
          </cell>
          <cell r="AK303">
            <v>0.23046524160229925</v>
          </cell>
          <cell r="AL303">
            <v>0.41090712742980562</v>
          </cell>
          <cell r="AM303">
            <v>0.49209202012940328</v>
          </cell>
          <cell r="AN303">
            <v>0.27576853526220613</v>
          </cell>
          <cell r="AO303">
            <v>1.4095512445424674</v>
          </cell>
          <cell r="AP303">
            <v>0.18668252080856124</v>
          </cell>
          <cell r="AQ303">
            <v>0.17195279365664762</v>
          </cell>
          <cell r="AR303">
            <v>0.19765617790901541</v>
          </cell>
          <cell r="AS303">
            <v>0.1365310255938133</v>
          </cell>
          <cell r="AT303">
            <v>0.69285615713694282</v>
          </cell>
          <cell r="AU303">
            <v>0.2401469912723932</v>
          </cell>
          <cell r="AV303">
            <v>0.14212313056243692</v>
          </cell>
          <cell r="AW303">
            <v>0.12113117170228445</v>
          </cell>
          <cell r="AX303">
            <v>0.24760677466863035</v>
          </cell>
          <cell r="AY303">
            <v>0.75101140125045973</v>
          </cell>
          <cell r="AZ303">
            <v>0.23150183150183151</v>
          </cell>
          <cell r="BA303">
            <v>0.3160825118656444</v>
          </cell>
          <cell r="BB303">
            <v>0.23447077120117099</v>
          </cell>
          <cell r="BC303">
            <v>0.34199094186153989</v>
          </cell>
          <cell r="BD303">
            <v>1.1235501765002522</v>
          </cell>
          <cell r="BE303">
            <v>0.29158930560712959</v>
          </cell>
          <cell r="BF303">
            <v>0.34339161496521903</v>
          </cell>
          <cell r="BG303">
            <v>0.285837734037446</v>
          </cell>
          <cell r="BH303">
            <v>0.27576791808873719</v>
          </cell>
          <cell r="BI303">
            <v>1.1976235741444867</v>
          </cell>
          <cell r="BJ303">
            <v>0.34745254745254744</v>
          </cell>
          <cell r="BK303">
            <v>0.26413196539931605</v>
          </cell>
          <cell r="BL303">
            <v>0.49949300344757658</v>
          </cell>
          <cell r="BM303">
            <v>0.31427979703841774</v>
          </cell>
          <cell r="BN303">
            <v>1.4253502571508196</v>
          </cell>
          <cell r="BO303">
            <v>0.45085672237990121</v>
          </cell>
          <cell r="BP303">
            <v>0.49531726823108491</v>
          </cell>
          <cell r="BQ303">
            <v>0.46542214679677557</v>
          </cell>
          <cell r="BR303">
            <v>0.45810234541577827</v>
          </cell>
          <cell r="BS303">
            <v>1.8698181049069373</v>
          </cell>
          <cell r="BT303">
            <v>0.47620603288685615</v>
          </cell>
          <cell r="BU303">
            <v>0.46825218757011444</v>
          </cell>
          <cell r="BV303">
            <v>0.33434411500449235</v>
          </cell>
          <cell r="BW303">
            <v>0.34106182795698925</v>
          </cell>
          <cell r="BX303">
            <v>1.62197667622255</v>
          </cell>
          <cell r="BY303">
            <v>0.39786262941110989</v>
          </cell>
          <cell r="BZ303">
            <v>0.74427438275053071</v>
          </cell>
          <cell r="CA303">
            <v>0.45132942767012169</v>
          </cell>
          <cell r="CB303">
            <v>0.5121868268903752</v>
          </cell>
          <cell r="CC303">
            <v>2.1060312649097694</v>
          </cell>
          <cell r="CD303">
            <v>0.62219666474985624</v>
          </cell>
          <cell r="CE303">
            <v>0.77409568261376893</v>
          </cell>
          <cell r="CF303">
            <v>0.61480611045828437</v>
          </cell>
          <cell r="CG303">
            <v>0.68935570942377655</v>
          </cell>
          <cell r="CH303">
            <v>2.7000233263354327</v>
          </cell>
          <cell r="CI303">
            <v>0.67585394581861014</v>
          </cell>
          <cell r="CJ303">
            <v>0.78251624335499115</v>
          </cell>
          <cell r="CK303">
            <v>0.60108260767239352</v>
          </cell>
          <cell r="CL303">
            <v>-5.8655221745350504E-2</v>
          </cell>
          <cell r="CM303">
            <v>2.0067964894654415</v>
          </cell>
          <cell r="CN303">
            <v>0.52578290558040974</v>
          </cell>
          <cell r="CO303">
            <v>0.75521080056845102</v>
          </cell>
          <cell r="CP303">
            <v>0.71835330406928466</v>
          </cell>
          <cell r="CQ303">
            <v>0.58813077469793884</v>
          </cell>
          <cell r="CR303">
            <v>2.5866485255405367</v>
          </cell>
          <cell r="CS303">
            <v>0.62176903011619633</v>
          </cell>
          <cell r="CT303">
            <v>0.7811792733770101</v>
          </cell>
          <cell r="CU303">
            <v>0.6764670730249791</v>
          </cell>
          <cell r="CV303">
            <v>0.55266626722588374</v>
          </cell>
          <cell r="CW303">
            <v>2.6324796517694762</v>
          </cell>
          <cell r="CX303">
            <v>0.54364746736917735</v>
          </cell>
          <cell r="CY303">
            <v>0.7066409545618898</v>
          </cell>
          <cell r="CZ303">
            <v>0.60519606652907609</v>
          </cell>
          <cell r="DA303">
            <v>-0.39635280982508375</v>
          </cell>
          <cell r="DB303">
            <v>1.4803618041643902</v>
          </cell>
          <cell r="DC303">
            <v>0.57277460947185721</v>
          </cell>
          <cell r="DD303">
            <v>0.62257100149476829</v>
          </cell>
          <cell r="DE303">
            <v>0.47038196618659989</v>
          </cell>
          <cell r="DF303">
            <v>0.39374448228023712</v>
          </cell>
          <cell r="DG303">
            <v>2.0614846288427895</v>
          </cell>
          <cell r="DH303">
            <v>0.71952767902488568</v>
          </cell>
          <cell r="DI303">
            <v>0.80038314176245207</v>
          </cell>
          <cell r="DJ303">
            <v>0.70216306156405994</v>
          </cell>
          <cell r="DK303">
            <v>1.033692031770433</v>
          </cell>
          <cell r="DL303">
            <v>3.2547805267358338</v>
          </cell>
          <cell r="DM303">
            <v>0.84318502372098991</v>
          </cell>
          <cell r="DN303">
            <v>-0.81738002594033721</v>
          </cell>
          <cell r="DO303">
            <v>0.95252758532204262</v>
          </cell>
          <cell r="DP303">
            <v>1.1412218649517685</v>
          </cell>
          <cell r="DQ303">
            <v>2.1328270802496943</v>
          </cell>
          <cell r="DR303">
            <v>1.1362348699459182</v>
          </cell>
          <cell r="DS303">
            <v>1.0839340885684861</v>
          </cell>
          <cell r="DT303">
            <v>1.1375258264462811</v>
          </cell>
          <cell r="DU303">
            <v>1.7059508408796895</v>
          </cell>
          <cell r="DV303">
            <v>5.0619195046439627</v>
          </cell>
          <cell r="DW303">
            <v>1.3849546044098573</v>
          </cell>
          <cell r="DX303">
            <v>1.5146274866727343</v>
          </cell>
          <cell r="DY303">
            <v>1.4009120521172638</v>
          </cell>
          <cell r="DZ303">
            <v>1.4643137254901961</v>
          </cell>
          <cell r="EA303">
            <v>5.7646293041723622</v>
          </cell>
          <cell r="EB303">
            <v>1.8191698310855047</v>
          </cell>
          <cell r="EC303">
            <v>2.0303308823529411</v>
          </cell>
          <cell r="ED303">
            <v>2.0346189285244174</v>
          </cell>
          <cell r="EE303">
            <v>2.1709537000395724</v>
          </cell>
          <cell r="EF303">
            <v>8.0534963196635125</v>
          </cell>
          <cell r="EG303">
            <v>2.7097925201532971</v>
          </cell>
          <cell r="EH303">
            <v>2.4837855724685638</v>
          </cell>
          <cell r="EI303">
            <v>2.2203344836740113</v>
          </cell>
          <cell r="EJ303">
            <v>2.2302158273381294</v>
          </cell>
          <cell r="EK303">
            <v>9.6469496021220156</v>
          </cell>
          <cell r="EL303">
            <v>2.3454909819639278</v>
          </cell>
          <cell r="EM303">
            <v>2.1979124849458049</v>
          </cell>
          <cell r="EN303">
            <v>2.4516345123258305</v>
          </cell>
          <cell r="EO303">
            <v>2.6892995848399623</v>
          </cell>
          <cell r="EP303">
            <v>9.6842880085653107</v>
          </cell>
          <cell r="EQ303">
            <v>2.9872688287322435</v>
          </cell>
          <cell r="ER303">
            <v>2.9284949116229244</v>
          </cell>
          <cell r="ES303">
            <v>2.936161670235546</v>
          </cell>
          <cell r="ET303">
            <v>3.0376847250287238</v>
          </cell>
          <cell r="EU303">
            <v>11.88949489854677</v>
          </cell>
          <cell r="EV303">
            <v>3.345359575051261</v>
          </cell>
          <cell r="EW303">
            <v>3.4943009930462181</v>
          </cell>
          <cell r="EX303">
            <v>3.4797709650896929</v>
          </cell>
          <cell r="EY303">
            <v>3.7181251466257086</v>
          </cell>
          <cell r="EZ303">
            <v>14.036819677774121</v>
          </cell>
          <cell r="FA303">
            <v>3.9630896177206862</v>
          </cell>
          <cell r="FB303">
            <v>4.1378412573461221</v>
          </cell>
          <cell r="FC303">
            <v>4.1298755910947582</v>
          </cell>
          <cell r="FD303">
            <v>4.4189291497373802</v>
          </cell>
          <cell r="FE303">
            <v>16.648908869616285</v>
          </cell>
        </row>
        <row r="304">
          <cell r="B304" t="str">
            <v>EPS (post-exceptionals, basic)</v>
          </cell>
          <cell r="C304" t="str">
            <v>EPS_POST_BASIC</v>
          </cell>
          <cell r="D304" t="str">
            <v>USD</v>
          </cell>
          <cell r="F304">
            <v>2.3173843700159491</v>
          </cell>
          <cell r="G304">
            <v>0.77968749999999998</v>
          </cell>
          <cell r="H304">
            <v>0.90125391849529779</v>
          </cell>
          <cell r="I304">
            <v>0.87949921752738658</v>
          </cell>
          <cell r="J304">
            <v>0.8666666666666667</v>
          </cell>
          <cell r="K304">
            <v>3.4270101483216235</v>
          </cell>
          <cell r="L304">
            <v>0.47449768160741884</v>
          </cell>
          <cell r="M304">
            <v>0.61750000000000005</v>
          </cell>
          <cell r="N304">
            <v>0.43416666666666665</v>
          </cell>
          <cell r="O304">
            <v>0.44041666666666668</v>
          </cell>
          <cell r="P304">
            <v>1.8941595832190843</v>
          </cell>
          <cell r="Q304">
            <v>0.49737434358589649</v>
          </cell>
          <cell r="R304">
            <v>0.92868852459016393</v>
          </cell>
          <cell r="S304">
            <v>0.54571428571428571</v>
          </cell>
          <cell r="T304">
            <v>0.53215686274509799</v>
          </cell>
          <cell r="U304">
            <v>2.3778631007546669</v>
          </cell>
          <cell r="V304">
            <v>0.68</v>
          </cell>
          <cell r="W304">
            <v>0.79320000000000002</v>
          </cell>
          <cell r="X304">
            <v>0.37588235294117645</v>
          </cell>
          <cell r="Y304">
            <v>0.43176470588235294</v>
          </cell>
          <cell r="Z304">
            <v>2.0520593080724878</v>
          </cell>
          <cell r="AA304">
            <v>0.42960784313725492</v>
          </cell>
          <cell r="AB304">
            <v>0.46846153846153848</v>
          </cell>
          <cell r="AC304">
            <v>0.45865384615384613</v>
          </cell>
          <cell r="AD304">
            <v>0.45885714285714285</v>
          </cell>
          <cell r="AE304">
            <v>1.8160963855421686</v>
          </cell>
          <cell r="AF304">
            <v>0.41630496320060389</v>
          </cell>
          <cell r="AG304">
            <v>0.49230769230769234</v>
          </cell>
          <cell r="AH304">
            <v>0.45933283358320842</v>
          </cell>
          <cell r="AI304">
            <v>1.207953911912284E-2</v>
          </cell>
          <cell r="AJ304">
            <v>1.3765576688841001</v>
          </cell>
          <cell r="AK304">
            <v>0.23768062245276028</v>
          </cell>
          <cell r="AL304">
            <v>0.42316960148285448</v>
          </cell>
          <cell r="AM304">
            <v>0.50563250230840262</v>
          </cell>
          <cell r="AN304">
            <v>0.28162511542012925</v>
          </cell>
          <cell r="AO304">
            <v>1.4482726726171207</v>
          </cell>
          <cell r="AP304">
            <v>0.19005493993854175</v>
          </cell>
          <cell r="AQ304">
            <v>0.17425021022143325</v>
          </cell>
          <cell r="AR304">
            <v>0.19990667288847411</v>
          </cell>
          <cell r="AS304">
            <v>0.13812051783552204</v>
          </cell>
          <cell r="AT304">
            <v>0.70228936447988066</v>
          </cell>
          <cell r="AU304">
            <v>0.24179076866154842</v>
          </cell>
          <cell r="AV304">
            <v>0.14329324699352453</v>
          </cell>
          <cell r="AW304">
            <v>0.12192860454334724</v>
          </cell>
          <cell r="AX304">
            <v>0.24893577642050713</v>
          </cell>
          <cell r="AY304">
            <v>0.75608627233175973</v>
          </cell>
          <cell r="AZ304">
            <v>0.23250252920077255</v>
          </cell>
          <cell r="BA304">
            <v>0.31837822929116483</v>
          </cell>
          <cell r="BB304">
            <v>0.23609064112011791</v>
          </cell>
          <cell r="BC304">
            <v>0.34418604651162793</v>
          </cell>
          <cell r="BD304">
            <v>1.1305470984408155</v>
          </cell>
          <cell r="BE304">
            <v>0.29366118175018696</v>
          </cell>
          <cell r="BF304">
            <v>0.34592803030303032</v>
          </cell>
          <cell r="BG304">
            <v>0.28894496748519849</v>
          </cell>
          <cell r="BH304">
            <v>0.27763597094050657</v>
          </cell>
          <cell r="BI304">
            <v>1.2072343993292609</v>
          </cell>
          <cell r="BJ304">
            <v>0.35028703796958405</v>
          </cell>
          <cell r="BK304">
            <v>0.26779522741178868</v>
          </cell>
          <cell r="BL304">
            <v>0.50652956298200513</v>
          </cell>
          <cell r="BM304">
            <v>0.31923845587461869</v>
          </cell>
          <cell r="BN304">
            <v>1.4437857674442478</v>
          </cell>
          <cell r="BO304">
            <v>0.45724946695095947</v>
          </cell>
          <cell r="BP304">
            <v>0.50283089413524196</v>
          </cell>
          <cell r="BQ304">
            <v>0.47147308477490063</v>
          </cell>
          <cell r="BR304">
            <v>0.46383851468048359</v>
          </cell>
          <cell r="BS304">
            <v>1.8954759862778732</v>
          </cell>
          <cell r="BT304">
            <v>0.48139586085424924</v>
          </cell>
          <cell r="BU304">
            <v>0.46883073121419744</v>
          </cell>
          <cell r="BV304">
            <v>0.3348329771679226</v>
          </cell>
          <cell r="BW304">
            <v>0.34209639366363331</v>
          </cell>
          <cell r="BX304">
            <v>1.628776656698063</v>
          </cell>
          <cell r="BY304">
            <v>0.40094233789544537</v>
          </cell>
          <cell r="BZ304">
            <v>0.7522583559168925</v>
          </cell>
          <cell r="CA304">
            <v>0.45694080073001025</v>
          </cell>
          <cell r="CB304">
            <v>0.51859504132231404</v>
          </cell>
          <cell r="CC304">
            <v>2.1288547192828164</v>
          </cell>
          <cell r="CD304">
            <v>0.62804736475504996</v>
          </cell>
          <cell r="CE304">
            <v>0.78074614569848177</v>
          </cell>
          <cell r="CF304">
            <v>0.62137767220902618</v>
          </cell>
          <cell r="CG304">
            <v>0.69687981967018631</v>
          </cell>
          <cell r="CH304">
            <v>2.7267373380447584</v>
          </cell>
          <cell r="CI304">
            <v>0.6837464251668256</v>
          </cell>
          <cell r="CJ304">
            <v>0.78838371816234232</v>
          </cell>
          <cell r="CK304">
            <v>0.60802285442209258</v>
          </cell>
          <cell r="CL304">
            <v>-5.8655221745350504E-2</v>
          </cell>
          <cell r="CM304">
            <v>2.0222136199863026</v>
          </cell>
          <cell r="CN304">
            <v>0.53191996188661272</v>
          </cell>
          <cell r="CO304">
            <v>0.75979983319432864</v>
          </cell>
          <cell r="CP304">
            <v>0.72393591582974648</v>
          </cell>
          <cell r="CQ304">
            <v>0.5949670461354104</v>
          </cell>
          <cell r="CR304">
            <v>2.6106633231834735</v>
          </cell>
          <cell r="CS304">
            <v>0.62885238038134073</v>
          </cell>
          <cell r="CT304">
            <v>0.78765313475858756</v>
          </cell>
          <cell r="CU304">
            <v>0.6832448092708836</v>
          </cell>
          <cell r="CV304">
            <v>0.55930147950521469</v>
          </cell>
          <cell r="CW304">
            <v>2.6599186624491642</v>
          </cell>
          <cell r="CX304">
            <v>0.55036974178688325</v>
          </cell>
          <cell r="CY304">
            <v>0.71256684491978606</v>
          </cell>
          <cell r="CZ304">
            <v>0.61038324966327906</v>
          </cell>
          <cell r="DA304">
            <v>-0.39635280982508375</v>
          </cell>
          <cell r="DB304">
            <v>1.4912704479437395</v>
          </cell>
          <cell r="DC304">
            <v>0.57778889444722359</v>
          </cell>
          <cell r="DD304">
            <v>0.62757408337518839</v>
          </cell>
          <cell r="DE304">
            <v>0.47574414186193792</v>
          </cell>
          <cell r="DF304">
            <v>0.39811272634532008</v>
          </cell>
          <cell r="DG304">
            <v>2.081711202952961</v>
          </cell>
          <cell r="DH304">
            <v>0.72756451405828737</v>
          </cell>
          <cell r="DI304">
            <v>0.80812379110251453</v>
          </cell>
          <cell r="DJ304">
            <v>0.71016181229773467</v>
          </cell>
          <cell r="DK304">
            <v>1.0458846403110824</v>
          </cell>
          <cell r="DL304">
            <v>3.2906016008262329</v>
          </cell>
          <cell r="DM304">
            <v>0.85313959522573946</v>
          </cell>
          <cell r="DN304">
            <v>-0.81738002594033721</v>
          </cell>
          <cell r="DO304">
            <v>0.9644063393089114</v>
          </cell>
          <cell r="DP304">
            <v>1.1548874137706624</v>
          </cell>
          <cell r="DQ304">
            <v>2.1521477970063962</v>
          </cell>
          <cell r="DR304">
            <v>1.1500065163560538</v>
          </cell>
          <cell r="DS304">
            <v>1.09464378575143</v>
          </cell>
          <cell r="DT304">
            <v>1.1482012513034412</v>
          </cell>
          <cell r="DU304">
            <v>1.7226649248856956</v>
          </cell>
          <cell r="DV304">
            <v>5.114036230939659</v>
          </cell>
          <cell r="DW304">
            <v>1.3987424679067331</v>
          </cell>
          <cell r="DX304">
            <v>1.5285395617373048</v>
          </cell>
          <cell r="DY304">
            <v>1.4143646408839778</v>
          </cell>
          <cell r="DZ304">
            <v>1.4778364116094986</v>
          </cell>
          <cell r="EA304">
            <v>5.8193645891513617</v>
          </cell>
          <cell r="EB304">
            <v>1.8362410785091197</v>
          </cell>
          <cell r="EC304">
            <v>2.0467240238252811</v>
          </cell>
          <cell r="ED304">
            <v>2.0502719193526993</v>
          </cell>
          <cell r="EE304">
            <v>2.1865284974093266</v>
          </cell>
          <cell r="EF304">
            <v>8.1185901682787858</v>
          </cell>
          <cell r="EG304">
            <v>2.7292692666045522</v>
          </cell>
          <cell r="EH304">
            <v>2.5003331112591605</v>
          </cell>
          <cell r="EI304">
            <v>2.2324836514079807</v>
          </cell>
          <cell r="EJ304">
            <v>2.2397645169922398</v>
          </cell>
          <cell r="EK304">
            <v>9.7035752401280675</v>
          </cell>
          <cell r="EL304">
            <v>2.3542979750569932</v>
          </cell>
          <cell r="EM304">
            <v>2.2044020936787008</v>
          </cell>
          <cell r="EN304">
            <v>2.4592124714420103</v>
          </cell>
          <cell r="EO304">
            <v>2.7012375571697604</v>
          </cell>
          <cell r="EP304">
            <v>9.7181036798280953</v>
          </cell>
          <cell r="EQ304">
            <v>3.000538430475165</v>
          </cell>
          <cell r="ER304">
            <v>2.9426803013993541</v>
          </cell>
          <cell r="ES304">
            <v>2.952361727896649</v>
          </cell>
          <cell r="ET304">
            <v>3.0476589064246178</v>
          </cell>
          <cell r="EU304">
            <v>11.943254566421396</v>
          </cell>
          <cell r="EV304">
            <v>3.3537661082059533</v>
          </cell>
          <cell r="EW304">
            <v>3.4968823249509025</v>
          </cell>
          <cell r="EX304">
            <v>3.4780901192888121</v>
          </cell>
          <cell r="EY304">
            <v>3.7143225249644178</v>
          </cell>
          <cell r="EZ304">
            <v>14.042948296163914</v>
          </cell>
          <cell r="FA304">
            <v>3.959520073210923</v>
          </cell>
          <cell r="FB304">
            <v>4.1346233273642312</v>
          </cell>
          <cell r="FC304">
            <v>4.1271763108171848</v>
          </cell>
          <cell r="FD304">
            <v>4.416605156926046</v>
          </cell>
          <cell r="FE304">
            <v>16.637010155806177</v>
          </cell>
        </row>
        <row r="305">
          <cell r="B305" t="str">
            <v>EPS (post-exceptionals, diluted)</v>
          </cell>
          <cell r="C305" t="str">
            <v>FULLY_DIL_EPS</v>
          </cell>
          <cell r="D305" t="str">
            <v>USD</v>
          </cell>
          <cell r="F305">
            <v>2.3173843700159491</v>
          </cell>
          <cell r="G305">
            <v>0.77968749999999998</v>
          </cell>
          <cell r="H305">
            <v>0.90125391849529779</v>
          </cell>
          <cell r="I305">
            <v>0.87949921752738658</v>
          </cell>
          <cell r="J305">
            <v>0.8666666666666667</v>
          </cell>
          <cell r="K305">
            <v>3.4270101483216235</v>
          </cell>
          <cell r="L305">
            <v>0.47230769230769232</v>
          </cell>
          <cell r="M305">
            <v>0.56999999999999995</v>
          </cell>
          <cell r="N305">
            <v>0.40076923076923077</v>
          </cell>
          <cell r="O305">
            <v>0.39886792452830189</v>
          </cell>
          <cell r="P305">
            <v>1.76</v>
          </cell>
          <cell r="Q305">
            <v>0.49477611940298505</v>
          </cell>
          <cell r="R305">
            <v>0.84552238805970148</v>
          </cell>
          <cell r="S305">
            <v>0.49518518518518517</v>
          </cell>
          <cell r="T305">
            <v>0.48464285714285715</v>
          </cell>
          <cell r="U305">
            <v>2.19559902200489</v>
          </cell>
          <cell r="V305">
            <v>0.62333333333333329</v>
          </cell>
          <cell r="W305">
            <v>0.73444444444444446</v>
          </cell>
          <cell r="X305">
            <v>0.34854545454545455</v>
          </cell>
          <cell r="Y305">
            <v>0.3988407897120087</v>
          </cell>
          <cell r="Z305">
            <v>1.8963522318981791</v>
          </cell>
          <cell r="AA305">
            <v>0.39836363636363636</v>
          </cell>
          <cell r="AB305">
            <v>0.44290909090909092</v>
          </cell>
          <cell r="AC305">
            <v>0.43363636363636365</v>
          </cell>
          <cell r="AD305">
            <v>0.43507314430196858</v>
          </cell>
          <cell r="AE305">
            <v>1.7100331261060944</v>
          </cell>
          <cell r="AF305">
            <v>0.39697678603563075</v>
          </cell>
          <cell r="AG305">
            <v>0.47109515260323159</v>
          </cell>
          <cell r="AH305">
            <v>0.44058960992270357</v>
          </cell>
          <cell r="AI305">
            <v>1.1623748211731044E-2</v>
          </cell>
          <cell r="AJ305">
            <v>1.3187326092810341</v>
          </cell>
          <cell r="AK305">
            <v>0.23046524160229925</v>
          </cell>
          <cell r="AL305">
            <v>0.41090712742980562</v>
          </cell>
          <cell r="AM305">
            <v>0.49209202012940328</v>
          </cell>
          <cell r="AN305">
            <v>0.27576853526220613</v>
          </cell>
          <cell r="AO305">
            <v>1.4095512445424674</v>
          </cell>
          <cell r="AP305">
            <v>0.18668252080856124</v>
          </cell>
          <cell r="AQ305">
            <v>0.17195279365664762</v>
          </cell>
          <cell r="AR305">
            <v>0.19765617790901541</v>
          </cell>
          <cell r="AS305">
            <v>0.1365310255938133</v>
          </cell>
          <cell r="AT305">
            <v>0.69285615713694282</v>
          </cell>
          <cell r="AU305">
            <v>0.2401469912723932</v>
          </cell>
          <cell r="AV305">
            <v>0.14212313056243692</v>
          </cell>
          <cell r="AW305">
            <v>0.12113117170228445</v>
          </cell>
          <cell r="AX305">
            <v>0.24760677466863035</v>
          </cell>
          <cell r="AY305">
            <v>0.75101140125045973</v>
          </cell>
          <cell r="AZ305">
            <v>0.23150183150183151</v>
          </cell>
          <cell r="BA305">
            <v>0.3160825118656444</v>
          </cell>
          <cell r="BB305">
            <v>0.23447077120117099</v>
          </cell>
          <cell r="BC305">
            <v>0.34199094186153989</v>
          </cell>
          <cell r="BD305">
            <v>1.1235501765002522</v>
          </cell>
          <cell r="BE305">
            <v>0.29158930560712959</v>
          </cell>
          <cell r="BF305">
            <v>0.34339161496521903</v>
          </cell>
          <cell r="BG305">
            <v>0.285837734037446</v>
          </cell>
          <cell r="BH305">
            <v>0.27576791808873719</v>
          </cell>
          <cell r="BI305">
            <v>1.1976235741444867</v>
          </cell>
          <cell r="BJ305">
            <v>0.34745254745254744</v>
          </cell>
          <cell r="BK305">
            <v>0.26413196539931605</v>
          </cell>
          <cell r="BL305">
            <v>0.49949300344757658</v>
          </cell>
          <cell r="BM305">
            <v>0.31427979703841774</v>
          </cell>
          <cell r="BN305">
            <v>1.4253502571508196</v>
          </cell>
          <cell r="BO305">
            <v>0.45085672237990121</v>
          </cell>
          <cell r="BP305">
            <v>0.49531726823108491</v>
          </cell>
          <cell r="BQ305">
            <v>0.46542214679677557</v>
          </cell>
          <cell r="BR305">
            <v>0.45810234541577827</v>
          </cell>
          <cell r="BS305">
            <v>1.8698181049069373</v>
          </cell>
          <cell r="BT305">
            <v>0.47620603288685615</v>
          </cell>
          <cell r="BU305">
            <v>0.46825218757011444</v>
          </cell>
          <cell r="BV305">
            <v>0.33434411500449235</v>
          </cell>
          <cell r="BW305">
            <v>0.34106182795698925</v>
          </cell>
          <cell r="BX305">
            <v>1.62197667622255</v>
          </cell>
          <cell r="BY305">
            <v>0.39786262941110989</v>
          </cell>
          <cell r="BZ305">
            <v>0.74427438275053071</v>
          </cell>
          <cell r="CA305">
            <v>0.45132942767012169</v>
          </cell>
          <cell r="CB305">
            <v>0.5121868268903752</v>
          </cell>
          <cell r="CC305">
            <v>2.1060312649097694</v>
          </cell>
          <cell r="CD305">
            <v>0.62219666474985624</v>
          </cell>
          <cell r="CE305">
            <v>0.77409568261376893</v>
          </cell>
          <cell r="CF305">
            <v>0.61480611045828437</v>
          </cell>
          <cell r="CG305">
            <v>0.68935570942377655</v>
          </cell>
          <cell r="CH305">
            <v>2.7000233263354327</v>
          </cell>
          <cell r="CI305">
            <v>0.67585394581861014</v>
          </cell>
          <cell r="CJ305">
            <v>0.78251624335499115</v>
          </cell>
          <cell r="CK305">
            <v>0.60108260767239352</v>
          </cell>
          <cell r="CL305">
            <v>-5.8655221745350504E-2</v>
          </cell>
          <cell r="CM305">
            <v>2.0067964894654415</v>
          </cell>
          <cell r="CN305">
            <v>0.52578290558040974</v>
          </cell>
          <cell r="CO305">
            <v>0.75521080056845102</v>
          </cell>
          <cell r="CP305">
            <v>0.71835330406928466</v>
          </cell>
          <cell r="CQ305">
            <v>0.58813077469793884</v>
          </cell>
          <cell r="CR305">
            <v>2.5866485255405367</v>
          </cell>
          <cell r="CS305">
            <v>0.62176903011619633</v>
          </cell>
          <cell r="CT305">
            <v>0.7811792733770101</v>
          </cell>
          <cell r="CU305">
            <v>0.6764670730249791</v>
          </cell>
          <cell r="CV305">
            <v>0.55266626722588374</v>
          </cell>
          <cell r="CW305">
            <v>2.6324796517694762</v>
          </cell>
          <cell r="CX305">
            <v>0.54364746736917735</v>
          </cell>
          <cell r="CY305">
            <v>0.7066409545618898</v>
          </cell>
          <cell r="CZ305">
            <v>0.60519606652907609</v>
          </cell>
          <cell r="DA305">
            <v>-0.39635280982508375</v>
          </cell>
          <cell r="DB305">
            <v>1.4803618041643902</v>
          </cell>
          <cell r="DC305">
            <v>0.57277460947185721</v>
          </cell>
          <cell r="DD305">
            <v>0.62257100149476829</v>
          </cell>
          <cell r="DE305">
            <v>0.47038196618659989</v>
          </cell>
          <cell r="DF305">
            <v>0.39374448228023712</v>
          </cell>
          <cell r="DG305">
            <v>2.0614846288427895</v>
          </cell>
          <cell r="DH305">
            <v>0.71952767902488568</v>
          </cell>
          <cell r="DI305">
            <v>0.80038314176245207</v>
          </cell>
          <cell r="DJ305">
            <v>0.70216306156405994</v>
          </cell>
          <cell r="DK305">
            <v>1.033692031770433</v>
          </cell>
          <cell r="DL305">
            <v>3.2547805267358338</v>
          </cell>
          <cell r="DM305">
            <v>0.84318502372098991</v>
          </cell>
          <cell r="DN305">
            <v>-0.81738002594033721</v>
          </cell>
          <cell r="DO305">
            <v>0.95252758532204262</v>
          </cell>
          <cell r="DP305">
            <v>1.1412218649517685</v>
          </cell>
          <cell r="DQ305">
            <v>2.1328270802496943</v>
          </cell>
          <cell r="DR305">
            <v>1.1362348699459182</v>
          </cell>
          <cell r="DS305">
            <v>1.0839340885684861</v>
          </cell>
          <cell r="DT305">
            <v>1.1375258264462811</v>
          </cell>
          <cell r="DU305">
            <v>1.7059508408796895</v>
          </cell>
          <cell r="DV305">
            <v>5.0619195046439627</v>
          </cell>
          <cell r="DW305">
            <v>1.3849546044098573</v>
          </cell>
          <cell r="DX305">
            <v>1.5146274866727343</v>
          </cell>
          <cell r="DY305">
            <v>1.4009120521172638</v>
          </cell>
          <cell r="DZ305">
            <v>1.4643137254901961</v>
          </cell>
          <cell r="EA305">
            <v>5.7646293041723622</v>
          </cell>
          <cell r="EB305">
            <v>1.8191698310855047</v>
          </cell>
          <cell r="EC305">
            <v>2.0303308823529411</v>
          </cell>
          <cell r="ED305">
            <v>2.0346189285244174</v>
          </cell>
          <cell r="EE305">
            <v>2.1709537000395724</v>
          </cell>
          <cell r="EF305">
            <v>8.0534963196635125</v>
          </cell>
          <cell r="EG305">
            <v>2.7097925201532971</v>
          </cell>
          <cell r="EH305">
            <v>2.4837855724685638</v>
          </cell>
          <cell r="EI305">
            <v>2.2203344836740113</v>
          </cell>
          <cell r="EJ305">
            <v>2.2302158273381294</v>
          </cell>
          <cell r="EK305">
            <v>9.6469496021220156</v>
          </cell>
          <cell r="EL305">
            <v>2.3454909819639278</v>
          </cell>
          <cell r="EM305">
            <v>2.1979124849458049</v>
          </cell>
          <cell r="EN305">
            <v>2.4516345123258305</v>
          </cell>
          <cell r="EO305">
            <v>2.6892995848399623</v>
          </cell>
          <cell r="EP305">
            <v>9.6842880085653107</v>
          </cell>
          <cell r="EQ305">
            <v>2.9872688287322435</v>
          </cell>
          <cell r="ER305">
            <v>2.9284949116229244</v>
          </cell>
          <cell r="ES305">
            <v>2.936161670235546</v>
          </cell>
          <cell r="ET305">
            <v>3.0376847250287238</v>
          </cell>
          <cell r="EU305">
            <v>11.88949489854677</v>
          </cell>
          <cell r="EV305">
            <v>3.345359575051261</v>
          </cell>
          <cell r="EW305">
            <v>3.4943009930462181</v>
          </cell>
          <cell r="EX305">
            <v>3.4797709650896929</v>
          </cell>
          <cell r="EY305">
            <v>3.7181251466257086</v>
          </cell>
          <cell r="EZ305">
            <v>14.036819677774121</v>
          </cell>
          <cell r="FA305">
            <v>3.9630896177206862</v>
          </cell>
          <cell r="FB305">
            <v>4.1378412573461221</v>
          </cell>
          <cell r="FC305">
            <v>4.1298755910947582</v>
          </cell>
          <cell r="FD305">
            <v>4.4189291497373802</v>
          </cell>
          <cell r="FE305">
            <v>16.648908869616285</v>
          </cell>
        </row>
        <row r="306">
          <cell r="B306" t="str">
            <v>Common dividends paid</v>
          </cell>
          <cell r="C306" t="str">
            <v>COMMON_DIV_PAID</v>
          </cell>
          <cell r="D306" t="str">
            <v>USD</v>
          </cell>
        </row>
        <row r="307">
          <cell r="B307" t="str">
            <v>DPS, dividend per share</v>
          </cell>
          <cell r="C307" t="str">
            <v>DPS</v>
          </cell>
          <cell r="D307" t="str">
            <v>USD</v>
          </cell>
        </row>
        <row r="308">
          <cell r="B308" t="str">
            <v>Weighted average shares outstanding, basic</v>
          </cell>
          <cell r="C308" t="str">
            <v>SH</v>
          </cell>
          <cell r="F308">
            <v>627</v>
          </cell>
          <cell r="G308">
            <v>640</v>
          </cell>
          <cell r="H308">
            <v>638</v>
          </cell>
          <cell r="I308">
            <v>639</v>
          </cell>
          <cell r="J308">
            <v>645</v>
          </cell>
          <cell r="K308">
            <v>640.5</v>
          </cell>
          <cell r="L308">
            <v>1294</v>
          </cell>
          <cell r="M308">
            <v>1200</v>
          </cell>
          <cell r="N308">
            <v>2400</v>
          </cell>
          <cell r="O308">
            <v>2400</v>
          </cell>
          <cell r="P308">
            <v>1823.5</v>
          </cell>
          <cell r="Q308">
            <v>1333</v>
          </cell>
          <cell r="R308">
            <v>1220</v>
          </cell>
          <cell r="S308">
            <v>2450</v>
          </cell>
          <cell r="T308">
            <v>2550</v>
          </cell>
          <cell r="U308">
            <v>1888.25</v>
          </cell>
          <cell r="V308">
            <v>2475</v>
          </cell>
          <cell r="W308">
            <v>2500</v>
          </cell>
          <cell r="X308">
            <v>5100</v>
          </cell>
          <cell r="Y308">
            <v>5100</v>
          </cell>
          <cell r="Z308">
            <v>3793.75</v>
          </cell>
          <cell r="AA308">
            <v>5100</v>
          </cell>
          <cell r="AB308">
            <v>5200</v>
          </cell>
          <cell r="AC308">
            <v>5200</v>
          </cell>
          <cell r="AD308">
            <v>5250</v>
          </cell>
          <cell r="AE308">
            <v>5187.5</v>
          </cell>
          <cell r="AF308">
            <v>5299</v>
          </cell>
          <cell r="AG308">
            <v>5330</v>
          </cell>
          <cell r="AH308">
            <v>5336</v>
          </cell>
          <cell r="AI308">
            <v>5381</v>
          </cell>
          <cell r="AJ308">
            <v>5336.5</v>
          </cell>
          <cell r="AK308">
            <v>5398</v>
          </cell>
          <cell r="AL308">
            <v>5395</v>
          </cell>
          <cell r="AM308">
            <v>5415</v>
          </cell>
          <cell r="AN308">
            <v>5415</v>
          </cell>
          <cell r="AO308">
            <v>5405.75</v>
          </cell>
          <cell r="AP308">
            <v>10739</v>
          </cell>
          <cell r="AQ308">
            <v>10703</v>
          </cell>
          <cell r="AR308">
            <v>10715</v>
          </cell>
          <cell r="AS308">
            <v>10737</v>
          </cell>
          <cell r="AT308">
            <v>10723.5</v>
          </cell>
          <cell r="AU308">
            <v>10811</v>
          </cell>
          <cell r="AV308">
            <v>10810</v>
          </cell>
          <cell r="AW308">
            <v>10785</v>
          </cell>
          <cell r="AX308">
            <v>10806</v>
          </cell>
          <cell r="AY308">
            <v>10803</v>
          </cell>
          <cell r="AZ308">
            <v>10873</v>
          </cell>
          <cell r="BA308">
            <v>10877</v>
          </cell>
          <cell r="BB308">
            <v>10856</v>
          </cell>
          <cell r="BC308">
            <v>10750</v>
          </cell>
          <cell r="BD308">
            <v>10839</v>
          </cell>
          <cell r="BE308">
            <v>10696</v>
          </cell>
          <cell r="BF308">
            <v>10560</v>
          </cell>
          <cell r="BG308">
            <v>10303</v>
          </cell>
          <cell r="BH308">
            <v>10186</v>
          </cell>
          <cell r="BI308">
            <v>10436.25</v>
          </cell>
          <cell r="BJ308">
            <v>9929</v>
          </cell>
          <cell r="BK308">
            <v>9806</v>
          </cell>
          <cell r="BL308">
            <v>9725</v>
          </cell>
          <cell r="BM308">
            <v>9507</v>
          </cell>
          <cell r="BN308">
            <v>9741.75</v>
          </cell>
          <cell r="BO308">
            <v>9380</v>
          </cell>
          <cell r="BP308">
            <v>9361</v>
          </cell>
          <cell r="BQ308">
            <v>9307</v>
          </cell>
          <cell r="BR308">
            <v>9264</v>
          </cell>
          <cell r="BS308">
            <v>9328</v>
          </cell>
          <cell r="BT308">
            <v>9084</v>
          </cell>
          <cell r="BU308">
            <v>8903</v>
          </cell>
          <cell r="BV308">
            <v>8891</v>
          </cell>
          <cell r="BW308">
            <v>8901</v>
          </cell>
          <cell r="BX308">
            <v>8944.75</v>
          </cell>
          <cell r="BY308">
            <v>8914</v>
          </cell>
          <cell r="BZ308">
            <v>8856</v>
          </cell>
          <cell r="CA308">
            <v>8767</v>
          </cell>
          <cell r="CB308">
            <v>8712</v>
          </cell>
          <cell r="CC308">
            <v>8812.25</v>
          </cell>
          <cell r="CD308">
            <v>8614</v>
          </cell>
          <cell r="CE308">
            <v>8497</v>
          </cell>
          <cell r="CF308">
            <v>8420</v>
          </cell>
          <cell r="CG308">
            <v>8429</v>
          </cell>
          <cell r="CH308">
            <v>8490</v>
          </cell>
          <cell r="CI308">
            <v>8392</v>
          </cell>
          <cell r="CJ308">
            <v>8402</v>
          </cell>
          <cell r="CK308">
            <v>8401</v>
          </cell>
          <cell r="CL308">
            <v>8388</v>
          </cell>
          <cell r="CM308">
            <v>8395.75</v>
          </cell>
          <cell r="CN308">
            <v>8396</v>
          </cell>
          <cell r="CO308">
            <v>8393</v>
          </cell>
          <cell r="CP308">
            <v>8364</v>
          </cell>
          <cell r="CQ308">
            <v>8345</v>
          </cell>
          <cell r="CR308">
            <v>8374.5</v>
          </cell>
          <cell r="CS308">
            <v>8339</v>
          </cell>
          <cell r="CT308">
            <v>8326</v>
          </cell>
          <cell r="CU308">
            <v>8284</v>
          </cell>
          <cell r="CV308">
            <v>8246</v>
          </cell>
          <cell r="CW308">
            <v>8298.75</v>
          </cell>
          <cell r="CX308">
            <v>8249</v>
          </cell>
          <cell r="CY308">
            <v>8228</v>
          </cell>
          <cell r="CZ308">
            <v>8167</v>
          </cell>
          <cell r="DA308">
            <v>8061</v>
          </cell>
          <cell r="DB308">
            <v>8176.25</v>
          </cell>
          <cell r="DC308">
            <v>7996</v>
          </cell>
          <cell r="DD308">
            <v>7964</v>
          </cell>
          <cell r="DE308">
            <v>7895</v>
          </cell>
          <cell r="DF308">
            <v>7842</v>
          </cell>
          <cell r="DG308">
            <v>7924.25</v>
          </cell>
          <cell r="DH308">
            <v>7789</v>
          </cell>
          <cell r="DI308">
            <v>7755</v>
          </cell>
          <cell r="DJ308">
            <v>7725</v>
          </cell>
          <cell r="DK308">
            <v>7715</v>
          </cell>
          <cell r="DL308">
            <v>7746</v>
          </cell>
          <cell r="DM308">
            <v>7708</v>
          </cell>
          <cell r="DN308">
            <v>7710</v>
          </cell>
          <cell r="DO308">
            <v>7698</v>
          </cell>
          <cell r="DP308">
            <v>7683</v>
          </cell>
          <cell r="DQ308">
            <v>7699.75</v>
          </cell>
          <cell r="DR308">
            <v>7673</v>
          </cell>
          <cell r="DS308">
            <v>7692</v>
          </cell>
          <cell r="DT308">
            <v>7672</v>
          </cell>
          <cell r="DU308">
            <v>7655</v>
          </cell>
          <cell r="DV308">
            <v>7673</v>
          </cell>
          <cell r="DW308">
            <v>7634</v>
          </cell>
          <cell r="DX308">
            <v>7621</v>
          </cell>
          <cell r="DY308">
            <v>7602</v>
          </cell>
          <cell r="DZ308">
            <v>7580</v>
          </cell>
          <cell r="EA308">
            <v>7609.25</v>
          </cell>
          <cell r="EB308">
            <v>7566</v>
          </cell>
          <cell r="EC308">
            <v>7555</v>
          </cell>
          <cell r="ED308">
            <v>7539</v>
          </cell>
          <cell r="EE308">
            <v>7527</v>
          </cell>
          <cell r="EF308">
            <v>7547</v>
          </cell>
          <cell r="EG308">
            <v>7513</v>
          </cell>
          <cell r="EH308">
            <v>7505</v>
          </cell>
          <cell r="EI308">
            <v>7493</v>
          </cell>
          <cell r="EJ308">
            <v>7474</v>
          </cell>
          <cell r="EK308">
            <v>7496</v>
          </cell>
          <cell r="EL308">
            <v>7457</v>
          </cell>
          <cell r="EM308">
            <v>7451</v>
          </cell>
          <cell r="EN308">
            <v>7441</v>
          </cell>
          <cell r="EO308">
            <v>7434</v>
          </cell>
          <cell r="EP308">
            <v>7446</v>
          </cell>
          <cell r="EQ308">
            <v>7429</v>
          </cell>
          <cell r="ER308">
            <v>7432</v>
          </cell>
          <cell r="ES308">
            <v>7431</v>
          </cell>
          <cell r="ET308">
            <v>7434</v>
          </cell>
          <cell r="EU308">
            <v>7431.5</v>
          </cell>
          <cell r="EV308">
            <v>7429</v>
          </cell>
          <cell r="EW308">
            <v>7432</v>
          </cell>
          <cell r="EX308">
            <v>7431</v>
          </cell>
          <cell r="EY308">
            <v>7425.4094009777054</v>
          </cell>
          <cell r="EZ308">
            <v>7429.3523502444259</v>
          </cell>
          <cell r="FA308">
            <v>7414.6682876399773</v>
          </cell>
          <cell r="FB308">
            <v>7404.4902135659731</v>
          </cell>
          <cell r="FC308">
            <v>7394.4105783766654</v>
          </cell>
          <cell r="FD308">
            <v>7384.8152449128575</v>
          </cell>
          <cell r="FE308">
            <v>7399.5960811238683</v>
          </cell>
        </row>
        <row r="309">
          <cell r="B309" t="str">
            <v>Diluted average shares outstanding (mn)</v>
          </cell>
          <cell r="C309" t="str">
            <v>DILUTE_SHARES</v>
          </cell>
          <cell r="F309">
            <v>627</v>
          </cell>
          <cell r="G309">
            <v>640</v>
          </cell>
          <cell r="H309">
            <v>638</v>
          </cell>
          <cell r="I309">
            <v>639</v>
          </cell>
          <cell r="J309">
            <v>645</v>
          </cell>
          <cell r="K309">
            <v>640.5</v>
          </cell>
          <cell r="L309">
            <v>1300</v>
          </cell>
          <cell r="M309">
            <v>1300</v>
          </cell>
          <cell r="N309">
            <v>2600</v>
          </cell>
          <cell r="O309">
            <v>2650</v>
          </cell>
          <cell r="P309">
            <v>1962.5</v>
          </cell>
          <cell r="Q309">
            <v>1340</v>
          </cell>
          <cell r="R309">
            <v>1340</v>
          </cell>
          <cell r="S309">
            <v>2700</v>
          </cell>
          <cell r="T309">
            <v>2800</v>
          </cell>
          <cell r="U309">
            <v>2045</v>
          </cell>
          <cell r="V309">
            <v>2700</v>
          </cell>
          <cell r="W309">
            <v>2700</v>
          </cell>
          <cell r="X309">
            <v>5500</v>
          </cell>
          <cell r="Y309">
            <v>5521</v>
          </cell>
          <cell r="Z309">
            <v>4105.25</v>
          </cell>
          <cell r="AA309">
            <v>5500</v>
          </cell>
          <cell r="AB309">
            <v>5500</v>
          </cell>
          <cell r="AC309">
            <v>5500</v>
          </cell>
          <cell r="AD309">
            <v>5537</v>
          </cell>
          <cell r="AE309">
            <v>5509.25</v>
          </cell>
          <cell r="AF309">
            <v>5557</v>
          </cell>
          <cell r="AG309">
            <v>5570</v>
          </cell>
          <cell r="AH309">
            <v>5563</v>
          </cell>
          <cell r="AI309">
            <v>5592</v>
          </cell>
          <cell r="AJ309">
            <v>5570.5</v>
          </cell>
          <cell r="AK309">
            <v>5567</v>
          </cell>
          <cell r="AL309">
            <v>5556</v>
          </cell>
          <cell r="AM309">
            <v>5564</v>
          </cell>
          <cell r="AN309">
            <v>5530</v>
          </cell>
          <cell r="AO309">
            <v>5554.25</v>
          </cell>
          <cell r="AP309">
            <v>10933</v>
          </cell>
          <cell r="AQ309">
            <v>10846</v>
          </cell>
          <cell r="AR309">
            <v>10837</v>
          </cell>
          <cell r="AS309">
            <v>10862</v>
          </cell>
          <cell r="AT309">
            <v>10869.5</v>
          </cell>
          <cell r="AU309">
            <v>10885</v>
          </cell>
          <cell r="AV309">
            <v>10899</v>
          </cell>
          <cell r="AW309">
            <v>10856</v>
          </cell>
          <cell r="AX309">
            <v>10864</v>
          </cell>
          <cell r="AY309">
            <v>10876</v>
          </cell>
          <cell r="AZ309">
            <v>10920</v>
          </cell>
          <cell r="BA309">
            <v>10956</v>
          </cell>
          <cell r="BB309">
            <v>10931</v>
          </cell>
          <cell r="BC309">
            <v>10819</v>
          </cell>
          <cell r="BD309">
            <v>10906.5</v>
          </cell>
          <cell r="BE309">
            <v>10772</v>
          </cell>
          <cell r="BF309">
            <v>10638</v>
          </cell>
          <cell r="BG309">
            <v>10415</v>
          </cell>
          <cell r="BH309">
            <v>10255</v>
          </cell>
          <cell r="BI309">
            <v>10520</v>
          </cell>
          <cell r="BJ309">
            <v>10010</v>
          </cell>
          <cell r="BK309">
            <v>9942</v>
          </cell>
          <cell r="BL309">
            <v>9862</v>
          </cell>
          <cell r="BM309">
            <v>9657</v>
          </cell>
          <cell r="BN309">
            <v>9867.75</v>
          </cell>
          <cell r="BO309">
            <v>9513</v>
          </cell>
          <cell r="BP309">
            <v>9503</v>
          </cell>
          <cell r="BQ309">
            <v>9428</v>
          </cell>
          <cell r="BR309">
            <v>9380</v>
          </cell>
          <cell r="BS309">
            <v>9456</v>
          </cell>
          <cell r="BT309">
            <v>9183</v>
          </cell>
          <cell r="BU309">
            <v>8914</v>
          </cell>
          <cell r="BV309">
            <v>8904</v>
          </cell>
          <cell r="BW309">
            <v>8928</v>
          </cell>
          <cell r="BX309">
            <v>8982.25</v>
          </cell>
          <cell r="BY309">
            <v>8983</v>
          </cell>
          <cell r="BZ309">
            <v>8951</v>
          </cell>
          <cell r="CA309">
            <v>8876</v>
          </cell>
          <cell r="CB309">
            <v>8821</v>
          </cell>
          <cell r="CC309">
            <v>8907.75</v>
          </cell>
          <cell r="CD309">
            <v>8695</v>
          </cell>
          <cell r="CE309">
            <v>8570</v>
          </cell>
          <cell r="CF309">
            <v>8510</v>
          </cell>
          <cell r="CG309">
            <v>8521</v>
          </cell>
          <cell r="CH309">
            <v>8574</v>
          </cell>
          <cell r="CI309">
            <v>8490</v>
          </cell>
          <cell r="CJ309">
            <v>8465</v>
          </cell>
          <cell r="CK309">
            <v>8498</v>
          </cell>
          <cell r="CL309">
            <v>8388</v>
          </cell>
          <cell r="CM309">
            <v>8460.25</v>
          </cell>
          <cell r="CN309">
            <v>8494</v>
          </cell>
          <cell r="CO309">
            <v>8444</v>
          </cell>
          <cell r="CP309">
            <v>8429</v>
          </cell>
          <cell r="CQ309">
            <v>8442</v>
          </cell>
          <cell r="CR309">
            <v>8452.25</v>
          </cell>
          <cell r="CS309">
            <v>8434</v>
          </cell>
          <cell r="CT309">
            <v>8395</v>
          </cell>
          <cell r="CU309">
            <v>8367</v>
          </cell>
          <cell r="CV309">
            <v>8345</v>
          </cell>
          <cell r="CW309">
            <v>8385.25</v>
          </cell>
          <cell r="CX309">
            <v>8351</v>
          </cell>
          <cell r="CY309">
            <v>8297</v>
          </cell>
          <cell r="CZ309">
            <v>8237</v>
          </cell>
          <cell r="DA309">
            <v>8061</v>
          </cell>
          <cell r="DB309">
            <v>8236.5</v>
          </cell>
          <cell r="DC309">
            <v>8066</v>
          </cell>
          <cell r="DD309">
            <v>8028</v>
          </cell>
          <cell r="DE309">
            <v>7985</v>
          </cell>
          <cell r="DF309">
            <v>7929</v>
          </cell>
          <cell r="DG309">
            <v>8002</v>
          </cell>
          <cell r="DH309">
            <v>7876</v>
          </cell>
          <cell r="DI309">
            <v>7830</v>
          </cell>
          <cell r="DJ309">
            <v>7813</v>
          </cell>
          <cell r="DK309">
            <v>7806</v>
          </cell>
          <cell r="DL309">
            <v>7831.25</v>
          </cell>
          <cell r="DM309">
            <v>7799</v>
          </cell>
          <cell r="DN309">
            <v>7710</v>
          </cell>
          <cell r="DO309">
            <v>7794</v>
          </cell>
          <cell r="DP309">
            <v>7775</v>
          </cell>
          <cell r="DQ309">
            <v>7769.5</v>
          </cell>
          <cell r="DR309">
            <v>7766</v>
          </cell>
          <cell r="DS309">
            <v>7768</v>
          </cell>
          <cell r="DT309">
            <v>7744</v>
          </cell>
          <cell r="DU309">
            <v>7730</v>
          </cell>
          <cell r="DV309">
            <v>7752</v>
          </cell>
          <cell r="DW309">
            <v>7710</v>
          </cell>
          <cell r="DX309">
            <v>7691</v>
          </cell>
          <cell r="DY309">
            <v>7675</v>
          </cell>
          <cell r="DZ309">
            <v>7650</v>
          </cell>
          <cell r="EA309">
            <v>7681.5</v>
          </cell>
          <cell r="EB309">
            <v>7637</v>
          </cell>
          <cell r="EC309">
            <v>7616</v>
          </cell>
          <cell r="ED309">
            <v>7597</v>
          </cell>
          <cell r="EE309">
            <v>7581</v>
          </cell>
          <cell r="EF309">
            <v>7608</v>
          </cell>
          <cell r="EG309">
            <v>7567</v>
          </cell>
          <cell r="EH309">
            <v>7555</v>
          </cell>
          <cell r="EI309">
            <v>7534</v>
          </cell>
          <cell r="EJ309">
            <v>7506</v>
          </cell>
          <cell r="EK309">
            <v>7540</v>
          </cell>
          <cell r="EL309">
            <v>7485</v>
          </cell>
          <cell r="EM309">
            <v>7473</v>
          </cell>
          <cell r="EN309">
            <v>7464</v>
          </cell>
          <cell r="EO309">
            <v>7467</v>
          </cell>
          <cell r="EP309">
            <v>7472</v>
          </cell>
          <cell r="EQ309">
            <v>7462</v>
          </cell>
          <cell r="ER309">
            <v>7468</v>
          </cell>
          <cell r="ES309">
            <v>7472</v>
          </cell>
          <cell r="ET309">
            <v>7458.4094009777054</v>
          </cell>
          <cell r="EU309">
            <v>7465.1023502444259</v>
          </cell>
          <cell r="EV309">
            <v>7447.6682876399773</v>
          </cell>
          <cell r="EW309">
            <v>7437.4902135659731</v>
          </cell>
          <cell r="EX309">
            <v>7427.4105783766654</v>
          </cell>
          <cell r="EY309">
            <v>7417.8152449128575</v>
          </cell>
          <cell r="EZ309">
            <v>7432.5960811238683</v>
          </cell>
          <cell r="FA309">
            <v>7407.9899152005764</v>
          </cell>
          <cell r="FB309">
            <v>7398.7318652928125</v>
          </cell>
          <cell r="FC309">
            <v>7389.5776030973302</v>
          </cell>
          <cell r="FD309">
            <v>7380.931440271359</v>
          </cell>
          <cell r="FE309">
            <v>7394.3077059655188</v>
          </cell>
        </row>
        <row r="310">
          <cell r="B310" t="str">
            <v>Period-end shares outstanding</v>
          </cell>
          <cell r="C310" t="str">
            <v>NON_OP_ADD</v>
          </cell>
          <cell r="F310">
            <v>627</v>
          </cell>
          <cell r="G310">
            <v>640</v>
          </cell>
          <cell r="H310">
            <v>638</v>
          </cell>
          <cell r="I310">
            <v>639</v>
          </cell>
          <cell r="J310">
            <v>645</v>
          </cell>
          <cell r="K310">
            <v>640.5</v>
          </cell>
          <cell r="L310">
            <v>1294</v>
          </cell>
          <cell r="M310">
            <v>1200</v>
          </cell>
          <cell r="N310">
            <v>2400</v>
          </cell>
          <cell r="O310">
            <v>2400</v>
          </cell>
          <cell r="P310">
            <v>1823.5</v>
          </cell>
          <cell r="Q310">
            <v>1333</v>
          </cell>
          <cell r="R310">
            <v>1220</v>
          </cell>
          <cell r="S310">
            <v>2450</v>
          </cell>
          <cell r="T310">
            <v>2550</v>
          </cell>
          <cell r="U310">
            <v>1888.25</v>
          </cell>
          <cell r="V310">
            <v>2475</v>
          </cell>
          <cell r="W310">
            <v>2500</v>
          </cell>
          <cell r="X310">
            <v>5100</v>
          </cell>
          <cell r="Y310">
            <v>5100</v>
          </cell>
          <cell r="Z310">
            <v>3793.75</v>
          </cell>
          <cell r="AA310">
            <v>5100</v>
          </cell>
          <cell r="AB310">
            <v>5200</v>
          </cell>
          <cell r="AC310">
            <v>5200</v>
          </cell>
          <cell r="AD310">
            <v>5250</v>
          </cell>
          <cell r="AE310">
            <v>5187.5</v>
          </cell>
          <cell r="AF310">
            <v>5299</v>
          </cell>
          <cell r="AG310">
            <v>5330</v>
          </cell>
          <cell r="AH310">
            <v>5336</v>
          </cell>
          <cell r="AI310">
            <v>5381</v>
          </cell>
          <cell r="AJ310">
            <v>5336.5</v>
          </cell>
          <cell r="AK310">
            <v>5398</v>
          </cell>
          <cell r="AL310">
            <v>5395</v>
          </cell>
          <cell r="AM310">
            <v>5415</v>
          </cell>
          <cell r="AN310">
            <v>5415</v>
          </cell>
          <cell r="AO310">
            <v>5405.75</v>
          </cell>
          <cell r="AP310">
            <v>10739</v>
          </cell>
          <cell r="AQ310">
            <v>10703</v>
          </cell>
          <cell r="AR310">
            <v>10715</v>
          </cell>
          <cell r="AS310">
            <v>10737</v>
          </cell>
          <cell r="AT310">
            <v>10723.5</v>
          </cell>
          <cell r="AU310">
            <v>10811</v>
          </cell>
          <cell r="AV310">
            <v>10810</v>
          </cell>
          <cell r="AW310">
            <v>10785</v>
          </cell>
          <cell r="AX310">
            <v>10806</v>
          </cell>
          <cell r="AY310">
            <v>10803</v>
          </cell>
          <cell r="AZ310">
            <v>10873</v>
          </cell>
          <cell r="BA310">
            <v>10877</v>
          </cell>
          <cell r="BB310">
            <v>10856</v>
          </cell>
          <cell r="BC310">
            <v>10750</v>
          </cell>
          <cell r="BD310">
            <v>10839</v>
          </cell>
          <cell r="BE310">
            <v>10696</v>
          </cell>
          <cell r="BF310">
            <v>10560</v>
          </cell>
          <cell r="BG310">
            <v>10303</v>
          </cell>
          <cell r="BH310">
            <v>10186</v>
          </cell>
          <cell r="BI310">
            <v>10436.25</v>
          </cell>
          <cell r="BJ310">
            <v>9929</v>
          </cell>
          <cell r="BK310">
            <v>9806</v>
          </cell>
          <cell r="BL310">
            <v>9725</v>
          </cell>
          <cell r="BM310">
            <v>9507</v>
          </cell>
          <cell r="BN310">
            <v>9741.75</v>
          </cell>
          <cell r="BO310">
            <v>9380</v>
          </cell>
          <cell r="BP310">
            <v>9361</v>
          </cell>
          <cell r="BQ310">
            <v>9307</v>
          </cell>
          <cell r="BR310">
            <v>9264</v>
          </cell>
          <cell r="BS310">
            <v>9328</v>
          </cell>
          <cell r="BT310">
            <v>9084</v>
          </cell>
          <cell r="BU310">
            <v>8903</v>
          </cell>
          <cell r="BV310">
            <v>8891</v>
          </cell>
          <cell r="BW310">
            <v>8901</v>
          </cell>
          <cell r="BX310">
            <v>8944.75</v>
          </cell>
          <cell r="BY310">
            <v>8914</v>
          </cell>
          <cell r="BZ310">
            <v>8856</v>
          </cell>
          <cell r="CA310">
            <v>8767</v>
          </cell>
          <cell r="CB310">
            <v>8712</v>
          </cell>
          <cell r="CC310">
            <v>8812.25</v>
          </cell>
          <cell r="CD310">
            <v>8614</v>
          </cell>
          <cell r="CE310">
            <v>8497</v>
          </cell>
          <cell r="CF310">
            <v>8420</v>
          </cell>
          <cell r="CG310">
            <v>8429</v>
          </cell>
          <cell r="CH310">
            <v>8490</v>
          </cell>
          <cell r="CI310">
            <v>8392</v>
          </cell>
          <cell r="CJ310">
            <v>8402</v>
          </cell>
          <cell r="CK310">
            <v>8401</v>
          </cell>
          <cell r="CL310">
            <v>8388</v>
          </cell>
          <cell r="CM310">
            <v>8395.75</v>
          </cell>
          <cell r="CN310">
            <v>8396</v>
          </cell>
          <cell r="CO310">
            <v>8393</v>
          </cell>
          <cell r="CP310">
            <v>8364</v>
          </cell>
          <cell r="CQ310">
            <v>8345</v>
          </cell>
          <cell r="CR310">
            <v>8374.5</v>
          </cell>
          <cell r="CS310">
            <v>8339</v>
          </cell>
          <cell r="CT310">
            <v>8326</v>
          </cell>
          <cell r="CU310">
            <v>8284</v>
          </cell>
          <cell r="CV310">
            <v>8246</v>
          </cell>
          <cell r="CW310">
            <v>8298.75</v>
          </cell>
          <cell r="CX310">
            <v>8249</v>
          </cell>
          <cell r="CY310">
            <v>8228</v>
          </cell>
          <cell r="CZ310">
            <v>8167</v>
          </cell>
          <cell r="DA310">
            <v>8061</v>
          </cell>
          <cell r="DB310">
            <v>8176.25</v>
          </cell>
          <cell r="DC310">
            <v>7996</v>
          </cell>
          <cell r="DD310">
            <v>7964</v>
          </cell>
          <cell r="DE310">
            <v>7895</v>
          </cell>
          <cell r="DF310">
            <v>7842</v>
          </cell>
          <cell r="DG310">
            <v>7924.25</v>
          </cell>
          <cell r="DH310">
            <v>7789</v>
          </cell>
          <cell r="DI310">
            <v>7755</v>
          </cell>
          <cell r="DJ310">
            <v>7725</v>
          </cell>
          <cell r="DK310">
            <v>7715</v>
          </cell>
          <cell r="DL310">
            <v>7746</v>
          </cell>
          <cell r="DM310">
            <v>7708</v>
          </cell>
          <cell r="DN310">
            <v>7710</v>
          </cell>
          <cell r="DO310">
            <v>7698</v>
          </cell>
          <cell r="DP310">
            <v>7683</v>
          </cell>
          <cell r="DQ310">
            <v>7699.75</v>
          </cell>
          <cell r="DR310">
            <v>7673</v>
          </cell>
          <cell r="DS310">
            <v>7692</v>
          </cell>
          <cell r="DT310">
            <v>7672</v>
          </cell>
          <cell r="DU310">
            <v>7655</v>
          </cell>
          <cell r="DV310">
            <v>7673</v>
          </cell>
          <cell r="DW310">
            <v>7634</v>
          </cell>
          <cell r="DX310">
            <v>7621</v>
          </cell>
          <cell r="DY310">
            <v>7602</v>
          </cell>
          <cell r="DZ310">
            <v>7580</v>
          </cell>
          <cell r="EA310">
            <v>7609.25</v>
          </cell>
          <cell r="EB310">
            <v>7566</v>
          </cell>
          <cell r="EC310">
            <v>7555</v>
          </cell>
          <cell r="ED310">
            <v>7539</v>
          </cell>
          <cell r="EE310">
            <v>7527</v>
          </cell>
          <cell r="EF310">
            <v>7547</v>
          </cell>
          <cell r="EG310">
            <v>7513</v>
          </cell>
          <cell r="EH310">
            <v>7505</v>
          </cell>
          <cell r="EI310">
            <v>7493</v>
          </cell>
          <cell r="EJ310">
            <v>7474</v>
          </cell>
          <cell r="EK310">
            <v>7496</v>
          </cell>
          <cell r="EL310">
            <v>7457</v>
          </cell>
          <cell r="EM310">
            <v>7451</v>
          </cell>
          <cell r="EN310">
            <v>7441</v>
          </cell>
          <cell r="EO310">
            <v>7434</v>
          </cell>
          <cell r="EP310">
            <v>7446</v>
          </cell>
          <cell r="EQ310">
            <v>7429</v>
          </cell>
          <cell r="ER310">
            <v>7432</v>
          </cell>
          <cell r="ES310">
            <v>7431</v>
          </cell>
          <cell r="ET310">
            <v>7434</v>
          </cell>
          <cell r="EU310">
            <v>7431.5</v>
          </cell>
          <cell r="EV310">
            <v>7429</v>
          </cell>
          <cell r="EW310">
            <v>7432</v>
          </cell>
          <cell r="EX310">
            <v>7431</v>
          </cell>
          <cell r="EY310">
            <v>7425.4094009777054</v>
          </cell>
          <cell r="EZ310">
            <v>7429.3523502444259</v>
          </cell>
          <cell r="FA310">
            <v>7414.6682876399773</v>
          </cell>
          <cell r="FB310">
            <v>7404.4902135659731</v>
          </cell>
          <cell r="FC310">
            <v>7394.4105783766654</v>
          </cell>
          <cell r="FD310">
            <v>7384.8152449128575</v>
          </cell>
          <cell r="FE310">
            <v>7399.5960811238683</v>
          </cell>
        </row>
        <row r="311">
          <cell r="A311" t="str">
            <v>Additional Income Statement Items</v>
          </cell>
        </row>
        <row r="312">
          <cell r="B312" t="str">
            <v>Marginal tax rate</v>
          </cell>
          <cell r="C312" t="str">
            <v>MARGIN_TAX_RATE</v>
          </cell>
          <cell r="F312">
            <v>0.32948777111213662</v>
          </cell>
          <cell r="G312">
            <v>0.35194805194805195</v>
          </cell>
          <cell r="H312">
            <v>0.35028248587570621</v>
          </cell>
          <cell r="I312">
            <v>0.34953703703703703</v>
          </cell>
          <cell r="J312">
            <v>0.35</v>
          </cell>
          <cell r="K312">
            <v>0.35039952648712636</v>
          </cell>
          <cell r="L312">
            <v>0.35026455026455028</v>
          </cell>
          <cell r="M312">
            <v>0.35</v>
          </cell>
          <cell r="N312">
            <v>0.34996880848409234</v>
          </cell>
          <cell r="O312">
            <v>0.34993849938499383</v>
          </cell>
          <cell r="P312">
            <v>0.35001881821603315</v>
          </cell>
          <cell r="Q312">
            <v>0.44841930116472545</v>
          </cell>
          <cell r="R312">
            <v>0.35988700564971754</v>
          </cell>
          <cell r="S312">
            <v>0.3500243072435586</v>
          </cell>
          <cell r="T312">
            <v>0.35009578544061304</v>
          </cell>
          <cell r="U312">
            <v>0.36911620064633976</v>
          </cell>
          <cell r="V312">
            <v>0.3276068717538953</v>
          </cell>
          <cell r="W312">
            <v>0.35004916420845622</v>
          </cell>
          <cell r="X312">
            <v>0.34994913530010174</v>
          </cell>
          <cell r="Y312">
            <v>0.35005903187721371</v>
          </cell>
          <cell r="Z312">
            <v>0.3453031704650576</v>
          </cell>
          <cell r="AA312">
            <v>0.3400602409638554</v>
          </cell>
          <cell r="AB312">
            <v>0.34001625575724737</v>
          </cell>
          <cell r="AC312">
            <v>0.3398837531137559</v>
          </cell>
          <cell r="AD312">
            <v>0.34018077239112571</v>
          </cell>
          <cell r="AE312">
            <v>0.34003502626970228</v>
          </cell>
          <cell r="AF312">
            <v>0.32995846313603322</v>
          </cell>
          <cell r="AG312">
            <v>0.33009956599438345</v>
          </cell>
          <cell r="AH312">
            <v>0.3299617277200656</v>
          </cell>
          <cell r="AI312">
            <v>0.33673469387755101</v>
          </cell>
          <cell r="AJ312">
            <v>0.33006507592190887</v>
          </cell>
          <cell r="AK312">
            <v>0.32008479067302598</v>
          </cell>
          <cell r="AL312">
            <v>0.31992850759606789</v>
          </cell>
          <cell r="AM312">
            <v>0.31992051664182813</v>
          </cell>
          <cell r="AN312">
            <v>0.32010699955416855</v>
          </cell>
          <cell r="AO312">
            <v>0.31998610266655086</v>
          </cell>
          <cell r="AP312">
            <v>0.33016081391532653</v>
          </cell>
          <cell r="AQ312">
            <v>0.28158705701078585</v>
          </cell>
          <cell r="AR312">
            <v>0.32999687206756334</v>
          </cell>
          <cell r="AS312">
            <v>0.33017163504968383</v>
          </cell>
          <cell r="AT312">
            <v>0.31870815994210239</v>
          </cell>
          <cell r="AU312">
            <v>0.32991540630607535</v>
          </cell>
          <cell r="AV312">
            <v>0.33001730103806226</v>
          </cell>
          <cell r="AW312">
            <v>0.42299254058797719</v>
          </cell>
          <cell r="AX312">
            <v>0.27375809935205181</v>
          </cell>
          <cell r="AY312">
            <v>0.33027222040013121</v>
          </cell>
          <cell r="AZ312">
            <v>0.32997614630267691</v>
          </cell>
          <cell r="BA312">
            <v>0.33004449603404912</v>
          </cell>
          <cell r="BB312">
            <v>0.3299346405228758</v>
          </cell>
          <cell r="BC312">
            <v>4.1699041699041699E-2</v>
          </cell>
          <cell r="BD312">
            <v>0.26305027664180902</v>
          </cell>
          <cell r="BE312">
            <v>0.3099736379613357</v>
          </cell>
          <cell r="BF312">
            <v>0.28888456297449872</v>
          </cell>
          <cell r="BG312">
            <v>0.31008111239860953</v>
          </cell>
          <cell r="BH312">
            <v>0.33583842179426959</v>
          </cell>
          <cell r="BI312">
            <v>0.31009747015660938</v>
          </cell>
          <cell r="BJ312">
            <v>0.31005752826820077</v>
          </cell>
          <cell r="BK312">
            <v>0.30985545335085413</v>
          </cell>
          <cell r="BL312">
            <v>0.2933581982498924</v>
          </cell>
          <cell r="BM312">
            <v>0.29154995331465922</v>
          </cell>
          <cell r="BN312">
            <v>0.30028356798169248</v>
          </cell>
          <cell r="BO312">
            <v>0.31000643500643499</v>
          </cell>
          <cell r="BP312">
            <v>0.30982404692082111</v>
          </cell>
          <cell r="BQ312">
            <v>8.7733887733887739E-2</v>
          </cell>
          <cell r="BR312">
            <v>0.27999329758713137</v>
          </cell>
          <cell r="BS312">
            <v>0.25753758293440832</v>
          </cell>
          <cell r="BT312">
            <v>0.27007177432815893</v>
          </cell>
          <cell r="BU312">
            <v>0.25966654842142606</v>
          </cell>
          <cell r="BV312">
            <v>0.26493827160493827</v>
          </cell>
          <cell r="BW312">
            <v>0.26484789956542731</v>
          </cell>
          <cell r="BX312">
            <v>0.26497149487916855</v>
          </cell>
          <cell r="BY312">
            <v>0.24994753410283316</v>
          </cell>
          <cell r="BZ312">
            <v>0.2500281436451649</v>
          </cell>
          <cell r="CA312">
            <v>0.24995319228608875</v>
          </cell>
          <cell r="CB312">
            <v>0.25</v>
          </cell>
          <cell r="CC312">
            <v>0.24999000519729742</v>
          </cell>
          <cell r="CD312">
            <v>0.25172890733056708</v>
          </cell>
          <cell r="CE312">
            <v>0.21925385430151817</v>
          </cell>
          <cell r="CF312">
            <v>0.1316182572614108</v>
          </cell>
          <cell r="CG312">
            <v>7.0422535211267609E-2</v>
          </cell>
          <cell r="CH312">
            <v>0.17530547540166008</v>
          </cell>
          <cell r="CI312">
            <v>0.21461812209143169</v>
          </cell>
          <cell r="CJ312">
            <v>0.19601893433669135</v>
          </cell>
          <cell r="CK312">
            <v>0.19723400911519723</v>
          </cell>
          <cell r="CL312">
            <v>1</v>
          </cell>
          <cell r="CM312">
            <v>0.23752638433556383</v>
          </cell>
          <cell r="CN312">
            <v>0.19298879653053849</v>
          </cell>
          <cell r="CO312">
            <v>0.17927927927927928</v>
          </cell>
          <cell r="CP312">
            <v>0.20360384058924108</v>
          </cell>
          <cell r="CQ312">
            <v>0.19202603742880389</v>
          </cell>
          <cell r="CR312">
            <v>0.19181576223569421</v>
          </cell>
          <cell r="CS312">
            <v>0.18164794007490637</v>
          </cell>
          <cell r="CT312">
            <v>0.16755521706016754</v>
          </cell>
          <cell r="CU312">
            <v>0.18643093287336496</v>
          </cell>
          <cell r="CV312">
            <v>0.29876843545689524</v>
          </cell>
          <cell r="CW312">
            <v>0.20654205607476636</v>
          </cell>
          <cell r="CX312">
            <v>0.2299864314789688</v>
          </cell>
          <cell r="CY312">
            <v>0.25312101910828028</v>
          </cell>
          <cell r="CZ312">
            <v>0.23507748964247352</v>
          </cell>
          <cell r="DA312">
            <v>0</v>
          </cell>
          <cell r="DB312">
            <v>0.34116820662452046</v>
          </cell>
          <cell r="DC312">
            <v>0.16198077271902775</v>
          </cell>
          <cell r="DD312">
            <v>0.14637062339880444</v>
          </cell>
          <cell r="DE312">
            <v>0.25416997617156473</v>
          </cell>
          <cell r="DF312">
            <v>6.7224380041828499E-2</v>
          </cell>
          <cell r="DG312">
            <v>0.16480178218824362</v>
          </cell>
          <cell r="DH312">
            <v>0.16991357843855281</v>
          </cell>
          <cell r="DI312">
            <v>0.21877337322363499</v>
          </cell>
          <cell r="DJ312">
            <v>0.22667042571186918</v>
          </cell>
          <cell r="DK312">
            <v>0</v>
          </cell>
          <cell r="DL312">
            <v>0.14755359352530015</v>
          </cell>
          <cell r="DM312">
            <v>0.17635270541082165</v>
          </cell>
          <cell r="DN312">
            <v>1</v>
          </cell>
          <cell r="DO312">
            <v>0.14084018053466035</v>
          </cell>
          <cell r="DP312">
            <v>0.16919475655430713</v>
          </cell>
          <cell r="DQ312">
            <v>0.5456763722103416</v>
          </cell>
          <cell r="DR312">
            <v>0.13667938557871051</v>
          </cell>
          <cell r="DS312">
            <v>0.18921521425132404</v>
          </cell>
          <cell r="DT312">
            <v>0.15992752241083349</v>
          </cell>
          <cell r="DU312">
            <v>0</v>
          </cell>
          <cell r="DV312">
            <v>0.10181285478850027</v>
          </cell>
          <cell r="DW312">
            <v>0.15828472331704241</v>
          </cell>
          <cell r="DX312">
            <v>0.17294994675186368</v>
          </cell>
          <cell r="DY312">
            <v>0.16281242700303666</v>
          </cell>
          <cell r="DZ312">
            <v>0.16540008940545373</v>
          </cell>
          <cell r="EA312">
            <v>0.16507655177615205</v>
          </cell>
          <cell r="EB312">
            <v>0.13836516993301909</v>
          </cell>
          <cell r="EC312">
            <v>0.15673228990565524</v>
          </cell>
          <cell r="ED312">
            <v>0.10321420283128337</v>
          </cell>
          <cell r="EE312">
            <v>0.15186807523834064</v>
          </cell>
          <cell r="EF312">
            <v>0.13826615285083402</v>
          </cell>
          <cell r="EG312">
            <v>9.2574546871954783E-4</v>
          </cell>
          <cell r="EH312">
            <v>0.16655562958027981</v>
          </cell>
          <cell r="EI312">
            <v>0.17147102526002972</v>
          </cell>
          <cell r="EJ312">
            <v>0.18289647093278666</v>
          </cell>
          <cell r="EK312">
            <v>0.13113383343685794</v>
          </cell>
          <cell r="EL312">
            <v>0.18616725384758021</v>
          </cell>
          <cell r="EM312">
            <v>0.19243817296818919</v>
          </cell>
          <cell r="EN312">
            <v>0.19291668504388479</v>
          </cell>
          <cell r="EO312">
            <v>0.18789177821814212</v>
          </cell>
          <cell r="EP312">
            <v>0.18978625253328257</v>
          </cell>
          <cell r="EQ312">
            <v>0.18300102624248643</v>
          </cell>
          <cell r="ER312">
            <v>0.17552589911784663</v>
          </cell>
          <cell r="ES312">
            <v>0.17914468514984846</v>
          </cell>
          <cell r="ET312">
            <v>0.18</v>
          </cell>
          <cell r="EU312">
            <v>0.17944844357086082</v>
          </cell>
          <cell r="EV312">
            <v>0.18</v>
          </cell>
          <cell r="EW312">
            <v>0.18</v>
          </cell>
          <cell r="EX312">
            <v>0.18</v>
          </cell>
          <cell r="EY312">
            <v>0.18</v>
          </cell>
          <cell r="EZ312">
            <v>0.18000000000000002</v>
          </cell>
          <cell r="FA312">
            <v>0.18</v>
          </cell>
          <cell r="FB312">
            <v>0.18</v>
          </cell>
          <cell r="FC312">
            <v>0.18</v>
          </cell>
          <cell r="FD312">
            <v>0.18</v>
          </cell>
          <cell r="FE312">
            <v>0.18</v>
          </cell>
        </row>
        <row r="313">
          <cell r="A313" t="str">
            <v>ESO</v>
          </cell>
        </row>
        <row r="314">
          <cell r="B314" t="str">
            <v>Fair value of grant</v>
          </cell>
          <cell r="C314" t="str">
            <v>FV_GRANT</v>
          </cell>
          <cell r="D314" t="str">
            <v>USD</v>
          </cell>
        </row>
        <row r="315">
          <cell r="B315" t="str">
            <v>ESO expense (post-tax)</v>
          </cell>
          <cell r="C315" t="str">
            <v>ESO_POST_TAX</v>
          </cell>
          <cell r="D315" t="str">
            <v>USD</v>
          </cell>
        </row>
        <row r="316">
          <cell r="B316" t="str">
            <v>EPS (excl. ESO expense, basic)</v>
          </cell>
          <cell r="C316" t="str">
            <v>EPS_EX_ESO_B</v>
          </cell>
          <cell r="D316" t="str">
            <v>USD</v>
          </cell>
        </row>
        <row r="317">
          <cell r="B317" t="str">
            <v>EPS (excl. ESO expense, diluted)</v>
          </cell>
          <cell r="C317" t="str">
            <v>EPS_EX_ESO_D</v>
          </cell>
          <cell r="D317" t="str">
            <v>USD</v>
          </cell>
        </row>
        <row r="318">
          <cell r="B318" t="str">
            <v>Year that ESO expense takes effect</v>
          </cell>
          <cell r="C318" t="str">
            <v>ESO_YEAR</v>
          </cell>
        </row>
        <row r="319">
          <cell r="A319" t="str">
            <v>Balance Sheet</v>
          </cell>
        </row>
        <row r="320">
          <cell r="B320" t="str">
            <v>BVPS, book value per share</v>
          </cell>
          <cell r="C320" t="str">
            <v>BVPS</v>
          </cell>
          <cell r="D320" t="str">
            <v>USD</v>
          </cell>
          <cell r="F320">
            <v>9.3508771929824555</v>
          </cell>
          <cell r="G320">
            <v>10.0015625</v>
          </cell>
          <cell r="H320">
            <v>10.760188087774294</v>
          </cell>
          <cell r="I320">
            <v>11.464788732394366</v>
          </cell>
          <cell r="J320">
            <v>11.888372093023255</v>
          </cell>
          <cell r="K320">
            <v>11.971896955503514</v>
          </cell>
          <cell r="L320">
            <v>6.2418856259659972</v>
          </cell>
          <cell r="M320">
            <v>8.0350000000000001</v>
          </cell>
          <cell r="N320">
            <v>3.8058333333333332</v>
          </cell>
          <cell r="O320">
            <v>4.4904166666666665</v>
          </cell>
          <cell r="P320">
            <v>5.9100630655333148</v>
          </cell>
          <cell r="Q320">
            <v>8.600150037509378</v>
          </cell>
          <cell r="R320">
            <v>10.118032786885246</v>
          </cell>
          <cell r="S320">
            <v>5.9902040816326529</v>
          </cell>
          <cell r="T320">
            <v>6.5203921568627452</v>
          </cell>
          <cell r="U320">
            <v>8.805507745266782</v>
          </cell>
          <cell r="V320">
            <v>7.7268686868686869</v>
          </cell>
          <cell r="W320">
            <v>9.0312000000000001</v>
          </cell>
          <cell r="X320">
            <v>5.0435294117647063</v>
          </cell>
          <cell r="Y320">
            <v>5.5760784313725491</v>
          </cell>
          <cell r="Z320">
            <v>7.4960131795716638</v>
          </cell>
          <cell r="AA320">
            <v>6.1450980392156866</v>
          </cell>
          <cell r="AB320">
            <v>6.6517307692307694</v>
          </cell>
          <cell r="AC320">
            <v>7.6523076923076925</v>
          </cell>
          <cell r="AD320">
            <v>7.750285714285714</v>
          </cell>
          <cell r="AE320">
            <v>7.8436626506024094</v>
          </cell>
          <cell r="AF320">
            <v>8.5568975278354404</v>
          </cell>
          <cell r="AG320">
            <v>8.709568480300188</v>
          </cell>
          <cell r="AH320">
            <v>9.0123688155922039</v>
          </cell>
          <cell r="AI320">
            <v>8.7881434677569228</v>
          </cell>
          <cell r="AJ320">
            <v>8.8614260282956998</v>
          </cell>
          <cell r="AK320">
            <v>8.9857354575768795</v>
          </cell>
          <cell r="AL320">
            <v>9.5547729379054687</v>
          </cell>
          <cell r="AM320">
            <v>10.02770083102493</v>
          </cell>
          <cell r="AN320">
            <v>9.6361957525392423</v>
          </cell>
          <cell r="AO320">
            <v>9.6526846413541136</v>
          </cell>
          <cell r="AP320">
            <v>4.9833317813576681</v>
          </cell>
          <cell r="AQ320">
            <v>5.2146127254040922</v>
          </cell>
          <cell r="AR320">
            <v>5.4392907139524036</v>
          </cell>
          <cell r="AS320">
            <v>5.6831517183570828</v>
          </cell>
          <cell r="AT320">
            <v>5.6903063365505666</v>
          </cell>
          <cell r="AU320">
            <v>6.1677920636388865</v>
          </cell>
          <cell r="AV320">
            <v>6.4147086031452361</v>
          </cell>
          <cell r="AW320">
            <v>6.5442744552619381</v>
          </cell>
          <cell r="AX320">
            <v>6.9243938552655928</v>
          </cell>
          <cell r="AY320">
            <v>6.9263167638618901</v>
          </cell>
          <cell r="AZ320">
            <v>7.0191299549342405</v>
          </cell>
          <cell r="BA320">
            <v>4.3423738163096441</v>
          </cell>
          <cell r="BB320">
            <v>4.3637619749447314</v>
          </cell>
          <cell r="BC320">
            <v>4.4758139534883723</v>
          </cell>
          <cell r="BD320">
            <v>4.4390626441553644</v>
          </cell>
          <cell r="BE320">
            <v>4.5182311144353031</v>
          </cell>
          <cell r="BF320">
            <v>4.1863636363636365</v>
          </cell>
          <cell r="BG320">
            <v>4.0801708240318355</v>
          </cell>
          <cell r="BH320">
            <v>3.9371686628706066</v>
          </cell>
          <cell r="BI320">
            <v>3.8427596119295724</v>
          </cell>
          <cell r="BJ320">
            <v>3.6359149964749724</v>
          </cell>
          <cell r="BK320">
            <v>3.7358759942892106</v>
          </cell>
          <cell r="BL320">
            <v>3.5961953727506426</v>
          </cell>
          <cell r="BM320">
            <v>3.2709582412958871</v>
          </cell>
          <cell r="BN320">
            <v>3.1921369363820671</v>
          </cell>
          <cell r="BO320">
            <v>3.4259061833688698</v>
          </cell>
          <cell r="BP320">
            <v>3.6781326781326782</v>
          </cell>
          <cell r="BQ320">
            <v>4.0350273987321374</v>
          </cell>
          <cell r="BR320">
            <v>3.9168825561312608</v>
          </cell>
          <cell r="BS320">
            <v>3.8900085763293308</v>
          </cell>
          <cell r="BT320">
            <v>3.6981505944517834</v>
          </cell>
          <cell r="BU320">
            <v>3.8726272043131527</v>
          </cell>
          <cell r="BV320">
            <v>4.155100663592397</v>
          </cell>
          <cell r="BW320">
            <v>4.4442197505898218</v>
          </cell>
          <cell r="BX320">
            <v>4.4224824617792562</v>
          </cell>
          <cell r="BY320">
            <v>4.6232892079874359</v>
          </cell>
          <cell r="BZ320">
            <v>5.0003387533875339</v>
          </cell>
          <cell r="CA320">
            <v>5.2138701950496182</v>
          </cell>
          <cell r="CB320">
            <v>5.3001606978879705</v>
          </cell>
          <cell r="CC320">
            <v>5.2398649607081049</v>
          </cell>
          <cell r="CD320">
            <v>5.4495008126306015</v>
          </cell>
          <cell r="CE320">
            <v>5.7056608214663997</v>
          </cell>
          <cell r="CF320">
            <v>6.3482185273159146</v>
          </cell>
          <cell r="CG320">
            <v>6.7722149721200617</v>
          </cell>
          <cell r="CH320">
            <v>6.7235571260306246</v>
          </cell>
          <cell r="CI320">
            <v>7.0770972354623449</v>
          </cell>
          <cell r="CJ320">
            <v>7.6316353249226374</v>
          </cell>
          <cell r="CK320">
            <v>8.1727175336269493</v>
          </cell>
          <cell r="CL320">
            <v>7.9116595135908439</v>
          </cell>
          <cell r="CM320">
            <v>7.9043563707828364</v>
          </cell>
          <cell r="CN320">
            <v>8.198666031443544</v>
          </cell>
          <cell r="CO320">
            <v>8.6472060050041701</v>
          </cell>
          <cell r="CP320">
            <v>9.1688187470109987</v>
          </cell>
          <cell r="CQ320">
            <v>9.4600359496704609</v>
          </cell>
          <cell r="CR320">
            <v>9.4267120425100011</v>
          </cell>
          <cell r="CS320">
            <v>9.7902626214174369</v>
          </cell>
          <cell r="CT320">
            <v>10.220994475138122</v>
          </cell>
          <cell r="CU320">
            <v>10.553355866731048</v>
          </cell>
          <cell r="CV320">
            <v>10.88818821246665</v>
          </cell>
          <cell r="CW320">
            <v>10.818978761861727</v>
          </cell>
          <cell r="CX320">
            <v>10.931021942053583</v>
          </cell>
          <cell r="CY320">
            <v>11.166626154594068</v>
          </cell>
          <cell r="CZ320">
            <v>11.036120974654096</v>
          </cell>
          <cell r="DA320">
            <v>9.9346234958441872</v>
          </cell>
          <cell r="DB320">
            <v>9.7945879834887624</v>
          </cell>
          <cell r="DC320">
            <v>9.6854677338669326</v>
          </cell>
          <cell r="DD320">
            <v>9.6408839779005522</v>
          </cell>
          <cell r="DE320">
            <v>9.4751108296390125</v>
          </cell>
          <cell r="DF320">
            <v>9.180948737566947</v>
          </cell>
          <cell r="DG320">
            <v>9.0856547938290682</v>
          </cell>
          <cell r="DH320">
            <v>10.586981640775452</v>
          </cell>
          <cell r="DI320">
            <v>10.551773049645391</v>
          </cell>
          <cell r="DJ320">
            <v>10.807896440129451</v>
          </cell>
          <cell r="DK320">
            <v>11.368891769280623</v>
          </cell>
          <cell r="DL320">
            <v>11.323392718822618</v>
          </cell>
          <cell r="DM320">
            <v>11.630384016606124</v>
          </cell>
          <cell r="DN320">
            <v>10.163424124513618</v>
          </cell>
          <cell r="DO320">
            <v>10.293452844894778</v>
          </cell>
          <cell r="DP320">
            <v>10.76636730443837</v>
          </cell>
          <cell r="DQ320">
            <v>10.742946199551934</v>
          </cell>
          <cell r="DR320">
            <v>11.203831617359572</v>
          </cell>
          <cell r="DS320">
            <v>11.977119084763391</v>
          </cell>
          <cell r="DT320">
            <v>12.364963503649635</v>
          </cell>
          <cell r="DU320">
            <v>13.36773350751143</v>
          </cell>
          <cell r="DV320">
            <v>13.336374299491725</v>
          </cell>
          <cell r="DW320">
            <v>13.893240764998691</v>
          </cell>
          <cell r="DX320">
            <v>14.448103923369636</v>
          </cell>
          <cell r="DY320">
            <v>15.061957379636938</v>
          </cell>
          <cell r="DZ320">
            <v>15.607387862796834</v>
          </cell>
          <cell r="EA320">
            <v>15.547392975654631</v>
          </cell>
          <cell r="EB320">
            <v>16.308749669574411</v>
          </cell>
          <cell r="EC320">
            <v>17.238385175380543</v>
          </cell>
          <cell r="ED320">
            <v>17.841225626740947</v>
          </cell>
          <cell r="EE320">
            <v>18.863823568486779</v>
          </cell>
          <cell r="EF320">
            <v>18.813833311249503</v>
          </cell>
          <cell r="EG320">
            <v>20.228670304805004</v>
          </cell>
          <cell r="EH320">
            <v>21.320453031312457</v>
          </cell>
          <cell r="EI320">
            <v>21.743493927665821</v>
          </cell>
          <cell r="EJ320">
            <v>22.282847203639282</v>
          </cell>
          <cell r="EK320">
            <v>22.217449306296693</v>
          </cell>
          <cell r="EL320">
            <v>23.275579991953869</v>
          </cell>
          <cell r="EM320">
            <v>24.578714266541404</v>
          </cell>
          <cell r="EN320">
            <v>26.163553285848675</v>
          </cell>
          <cell r="EO320">
            <v>27.740516545601292</v>
          </cell>
          <cell r="EP320">
            <v>27.695809830781627</v>
          </cell>
          <cell r="EQ320">
            <v>29.70978597388612</v>
          </cell>
          <cell r="ER320">
            <v>32.059741657696449</v>
          </cell>
          <cell r="ES320">
            <v>34.067016552280982</v>
          </cell>
          <cell r="ET320">
            <v>36.744738297129281</v>
          </cell>
          <cell r="EU320">
            <v>36.757099441681902</v>
          </cell>
          <cell r="EV320">
            <v>39.775415385008344</v>
          </cell>
          <cell r="EW320">
            <v>42.858108633684367</v>
          </cell>
          <cell r="EX320">
            <v>45.944954223508432</v>
          </cell>
          <cell r="EY320">
            <v>49.31947476884045</v>
          </cell>
          <cell r="EZ320">
            <v>49.293299649165526</v>
          </cell>
          <cell r="FA320">
            <v>52.957753501666673</v>
          </cell>
          <cell r="FB320">
            <v>56.71560044033653</v>
          </cell>
          <cell r="FC320">
            <v>60.471954385786951</v>
          </cell>
          <cell r="FD320">
            <v>64.544308578975006</v>
          </cell>
          <cell r="FE320">
            <v>64.415380074905372</v>
          </cell>
        </row>
        <row r="321">
          <cell r="A321" t="str">
            <v>Additional Balance Sheet Items</v>
          </cell>
        </row>
        <row r="322">
          <cell r="B322" t="str">
            <v>Total repurchase authorization</v>
          </cell>
          <cell r="C322" t="str">
            <v>REPUR_TOT_AUTH</v>
          </cell>
          <cell r="D322" t="str">
            <v>USD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40000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26400</v>
          </cell>
          <cell r="EC322">
            <v>20650</v>
          </cell>
          <cell r="ED322">
            <v>14900</v>
          </cell>
          <cell r="EE322">
            <v>8700</v>
          </cell>
          <cell r="EF322">
            <v>8700</v>
          </cell>
          <cell r="EG322">
            <v>62533</v>
          </cell>
          <cell r="EH322">
            <v>56300</v>
          </cell>
          <cell r="EI322">
            <v>48500</v>
          </cell>
          <cell r="EJ322">
            <v>40700</v>
          </cell>
          <cell r="EK322">
            <v>40700</v>
          </cell>
          <cell r="EL322">
            <v>36100</v>
          </cell>
          <cell r="EM322">
            <v>31500</v>
          </cell>
          <cell r="EN322">
            <v>26900</v>
          </cell>
          <cell r="EO322">
            <v>22300</v>
          </cell>
          <cell r="EP322">
            <v>22300</v>
          </cell>
          <cell r="EQ322">
            <v>18740</v>
          </cell>
          <cell r="ER322">
            <v>15940</v>
          </cell>
          <cell r="ES322">
            <v>13140</v>
          </cell>
          <cell r="ET322">
            <v>10340</v>
          </cell>
          <cell r="EU322">
            <v>10340</v>
          </cell>
          <cell r="EV322">
            <v>5340</v>
          </cell>
          <cell r="EW322">
            <v>340</v>
          </cell>
          <cell r="EX322" t="str">
            <v>--</v>
          </cell>
          <cell r="EY322" t="str">
            <v>--</v>
          </cell>
          <cell r="EZ322" t="str">
            <v>--</v>
          </cell>
          <cell r="FA322" t="str">
            <v>--</v>
          </cell>
          <cell r="FB322" t="str">
            <v>--</v>
          </cell>
          <cell r="FC322" t="str">
            <v>--</v>
          </cell>
          <cell r="FD322" t="str">
            <v>--</v>
          </cell>
          <cell r="FE322" t="str">
            <v>--</v>
          </cell>
        </row>
        <row r="323">
          <cell r="B323" t="str">
            <v>Remaining repurchase authorization</v>
          </cell>
          <cell r="C323" t="str">
            <v>REPUR_REMAINING</v>
          </cell>
          <cell r="D323" t="str">
            <v>USD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40000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26400</v>
          </cell>
          <cell r="EC323">
            <v>20650</v>
          </cell>
          <cell r="ED323">
            <v>14900</v>
          </cell>
          <cell r="EE323">
            <v>8700</v>
          </cell>
          <cell r="EF323">
            <v>8700</v>
          </cell>
          <cell r="EG323">
            <v>62533</v>
          </cell>
          <cell r="EH323">
            <v>56300</v>
          </cell>
          <cell r="EI323">
            <v>48500</v>
          </cell>
          <cell r="EJ323">
            <v>40700</v>
          </cell>
          <cell r="EK323">
            <v>40700</v>
          </cell>
          <cell r="EL323">
            <v>36100</v>
          </cell>
          <cell r="EM323">
            <v>31500</v>
          </cell>
          <cell r="EN323">
            <v>26900</v>
          </cell>
          <cell r="EO323">
            <v>22300</v>
          </cell>
          <cell r="EP323">
            <v>22300</v>
          </cell>
          <cell r="EQ323">
            <v>18740</v>
          </cell>
          <cell r="ER323">
            <v>15940</v>
          </cell>
          <cell r="ES323">
            <v>13140</v>
          </cell>
          <cell r="ET323">
            <v>10340</v>
          </cell>
          <cell r="EU323">
            <v>10340</v>
          </cell>
          <cell r="EV323">
            <v>5340</v>
          </cell>
          <cell r="EW323">
            <v>340</v>
          </cell>
          <cell r="EX323" t="str">
            <v>--</v>
          </cell>
          <cell r="EY323" t="str">
            <v>--</v>
          </cell>
          <cell r="EZ323" t="str">
            <v>--</v>
          </cell>
          <cell r="FA323" t="str">
            <v>--</v>
          </cell>
          <cell r="FB323" t="str">
            <v>--</v>
          </cell>
          <cell r="FC323" t="str">
            <v>--</v>
          </cell>
          <cell r="FD323" t="str">
            <v>--</v>
          </cell>
          <cell r="FE323" t="str">
            <v>--</v>
          </cell>
        </row>
        <row r="324">
          <cell r="B324" t="str">
            <v>Suspended repurchase authorization</v>
          </cell>
          <cell r="C324" t="str">
            <v>REPUR_SUSPENDED</v>
          </cell>
          <cell r="D324" t="str">
            <v>USD</v>
          </cell>
        </row>
        <row r="325">
          <cell r="B325" t="str">
            <v>Shares repurchased during period</v>
          </cell>
          <cell r="C325" t="str">
            <v>REPUR_ACTUAL</v>
          </cell>
          <cell r="D325" t="str">
            <v>USD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32.182293068880455</v>
          </cell>
          <cell r="EG325">
            <v>30.442318954782607</v>
          </cell>
          <cell r="EH325">
            <v>29.91321604173913</v>
          </cell>
          <cell r="EI325">
            <v>28.329601935645158</v>
          </cell>
          <cell r="EJ325">
            <v>120.86743000104735</v>
          </cell>
          <cell r="EK325">
            <v>26.426345563225805</v>
          </cell>
          <cell r="EL325">
            <v>22.98256529712819</v>
          </cell>
          <cell r="EM325">
            <v>29.472874645641024</v>
          </cell>
          <cell r="EN325">
            <v>32.297085764999999</v>
          </cell>
          <cell r="EO325">
            <v>111.17887127099502</v>
          </cell>
          <cell r="EP325">
            <v>20.950784858695656</v>
          </cell>
          <cell r="EQ325">
            <v>22.802244186739131</v>
          </cell>
          <cell r="ER325">
            <v>21.774526093478261</v>
          </cell>
          <cell r="ES325">
            <v>18.323794960000001</v>
          </cell>
          <cell r="ET325">
            <v>83.851350098913045</v>
          </cell>
          <cell r="EU325">
            <v>14.539931265168541</v>
          </cell>
          <cell r="EV325">
            <v>10.871347142857143</v>
          </cell>
          <cell r="EW325">
            <v>10.436916057857143</v>
          </cell>
          <cell r="EX325">
            <v>12.754478359264496</v>
          </cell>
          <cell r="EY325">
            <v>48.602672825147323</v>
          </cell>
          <cell r="EZ325">
            <v>17.970894870250813</v>
          </cell>
          <cell r="FA325">
            <v>17.792965218070112</v>
          </cell>
          <cell r="FB325">
            <v>17.616797245613974</v>
          </cell>
          <cell r="FC325">
            <v>17.442373510508883</v>
          </cell>
          <cell r="FD325">
            <v>70.823030844443778</v>
          </cell>
          <cell r="FE325">
            <v>17.269676743078101</v>
          </cell>
        </row>
        <row r="326">
          <cell r="A326" t="str">
            <v>Cash Flow Statement</v>
          </cell>
        </row>
        <row r="327">
          <cell r="B327" t="str">
            <v>Net income (pre-preferred dividends)</v>
          </cell>
          <cell r="C327" t="str">
            <v>CF_NI_PRE_PREF</v>
          </cell>
          <cell r="D327" t="str">
            <v>USD</v>
          </cell>
          <cell r="F327">
            <v>1453</v>
          </cell>
          <cell r="G327">
            <v>499</v>
          </cell>
          <cell r="H327">
            <v>575</v>
          </cell>
          <cell r="I327">
            <v>562</v>
          </cell>
          <cell r="J327">
            <v>559</v>
          </cell>
          <cell r="K327">
            <v>2195</v>
          </cell>
          <cell r="L327">
            <v>614</v>
          </cell>
          <cell r="M327">
            <v>741</v>
          </cell>
          <cell r="N327">
            <v>1042</v>
          </cell>
          <cell r="O327">
            <v>1057</v>
          </cell>
          <cell r="P327">
            <v>3454</v>
          </cell>
          <cell r="Q327">
            <v>663</v>
          </cell>
          <cell r="R327">
            <v>1133</v>
          </cell>
          <cell r="S327">
            <v>1337</v>
          </cell>
          <cell r="T327">
            <v>1357</v>
          </cell>
          <cell r="U327">
            <v>4490</v>
          </cell>
          <cell r="V327">
            <v>1683</v>
          </cell>
          <cell r="W327">
            <v>1983</v>
          </cell>
          <cell r="X327">
            <v>1917</v>
          </cell>
          <cell r="Y327">
            <v>2202</v>
          </cell>
          <cell r="Z327">
            <v>7785</v>
          </cell>
          <cell r="AA327">
            <v>2191</v>
          </cell>
          <cell r="AB327">
            <v>2436</v>
          </cell>
          <cell r="AC327">
            <v>2385</v>
          </cell>
          <cell r="AD327">
            <v>2409</v>
          </cell>
          <cell r="AE327">
            <v>9421</v>
          </cell>
          <cell r="AF327">
            <v>2206</v>
          </cell>
          <cell r="AG327">
            <v>2624</v>
          </cell>
          <cell r="AH327">
            <v>2451</v>
          </cell>
          <cell r="AI327">
            <v>65</v>
          </cell>
          <cell r="AJ327">
            <v>7346</v>
          </cell>
          <cell r="AK327">
            <v>1283</v>
          </cell>
          <cell r="AL327">
            <v>2283</v>
          </cell>
          <cell r="AM327">
            <v>2738</v>
          </cell>
          <cell r="AN327">
            <v>1525</v>
          </cell>
          <cell r="AO327">
            <v>7829</v>
          </cell>
          <cell r="AP327">
            <v>2041</v>
          </cell>
          <cell r="AQ327">
            <v>1865</v>
          </cell>
          <cell r="AR327">
            <v>2142</v>
          </cell>
          <cell r="AS327">
            <v>1483</v>
          </cell>
          <cell r="AT327">
            <v>7531</v>
          </cell>
          <cell r="AU327">
            <v>2614</v>
          </cell>
          <cell r="AV327">
            <v>1549</v>
          </cell>
          <cell r="AW327">
            <v>1315</v>
          </cell>
          <cell r="AX327">
            <v>2690</v>
          </cell>
          <cell r="AY327">
            <v>8168</v>
          </cell>
          <cell r="AZ327">
            <v>2528</v>
          </cell>
          <cell r="BA327">
            <v>3463</v>
          </cell>
          <cell r="BB327">
            <v>2563</v>
          </cell>
          <cell r="BC327">
            <v>3700</v>
          </cell>
          <cell r="BD327">
            <v>12254</v>
          </cell>
          <cell r="BE327">
            <v>3141</v>
          </cell>
          <cell r="BF327">
            <v>3653</v>
          </cell>
          <cell r="BG327">
            <v>2977</v>
          </cell>
          <cell r="BH327">
            <v>2828</v>
          </cell>
          <cell r="BI327">
            <v>12599</v>
          </cell>
          <cell r="BJ327">
            <v>3478</v>
          </cell>
          <cell r="BK327">
            <v>2626</v>
          </cell>
          <cell r="BL327">
            <v>4926</v>
          </cell>
          <cell r="BM327">
            <v>3035</v>
          </cell>
          <cell r="BN327">
            <v>14065</v>
          </cell>
          <cell r="BO327">
            <v>4289</v>
          </cell>
          <cell r="BP327">
            <v>4707</v>
          </cell>
          <cell r="BQ327">
            <v>4388</v>
          </cell>
          <cell r="BR327">
            <v>4297</v>
          </cell>
          <cell r="BS327">
            <v>17681</v>
          </cell>
          <cell r="BT327">
            <v>4373</v>
          </cell>
          <cell r="BU327">
            <v>4174</v>
          </cell>
          <cell r="BV327">
            <v>2977</v>
          </cell>
          <cell r="BW327">
            <v>3045</v>
          </cell>
          <cell r="BX327">
            <v>14569</v>
          </cell>
          <cell r="BY327">
            <v>3574</v>
          </cell>
          <cell r="BZ327">
            <v>6662</v>
          </cell>
          <cell r="CA327">
            <v>4006</v>
          </cell>
          <cell r="CB327">
            <v>4518</v>
          </cell>
          <cell r="CC327">
            <v>18760</v>
          </cell>
          <cell r="CD327">
            <v>5410</v>
          </cell>
          <cell r="CE327">
            <v>6634</v>
          </cell>
          <cell r="CF327">
            <v>5232</v>
          </cell>
          <cell r="CG327">
            <v>5874</v>
          </cell>
          <cell r="CH327">
            <v>23150</v>
          </cell>
          <cell r="CI327">
            <v>5738</v>
          </cell>
          <cell r="CJ327">
            <v>6624</v>
          </cell>
          <cell r="CK327">
            <v>5108</v>
          </cell>
          <cell r="CL327">
            <v>-492</v>
          </cell>
          <cell r="CM327">
            <v>16978</v>
          </cell>
          <cell r="CN327">
            <v>4466</v>
          </cell>
          <cell r="CO327">
            <v>6377</v>
          </cell>
          <cell r="CP327">
            <v>6055</v>
          </cell>
          <cell r="CQ327">
            <v>4965</v>
          </cell>
          <cell r="CR327">
            <v>21863</v>
          </cell>
          <cell r="CS327">
            <v>5244</v>
          </cell>
          <cell r="CT327">
            <v>6558</v>
          </cell>
          <cell r="CU327">
            <v>5660</v>
          </cell>
          <cell r="CV327">
            <v>4612</v>
          </cell>
          <cell r="CW327">
            <v>22074</v>
          </cell>
          <cell r="CX327">
            <v>4540</v>
          </cell>
          <cell r="CY327">
            <v>5863</v>
          </cell>
          <cell r="CZ327">
            <v>4985</v>
          </cell>
          <cell r="DA327">
            <v>-3195</v>
          </cell>
          <cell r="DB327">
            <v>12193</v>
          </cell>
          <cell r="DC327">
            <v>4620</v>
          </cell>
          <cell r="DD327">
            <v>4998</v>
          </cell>
          <cell r="DE327">
            <v>3756</v>
          </cell>
          <cell r="DF327">
            <v>3122</v>
          </cell>
          <cell r="DG327">
            <v>16496</v>
          </cell>
          <cell r="DH327">
            <v>5667</v>
          </cell>
          <cell r="DI327">
            <v>6267</v>
          </cell>
          <cell r="DJ327">
            <v>5486</v>
          </cell>
          <cell r="DK327">
            <v>8069</v>
          </cell>
          <cell r="DL327">
            <v>25489</v>
          </cell>
          <cell r="DM327">
            <v>6576</v>
          </cell>
          <cell r="DN327">
            <v>-6302</v>
          </cell>
          <cell r="DO327">
            <v>7424</v>
          </cell>
          <cell r="DP327">
            <v>8873</v>
          </cell>
          <cell r="DQ327">
            <v>16571</v>
          </cell>
          <cell r="DR327">
            <v>8824</v>
          </cell>
          <cell r="DS327">
            <v>8420</v>
          </cell>
          <cell r="DT327">
            <v>8809</v>
          </cell>
          <cell r="DU327">
            <v>13187</v>
          </cell>
          <cell r="DV327">
            <v>39240</v>
          </cell>
          <cell r="DW327">
            <v>10678</v>
          </cell>
          <cell r="DX327">
            <v>11649</v>
          </cell>
          <cell r="DY327">
            <v>10752</v>
          </cell>
          <cell r="DZ327">
            <v>11202</v>
          </cell>
          <cell r="EA327">
            <v>44281</v>
          </cell>
          <cell r="EB327">
            <v>13893</v>
          </cell>
          <cell r="EC327">
            <v>15463</v>
          </cell>
          <cell r="ED327">
            <v>15457</v>
          </cell>
          <cell r="EE327">
            <v>16458</v>
          </cell>
          <cell r="EF327">
            <v>61271</v>
          </cell>
          <cell r="EG327">
            <v>20505</v>
          </cell>
          <cell r="EH327">
            <v>18765</v>
          </cell>
          <cell r="EI327">
            <v>16728</v>
          </cell>
          <cell r="EJ327">
            <v>16740</v>
          </cell>
          <cell r="EK327">
            <v>72738</v>
          </cell>
          <cell r="EL327">
            <v>17556</v>
          </cell>
          <cell r="EM327">
            <v>16425</v>
          </cell>
          <cell r="EN327">
            <v>18299</v>
          </cell>
          <cell r="EO327">
            <v>20081</v>
          </cell>
          <cell r="EP327">
            <v>72361</v>
          </cell>
          <cell r="EQ327">
            <v>22291</v>
          </cell>
          <cell r="ER327">
            <v>21870</v>
          </cell>
          <cell r="ES327">
            <v>21939</v>
          </cell>
          <cell r="ET327">
            <v>22656.296310360609</v>
          </cell>
          <cell r="EU327">
            <v>88756.296310360602</v>
          </cell>
          <cell r="EV327">
            <v>24915.128417862026</v>
          </cell>
          <cell r="EW327">
            <v>25988.829439035107</v>
          </cell>
          <cell r="EX327">
            <v>25845.687676435162</v>
          </cell>
          <cell r="EY327">
            <v>27580.365395134035</v>
          </cell>
          <cell r="EZ327">
            <v>104330.01092846633</v>
          </cell>
          <cell r="FA327">
            <v>29358.527921110952</v>
          </cell>
          <cell r="FB327">
            <v>30614.777964250032</v>
          </cell>
          <cell r="FC327">
            <v>30518.036171532171</v>
          </cell>
          <cell r="FD327">
            <v>32615.81309362821</v>
          </cell>
          <cell r="FE327">
            <v>123107.15515052137</v>
          </cell>
        </row>
        <row r="328">
          <cell r="A328" t="str">
            <v>Other Items</v>
          </cell>
        </row>
        <row r="329">
          <cell r="B329" t="str">
            <v>Beta</v>
          </cell>
          <cell r="C329" t="str">
            <v>BETA_ANALYST</v>
          </cell>
        </row>
        <row r="330">
          <cell r="B330" t="str">
            <v>Market equity risk premium</v>
          </cell>
          <cell r="C330" t="str">
            <v>MKT_EQ_RISK_PREM</v>
          </cell>
        </row>
        <row r="331">
          <cell r="B331" t="str">
            <v>Risk-free rate</v>
          </cell>
          <cell r="C331" t="str">
            <v>RISK_FR_RATE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Snowflak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heme1" id="{D1233A39-9AD9-47C9-BEBE-2F551C6B84DF}" vid="{28AC53CD-3E14-4604-A975-12AF4D3C8CAE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9FC39B-065A-44D7-A571-DF9D4FE88FD1}">
  <we:reference id="49825c50-e8d8-4c4a-9a2c-e6f24181e018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shad.patwardhan@gs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matt.martino@gs.com" TargetMode="External"/><Relationship Id="rId1" Type="http://schemas.openxmlformats.org/officeDocument/2006/relationships/hyperlink" Target="mailto:heather.bellini@gs.com" TargetMode="External"/><Relationship Id="rId6" Type="http://schemas.openxmlformats.org/officeDocument/2006/relationships/customProperty" Target="../customProperty2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selina.zhang@g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7.bin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0.bin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2.bin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2.75"/>
  <sheetData>
    <row r="1" spans="1:2">
      <c r="B1" t="s">
        <v>151</v>
      </c>
    </row>
    <row r="2" spans="1:2"/>
    <row r="3" spans="1:2"/>
    <row r="4" spans="1:2"/>
    <row r="5" spans="1:2"/>
    <row r="6" spans="1:2"/>
  </sheetData>
  <pageMargins left="0.7" right="0.7" top="0.75" bottom="0.75" header="0.3" footer="0.3"/>
  <pageSetup orientation="portrait" r:id="rId1"/>
  <customProperties>
    <customPr name="Qube.Worksheet.Visibility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K21"/>
  <sheetViews>
    <sheetView showGridLines="0" tabSelected="1" zoomScaleNormal="100" workbookViewId="0"/>
  </sheetViews>
  <sheetFormatPr defaultColWidth="9.28515625" defaultRowHeight="14.25" customHeight="1"/>
  <cols>
    <col min="1" max="1" width="3.7109375" style="136" customWidth="1"/>
    <col min="2" max="16384" width="9.28515625" style="136"/>
  </cols>
  <sheetData>
    <row r="1" spans="1:11" ht="14.25" customHeight="1">
      <c r="A1" s="136" t="s">
        <v>12</v>
      </c>
    </row>
    <row r="2" spans="1:11" ht="14.25" customHeight="1">
      <c r="C2" s="357" t="s">
        <v>447</v>
      </c>
    </row>
    <row r="3" spans="1:11" ht="14.25" customHeight="1">
      <c r="C3" s="357" t="s">
        <v>448</v>
      </c>
      <c r="D3" s="226" t="s">
        <v>128</v>
      </c>
    </row>
    <row r="4" spans="1:11" ht="14.25" customHeight="1">
      <c r="C4" s="969" t="s">
        <v>449</v>
      </c>
      <c r="D4" s="970">
        <f ca="1">TODAY()</f>
        <v>45995</v>
      </c>
    </row>
    <row r="6" spans="1:11" ht="14.25" customHeight="1">
      <c r="B6" s="226" t="s">
        <v>153</v>
      </c>
    </row>
    <row r="7" spans="1:11" ht="14.25" customHeight="1">
      <c r="B7" s="136" t="s">
        <v>154</v>
      </c>
    </row>
    <row r="8" spans="1:11" ht="14.25" customHeight="1">
      <c r="B8" s="967" t="s">
        <v>155</v>
      </c>
    </row>
    <row r="9" spans="1:11" ht="14.25" customHeight="1">
      <c r="B9" s="967"/>
    </row>
    <row r="10" spans="1:11" ht="14.25" customHeight="1">
      <c r="B10" s="136" t="s">
        <v>164</v>
      </c>
    </row>
    <row r="11" spans="1:11" ht="14.25" customHeight="1">
      <c r="B11" s="136" t="s">
        <v>166</v>
      </c>
    </row>
    <row r="12" spans="1:11" ht="14.25" customHeight="1">
      <c r="B12" s="968" t="s">
        <v>165</v>
      </c>
    </row>
    <row r="13" spans="1:11" ht="14.25" customHeight="1">
      <c r="B13" s="967"/>
    </row>
    <row r="14" spans="1:11" ht="14.25" customHeight="1">
      <c r="B14" s="971" t="s">
        <v>453</v>
      </c>
    </row>
    <row r="15" spans="1:11" ht="14.25" customHeight="1">
      <c r="B15" s="971" t="s">
        <v>454</v>
      </c>
      <c r="J15" s="1411"/>
      <c r="K15" s="1411"/>
    </row>
    <row r="16" spans="1:11" ht="14.25" customHeight="1">
      <c r="B16" s="973" t="s">
        <v>455</v>
      </c>
    </row>
    <row r="18" spans="2:2" ht="14.25" customHeight="1">
      <c r="B18" s="971" t="s">
        <v>450</v>
      </c>
    </row>
    <row r="19" spans="2:2" ht="14.25" customHeight="1">
      <c r="B19" s="381" t="s">
        <v>451</v>
      </c>
    </row>
    <row r="20" spans="2:2" ht="14.25" customHeight="1">
      <c r="B20" s="972" t="s">
        <v>452</v>
      </c>
    </row>
    <row r="21" spans="2:2" ht="14.25" customHeight="1">
      <c r="B21" s="971"/>
    </row>
  </sheetData>
  <hyperlinks>
    <hyperlink ref="B8" r:id="rId1" display="heather.bellini@gs.com" xr:uid="{00000000-0004-0000-0100-000001000000}"/>
    <hyperlink ref="B12" r:id="rId2" xr:uid="{40579D89-80B5-4E65-9623-3B1072154E30}"/>
    <hyperlink ref="B20" r:id="rId3" xr:uid="{A52C2166-EBE5-4799-93EC-4B5B6C7C806D}"/>
    <hyperlink ref="B16" r:id="rId4" xr:uid="{6BDC5D88-653E-4B65-A7D6-8A65A128840E}"/>
  </hyperlinks>
  <pageMargins left="0.7" right="0.7" top="0.75" bottom="0.75" header="0.3" footer="0.3"/>
  <pageSetup scale="58" orientation="portrait" r:id="rId5"/>
  <customProperties>
    <customPr name="Qube.Worksheet.Visibility" r:id="rId6"/>
  </customPropertie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BO222"/>
  <sheetViews>
    <sheetView showGridLines="0" zoomScaleNormal="10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2.75" outlineLevelRow="1" outlineLevelCol="1"/>
  <cols>
    <col min="1" max="1" width="4.7109375" customWidth="1"/>
    <col min="2" max="2" width="43.42578125" customWidth="1"/>
    <col min="3" max="11" width="9.140625" hidden="1" customWidth="1" outlineLevel="1"/>
    <col min="12" max="12" width="9.140625" collapsed="1"/>
    <col min="13" max="16" width="9.140625" hidden="1" customWidth="1" outlineLevel="1"/>
    <col min="17" max="17" width="9.140625" collapsed="1"/>
    <col min="18" max="21" width="9.140625" hidden="1" customWidth="1" outlineLevel="1"/>
    <col min="22" max="22" width="9.140625" collapsed="1"/>
    <col min="23" max="26" width="9.140625" hidden="1" customWidth="1" outlineLevel="1"/>
    <col min="27" max="27" width="9.140625" collapsed="1"/>
    <col min="28" max="28" width="8.28515625" hidden="1" customWidth="1" outlineLevel="1"/>
    <col min="29" max="31" width="9.140625" hidden="1" customWidth="1" outlineLevel="1"/>
    <col min="32" max="32" width="9.140625" collapsed="1"/>
    <col min="33" max="36" width="9.140625" hidden="1" customWidth="1" outlineLevel="1"/>
    <col min="37" max="37" width="9.140625" customWidth="1" collapsed="1"/>
    <col min="38" max="41" width="9.140625" hidden="1" customWidth="1" outlineLevel="1"/>
    <col min="42" max="42" width="9.140625" customWidth="1" collapsed="1"/>
    <col min="43" max="46" width="9.140625" customWidth="1" outlineLevel="1"/>
    <col min="47" max="47" width="9.140625" customWidth="1"/>
    <col min="48" max="51" width="9.140625" customWidth="1" outlineLevel="1"/>
    <col min="52" max="52" width="9.140625" customWidth="1"/>
    <col min="53" max="56" width="9.140625" customWidth="1" outlineLevel="1"/>
    <col min="57" max="57" width="9.140625" customWidth="1"/>
    <col min="58" max="61" width="9.140625" hidden="1" customWidth="1" outlineLevel="1"/>
    <col min="62" max="62" width="9.140625" collapsed="1"/>
    <col min="63" max="66" width="9.140625" hidden="1" customWidth="1" outlineLevel="1"/>
    <col min="67" max="67" width="9.140625" collapsed="1"/>
  </cols>
  <sheetData>
    <row r="1" spans="1:67">
      <c r="A1" s="57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67">
      <c r="A2" s="57"/>
      <c r="B2" s="59" t="s">
        <v>29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AN2" s="90"/>
      <c r="AR2" s="963"/>
      <c r="AS2" s="963"/>
      <c r="AT2" s="963"/>
      <c r="AU2" s="963"/>
      <c r="AV2" s="963"/>
      <c r="AW2" s="963"/>
      <c r="AX2" s="963"/>
      <c r="AY2" s="963"/>
      <c r="AZ2" s="963"/>
      <c r="BJ2" s="90"/>
      <c r="BO2" s="90"/>
    </row>
    <row r="3" spans="1:67">
      <c r="A3" s="57"/>
      <c r="B3" s="59" t="s">
        <v>34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S3" s="126"/>
      <c r="X3" s="126"/>
      <c r="AG3" s="90"/>
      <c r="AH3" s="90"/>
      <c r="AI3" s="84"/>
      <c r="AK3" s="90"/>
      <c r="AL3" s="125"/>
      <c r="AM3" s="237"/>
      <c r="AN3" s="237"/>
      <c r="AO3" s="237"/>
      <c r="AP3" s="282"/>
      <c r="AQ3" s="125"/>
      <c r="AS3" s="84"/>
      <c r="AU3" s="137"/>
      <c r="BJ3" s="84"/>
      <c r="BO3" s="84"/>
    </row>
    <row r="4" spans="1:67">
      <c r="A4" s="57"/>
      <c r="B4" s="59" t="s">
        <v>30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S4" s="90"/>
      <c r="T4" s="116"/>
      <c r="U4" s="116"/>
      <c r="W4" s="90"/>
      <c r="X4" s="90"/>
      <c r="Y4" s="116"/>
      <c r="Z4" s="116"/>
      <c r="AB4" s="137"/>
      <c r="AC4" s="116"/>
      <c r="AD4" s="116"/>
      <c r="AE4" s="116"/>
      <c r="AH4" s="150"/>
      <c r="AI4" s="125"/>
      <c r="AJ4" s="280"/>
      <c r="AK4" s="280"/>
      <c r="AL4" s="90"/>
      <c r="AN4" s="150"/>
      <c r="AO4" s="150"/>
      <c r="AP4" s="150"/>
      <c r="AQ4" s="90"/>
      <c r="AU4" s="125"/>
      <c r="AZ4" s="84"/>
      <c r="BE4" s="84"/>
      <c r="BJ4" s="84"/>
      <c r="BO4" s="84"/>
    </row>
    <row r="5" spans="1:67">
      <c r="A5" s="57"/>
      <c r="B5" s="59" t="s">
        <v>28</v>
      </c>
      <c r="C5" s="58"/>
      <c r="D5" s="58"/>
      <c r="E5" s="58"/>
      <c r="F5" s="58"/>
      <c r="G5" s="58"/>
      <c r="H5" s="58"/>
      <c r="I5" s="58"/>
      <c r="J5" s="58"/>
      <c r="K5" s="98"/>
      <c r="L5" s="58"/>
      <c r="M5" s="58"/>
      <c r="N5" s="58"/>
      <c r="O5" s="58"/>
      <c r="P5" s="98"/>
      <c r="Q5" s="58"/>
      <c r="U5" s="98"/>
      <c r="Z5" s="98"/>
      <c r="AB5" s="138"/>
      <c r="AE5" s="98"/>
      <c r="AF5" s="76"/>
      <c r="AH5" s="150"/>
      <c r="AJ5" s="125"/>
      <c r="AK5" s="125"/>
      <c r="AL5" s="88"/>
      <c r="AM5" s="150"/>
      <c r="AN5" s="1406"/>
      <c r="AO5" s="961"/>
      <c r="AP5" s="960"/>
      <c r="AQ5" s="1388"/>
      <c r="AU5" s="1250"/>
      <c r="AV5" s="278"/>
      <c r="AY5" s="961"/>
      <c r="AZ5" s="84"/>
      <c r="BA5" s="956"/>
      <c r="BD5" s="961"/>
      <c r="BE5" s="962"/>
      <c r="BF5" s="956"/>
      <c r="BJ5" s="90"/>
      <c r="BK5" s="956"/>
      <c r="BO5" s="90"/>
    </row>
    <row r="6" spans="1:67">
      <c r="A6" s="57"/>
      <c r="B6" s="58"/>
      <c r="C6" s="58"/>
      <c r="D6" s="58"/>
      <c r="E6" s="58"/>
      <c r="F6" s="58"/>
      <c r="G6" s="58"/>
      <c r="H6" s="58"/>
      <c r="I6" s="58"/>
      <c r="J6" s="58"/>
      <c r="K6" s="150"/>
      <c r="L6" s="58"/>
      <c r="M6" s="58"/>
      <c r="N6" s="58"/>
      <c r="O6" s="58"/>
      <c r="P6" s="150"/>
      <c r="Q6" s="58"/>
      <c r="U6" s="150"/>
      <c r="Z6" s="150"/>
      <c r="AE6" s="150"/>
      <c r="AF6" s="137"/>
      <c r="AJ6" s="125"/>
      <c r="AK6" s="150"/>
      <c r="AL6" s="88"/>
      <c r="AM6" s="150"/>
      <c r="AN6" s="150"/>
      <c r="AO6" s="150"/>
      <c r="AP6" s="150"/>
      <c r="AQ6" s="1388"/>
      <c r="AT6" s="150"/>
      <c r="AU6" s="88"/>
      <c r="AY6" s="150"/>
      <c r="AZ6" s="88"/>
      <c r="BD6" s="229"/>
      <c r="BE6" s="88"/>
      <c r="BJ6" s="88"/>
      <c r="BO6" s="88"/>
    </row>
    <row r="7" spans="1:67" ht="15" customHeight="1">
      <c r="A7" s="57"/>
      <c r="B7" s="58"/>
      <c r="C7" s="60" t="str">
        <f>Dates!M3</f>
        <v>2018 (A)</v>
      </c>
      <c r="D7" s="61"/>
      <c r="E7" s="61"/>
      <c r="F7" s="61"/>
      <c r="G7" s="61" t="s">
        <v>12</v>
      </c>
      <c r="H7" s="60" t="str">
        <f>Dates!R3</f>
        <v>2019 (A)</v>
      </c>
      <c r="I7" s="61"/>
      <c r="J7" s="61"/>
      <c r="K7" s="61"/>
      <c r="L7" s="61" t="s">
        <v>12</v>
      </c>
      <c r="M7" s="60" t="str">
        <f>Dates!W3</f>
        <v>2020 (A)</v>
      </c>
      <c r="N7" s="61"/>
      <c r="O7" s="61"/>
      <c r="P7" s="61"/>
      <c r="Q7" s="61" t="s">
        <v>12</v>
      </c>
      <c r="R7" s="60" t="str">
        <f>Dates!AB3</f>
        <v>2021 (A)</v>
      </c>
      <c r="S7" s="61"/>
      <c r="T7" s="61"/>
      <c r="U7" s="61"/>
      <c r="V7" s="61" t="s">
        <v>12</v>
      </c>
      <c r="W7" s="60" t="str">
        <f>Dates!AG3</f>
        <v>2022 (A)</v>
      </c>
      <c r="X7" s="61"/>
      <c r="Y7" s="61"/>
      <c r="Z7" s="61"/>
      <c r="AA7" s="61" t="s">
        <v>12</v>
      </c>
      <c r="AB7" s="60" t="str">
        <f>Dates!AL3</f>
        <v>2023 (A)</v>
      </c>
      <c r="AC7" s="61"/>
      <c r="AD7" s="61"/>
      <c r="AE7" s="61"/>
      <c r="AF7" s="61" t="s">
        <v>12</v>
      </c>
      <c r="AG7" s="60" t="str">
        <f>Dates!AQ3</f>
        <v>2024 (A)</v>
      </c>
      <c r="AH7" s="61"/>
      <c r="AI7" s="61"/>
      <c r="AJ7" s="61"/>
      <c r="AK7" s="946"/>
      <c r="AL7" s="60" t="str">
        <f>Dates!AV3</f>
        <v>2025 (A)</v>
      </c>
      <c r="AM7" s="61"/>
      <c r="AN7" s="61"/>
      <c r="AO7" s="61"/>
      <c r="AP7" s="946"/>
      <c r="AQ7" s="60" t="str">
        <f>Dates!BA3</f>
        <v>2026 (E)</v>
      </c>
      <c r="AR7" s="61"/>
      <c r="AS7" s="61"/>
      <c r="AT7" s="61"/>
      <c r="AU7" s="946"/>
      <c r="AV7" s="60" t="str">
        <f>Dates!BF3</f>
        <v>2027 (E)</v>
      </c>
      <c r="AW7" s="61"/>
      <c r="AX7" s="61"/>
      <c r="AY7" s="61"/>
      <c r="AZ7" s="946"/>
      <c r="BA7" s="60" t="str">
        <f>Dates!BK3</f>
        <v>2028 (E)</v>
      </c>
      <c r="BB7" s="61"/>
      <c r="BC7" s="61"/>
      <c r="BD7" s="61"/>
      <c r="BE7" s="946"/>
      <c r="BF7" s="60" t="str">
        <f>Dates!BP3</f>
        <v>2029 (E)</v>
      </c>
      <c r="BG7" s="61"/>
      <c r="BH7" s="61"/>
      <c r="BI7" s="61"/>
      <c r="BJ7" s="946"/>
      <c r="BK7" s="60" t="str">
        <f>Dates!BU3</f>
        <v>2030 (E)</v>
      </c>
      <c r="BL7" s="61"/>
      <c r="BM7" s="61"/>
      <c r="BN7" s="61"/>
      <c r="BO7" s="946"/>
    </row>
    <row r="8" spans="1:67">
      <c r="A8" s="57"/>
      <c r="B8" s="153"/>
      <c r="C8" s="62" t="str">
        <f>Dates!M4</f>
        <v>1Q18 (A)</v>
      </c>
      <c r="D8" s="62" t="str">
        <f>Dates!N4</f>
        <v>2Q18 (A)</v>
      </c>
      <c r="E8" s="62" t="str">
        <f>Dates!O4</f>
        <v>3Q18 (A)</v>
      </c>
      <c r="F8" s="62" t="str">
        <f>Dates!P4</f>
        <v>4Q18 (A)</v>
      </c>
      <c r="G8" s="66" t="str">
        <f>Dates!Q4</f>
        <v>FY18 (A)</v>
      </c>
      <c r="H8" s="62" t="str">
        <f>Dates!R4</f>
        <v>1Q19 (A)</v>
      </c>
      <c r="I8" s="62" t="str">
        <f>Dates!S4</f>
        <v>2Q19 (A)</v>
      </c>
      <c r="J8" s="62" t="str">
        <f>Dates!T4</f>
        <v>3Q19 (A)</v>
      </c>
      <c r="K8" s="62" t="str">
        <f>Dates!U4</f>
        <v>4Q19 (A)</v>
      </c>
      <c r="L8" s="66" t="str">
        <f>Dates!V4</f>
        <v>FY19 (A)</v>
      </c>
      <c r="M8" s="62" t="str">
        <f>Dates!W4</f>
        <v>1Q20 (A)</v>
      </c>
      <c r="N8" s="62" t="str">
        <f>Dates!X4</f>
        <v>2Q20 (A)</v>
      </c>
      <c r="O8" s="62" t="str">
        <f>Dates!Y4</f>
        <v>3Q20 (A)</v>
      </c>
      <c r="P8" s="62" t="str">
        <f>Dates!Z4</f>
        <v>4Q20 (A)</v>
      </c>
      <c r="Q8" s="66" t="str">
        <f>Dates!AA4</f>
        <v>FY20 (A)</v>
      </c>
      <c r="R8" s="62" t="str">
        <f>Dates!AB4</f>
        <v>1Q21 (A)</v>
      </c>
      <c r="S8" s="62" t="str">
        <f>Dates!AC4</f>
        <v>2Q21 (A)</v>
      </c>
      <c r="T8" s="62" t="str">
        <f>Dates!AD4</f>
        <v>3Q21 (A)</v>
      </c>
      <c r="U8" s="62" t="str">
        <f>Dates!AE4</f>
        <v>4Q21 (A)</v>
      </c>
      <c r="V8" s="66" t="str">
        <f>Dates!AF4</f>
        <v>FY21 (A)</v>
      </c>
      <c r="W8" s="62" t="str">
        <f>Dates!AG4</f>
        <v>1Q22 (A)</v>
      </c>
      <c r="X8" s="62" t="str">
        <f>Dates!AH4</f>
        <v>2Q22 (A)</v>
      </c>
      <c r="Y8" s="62" t="str">
        <f>Dates!AI4</f>
        <v>3Q22 (A)</v>
      </c>
      <c r="Z8" s="62" t="str">
        <f>Dates!AJ4</f>
        <v>4Q22 (A)</v>
      </c>
      <c r="AA8" s="66" t="str">
        <f>Dates!AK4</f>
        <v>FY22 (A)</v>
      </c>
      <c r="AB8" s="62" t="str">
        <f>Dates!AL4</f>
        <v>1Q23 (A)</v>
      </c>
      <c r="AC8" s="62" t="str">
        <f>Dates!AM4</f>
        <v>2Q23 (A)</v>
      </c>
      <c r="AD8" s="62" t="str">
        <f>Dates!AN4</f>
        <v>3Q23 (A)</v>
      </c>
      <c r="AE8" s="62" t="str">
        <f>Dates!AO4</f>
        <v>4Q23 (A)</v>
      </c>
      <c r="AF8" s="66" t="str">
        <f>Dates!AP4</f>
        <v>FY23 (A)</v>
      </c>
      <c r="AG8" s="62" t="str">
        <f>Dates!AQ4</f>
        <v>1Q24 (A)</v>
      </c>
      <c r="AH8" s="62" t="str">
        <f>Dates!AR4</f>
        <v>2Q24 (A)</v>
      </c>
      <c r="AI8" s="62" t="str">
        <f>Dates!AS4</f>
        <v>3Q24 (A)</v>
      </c>
      <c r="AJ8" s="62" t="str">
        <f>Dates!AT4</f>
        <v>4Q24 (A)</v>
      </c>
      <c r="AK8" s="66" t="str">
        <f>Dates!AU4</f>
        <v>FY24 (A)</v>
      </c>
      <c r="AL8" s="62" t="str">
        <f>Dates!AV4</f>
        <v>1Q25 (A)</v>
      </c>
      <c r="AM8" s="62" t="str">
        <f>Dates!AW4</f>
        <v>2Q25 (A)</v>
      </c>
      <c r="AN8" s="62" t="str">
        <f>Dates!AX4</f>
        <v>3Q25 (A)</v>
      </c>
      <c r="AO8" s="62" t="str">
        <f>Dates!AY4</f>
        <v>4Q25 (A)</v>
      </c>
      <c r="AP8" s="66" t="str">
        <f>Dates!AZ4</f>
        <v>FY25 (A)</v>
      </c>
      <c r="AQ8" s="62" t="str">
        <f>Dates!BA4</f>
        <v>1Q26 (A)</v>
      </c>
      <c r="AR8" s="62" t="str">
        <f>Dates!BB4</f>
        <v>2Q26 (A)</v>
      </c>
      <c r="AS8" s="62" t="str">
        <f>Dates!BC4</f>
        <v>3Q26 (A)</v>
      </c>
      <c r="AT8" s="62" t="str">
        <f>Dates!BD4</f>
        <v>4Q26 (E)</v>
      </c>
      <c r="AU8" s="66" t="str">
        <f>Dates!BE4</f>
        <v>FY26 (E)</v>
      </c>
      <c r="AV8" s="62" t="str">
        <f>Dates!BF4</f>
        <v>1Q27 (E)</v>
      </c>
      <c r="AW8" s="62" t="str">
        <f>Dates!BG4</f>
        <v>2Q27 (E)</v>
      </c>
      <c r="AX8" s="62" t="str">
        <f>Dates!BH4</f>
        <v>3Q27 (E)</v>
      </c>
      <c r="AY8" s="62" t="str">
        <f>Dates!BI4</f>
        <v>4Q27 (E)</v>
      </c>
      <c r="AZ8" s="66" t="str">
        <f>Dates!BJ4</f>
        <v>FY27 (E)</v>
      </c>
      <c r="BA8" s="62" t="str">
        <f>Dates!BK4</f>
        <v>1Q28 (E)</v>
      </c>
      <c r="BB8" s="62" t="str">
        <f>Dates!BL4</f>
        <v>2Q28 (E)</v>
      </c>
      <c r="BC8" s="62" t="str">
        <f>Dates!BM4</f>
        <v>3Q28 (E)</v>
      </c>
      <c r="BD8" s="62" t="str">
        <f>Dates!BN4</f>
        <v>4Q28 (E)</v>
      </c>
      <c r="BE8" s="66" t="str">
        <f>Dates!BO4</f>
        <v>FY28 (E)</v>
      </c>
      <c r="BF8" s="62" t="str">
        <f>Dates!BP4</f>
        <v>1Q29 (E)</v>
      </c>
      <c r="BG8" s="62" t="str">
        <f>Dates!BQ4</f>
        <v>2Q29 (E)</v>
      </c>
      <c r="BH8" s="62" t="str">
        <f>Dates!BR4</f>
        <v>3Q29 (E)</v>
      </c>
      <c r="BI8" s="62" t="str">
        <f>Dates!BS4</f>
        <v>4Q29 (E)</v>
      </c>
      <c r="BJ8" s="66" t="str">
        <f>Dates!BT4</f>
        <v>FY29 (E)</v>
      </c>
      <c r="BK8" s="62" t="str">
        <f>Dates!BU4</f>
        <v>1Q30 (E)</v>
      </c>
      <c r="BL8" s="62" t="str">
        <f>Dates!BV4</f>
        <v>2Q30 (E)</v>
      </c>
      <c r="BM8" s="62" t="str">
        <f>Dates!BW4</f>
        <v>3Q30 (E)</v>
      </c>
      <c r="BN8" s="62" t="str">
        <f>Dates!BX4</f>
        <v>4Q30 (E)</v>
      </c>
      <c r="BO8" s="66" t="str">
        <f>Dates!BY4</f>
        <v>FY30 (E)</v>
      </c>
    </row>
    <row r="9" spans="1:67">
      <c r="A9" s="57"/>
      <c r="B9" s="153"/>
      <c r="C9" s="63">
        <f>Dates!M5</f>
        <v>42855</v>
      </c>
      <c r="D9" s="63">
        <f>Dates!N5</f>
        <v>42947</v>
      </c>
      <c r="E9" s="63">
        <f>Dates!O5</f>
        <v>43039</v>
      </c>
      <c r="F9" s="63">
        <f>Dates!P5</f>
        <v>43131</v>
      </c>
      <c r="G9" s="67">
        <f>Dates!Q5</f>
        <v>43131</v>
      </c>
      <c r="H9" s="63">
        <f>Dates!R5</f>
        <v>43220</v>
      </c>
      <c r="I9" s="63">
        <f>Dates!S5</f>
        <v>43312</v>
      </c>
      <c r="J9" s="63">
        <f>Dates!T5</f>
        <v>43404</v>
      </c>
      <c r="K9" s="63">
        <f>Dates!U5</f>
        <v>43496</v>
      </c>
      <c r="L9" s="67">
        <f>Dates!V5</f>
        <v>43496</v>
      </c>
      <c r="M9" s="63">
        <f>Dates!W5</f>
        <v>43585</v>
      </c>
      <c r="N9" s="63">
        <f>Dates!X5</f>
        <v>43677</v>
      </c>
      <c r="O9" s="63">
        <f>Dates!Y5</f>
        <v>43769</v>
      </c>
      <c r="P9" s="63">
        <f>Dates!Z5</f>
        <v>43861</v>
      </c>
      <c r="Q9" s="67">
        <f>Dates!AA5</f>
        <v>43861</v>
      </c>
      <c r="R9" s="63">
        <f>Dates!AB5</f>
        <v>43951</v>
      </c>
      <c r="S9" s="63">
        <f>Dates!AC5</f>
        <v>44043</v>
      </c>
      <c r="T9" s="63">
        <f>Dates!AD5</f>
        <v>44135</v>
      </c>
      <c r="U9" s="63">
        <f>Dates!AE5</f>
        <v>44227</v>
      </c>
      <c r="V9" s="67">
        <f>Dates!AF5</f>
        <v>44227</v>
      </c>
      <c r="W9" s="63">
        <f>Dates!AG5</f>
        <v>44316</v>
      </c>
      <c r="X9" s="63">
        <f>Dates!AH5</f>
        <v>44408</v>
      </c>
      <c r="Y9" s="63">
        <f>Dates!AI5</f>
        <v>44500</v>
      </c>
      <c r="Z9" s="63">
        <f>Dates!AJ5</f>
        <v>44592</v>
      </c>
      <c r="AA9" s="67">
        <f>Dates!AK5</f>
        <v>44592</v>
      </c>
      <c r="AB9" s="63">
        <f>Dates!AL5</f>
        <v>44681</v>
      </c>
      <c r="AC9" s="63">
        <f>Dates!AM5</f>
        <v>44773</v>
      </c>
      <c r="AD9" s="63">
        <f>Dates!AN5</f>
        <v>44865</v>
      </c>
      <c r="AE9" s="63">
        <f>Dates!AO5</f>
        <v>44957</v>
      </c>
      <c r="AF9" s="67">
        <f>Dates!AP5</f>
        <v>44957</v>
      </c>
      <c r="AG9" s="63">
        <f>Dates!AQ5</f>
        <v>45046</v>
      </c>
      <c r="AH9" s="63">
        <f>Dates!AR5</f>
        <v>45138</v>
      </c>
      <c r="AI9" s="63">
        <f>Dates!AS5</f>
        <v>45230</v>
      </c>
      <c r="AJ9" s="63">
        <f>Dates!AT5</f>
        <v>45322</v>
      </c>
      <c r="AK9" s="67">
        <f>Dates!AU5</f>
        <v>45322</v>
      </c>
      <c r="AL9" s="63">
        <f>Dates!AV5</f>
        <v>45412</v>
      </c>
      <c r="AM9" s="63">
        <f>Dates!AW5</f>
        <v>45504</v>
      </c>
      <c r="AN9" s="63">
        <f>Dates!AX5</f>
        <v>45596</v>
      </c>
      <c r="AO9" s="63">
        <f>Dates!AY5</f>
        <v>45688</v>
      </c>
      <c r="AP9" s="67">
        <f>Dates!AZ5</f>
        <v>45688</v>
      </c>
      <c r="AQ9" s="63">
        <f>Dates!BA5</f>
        <v>45777</v>
      </c>
      <c r="AR9" s="63">
        <f>Dates!BB5</f>
        <v>45869</v>
      </c>
      <c r="AS9" s="63">
        <f>Dates!BC5</f>
        <v>45961</v>
      </c>
      <c r="AT9" s="63">
        <f>Dates!BD5</f>
        <v>46053</v>
      </c>
      <c r="AU9" s="67">
        <f>Dates!BE5</f>
        <v>46053</v>
      </c>
      <c r="AV9" s="63">
        <f>Dates!BF5</f>
        <v>46142</v>
      </c>
      <c r="AW9" s="63">
        <f>Dates!BG5</f>
        <v>46234</v>
      </c>
      <c r="AX9" s="63">
        <f>Dates!BH5</f>
        <v>46326</v>
      </c>
      <c r="AY9" s="63">
        <f>Dates!BI5</f>
        <v>46418</v>
      </c>
      <c r="AZ9" s="67">
        <f>Dates!BJ5</f>
        <v>46418</v>
      </c>
      <c r="BA9" s="63">
        <f>Dates!BK5</f>
        <v>46507</v>
      </c>
      <c r="BB9" s="63">
        <f>Dates!BL5</f>
        <v>46599</v>
      </c>
      <c r="BC9" s="63">
        <f>Dates!BM5</f>
        <v>46691</v>
      </c>
      <c r="BD9" s="63">
        <f>Dates!BN5</f>
        <v>46783</v>
      </c>
      <c r="BE9" s="67">
        <f>Dates!BO5</f>
        <v>46783</v>
      </c>
      <c r="BF9" s="63">
        <f>Dates!BP5</f>
        <v>46873</v>
      </c>
      <c r="BG9" s="63">
        <f>Dates!BQ5</f>
        <v>46965</v>
      </c>
      <c r="BH9" s="63">
        <f>Dates!BR5</f>
        <v>47057</v>
      </c>
      <c r="BI9" s="63">
        <f>Dates!BS5</f>
        <v>47149</v>
      </c>
      <c r="BJ9" s="67">
        <f>Dates!BT5</f>
        <v>47149</v>
      </c>
      <c r="BK9" s="63">
        <f>Dates!BU5</f>
        <v>47238</v>
      </c>
      <c r="BL9" s="63">
        <f>Dates!BV5</f>
        <v>47330</v>
      </c>
      <c r="BM9" s="63">
        <f>Dates!BW5</f>
        <v>47422</v>
      </c>
      <c r="BN9" s="63">
        <f>Dates!BX5</f>
        <v>47514</v>
      </c>
      <c r="BO9" s="67">
        <f>Dates!BY5</f>
        <v>47514</v>
      </c>
    </row>
    <row r="10" spans="1:67">
      <c r="B10" s="154"/>
      <c r="G10" s="68"/>
      <c r="L10" s="68"/>
      <c r="Q10" s="68"/>
      <c r="V10" s="68"/>
      <c r="X10" s="125"/>
      <c r="Y10" s="125"/>
      <c r="Z10" s="125"/>
      <c r="AA10" s="68"/>
      <c r="AF10" s="68"/>
      <c r="AK10" s="68"/>
      <c r="AP10" s="68"/>
      <c r="AU10" s="68"/>
      <c r="AZ10" s="68"/>
      <c r="BE10" s="68"/>
      <c r="BJ10" s="68"/>
      <c r="BO10" s="68"/>
    </row>
    <row r="11" spans="1:67" s="59" customFormat="1">
      <c r="A11" s="1169" t="s">
        <v>59</v>
      </c>
      <c r="B11" s="1170" t="s">
        <v>31</v>
      </c>
      <c r="C11" s="1171"/>
      <c r="D11" s="1171"/>
      <c r="E11" s="1171"/>
      <c r="F11" s="1171"/>
      <c r="G11" s="1172"/>
      <c r="H11" s="1173">
        <f t="shared" ref="H11:AM11" si="0">H15+H51</f>
        <v>13.403</v>
      </c>
      <c r="I11" s="1173">
        <f t="shared" si="0"/>
        <v>17.905000000000001</v>
      </c>
      <c r="J11" s="1173">
        <f t="shared" si="0"/>
        <v>28.68</v>
      </c>
      <c r="K11" s="1173">
        <f t="shared" si="0"/>
        <v>36.678000000000004</v>
      </c>
      <c r="L11" s="1174">
        <f t="shared" si="0"/>
        <v>96.665999999999997</v>
      </c>
      <c r="M11" s="1173">
        <f t="shared" si="0"/>
        <v>43.704999999999998</v>
      </c>
      <c r="N11" s="1173">
        <f t="shared" si="0"/>
        <v>60.338999999999999</v>
      </c>
      <c r="O11" s="1173">
        <f t="shared" si="0"/>
        <v>73.012</v>
      </c>
      <c r="P11" s="1173">
        <f t="shared" si="0"/>
        <v>87.692000000000007</v>
      </c>
      <c r="Q11" s="1174">
        <f t="shared" si="0"/>
        <v>264.74799999999999</v>
      </c>
      <c r="R11" s="1173">
        <f t="shared" si="0"/>
        <v>108.815</v>
      </c>
      <c r="S11" s="1173">
        <f t="shared" si="0"/>
        <v>133.14499999999998</v>
      </c>
      <c r="T11" s="1173">
        <f t="shared" si="0"/>
        <v>159.62400000000002</v>
      </c>
      <c r="U11" s="1173">
        <f t="shared" si="0"/>
        <v>190.465</v>
      </c>
      <c r="V11" s="1174">
        <f t="shared" si="0"/>
        <v>592.04899999999998</v>
      </c>
      <c r="W11" s="1173">
        <f t="shared" si="0"/>
        <v>228.91400000000002</v>
      </c>
      <c r="X11" s="1173">
        <f t="shared" si="0"/>
        <v>272.19799999999998</v>
      </c>
      <c r="Y11" s="1173">
        <f t="shared" si="0"/>
        <v>334.44100000000003</v>
      </c>
      <c r="Z11" s="1173">
        <f t="shared" si="0"/>
        <v>383.774</v>
      </c>
      <c r="AA11" s="1174">
        <f t="shared" si="0"/>
        <v>1219.327</v>
      </c>
      <c r="AB11" s="1173">
        <f t="shared" si="0"/>
        <v>422.37100000000004</v>
      </c>
      <c r="AC11" s="1173">
        <f t="shared" si="0"/>
        <v>497.24799999999999</v>
      </c>
      <c r="AD11" s="1173">
        <f t="shared" si="0"/>
        <v>557.02799999999991</v>
      </c>
      <c r="AE11" s="1173">
        <f t="shared" si="0"/>
        <v>589.01199999999994</v>
      </c>
      <c r="AF11" s="1174">
        <f t="shared" si="0"/>
        <v>2065.6590000000001</v>
      </c>
      <c r="AG11" s="1173">
        <f t="shared" si="0"/>
        <v>623.59900000000005</v>
      </c>
      <c r="AH11" s="1173">
        <f t="shared" si="0"/>
        <v>674.01799999999992</v>
      </c>
      <c r="AI11" s="1173">
        <f t="shared" si="0"/>
        <v>734.173</v>
      </c>
      <c r="AJ11" s="1173">
        <f t="shared" si="0"/>
        <v>774.69900000000007</v>
      </c>
      <c r="AK11" s="1174">
        <f t="shared" si="0"/>
        <v>2806.489</v>
      </c>
      <c r="AL11" s="1173">
        <f t="shared" si="0"/>
        <v>828.70899999999995</v>
      </c>
      <c r="AM11" s="1173">
        <f t="shared" si="0"/>
        <v>868.82299999999998</v>
      </c>
      <c r="AN11" s="1173">
        <f t="shared" ref="AN11:BO11" si="1">AN15+AN51</f>
        <v>942.09400000000005</v>
      </c>
      <c r="AO11" s="1173">
        <f t="shared" si="1"/>
        <v>986.77</v>
      </c>
      <c r="AP11" s="1174">
        <f t="shared" si="1"/>
        <v>3626.3960000000002</v>
      </c>
      <c r="AQ11" s="1173">
        <f t="shared" si="1"/>
        <v>1042.0740000000001</v>
      </c>
      <c r="AR11" s="1173">
        <f t="shared" si="1"/>
        <v>1144.9690000000001</v>
      </c>
      <c r="AS11" s="1173">
        <f t="shared" si="1"/>
        <v>1212.9089999999999</v>
      </c>
      <c r="AT11" s="1173">
        <f t="shared" si="1"/>
        <v>1248.8030560010045</v>
      </c>
      <c r="AU11" s="1174">
        <f t="shared" si="1"/>
        <v>4648.755056001005</v>
      </c>
      <c r="AV11" s="1173">
        <f t="shared" si="1"/>
        <v>1313.0109719722818</v>
      </c>
      <c r="AW11" s="1173">
        <f t="shared" si="1"/>
        <v>1415.0354199515693</v>
      </c>
      <c r="AX11" s="1173">
        <f t="shared" si="1"/>
        <v>1502.3143250154637</v>
      </c>
      <c r="AY11" s="1173">
        <f t="shared" si="1"/>
        <v>1549.2271503589259</v>
      </c>
      <c r="AZ11" s="1174">
        <f t="shared" si="1"/>
        <v>5779.5878672982408</v>
      </c>
      <c r="BA11" s="1173">
        <f t="shared" si="1"/>
        <v>1629.2553267969927</v>
      </c>
      <c r="BB11" s="1173">
        <f t="shared" si="1"/>
        <v>1760.8179210723133</v>
      </c>
      <c r="BC11" s="1173">
        <f t="shared" si="1"/>
        <v>1874.5413502166089</v>
      </c>
      <c r="BD11" s="1173">
        <f t="shared" si="1"/>
        <v>1913.7313599297675</v>
      </c>
      <c r="BE11" s="1174">
        <f t="shared" si="1"/>
        <v>7178.3459580156823</v>
      </c>
      <c r="BF11" s="1173">
        <f t="shared" si="1"/>
        <v>1996.5101842221654</v>
      </c>
      <c r="BG11" s="1173">
        <f t="shared" si="1"/>
        <v>2152.7279867089919</v>
      </c>
      <c r="BH11" s="1173">
        <f t="shared" si="1"/>
        <v>2332.7605630627686</v>
      </c>
      <c r="BI11" s="1173">
        <f t="shared" si="1"/>
        <v>2391.9908531909532</v>
      </c>
      <c r="BJ11" s="1174">
        <f t="shared" si="1"/>
        <v>8873.9895871848785</v>
      </c>
      <c r="BK11" s="1173">
        <f t="shared" si="1"/>
        <v>2482.3191606008099</v>
      </c>
      <c r="BL11" s="1173">
        <f t="shared" si="1"/>
        <v>2642.738930392944</v>
      </c>
      <c r="BM11" s="1173">
        <f t="shared" si="1"/>
        <v>2883.1165247796034</v>
      </c>
      <c r="BN11" s="1173">
        <f t="shared" si="1"/>
        <v>2925.8127729876887</v>
      </c>
      <c r="BO11" s="1174">
        <f t="shared" si="1"/>
        <v>10933.987388761047</v>
      </c>
    </row>
    <row r="12" spans="1:67">
      <c r="A12" s="108" t="s">
        <v>81</v>
      </c>
      <c r="B12" s="159" t="s">
        <v>32</v>
      </c>
      <c r="G12" s="68"/>
      <c r="H12" s="71" t="str">
        <f t="shared" ref="H12:AM12" si="2">IFERROR(H11/C11-1,"--")</f>
        <v>--</v>
      </c>
      <c r="I12" s="71" t="str">
        <f t="shared" si="2"/>
        <v>--</v>
      </c>
      <c r="J12" s="71" t="str">
        <f t="shared" si="2"/>
        <v>--</v>
      </c>
      <c r="K12" s="71" t="str">
        <f t="shared" si="2"/>
        <v>--</v>
      </c>
      <c r="L12" s="72" t="str">
        <f t="shared" si="2"/>
        <v>--</v>
      </c>
      <c r="M12" s="71">
        <f t="shared" si="2"/>
        <v>2.2608371260165634</v>
      </c>
      <c r="N12" s="71">
        <f t="shared" si="2"/>
        <v>2.3699525272270314</v>
      </c>
      <c r="O12" s="71">
        <f t="shared" si="2"/>
        <v>1.5457461645746164</v>
      </c>
      <c r="P12" s="71">
        <f t="shared" si="2"/>
        <v>1.3908610065979605</v>
      </c>
      <c r="Q12" s="72">
        <f t="shared" si="2"/>
        <v>1.7387913020089796</v>
      </c>
      <c r="R12" s="71">
        <f t="shared" si="2"/>
        <v>1.4897608969225491</v>
      </c>
      <c r="S12" s="71">
        <f t="shared" si="2"/>
        <v>1.2066159531977658</v>
      </c>
      <c r="T12" s="71">
        <f t="shared" si="2"/>
        <v>1.1862707500136969</v>
      </c>
      <c r="U12" s="71">
        <f t="shared" si="2"/>
        <v>1.1719769192172604</v>
      </c>
      <c r="V12" s="72">
        <f t="shared" si="2"/>
        <v>1.2362737395561063</v>
      </c>
      <c r="W12" s="71">
        <f t="shared" si="2"/>
        <v>1.1036989385654552</v>
      </c>
      <c r="X12" s="71">
        <f t="shared" si="2"/>
        <v>1.0443726764054229</v>
      </c>
      <c r="Y12" s="71">
        <f t="shared" si="2"/>
        <v>1.0951799228186236</v>
      </c>
      <c r="Z12" s="71">
        <f t="shared" si="2"/>
        <v>1.0149318772477884</v>
      </c>
      <c r="AA12" s="72">
        <f t="shared" si="2"/>
        <v>1.0595035208234456</v>
      </c>
      <c r="AB12" s="71">
        <f t="shared" si="2"/>
        <v>0.84510776973011703</v>
      </c>
      <c r="AC12" s="71">
        <f t="shared" si="2"/>
        <v>0.8267878529599777</v>
      </c>
      <c r="AD12" s="71">
        <f t="shared" si="2"/>
        <v>0.6655493794122127</v>
      </c>
      <c r="AE12" s="71">
        <f t="shared" si="2"/>
        <v>0.53478870376836363</v>
      </c>
      <c r="AF12" s="72">
        <f t="shared" si="2"/>
        <v>0.69409764566847132</v>
      </c>
      <c r="AG12" s="71">
        <f t="shared" si="2"/>
        <v>0.47642475454043964</v>
      </c>
      <c r="AH12" s="71">
        <f t="shared" si="2"/>
        <v>0.35549665358131133</v>
      </c>
      <c r="AI12" s="71">
        <f t="shared" si="2"/>
        <v>0.31801812476213076</v>
      </c>
      <c r="AJ12" s="71">
        <f t="shared" si="2"/>
        <v>0.31525164173225706</v>
      </c>
      <c r="AK12" s="72">
        <f t="shared" si="2"/>
        <v>0.35864099544019612</v>
      </c>
      <c r="AL12" s="71">
        <f t="shared" si="2"/>
        <v>0.32891329203542652</v>
      </c>
      <c r="AM12" s="71">
        <f t="shared" si="2"/>
        <v>0.28902047126337882</v>
      </c>
      <c r="AN12" s="71">
        <f t="shared" ref="AN12:BJ12" si="3">IFERROR(AN11/AI11-1,"--")</f>
        <v>0.2832043673630058</v>
      </c>
      <c r="AO12" s="71">
        <f>IFERROR(AO11/AJ11-1,"--")</f>
        <v>0.27374631953829787</v>
      </c>
      <c r="AP12" s="72">
        <f>IFERROR(AP11/AK11-1,"--")</f>
        <v>0.29214687818124352</v>
      </c>
      <c r="AQ12" s="71">
        <f t="shared" ref="AQ12:AR12" si="4">IFERROR(AQ11/AL11-1,"--")</f>
        <v>0.25746673440254675</v>
      </c>
      <c r="AR12" s="71">
        <f t="shared" si="4"/>
        <v>0.31783919164202623</v>
      </c>
      <c r="AS12" s="71">
        <f t="shared" si="3"/>
        <v>0.28746069925081774</v>
      </c>
      <c r="AT12" s="71">
        <f t="shared" si="3"/>
        <v>0.26554623265908428</v>
      </c>
      <c r="AU12" s="72">
        <f t="shared" si="3"/>
        <v>0.28192151546632105</v>
      </c>
      <c r="AV12" s="71">
        <f t="shared" si="3"/>
        <v>0.25999782354447154</v>
      </c>
      <c r="AW12" s="71">
        <f t="shared" si="3"/>
        <v>0.23587225501438835</v>
      </c>
      <c r="AX12" s="71">
        <f t="shared" si="3"/>
        <v>0.23860431822623451</v>
      </c>
      <c r="AY12" s="71">
        <f t="shared" si="3"/>
        <v>0.24056963419032473</v>
      </c>
      <c r="AZ12" s="72">
        <f t="shared" si="3"/>
        <v>0.24325497852106914</v>
      </c>
      <c r="BA12" s="71">
        <f t="shared" si="3"/>
        <v>0.24085431239746469</v>
      </c>
      <c r="BB12" s="71">
        <f t="shared" si="3"/>
        <v>0.2443631419011254</v>
      </c>
      <c r="BC12" s="71">
        <f t="shared" si="3"/>
        <v>0.24776907136082427</v>
      </c>
      <c r="BD12" s="71">
        <f t="shared" si="3"/>
        <v>0.23528132042250416</v>
      </c>
      <c r="BE12" s="72">
        <f t="shared" si="3"/>
        <v>0.24201692626421001</v>
      </c>
      <c r="BF12" s="71">
        <f t="shared" si="3"/>
        <v>0.22541270934321345</v>
      </c>
      <c r="BG12" s="71">
        <f t="shared" si="3"/>
        <v>0.22257273790012944</v>
      </c>
      <c r="BH12" s="71">
        <f t="shared" si="3"/>
        <v>0.24444337426496943</v>
      </c>
      <c r="BI12" s="71">
        <f t="shared" si="3"/>
        <v>0.24990941951159629</v>
      </c>
      <c r="BJ12" s="72">
        <f t="shared" si="3"/>
        <v>0.23621648205402535</v>
      </c>
      <c r="BK12" s="71">
        <f>IFERROR(BK11/BF11-1,"--")</f>
        <v>0.24332907501191348</v>
      </c>
      <c r="BL12" s="71">
        <f>IFERROR(BL11/BG11-1,"--")</f>
        <v>0.22762325138582051</v>
      </c>
      <c r="BM12" s="71">
        <f>IFERROR(BM11/BH11-1,"--")</f>
        <v>0.23592475388655054</v>
      </c>
      <c r="BN12" s="71">
        <f>IFERROR(BN11/BI11-1,"--")</f>
        <v>0.22317055229730864</v>
      </c>
      <c r="BO12" s="72">
        <f>IFERROR(BO11/BJ11-1,"--")</f>
        <v>0.23213885720026717</v>
      </c>
    </row>
    <row r="13" spans="1:67">
      <c r="A13" s="108" t="s">
        <v>87</v>
      </c>
      <c r="B13" s="159" t="s">
        <v>33</v>
      </c>
      <c r="G13" s="68"/>
      <c r="H13" s="71" t="str">
        <f>IFERROR(H11/F11-1,"--")</f>
        <v>--</v>
      </c>
      <c r="I13" s="71">
        <f>IFERROR(I11/H11-1,"--")</f>
        <v>0.33589494889203908</v>
      </c>
      <c r="J13" s="71">
        <f>IFERROR(J11/I11-1,"--")</f>
        <v>0.60178721027645898</v>
      </c>
      <c r="K13" s="71">
        <f>IFERROR(K11/J11-1,"--")</f>
        <v>0.27887029288702947</v>
      </c>
      <c r="L13" s="72" t="s">
        <v>36</v>
      </c>
      <c r="M13" s="71">
        <f>IFERROR(M11/K11-1,"--")</f>
        <v>0.1915862369812964</v>
      </c>
      <c r="N13" s="71">
        <f>IFERROR(N11/M11-1,"--")</f>
        <v>0.38059718567669609</v>
      </c>
      <c r="O13" s="71">
        <f>IFERROR(O11/N11-1,"--")</f>
        <v>0.21002999718258519</v>
      </c>
      <c r="P13" s="71">
        <f>IFERROR(P11/O11-1,"--")</f>
        <v>0.20106283898537236</v>
      </c>
      <c r="Q13" s="72" t="s">
        <v>36</v>
      </c>
      <c r="R13" s="71">
        <f>IFERROR(R11/P11-1,"--")</f>
        <v>0.24087716097249445</v>
      </c>
      <c r="S13" s="71">
        <f>IFERROR(S11/R11-1,"--")</f>
        <v>0.22359049763359806</v>
      </c>
      <c r="T13" s="71">
        <f>IFERROR(T11/S11-1,"--")</f>
        <v>0.19887340868977454</v>
      </c>
      <c r="U13" s="71">
        <f>IFERROR(U11/T11-1,"--")</f>
        <v>0.19321029419134961</v>
      </c>
      <c r="V13" s="72" t="s">
        <v>36</v>
      </c>
      <c r="W13" s="71">
        <f>IFERROR(W11/U11-1,"--")</f>
        <v>0.20186910981020145</v>
      </c>
      <c r="X13" s="71">
        <f>IFERROR(X11/W11-1,"--")</f>
        <v>0.18908411018985283</v>
      </c>
      <c r="Y13" s="71">
        <f>IFERROR(Y11/X11-1,"--")</f>
        <v>0.22866810189641384</v>
      </c>
      <c r="Z13" s="71">
        <f>IFERROR(Z11/Y11-1,"--")</f>
        <v>0.1475088281640109</v>
      </c>
      <c r="AA13" s="72" t="s">
        <v>36</v>
      </c>
      <c r="AB13" s="71">
        <f>IFERROR(AB11/Z11-1,"--")</f>
        <v>0.10057221177046927</v>
      </c>
      <c r="AC13" s="71">
        <f>IFERROR(AC11/AB11-1,"--")</f>
        <v>0.17727779606080896</v>
      </c>
      <c r="AD13" s="71">
        <f>IFERROR(AD11/AC11-1,"--")</f>
        <v>0.1202217002381103</v>
      </c>
      <c r="AE13" s="71">
        <f>IFERROR(AE11/AD11-1,"--")</f>
        <v>5.7419016638301956E-2</v>
      </c>
      <c r="AF13" s="72" t="s">
        <v>36</v>
      </c>
      <c r="AG13" s="71">
        <f>IFERROR(AG11/AE11-1,"--")</f>
        <v>5.8720365629223448E-2</v>
      </c>
      <c r="AH13" s="71">
        <f>IFERROR(AH11/AG11-1,"--")</f>
        <v>8.0851637029565326E-2</v>
      </c>
      <c r="AI13" s="71">
        <f>IFERROR(AI11/AH11-1,"--")</f>
        <v>8.924835835244771E-2</v>
      </c>
      <c r="AJ13" s="71">
        <f>IFERROR(AJ11/AI11-1,"--")</f>
        <v>5.5199523817955898E-2</v>
      </c>
      <c r="AK13" s="72" t="s">
        <v>36</v>
      </c>
      <c r="AL13" s="71">
        <f>IFERROR(AL11/AJ11-1,"--")</f>
        <v>6.9717399919194234E-2</v>
      </c>
      <c r="AM13" s="71">
        <f>IFERROR(AM11/AL11-1,"--")</f>
        <v>4.84054113084329E-2</v>
      </c>
      <c r="AN13" s="71">
        <f>IFERROR(AN11/AM11-1,"--")</f>
        <v>8.43336329724238E-2</v>
      </c>
      <c r="AO13" s="71">
        <f>IFERROR(AO11/AN11-1,"--")</f>
        <v>4.7422019458779996E-2</v>
      </c>
      <c r="AP13" s="72" t="s">
        <v>36</v>
      </c>
      <c r="AQ13" s="71">
        <f>IFERROR(AQ11/AO11-1,"--")</f>
        <v>5.6045481723197899E-2</v>
      </c>
      <c r="AR13" s="71">
        <f>IFERROR(AR11/AQ11-1,"--")</f>
        <v>9.8740588480280556E-2</v>
      </c>
      <c r="AS13" s="71">
        <f>IFERROR(AS11/AR11-1,"--")</f>
        <v>5.9337851068456793E-2</v>
      </c>
      <c r="AT13" s="71">
        <f>IFERROR(AT11/AS11-1,"--")</f>
        <v>2.9593362734553486E-2</v>
      </c>
      <c r="AU13" s="72" t="s">
        <v>36</v>
      </c>
      <c r="AV13" s="71">
        <f>IFERROR(AV11/AT11-1,"--")</f>
        <v>5.1415566019583636E-2</v>
      </c>
      <c r="AW13" s="71">
        <f>IFERROR(AW11/AV11-1,"--")</f>
        <v>7.7702662168950498E-2</v>
      </c>
      <c r="AX13" s="71">
        <f>IFERROR(AX11/AW11-1,"--")</f>
        <v>6.1679661041192491E-2</v>
      </c>
      <c r="AY13" s="71">
        <f>IFERROR(AY11/AX11-1,"--")</f>
        <v>3.1227037220043385E-2</v>
      </c>
      <c r="AZ13" s="72" t="s">
        <v>36</v>
      </c>
      <c r="BA13" s="71">
        <f>IFERROR(BA11/AY11-1,"--")</f>
        <v>5.1656838327114096E-2</v>
      </c>
      <c r="BB13" s="71">
        <f>IFERROR(BB11/BA11-1,"--")</f>
        <v>8.0750139104325713E-2</v>
      </c>
      <c r="BC13" s="71">
        <f>IFERROR(BC11/BB11-1,"--")</f>
        <v>6.4585570025911254E-2</v>
      </c>
      <c r="BD13" s="71">
        <f>IFERROR(BD11/BC11-1,"--")</f>
        <v>2.0906452508305584E-2</v>
      </c>
      <c r="BE13" s="72" t="s">
        <v>36</v>
      </c>
      <c r="BF13" s="71">
        <f>IFERROR(BF11/BD11-1,"--")</f>
        <v>4.3255195596228146E-2</v>
      </c>
      <c r="BG13" s="71">
        <f>IFERROR(BG11/BF11-1,"--")</f>
        <v>7.8245432315532382E-2</v>
      </c>
      <c r="BH13" s="71">
        <f>IFERROR(BH11/BG11-1,"--")</f>
        <v>8.3629969724602127E-2</v>
      </c>
      <c r="BI13" s="71">
        <f>IFERROR(BI11/BH11-1,"--")</f>
        <v>2.5390642771506267E-2</v>
      </c>
      <c r="BJ13" s="72" t="s">
        <v>36</v>
      </c>
      <c r="BK13" s="71">
        <f>IFERROR(BK11/BI11-1,"--")</f>
        <v>3.7762814723709015E-2</v>
      </c>
      <c r="BL13" s="71">
        <f>IFERROR(BL11/BK11-1,"--")</f>
        <v>6.4624957313428988E-2</v>
      </c>
      <c r="BM13" s="71">
        <f>IFERROR(BM11/BL11-1,"--")</f>
        <v>9.0957752815529869E-2</v>
      </c>
      <c r="BN13" s="71">
        <f>IFERROR(BN11/BM11-1,"--")</f>
        <v>1.4809060903755666E-2</v>
      </c>
      <c r="BO13" s="72" t="s">
        <v>36</v>
      </c>
    </row>
    <row r="14" spans="1:67">
      <c r="B14" s="154"/>
      <c r="G14" s="68"/>
      <c r="L14" s="68"/>
      <c r="Q14" s="68"/>
      <c r="V14" s="68"/>
      <c r="Z14" s="76"/>
      <c r="AA14" s="68"/>
      <c r="AF14" s="68"/>
      <c r="AK14" s="1394"/>
      <c r="AP14" s="1394"/>
      <c r="AS14" s="101"/>
      <c r="AU14" s="1394"/>
      <c r="AV14" s="125"/>
      <c r="AZ14" s="1394"/>
      <c r="BE14" s="1394"/>
      <c r="BJ14" s="1394"/>
      <c r="BO14" s="1394"/>
    </row>
    <row r="15" spans="1:67">
      <c r="A15" s="57" t="s">
        <v>58</v>
      </c>
      <c r="B15" s="155" t="s">
        <v>37</v>
      </c>
      <c r="C15" s="64"/>
      <c r="D15" s="64"/>
      <c r="E15" s="64"/>
      <c r="F15" s="64"/>
      <c r="G15" s="93"/>
      <c r="H15" s="906">
        <f>'IS (Non-GAAP)'!H14</f>
        <v>13.186</v>
      </c>
      <c r="I15" s="906">
        <f>'IS (Non-GAAP)'!I14</f>
        <v>17.675000000000001</v>
      </c>
      <c r="J15" s="906">
        <f>'IS (Non-GAAP)'!J14</f>
        <v>28.457000000000001</v>
      </c>
      <c r="K15" s="906">
        <f>'IS (Non-GAAP)'!K14</f>
        <v>36.365000000000002</v>
      </c>
      <c r="L15" s="907">
        <f>SUM(H15:K15)</f>
        <v>95.682999999999993</v>
      </c>
      <c r="M15" s="906">
        <f>'IS (Non-GAAP)'!M14</f>
        <v>42.765999999999998</v>
      </c>
      <c r="N15" s="906">
        <f>'IS (Non-GAAP)'!N14</f>
        <v>57.817999999999998</v>
      </c>
      <c r="O15" s="906">
        <f>'IS (Non-GAAP)'!O14</f>
        <v>69.212999999999994</v>
      </c>
      <c r="P15" s="906">
        <f>'IS (Non-GAAP)'!P14</f>
        <v>82.432000000000002</v>
      </c>
      <c r="Q15" s="907">
        <f>SUM(M15:P15)</f>
        <v>252.22899999999998</v>
      </c>
      <c r="R15" s="906">
        <f>'IS (Non-GAAP)'!R14</f>
        <v>101.81699999999999</v>
      </c>
      <c r="S15" s="906">
        <f>'IS (Non-GAAP)'!S14</f>
        <v>125.21599999999999</v>
      </c>
      <c r="T15" s="906">
        <f>'IS (Non-GAAP)'!T14</f>
        <v>148.47300000000001</v>
      </c>
      <c r="U15" s="906">
        <f>'IS (Non-GAAP)'!U14</f>
        <v>178.28800000000001</v>
      </c>
      <c r="V15" s="907">
        <f>SUM(R15:U15)</f>
        <v>553.79399999999998</v>
      </c>
      <c r="W15" s="906">
        <f>'IS (Non-GAAP)'!W14</f>
        <v>213.83</v>
      </c>
      <c r="X15" s="906">
        <f>'IS (Non-GAAP)'!X14</f>
        <v>254.62299999999999</v>
      </c>
      <c r="Y15" s="906">
        <f>'IS (Non-GAAP)'!Y14</f>
        <v>312.45800000000003</v>
      </c>
      <c r="Z15" s="906">
        <f>'IS (Non-GAAP)'!Z14</f>
        <v>359.55799999999999</v>
      </c>
      <c r="AA15" s="907">
        <f>SUM(W15:Z15)</f>
        <v>1140.4690000000001</v>
      </c>
      <c r="AB15" s="906">
        <f>'IS (Non-GAAP)'!AB14</f>
        <v>394.43400000000003</v>
      </c>
      <c r="AC15" s="906">
        <f>'IS (Non-GAAP)'!AC14</f>
        <v>466.26799999999997</v>
      </c>
      <c r="AD15" s="906">
        <f>'IS (Non-GAAP)'!AD14</f>
        <v>522.75199999999995</v>
      </c>
      <c r="AE15" s="906">
        <f>'IS (Non-GAAP)'!AE14</f>
        <v>555.32899999999995</v>
      </c>
      <c r="AF15" s="907">
        <f>SUM(AB15:AE15)</f>
        <v>1938.7829999999999</v>
      </c>
      <c r="AG15" s="906">
        <f>'IS (Non-GAAP)'!AG14</f>
        <v>590.072</v>
      </c>
      <c r="AH15" s="906">
        <f>'IS (Non-GAAP)'!AH14</f>
        <v>640.20899999999995</v>
      </c>
      <c r="AI15" s="906">
        <f>'IS (Non-GAAP)'!AI14</f>
        <v>698.47799999999995</v>
      </c>
      <c r="AJ15" s="906">
        <f>'IS (Non-GAAP)'!AJ14</f>
        <v>738.09</v>
      </c>
      <c r="AK15" s="907">
        <f>SUM(AG15:AJ15)</f>
        <v>2666.8490000000002</v>
      </c>
      <c r="AL15" s="906">
        <f>'IS (Non-GAAP)'!AL14</f>
        <v>789.58699999999999</v>
      </c>
      <c r="AM15" s="906">
        <f>'IS (Non-GAAP)'!AM14</f>
        <v>829.25</v>
      </c>
      <c r="AN15" s="906">
        <f>'IS (Non-GAAP)'!AN14</f>
        <v>900.28200000000004</v>
      </c>
      <c r="AO15" s="906">
        <f>'IS (Non-GAAP)'!AO14</f>
        <v>943.303</v>
      </c>
      <c r="AP15" s="70">
        <f>SUM(AL15:AO15)</f>
        <v>3462.422</v>
      </c>
      <c r="AQ15" s="906">
        <f>'IS (Non-GAAP)'!AQ14</f>
        <v>996.81299999999999</v>
      </c>
      <c r="AR15" s="906">
        <f>'IS (Non-GAAP)'!AR14</f>
        <v>1090.4960000000001</v>
      </c>
      <c r="AS15" s="906">
        <f>'IS (Non-GAAP)'!AS14</f>
        <v>1158.377</v>
      </c>
      <c r="AT15" s="65">
        <f>AT96</f>
        <v>1198.8160060010046</v>
      </c>
      <c r="AU15" s="70">
        <f>SUM(AQ15:AT15)</f>
        <v>4444.5020060010047</v>
      </c>
      <c r="AV15" s="65">
        <f>AV96</f>
        <v>1261.6397369722818</v>
      </c>
      <c r="AW15" s="65">
        <f>AW96</f>
        <v>1353.2085649515693</v>
      </c>
      <c r="AX15" s="65">
        <f>AX96</f>
        <v>1440.4205050154637</v>
      </c>
      <c r="AY15" s="65">
        <f>AY96</f>
        <v>1492.4918486089259</v>
      </c>
      <c r="AZ15" s="70">
        <f>SUM(AV15:AY15)</f>
        <v>5547.7606555482407</v>
      </c>
      <c r="BA15" s="65">
        <f>BA96</f>
        <v>1571.2058312469926</v>
      </c>
      <c r="BB15" s="65">
        <f>BB96</f>
        <v>1690.9535749223132</v>
      </c>
      <c r="BC15" s="65">
        <f>BC96</f>
        <v>1804.6013336166088</v>
      </c>
      <c r="BD15" s="65">
        <f>BD96</f>
        <v>1849.6204689522674</v>
      </c>
      <c r="BE15" s="70">
        <f>SUM(BA15:BD15)</f>
        <v>6916.3812087381821</v>
      </c>
      <c r="BF15" s="65">
        <f>BF96</f>
        <v>1931.2045017284154</v>
      </c>
      <c r="BG15" s="65">
        <f>BG96</f>
        <v>2074.1305972902419</v>
      </c>
      <c r="BH15" s="65">
        <f>BH96</f>
        <v>2254.0780443877684</v>
      </c>
      <c r="BI15" s="65">
        <f>BI96</f>
        <v>2319.8661008412655</v>
      </c>
      <c r="BJ15" s="70">
        <f>SUM(BF15:BI15)</f>
        <v>8579.2792442476912</v>
      </c>
      <c r="BK15" s="65">
        <f>BK96</f>
        <v>2408.8502677953411</v>
      </c>
      <c r="BL15" s="65">
        <f>BL96</f>
        <v>2554.3168672968504</v>
      </c>
      <c r="BM15" s="65">
        <f>BM96</f>
        <v>2794.5986912702283</v>
      </c>
      <c r="BN15" s="65">
        <f>BN96</f>
        <v>2844.6724265942903</v>
      </c>
      <c r="BO15" s="70">
        <f>SUM(BK15:BN15)</f>
        <v>10602.43825295671</v>
      </c>
    </row>
    <row r="16" spans="1:67">
      <c r="A16" s="108" t="s">
        <v>96</v>
      </c>
      <c r="B16" s="156" t="s">
        <v>179</v>
      </c>
      <c r="G16" s="68"/>
      <c r="H16" s="110" t="s">
        <v>36</v>
      </c>
      <c r="I16" s="111">
        <f>I15-H15</f>
        <v>4.4890000000000008</v>
      </c>
      <c r="J16" s="111">
        <f>J15-I15</f>
        <v>10.782</v>
      </c>
      <c r="K16" s="111">
        <f>K15-J15</f>
        <v>7.9080000000000013</v>
      </c>
      <c r="L16" s="112">
        <f>L15-G15</f>
        <v>95.682999999999993</v>
      </c>
      <c r="M16" s="110">
        <f>M15-K15</f>
        <v>6.4009999999999962</v>
      </c>
      <c r="N16" s="111">
        <f>N15-M15</f>
        <v>15.052</v>
      </c>
      <c r="O16" s="111">
        <f>O15-N15</f>
        <v>11.394999999999996</v>
      </c>
      <c r="P16" s="111">
        <f>P15-O15</f>
        <v>13.219000000000008</v>
      </c>
      <c r="Q16" s="112">
        <f>Q15-L15</f>
        <v>156.54599999999999</v>
      </c>
      <c r="R16" s="111">
        <f>R15-P15</f>
        <v>19.384999999999991</v>
      </c>
      <c r="S16" s="111">
        <f>S15-R15</f>
        <v>23.399000000000001</v>
      </c>
      <c r="T16" s="111">
        <f>T15-S15</f>
        <v>23.257000000000019</v>
      </c>
      <c r="U16" s="111">
        <f>U15-T15</f>
        <v>29.814999999999998</v>
      </c>
      <c r="V16" s="112">
        <f>V15-Q15</f>
        <v>301.565</v>
      </c>
      <c r="W16" s="111">
        <f>W15-U15</f>
        <v>35.542000000000002</v>
      </c>
      <c r="X16" s="111">
        <f>X15-W15</f>
        <v>40.792999999999978</v>
      </c>
      <c r="Y16" s="111">
        <f>Y15-X15</f>
        <v>57.835000000000036</v>
      </c>
      <c r="Z16" s="111">
        <f>Z15-Y15</f>
        <v>47.099999999999966</v>
      </c>
      <c r="AA16" s="112">
        <f>AA15-V15</f>
        <v>586.67500000000007</v>
      </c>
      <c r="AB16" s="111">
        <f>AB15-Z15</f>
        <v>34.876000000000033</v>
      </c>
      <c r="AC16" s="111">
        <f>AC15-AB15</f>
        <v>71.833999999999946</v>
      </c>
      <c r="AD16" s="111">
        <f>AD15-AC15</f>
        <v>56.48399999999998</v>
      </c>
      <c r="AE16" s="111">
        <f>AE15-AD15</f>
        <v>32.576999999999998</v>
      </c>
      <c r="AF16" s="112">
        <f>AF15-AA15</f>
        <v>798.31399999999985</v>
      </c>
      <c r="AG16" s="111">
        <f>AG15-AE15</f>
        <v>34.743000000000052</v>
      </c>
      <c r="AH16" s="111">
        <f>AH15-AG15</f>
        <v>50.136999999999944</v>
      </c>
      <c r="AI16" s="111">
        <f>AI15-AH15</f>
        <v>58.269000000000005</v>
      </c>
      <c r="AJ16" s="111">
        <f>AJ15-AI15</f>
        <v>39.61200000000008</v>
      </c>
      <c r="AK16" s="112">
        <f>AK15-AF15</f>
        <v>728.06600000000026</v>
      </c>
      <c r="AL16" s="111">
        <f>AL15-AJ15</f>
        <v>51.496999999999957</v>
      </c>
      <c r="AM16" s="111">
        <f>AM15-AL15</f>
        <v>39.663000000000011</v>
      </c>
      <c r="AN16" s="111">
        <f>AN15-AM15</f>
        <v>71.032000000000039</v>
      </c>
      <c r="AO16" s="111">
        <f>AO15-AN15</f>
        <v>43.020999999999958</v>
      </c>
      <c r="AP16" s="112">
        <f>AP15-AK15</f>
        <v>795.57299999999987</v>
      </c>
      <c r="AQ16" s="111">
        <f>AQ15-AO15</f>
        <v>53.509999999999991</v>
      </c>
      <c r="AR16" s="111">
        <f>AR15-AQ15</f>
        <v>93.683000000000106</v>
      </c>
      <c r="AS16" s="111">
        <f>AS15-AR15</f>
        <v>67.880999999999858</v>
      </c>
      <c r="AT16" s="111">
        <f>AT15-AS15</f>
        <v>40.4390060010046</v>
      </c>
      <c r="AU16" s="112">
        <f>AU15-AP15</f>
        <v>982.08000600100468</v>
      </c>
      <c r="AV16" s="111">
        <f>AV15-AT15</f>
        <v>62.8237309712772</v>
      </c>
      <c r="AW16" s="111">
        <f>AW15-AV15</f>
        <v>91.568827979287562</v>
      </c>
      <c r="AX16" s="111">
        <f>AX15-AW15</f>
        <v>87.211940063894417</v>
      </c>
      <c r="AY16" s="111">
        <f>AY15-AX15</f>
        <v>52.071343593462188</v>
      </c>
      <c r="AZ16" s="112">
        <f>AZ15-AU15</f>
        <v>1103.258649547236</v>
      </c>
      <c r="BA16" s="111">
        <f>BA15-AY15</f>
        <v>78.713982638066682</v>
      </c>
      <c r="BB16" s="111">
        <f>BB15-BA15</f>
        <v>119.74774367532063</v>
      </c>
      <c r="BC16" s="111">
        <f>BC15-BB15</f>
        <v>113.64775869429559</v>
      </c>
      <c r="BD16" s="111">
        <f>BD15-BC15</f>
        <v>45.019135335658575</v>
      </c>
      <c r="BE16" s="112">
        <f>BE15-AZ15</f>
        <v>1368.6205531899413</v>
      </c>
      <c r="BF16" s="111">
        <f>BF15-BD15</f>
        <v>81.584032776147978</v>
      </c>
      <c r="BG16" s="111">
        <f>BG15-BF15</f>
        <v>142.92609556182651</v>
      </c>
      <c r="BH16" s="111">
        <f>BH15-BG15</f>
        <v>179.94744709752649</v>
      </c>
      <c r="BI16" s="111">
        <f>BI15-BH15</f>
        <v>65.78805645349712</v>
      </c>
      <c r="BJ16" s="112">
        <f>BJ15-BE15</f>
        <v>1662.8980355095091</v>
      </c>
      <c r="BK16" s="111">
        <f>BK15-BI15</f>
        <v>88.98416695407559</v>
      </c>
      <c r="BL16" s="111">
        <f>BL15-BK15</f>
        <v>145.46659950150934</v>
      </c>
      <c r="BM16" s="111">
        <f>BM15-BL15</f>
        <v>240.28182397337787</v>
      </c>
      <c r="BN16" s="111">
        <f>BN15-BM15</f>
        <v>50.073735324062</v>
      </c>
      <c r="BO16" s="112">
        <f>BO15-BJ15</f>
        <v>2023.159008709019</v>
      </c>
    </row>
    <row r="17" spans="1:67">
      <c r="A17" s="57" t="s">
        <v>61</v>
      </c>
      <c r="B17" s="156" t="s">
        <v>32</v>
      </c>
      <c r="G17" s="68"/>
      <c r="H17" s="71" t="str">
        <f t="shared" ref="H17:AM17" si="5">IFERROR(H15/C15-1,"--")</f>
        <v>--</v>
      </c>
      <c r="I17" s="71" t="str">
        <f t="shared" si="5"/>
        <v>--</v>
      </c>
      <c r="J17" s="71" t="str">
        <f t="shared" si="5"/>
        <v>--</v>
      </c>
      <c r="K17" s="71" t="str">
        <f t="shared" si="5"/>
        <v>--</v>
      </c>
      <c r="L17" s="72" t="str">
        <f t="shared" si="5"/>
        <v>--</v>
      </c>
      <c r="M17" s="71">
        <f t="shared" si="5"/>
        <v>2.2432883361140603</v>
      </c>
      <c r="N17" s="71">
        <f t="shared" si="5"/>
        <v>2.2711739745403108</v>
      </c>
      <c r="O17" s="71">
        <f t="shared" si="5"/>
        <v>1.4321959447587584</v>
      </c>
      <c r="P17" s="71">
        <f t="shared" si="5"/>
        <v>1.2667949951876802</v>
      </c>
      <c r="Q17" s="72">
        <f t="shared" si="5"/>
        <v>1.6360900055391241</v>
      </c>
      <c r="R17" s="71">
        <f t="shared" si="5"/>
        <v>1.3807931534396483</v>
      </c>
      <c r="S17" s="71">
        <f t="shared" si="5"/>
        <v>1.1656923449444809</v>
      </c>
      <c r="T17" s="71">
        <f t="shared" si="5"/>
        <v>1.1451605912184131</v>
      </c>
      <c r="U17" s="71">
        <f t="shared" si="5"/>
        <v>1.1628493788819876</v>
      </c>
      <c r="V17" s="72">
        <f t="shared" si="5"/>
        <v>1.1956000301313487</v>
      </c>
      <c r="W17" s="71">
        <f t="shared" si="5"/>
        <v>1.1001404480587724</v>
      </c>
      <c r="X17" s="71">
        <f t="shared" si="5"/>
        <v>1.0334701635573729</v>
      </c>
      <c r="Y17" s="71">
        <f t="shared" si="5"/>
        <v>1.1044769082594144</v>
      </c>
      <c r="Z17" s="71">
        <f t="shared" si="5"/>
        <v>1.0167257471058062</v>
      </c>
      <c r="AA17" s="72">
        <f t="shared" si="5"/>
        <v>1.0593740632798481</v>
      </c>
      <c r="AB17" s="71">
        <f t="shared" si="5"/>
        <v>0.84461488098021786</v>
      </c>
      <c r="AC17" s="71">
        <f t="shared" si="5"/>
        <v>0.83120927803065703</v>
      </c>
      <c r="AD17" s="71">
        <f t="shared" si="5"/>
        <v>0.67303125540072561</v>
      </c>
      <c r="AE17" s="71">
        <f t="shared" si="5"/>
        <v>0.54447682988558155</v>
      </c>
      <c r="AF17" s="72">
        <f t="shared" si="5"/>
        <v>0.69998746129881639</v>
      </c>
      <c r="AG17" s="71">
        <f t="shared" si="5"/>
        <v>0.49599679540810371</v>
      </c>
      <c r="AH17" s="71">
        <f t="shared" si="5"/>
        <v>0.37304940506318252</v>
      </c>
      <c r="AI17" s="71">
        <f t="shared" si="5"/>
        <v>0.3361555766405484</v>
      </c>
      <c r="AJ17" s="71">
        <f t="shared" si="5"/>
        <v>0.32910400861471323</v>
      </c>
      <c r="AK17" s="72">
        <f t="shared" si="5"/>
        <v>0.37552732822600587</v>
      </c>
      <c r="AL17" s="71">
        <f t="shared" si="5"/>
        <v>0.33811975487737089</v>
      </c>
      <c r="AM17" s="71">
        <f t="shared" si="5"/>
        <v>0.2952801350808878</v>
      </c>
      <c r="AN17" s="71">
        <f t="shared" ref="AN17:BO17" si="6">IFERROR(AN15/AI15-1,"--")</f>
        <v>0.28891962237894409</v>
      </c>
      <c r="AO17" s="142">
        <f t="shared" si="6"/>
        <v>0.27803248926282698</v>
      </c>
      <c r="AP17" s="72">
        <f t="shared" si="6"/>
        <v>0.29831947740573228</v>
      </c>
      <c r="AQ17" s="71">
        <f t="shared" si="6"/>
        <v>0.26244859654477604</v>
      </c>
      <c r="AR17" s="71">
        <f t="shared" si="6"/>
        <v>0.31503889056376244</v>
      </c>
      <c r="AS17" s="71">
        <f t="shared" si="6"/>
        <v>0.28668239507176629</v>
      </c>
      <c r="AT17" s="142">
        <f t="shared" si="6"/>
        <v>0.27087055378919023</v>
      </c>
      <c r="AU17" s="72">
        <f t="shared" si="6"/>
        <v>0.28363960430040147</v>
      </c>
      <c r="AV17" s="142">
        <f t="shared" si="6"/>
        <v>0.26567343821988865</v>
      </c>
      <c r="AW17" s="71">
        <f t="shared" si="6"/>
        <v>0.2409110761997928</v>
      </c>
      <c r="AX17" s="71">
        <f t="shared" si="6"/>
        <v>0.24348161696534354</v>
      </c>
      <c r="AY17" s="142">
        <f t="shared" si="6"/>
        <v>0.24497157290013294</v>
      </c>
      <c r="AZ17" s="72">
        <f t="shared" si="6"/>
        <v>0.24822998123470463</v>
      </c>
      <c r="BA17" s="142">
        <f t="shared" si="6"/>
        <v>0.24536805967891917</v>
      </c>
      <c r="BB17" s="71">
        <f t="shared" si="6"/>
        <v>0.24958828869283112</v>
      </c>
      <c r="BC17" s="71">
        <f t="shared" si="6"/>
        <v>0.252829522582529</v>
      </c>
      <c r="BD17" s="142">
        <f t="shared" si="6"/>
        <v>0.23928346454702742</v>
      </c>
      <c r="BE17" s="72">
        <f t="shared" si="6"/>
        <v>0.24669783686886393</v>
      </c>
      <c r="BF17" s="142">
        <f t="shared" si="6"/>
        <v>0.22912253972206087</v>
      </c>
      <c r="BG17" s="71">
        <f t="shared" si="6"/>
        <v>0.22660410554768351</v>
      </c>
      <c r="BH17" s="71">
        <f t="shared" si="6"/>
        <v>0.24907258040775204</v>
      </c>
      <c r="BI17" s="71">
        <f t="shared" si="6"/>
        <v>0.25423898566356828</v>
      </c>
      <c r="BJ17" s="72">
        <f t="shared" si="6"/>
        <v>0.24042891583370185</v>
      </c>
      <c r="BK17" s="142">
        <f t="shared" si="6"/>
        <v>0.24733049536671858</v>
      </c>
      <c r="BL17" s="71">
        <f t="shared" si="6"/>
        <v>0.23151207095346371</v>
      </c>
      <c r="BM17" s="71">
        <f t="shared" si="6"/>
        <v>0.23979677555009915</v>
      </c>
      <c r="BN17" s="71">
        <f t="shared" si="6"/>
        <v>0.22622267964634313</v>
      </c>
      <c r="BO17" s="72">
        <f t="shared" si="6"/>
        <v>0.2358192280622553</v>
      </c>
    </row>
    <row r="18" spans="1:67">
      <c r="A18" s="57" t="s">
        <v>62</v>
      </c>
      <c r="B18" s="156" t="s">
        <v>33</v>
      </c>
      <c r="G18" s="68"/>
      <c r="H18" s="71" t="str">
        <f>IFERROR(H15/F15-1,"--")</f>
        <v>--</v>
      </c>
      <c r="I18" s="71">
        <f>IFERROR(I15/H15-1,"--")</f>
        <v>0.3404368269376612</v>
      </c>
      <c r="J18" s="71">
        <f>IFERROR(J15/I15-1,"--")</f>
        <v>0.61001414427157008</v>
      </c>
      <c r="K18" s="71">
        <f>IFERROR(K15/J15-1,"--")</f>
        <v>0.2778929613100467</v>
      </c>
      <c r="L18" s="72" t="s">
        <v>36</v>
      </c>
      <c r="M18" s="71">
        <f>IFERROR(M15/K15-1,"--")</f>
        <v>0.17602089921627928</v>
      </c>
      <c r="N18" s="71">
        <f>IFERROR(N15/M15-1,"--")</f>
        <v>0.35196183884394139</v>
      </c>
      <c r="O18" s="71">
        <f>IFERROR(O15/N15-1,"--")</f>
        <v>0.19708395309419213</v>
      </c>
      <c r="P18" s="71">
        <f>IFERROR(P15/O15-1,"--")</f>
        <v>0.19099013191163516</v>
      </c>
      <c r="Q18" s="72" t="s">
        <v>36</v>
      </c>
      <c r="R18" s="71">
        <f>IFERROR(R15/P15-1,"--")</f>
        <v>0.23516352872670798</v>
      </c>
      <c r="S18" s="71">
        <f>IFERROR(S15/R15-1,"--")</f>
        <v>0.22981427462997339</v>
      </c>
      <c r="T18" s="71">
        <f>IFERROR(T15/S15-1,"--")</f>
        <v>0.18573504983388722</v>
      </c>
      <c r="U18" s="71">
        <f>IFERROR(U15/T15-1,"--")</f>
        <v>0.20081092185111094</v>
      </c>
      <c r="V18" s="72" t="s">
        <v>36</v>
      </c>
      <c r="W18" s="71">
        <f>IFERROR(W15/U15-1,"--")</f>
        <v>0.19935161087678366</v>
      </c>
      <c r="X18" s="71">
        <f>IFERROR(X15/W15-1,"--")</f>
        <v>0.1907730440069213</v>
      </c>
      <c r="Y18" s="71">
        <f>IFERROR(Y15/X15-1,"--")</f>
        <v>0.2271397320744788</v>
      </c>
      <c r="Z18" s="71">
        <f>IFERROR(Z15/Y15-1,"--")</f>
        <v>0.15074025949087555</v>
      </c>
      <c r="AA18" s="72" t="s">
        <v>36</v>
      </c>
      <c r="AB18" s="71">
        <f>IFERROR(AB15/Z15-1,"--")</f>
        <v>9.6996868377285494E-2</v>
      </c>
      <c r="AC18" s="71">
        <f>IFERROR(AC15/AB15-1,"--")</f>
        <v>0.18211918850808995</v>
      </c>
      <c r="AD18" s="71">
        <f>IFERROR(AD15/AC15-1,"--")</f>
        <v>0.12114063156811095</v>
      </c>
      <c r="AE18" s="71">
        <f>IFERROR(AE15/AD15-1,"--")</f>
        <v>6.2318269466209664E-2</v>
      </c>
      <c r="AF18" s="72" t="s">
        <v>36</v>
      </c>
      <c r="AG18" s="71">
        <f>IFERROR(AG15/AE15-1,"--")</f>
        <v>6.2562913155985056E-2</v>
      </c>
      <c r="AH18" s="71">
        <f>IFERROR(AH15/AG15-1,"--")</f>
        <v>8.4967597174582021E-2</v>
      </c>
      <c r="AI18" s="71">
        <f>IFERROR(AI15/AH15-1,"--")</f>
        <v>9.1015590221318332E-2</v>
      </c>
      <c r="AJ18" s="71">
        <f>IFERROR(AJ15/AI15-1,"--")</f>
        <v>5.6711879257471454E-2</v>
      </c>
      <c r="AK18" s="72" t="s">
        <v>36</v>
      </c>
      <c r="AL18" s="71">
        <f>IFERROR(AL15/AJ15-1,"--")</f>
        <v>6.977062417862312E-2</v>
      </c>
      <c r="AM18" s="71">
        <f>IFERROR(AM15/AL15-1,"--")</f>
        <v>5.0232589948922657E-2</v>
      </c>
      <c r="AN18" s="71">
        <f>IFERROR(AN15/AM15-1,"--")</f>
        <v>8.5658124811576863E-2</v>
      </c>
      <c r="AO18" s="71">
        <f>IFERROR(AO15/AN15-1,"--")</f>
        <v>4.7786138121166388E-2</v>
      </c>
      <c r="AP18" s="72" t="s">
        <v>36</v>
      </c>
      <c r="AQ18" s="71">
        <f>IFERROR(AQ15/AO15-1,"--")</f>
        <v>5.6726205683645725E-2</v>
      </c>
      <c r="AR18" s="71">
        <f>IFERROR(AR15/AQ15-1,"--")</f>
        <v>9.398252229856574E-2</v>
      </c>
      <c r="AS18" s="71">
        <f>IFERROR(AS15/AR15-1,"--")</f>
        <v>6.2247821174951534E-2</v>
      </c>
      <c r="AT18" s="71">
        <f>IFERROR(AT15/AS15-1,"--")</f>
        <v>3.4910056053430338E-2</v>
      </c>
      <c r="AU18" s="72" t="s">
        <v>36</v>
      </c>
      <c r="AV18" s="71">
        <f>IFERROR(AV15/AT15-1,"--")</f>
        <v>5.240481496476157E-2</v>
      </c>
      <c r="AW18" s="71">
        <f>IFERROR(AW15/AV15-1,"--")</f>
        <v>7.2579219959445052E-2</v>
      </c>
      <c r="AX18" s="71">
        <f>IFERROR(AX15/AW15-1,"--")</f>
        <v>6.4448261947718022E-2</v>
      </c>
      <c r="AY18" s="71">
        <f>IFERROR(AY15/AX15-1,"--")</f>
        <v>3.6150098816389198E-2</v>
      </c>
      <c r="AZ18" s="72" t="s">
        <v>36</v>
      </c>
      <c r="BA18" s="71">
        <f>IFERROR(BA15/AY15-1,"--")</f>
        <v>5.273997490266491E-2</v>
      </c>
      <c r="BB18" s="71">
        <f>IFERROR(BB15/BA15-1,"--")</f>
        <v>7.6213912457467448E-2</v>
      </c>
      <c r="BC18" s="71">
        <f>IFERROR(BC15/BB15-1,"--")</f>
        <v>6.7209271963316164E-2</v>
      </c>
      <c r="BD18" s="71">
        <f>IFERROR(BD15/BC15-1,"--")</f>
        <v>2.4946859174394875E-2</v>
      </c>
      <c r="BE18" s="72" t="s">
        <v>36</v>
      </c>
      <c r="BF18" s="71">
        <f>IFERROR(BF15/BD15-1,"--")</f>
        <v>4.4108526125017367E-2</v>
      </c>
      <c r="BG18" s="71">
        <f>IFERROR(BG15/BF15-1,"--")</f>
        <v>7.4008783344233331E-2</v>
      </c>
      <c r="BH18" s="71">
        <f>IFERROR(BH15/BG15-1,"--")</f>
        <v>8.6758011926838075E-2</v>
      </c>
      <c r="BI18" s="71">
        <f>IFERROR(BI15/BH15-1,"--")</f>
        <v>2.9186237192317721E-2</v>
      </c>
      <c r="BJ18" s="72" t="s">
        <v>36</v>
      </c>
      <c r="BK18" s="71">
        <f>IFERROR(BK15/BI15-1,"--")</f>
        <v>3.8357458183386761E-2</v>
      </c>
      <c r="BL18" s="71">
        <f>IFERROR(BL15/BK15-1,"--")</f>
        <v>6.0388394183854777E-2</v>
      </c>
      <c r="BM18" s="71">
        <f>IFERROR(BM15/BL15-1,"--")</f>
        <v>9.4068918014725389E-2</v>
      </c>
      <c r="BN18" s="71">
        <f>IFERROR(BN15/BM15-1,"--")</f>
        <v>1.7918041499297432E-2</v>
      </c>
      <c r="BO18" s="72" t="s">
        <v>36</v>
      </c>
    </row>
    <row r="19" spans="1:67">
      <c r="B19" s="157" t="s">
        <v>35</v>
      </c>
      <c r="G19" s="68"/>
      <c r="H19" s="71">
        <f t="shared" ref="H19:AM19" si="7">H15/H$11</f>
        <v>0.98380959486682085</v>
      </c>
      <c r="I19" s="71">
        <f t="shared" si="7"/>
        <v>0.98715442613795024</v>
      </c>
      <c r="J19" s="71">
        <f t="shared" si="7"/>
        <v>0.99222454672245475</v>
      </c>
      <c r="K19" s="71">
        <f t="shared" si="7"/>
        <v>0.99146627406074483</v>
      </c>
      <c r="L19" s="72">
        <f t="shared" si="7"/>
        <v>0.98983096435147822</v>
      </c>
      <c r="M19" s="71">
        <f t="shared" si="7"/>
        <v>0.97851504404530376</v>
      </c>
      <c r="N19" s="71">
        <f t="shared" si="7"/>
        <v>0.95821939375859722</v>
      </c>
      <c r="O19" s="71">
        <f t="shared" si="7"/>
        <v>0.94796745740426225</v>
      </c>
      <c r="P19" s="71">
        <f t="shared" si="7"/>
        <v>0.94001733339415217</v>
      </c>
      <c r="Q19" s="72">
        <f t="shared" si="7"/>
        <v>0.95271352380376806</v>
      </c>
      <c r="R19" s="71">
        <f t="shared" si="7"/>
        <v>0.93568901346321731</v>
      </c>
      <c r="S19" s="71">
        <f t="shared" si="7"/>
        <v>0.94044838334146996</v>
      </c>
      <c r="T19" s="71">
        <f t="shared" si="7"/>
        <v>0.93014208389715824</v>
      </c>
      <c r="U19" s="71">
        <f t="shared" si="7"/>
        <v>0.93606699393589377</v>
      </c>
      <c r="V19" s="72">
        <f t="shared" si="7"/>
        <v>0.93538541573417067</v>
      </c>
      <c r="W19" s="71">
        <f t="shared" si="7"/>
        <v>0.93410625824545457</v>
      </c>
      <c r="X19" s="71">
        <f t="shared" si="7"/>
        <v>0.93543303036760006</v>
      </c>
      <c r="Y19" s="71">
        <f t="shared" si="7"/>
        <v>0.93426942270834012</v>
      </c>
      <c r="Z19" s="71">
        <f t="shared" si="7"/>
        <v>0.93690036323461201</v>
      </c>
      <c r="AA19" s="72">
        <f t="shared" si="7"/>
        <v>0.93532661870031586</v>
      </c>
      <c r="AB19" s="71">
        <f t="shared" si="7"/>
        <v>0.93385672785300122</v>
      </c>
      <c r="AC19" s="71">
        <f t="shared" si="7"/>
        <v>0.93769708475448865</v>
      </c>
      <c r="AD19" s="71">
        <f t="shared" si="7"/>
        <v>0.93846628894777284</v>
      </c>
      <c r="AE19" s="71">
        <f t="shared" si="7"/>
        <v>0.94281440785586712</v>
      </c>
      <c r="AF19" s="72">
        <f t="shared" si="7"/>
        <v>0.9385784391324995</v>
      </c>
      <c r="AG19" s="71">
        <f t="shared" si="7"/>
        <v>0.94623628325253883</v>
      </c>
      <c r="AH19" s="71">
        <f t="shared" si="7"/>
        <v>0.94983961852650822</v>
      </c>
      <c r="AI19" s="71">
        <f t="shared" si="7"/>
        <v>0.95138066913384167</v>
      </c>
      <c r="AJ19" s="71">
        <f t="shared" si="7"/>
        <v>0.95274422711272377</v>
      </c>
      <c r="AK19" s="72">
        <f t="shared" si="7"/>
        <v>0.95024388123381209</v>
      </c>
      <c r="AL19" s="71">
        <f t="shared" si="7"/>
        <v>0.95279163132052391</v>
      </c>
      <c r="AM19" s="71">
        <f t="shared" si="7"/>
        <v>0.95445217265196713</v>
      </c>
      <c r="AN19" s="71">
        <f t="shared" ref="AN19:BO19" si="8">AN15/AN$11</f>
        <v>0.9556180168857884</v>
      </c>
      <c r="AO19" s="71">
        <f t="shared" si="8"/>
        <v>0.95595022142951247</v>
      </c>
      <c r="AP19" s="72">
        <f t="shared" si="8"/>
        <v>0.95478320624664259</v>
      </c>
      <c r="AQ19" s="71">
        <f t="shared" si="8"/>
        <v>0.95656642426545513</v>
      </c>
      <c r="AR19" s="71">
        <f t="shared" si="8"/>
        <v>0.9524240394281418</v>
      </c>
      <c r="AS19" s="71">
        <f t="shared" ref="AS19" si="9">AS15/AS$11</f>
        <v>0.95504032041975129</v>
      </c>
      <c r="AT19" s="71">
        <f t="shared" si="8"/>
        <v>0.95997203101018058</v>
      </c>
      <c r="AU19" s="72">
        <f t="shared" si="8"/>
        <v>0.95606284961468702</v>
      </c>
      <c r="AV19" s="71">
        <f t="shared" si="8"/>
        <v>0.960875243165078</v>
      </c>
      <c r="AW19" s="71">
        <f t="shared" si="8"/>
        <v>0.95630720324858287</v>
      </c>
      <c r="AX19" s="71">
        <f t="shared" si="8"/>
        <v>0.95880101855557898</v>
      </c>
      <c r="AY19" s="71">
        <f t="shared" si="8"/>
        <v>0.96337831948216535</v>
      </c>
      <c r="AZ19" s="72">
        <f t="shared" si="8"/>
        <v>0.95988862578563561</v>
      </c>
      <c r="BA19" s="71">
        <f t="shared" si="8"/>
        <v>0.96437053505657611</v>
      </c>
      <c r="BB19" s="71">
        <f t="shared" si="8"/>
        <v>0.96032278788515868</v>
      </c>
      <c r="BC19" s="71">
        <f t="shared" si="8"/>
        <v>0.96268953117949718</v>
      </c>
      <c r="BD19" s="71">
        <f t="shared" si="8"/>
        <v>0.96649953472056138</v>
      </c>
      <c r="BE19" s="72">
        <f t="shared" si="8"/>
        <v>0.96350625188453365</v>
      </c>
      <c r="BF19" s="71">
        <f t="shared" si="8"/>
        <v>0.96729008296083752</v>
      </c>
      <c r="BG19" s="71">
        <f t="shared" si="8"/>
        <v>0.96348940047046694</v>
      </c>
      <c r="BH19" s="71">
        <f t="shared" si="8"/>
        <v>0.96627064092180337</v>
      </c>
      <c r="BI19" s="71">
        <f t="shared" si="8"/>
        <v>0.96984739625844629</v>
      </c>
      <c r="BJ19" s="72">
        <f t="shared" si="8"/>
        <v>0.96678941979346189</v>
      </c>
      <c r="BK19" s="71">
        <f t="shared" si="8"/>
        <v>0.97040312383211558</v>
      </c>
      <c r="BL19" s="71">
        <f t="shared" si="8"/>
        <v>0.96654150658652227</v>
      </c>
      <c r="BM19" s="71">
        <f t="shared" si="8"/>
        <v>0.96929786474164736</v>
      </c>
      <c r="BN19" s="71">
        <f t="shared" si="8"/>
        <v>0.97226741671834926</v>
      </c>
      <c r="BO19" s="72">
        <f t="shared" si="8"/>
        <v>0.96967719789533202</v>
      </c>
    </row>
    <row r="20" spans="1:67">
      <c r="B20" s="157"/>
      <c r="G20" s="68"/>
      <c r="H20" s="71"/>
      <c r="I20" s="71"/>
      <c r="J20" s="71"/>
      <c r="K20" s="71"/>
      <c r="L20" s="72"/>
      <c r="M20" s="71"/>
      <c r="N20" s="71"/>
      <c r="O20" s="71"/>
      <c r="P20" s="71"/>
      <c r="Q20" s="72"/>
      <c r="R20" s="71"/>
      <c r="S20" s="71"/>
      <c r="T20" s="71"/>
      <c r="U20" s="71"/>
      <c r="V20" s="72"/>
      <c r="W20" s="71"/>
      <c r="X20" s="71"/>
      <c r="Y20" s="71"/>
      <c r="Z20" s="71"/>
      <c r="AA20" s="72"/>
      <c r="AB20" s="71"/>
      <c r="AC20" s="71"/>
      <c r="AD20" s="71"/>
      <c r="AE20" s="71"/>
      <c r="AF20" s="72"/>
      <c r="AG20" s="71"/>
      <c r="AH20" s="71"/>
      <c r="AI20" s="71"/>
      <c r="AJ20" s="71"/>
      <c r="AK20" s="72"/>
      <c r="AL20" s="71"/>
      <c r="AM20" s="71"/>
      <c r="AN20" s="71"/>
      <c r="AO20" s="71"/>
      <c r="AP20" s="72"/>
      <c r="AQ20" s="71"/>
      <c r="AR20" s="71"/>
      <c r="AS20" s="71"/>
      <c r="AT20" s="71"/>
      <c r="AU20" s="72"/>
      <c r="AV20" s="71"/>
      <c r="AW20" s="71"/>
      <c r="AX20" s="71"/>
      <c r="AY20" s="71"/>
      <c r="AZ20" s="72"/>
      <c r="BA20" s="71"/>
      <c r="BB20" s="71"/>
      <c r="BC20" s="71"/>
      <c r="BD20" s="71"/>
      <c r="BE20" s="72"/>
      <c r="BF20" s="71"/>
      <c r="BG20" s="71"/>
      <c r="BH20" s="71"/>
      <c r="BI20" s="71"/>
      <c r="BJ20" s="72"/>
      <c r="BK20" s="71"/>
      <c r="BL20" s="71"/>
      <c r="BM20" s="71"/>
      <c r="BN20" s="71"/>
      <c r="BO20" s="72"/>
    </row>
    <row r="21" spans="1:67">
      <c r="B21" s="937" t="s">
        <v>439</v>
      </c>
      <c r="G21" s="68"/>
      <c r="H21" s="71"/>
      <c r="I21" s="71"/>
      <c r="J21" s="71"/>
      <c r="K21" s="71"/>
      <c r="L21" s="72"/>
      <c r="M21" s="71"/>
      <c r="N21" s="71"/>
      <c r="O21" s="71"/>
      <c r="P21" s="71"/>
      <c r="Q21" s="72"/>
      <c r="R21" s="71"/>
      <c r="S21" s="71"/>
      <c r="T21" s="71"/>
      <c r="U21" s="71"/>
      <c r="V21" s="72"/>
      <c r="W21" s="71"/>
      <c r="X21" s="71"/>
      <c r="Y21" s="71"/>
      <c r="Z21" s="241"/>
      <c r="AA21" s="72"/>
      <c r="AB21" s="71"/>
      <c r="AC21" s="71"/>
      <c r="AD21" s="71"/>
      <c r="AE21" s="71"/>
      <c r="AF21" s="72"/>
      <c r="AG21" s="71"/>
      <c r="AH21" s="71"/>
      <c r="AI21" s="71"/>
      <c r="AJ21" s="71"/>
      <c r="AK21" s="939"/>
      <c r="AL21" s="940">
        <f>AG15*(1+AL22)</f>
        <v>778.89503999999999</v>
      </c>
      <c r="AM21" s="71"/>
      <c r="AN21" s="71"/>
      <c r="AO21" s="71"/>
      <c r="AP21" s="72"/>
      <c r="AQ21" s="940"/>
      <c r="AR21" s="71"/>
      <c r="AS21" s="71"/>
      <c r="AT21" s="71"/>
      <c r="AU21" s="72"/>
      <c r="AV21" s="71"/>
      <c r="AW21" s="71"/>
      <c r="AX21" s="71"/>
      <c r="AY21" s="71"/>
      <c r="AZ21" s="72"/>
      <c r="BA21" s="71"/>
      <c r="BB21" s="71"/>
      <c r="BC21" s="71"/>
      <c r="BD21" s="71"/>
      <c r="BE21" s="72"/>
      <c r="BF21" s="71"/>
      <c r="BG21" s="71"/>
      <c r="BH21" s="71"/>
      <c r="BI21" s="71"/>
      <c r="BJ21" s="72"/>
      <c r="BK21" s="71"/>
      <c r="BL21" s="71"/>
      <c r="BM21" s="71"/>
      <c r="BN21" s="71"/>
      <c r="BO21" s="72"/>
    </row>
    <row r="22" spans="1:67">
      <c r="B22" s="156" t="s">
        <v>32</v>
      </c>
      <c r="G22" s="68"/>
      <c r="H22" s="71"/>
      <c r="I22" s="71"/>
      <c r="J22" s="71"/>
      <c r="K22" s="71"/>
      <c r="L22" s="72"/>
      <c r="M22" s="71"/>
      <c r="N22" s="71"/>
      <c r="O22" s="71"/>
      <c r="P22" s="71"/>
      <c r="Q22" s="72"/>
      <c r="R22" s="71"/>
      <c r="S22" s="71"/>
      <c r="T22" s="71"/>
      <c r="U22" s="71"/>
      <c r="V22" s="72"/>
      <c r="W22" s="71"/>
      <c r="X22" s="71"/>
      <c r="Y22" s="71"/>
      <c r="Z22" s="71"/>
      <c r="AA22" s="72"/>
      <c r="AB22" s="71"/>
      <c r="AC22" s="71"/>
      <c r="AD22" s="71"/>
      <c r="AE22" s="71"/>
      <c r="AF22" s="72"/>
      <c r="AG22" s="71"/>
      <c r="AH22" s="71"/>
      <c r="AI22" s="71"/>
      <c r="AJ22" s="71"/>
      <c r="AK22" s="72"/>
      <c r="AL22" s="938">
        <v>0.32</v>
      </c>
      <c r="AM22" s="71"/>
      <c r="AN22" s="71"/>
      <c r="AO22" s="71"/>
      <c r="AP22" s="72"/>
      <c r="AQ22" s="938"/>
      <c r="AR22" s="71"/>
      <c r="AS22" s="71"/>
      <c r="AT22" s="71"/>
      <c r="AU22" s="72"/>
      <c r="AV22" s="71"/>
      <c r="AW22" s="71"/>
      <c r="AX22" s="71"/>
      <c r="AY22" s="71"/>
      <c r="AZ22" s="72"/>
      <c r="BA22" s="71"/>
      <c r="BB22" s="71"/>
      <c r="BC22" s="71"/>
      <c r="BD22" s="71"/>
      <c r="BE22" s="72"/>
      <c r="BF22" s="71"/>
      <c r="BG22" s="71"/>
      <c r="BH22" s="71"/>
      <c r="BI22" s="71"/>
      <c r="BJ22" s="72"/>
      <c r="BK22" s="71"/>
      <c r="BL22" s="71"/>
      <c r="BM22" s="71"/>
      <c r="BN22" s="71"/>
      <c r="BO22" s="72"/>
    </row>
    <row r="23" spans="1:67">
      <c r="B23" s="156" t="s">
        <v>33</v>
      </c>
      <c r="G23" s="68"/>
      <c r="H23" s="71"/>
      <c r="I23" s="71"/>
      <c r="J23" s="71"/>
      <c r="K23" s="71"/>
      <c r="L23" s="72"/>
      <c r="M23" s="71"/>
      <c r="N23" s="71"/>
      <c r="O23" s="71"/>
      <c r="P23" s="71"/>
      <c r="Q23" s="72"/>
      <c r="R23" s="71"/>
      <c r="S23" s="71"/>
      <c r="T23" s="71"/>
      <c r="U23" s="71"/>
      <c r="V23" s="72"/>
      <c r="W23" s="71"/>
      <c r="X23" s="71"/>
      <c r="Y23" s="71"/>
      <c r="Z23" s="71"/>
      <c r="AA23" s="72"/>
      <c r="AB23" s="71"/>
      <c r="AC23" s="71"/>
      <c r="AD23" s="71"/>
      <c r="AE23" s="71"/>
      <c r="AF23" s="72"/>
      <c r="AG23" s="71"/>
      <c r="AH23" s="71"/>
      <c r="AI23" s="71"/>
      <c r="AJ23" s="71"/>
      <c r="AK23" s="72"/>
      <c r="AL23" s="117">
        <f>IFERROR(AL21/AJ15-1,"--")</f>
        <v>5.5284640084542591E-2</v>
      </c>
      <c r="AM23" s="71"/>
      <c r="AN23" s="71"/>
      <c r="AO23" s="71"/>
      <c r="AP23" s="72"/>
      <c r="AQ23" s="117"/>
      <c r="AR23" s="71"/>
      <c r="AS23" s="71"/>
      <c r="AT23" s="71"/>
      <c r="AU23" s="72"/>
      <c r="AV23" s="71"/>
      <c r="AW23" s="71"/>
      <c r="AX23" s="71"/>
      <c r="AY23" s="71"/>
      <c r="AZ23" s="72"/>
      <c r="BA23" s="71"/>
      <c r="BB23" s="71"/>
      <c r="BC23" s="71"/>
      <c r="BD23" s="71"/>
      <c r="BE23" s="72"/>
      <c r="BF23" s="71"/>
      <c r="BG23" s="71"/>
      <c r="BH23" s="71"/>
      <c r="BI23" s="71"/>
      <c r="BJ23" s="72"/>
      <c r="BK23" s="71"/>
      <c r="BL23" s="71"/>
      <c r="BM23" s="71"/>
      <c r="BN23" s="71"/>
      <c r="BO23" s="72"/>
    </row>
    <row r="24" spans="1:67">
      <c r="B24" s="156" t="s">
        <v>440</v>
      </c>
      <c r="G24" s="68"/>
      <c r="H24" s="71"/>
      <c r="I24" s="71"/>
      <c r="J24" s="71"/>
      <c r="K24" s="71"/>
      <c r="L24" s="72"/>
      <c r="M24" s="71"/>
      <c r="N24" s="71"/>
      <c r="O24" s="71"/>
      <c r="P24" s="71"/>
      <c r="Q24" s="72"/>
      <c r="R24" s="71"/>
      <c r="S24" s="71"/>
      <c r="T24" s="71"/>
      <c r="U24" s="71"/>
      <c r="V24" s="72"/>
      <c r="W24" s="71"/>
      <c r="X24" s="71"/>
      <c r="Y24" s="71"/>
      <c r="Z24" s="71"/>
      <c r="AA24" s="72"/>
      <c r="AB24" s="71"/>
      <c r="AC24" s="71"/>
      <c r="AD24" s="71"/>
      <c r="AE24" s="71"/>
      <c r="AF24" s="72"/>
      <c r="AG24" s="71"/>
      <c r="AH24" s="71"/>
      <c r="AI24" s="71"/>
      <c r="AJ24" s="71"/>
      <c r="AK24" s="72"/>
      <c r="AL24" s="940">
        <f>IFERROR(AL15-AG15,"--")</f>
        <v>199.51499999999999</v>
      </c>
      <c r="AM24" s="71"/>
      <c r="AN24" s="71"/>
      <c r="AO24" s="71"/>
      <c r="AP24" s="72"/>
      <c r="AQ24" s="940"/>
      <c r="AR24" s="71"/>
      <c r="AS24" s="71"/>
      <c r="AT24" s="71"/>
      <c r="AU24" s="72"/>
      <c r="AV24" s="71"/>
      <c r="AW24" s="71"/>
      <c r="AX24" s="71"/>
      <c r="AY24" s="71"/>
      <c r="AZ24" s="72"/>
      <c r="BA24" s="71"/>
      <c r="BB24" s="71"/>
      <c r="BC24" s="71"/>
      <c r="BD24" s="71"/>
      <c r="BE24" s="72"/>
      <c r="BF24" s="71"/>
      <c r="BG24" s="71"/>
      <c r="BH24" s="71"/>
      <c r="BI24" s="71"/>
      <c r="BJ24" s="72"/>
      <c r="BK24" s="71"/>
      <c r="BL24" s="71"/>
      <c r="BM24" s="71"/>
      <c r="BN24" s="71"/>
      <c r="BO24" s="72"/>
    </row>
    <row r="25" spans="1:67">
      <c r="B25" s="156" t="s">
        <v>441</v>
      </c>
      <c r="G25" s="68"/>
      <c r="H25" s="71"/>
      <c r="I25" s="71"/>
      <c r="J25" s="71"/>
      <c r="K25" s="71"/>
      <c r="L25" s="72"/>
      <c r="M25" s="71"/>
      <c r="N25" s="71"/>
      <c r="O25" s="71"/>
      <c r="P25" s="71"/>
      <c r="Q25" s="72"/>
      <c r="R25" s="71"/>
      <c r="S25" s="71"/>
      <c r="T25" s="71"/>
      <c r="U25" s="71"/>
      <c r="V25" s="72"/>
      <c r="W25" s="71"/>
      <c r="X25" s="71"/>
      <c r="Y25" s="71"/>
      <c r="Z25" s="71"/>
      <c r="AA25" s="72"/>
      <c r="AB25" s="71"/>
      <c r="AC25" s="71"/>
      <c r="AD25" s="71"/>
      <c r="AE25" s="71"/>
      <c r="AF25" s="72"/>
      <c r="AG25" s="71"/>
      <c r="AH25" s="71"/>
      <c r="AI25" s="71"/>
      <c r="AJ25" s="71"/>
      <c r="AK25" s="72"/>
      <c r="AL25" s="940">
        <f>IFERROR(AL21-AJ15,"--")</f>
        <v>40.805039999999963</v>
      </c>
      <c r="AM25" s="71"/>
      <c r="AN25" s="71"/>
      <c r="AO25" s="71"/>
      <c r="AP25" s="72"/>
      <c r="AQ25" s="940"/>
      <c r="AR25" s="71"/>
      <c r="AS25" s="71"/>
      <c r="AT25" s="71"/>
      <c r="AU25" s="72"/>
      <c r="AV25" s="71"/>
      <c r="AW25" s="71"/>
      <c r="AX25" s="71"/>
      <c r="AY25" s="71"/>
      <c r="AZ25" s="72"/>
      <c r="BA25" s="71"/>
      <c r="BB25" s="71"/>
      <c r="BC25" s="71"/>
      <c r="BD25" s="71"/>
      <c r="BE25" s="72"/>
      <c r="BF25" s="71"/>
      <c r="BG25" s="71"/>
      <c r="BH25" s="71"/>
      <c r="BI25" s="71"/>
      <c r="BJ25" s="72"/>
      <c r="BK25" s="71"/>
      <c r="BL25" s="71"/>
      <c r="BM25" s="71"/>
      <c r="BN25" s="71"/>
      <c r="BO25" s="72"/>
    </row>
    <row r="26" spans="1:67">
      <c r="B26" s="156"/>
      <c r="G26" s="68"/>
      <c r="H26" s="71"/>
      <c r="I26" s="71"/>
      <c r="J26" s="71"/>
      <c r="K26" s="71"/>
      <c r="L26" s="72"/>
      <c r="M26" s="71"/>
      <c r="N26" s="71"/>
      <c r="O26" s="71"/>
      <c r="P26" s="71"/>
      <c r="Q26" s="72"/>
      <c r="R26" s="71"/>
      <c r="S26" s="71"/>
      <c r="T26" s="71"/>
      <c r="U26" s="71"/>
      <c r="V26" s="72"/>
      <c r="W26" s="71"/>
      <c r="X26" s="71"/>
      <c r="Y26" s="71"/>
      <c r="Z26" s="71"/>
      <c r="AA26" s="72"/>
      <c r="AB26" s="71"/>
      <c r="AC26" s="71"/>
      <c r="AD26" s="71"/>
      <c r="AE26" s="71"/>
      <c r="AF26" s="72"/>
      <c r="AG26" s="71"/>
      <c r="AH26" s="71"/>
      <c r="AI26" s="71"/>
      <c r="AJ26" s="71"/>
      <c r="AK26" s="72"/>
      <c r="AL26" s="84"/>
      <c r="AM26" s="71"/>
      <c r="AN26" s="71"/>
      <c r="AO26" s="71"/>
      <c r="AP26" s="72"/>
      <c r="AQ26" s="84"/>
      <c r="AR26" s="71"/>
      <c r="AS26" s="71"/>
      <c r="AT26" s="71"/>
      <c r="AU26" s="72"/>
      <c r="AV26" s="71"/>
      <c r="AW26" s="71"/>
      <c r="AX26" s="71"/>
      <c r="AY26" s="71"/>
      <c r="AZ26" s="72"/>
      <c r="BA26" s="71"/>
      <c r="BB26" s="71"/>
      <c r="BC26" s="71"/>
      <c r="BD26" s="71"/>
      <c r="BE26" s="72"/>
      <c r="BF26" s="71"/>
      <c r="BG26" s="71"/>
      <c r="BH26" s="71"/>
      <c r="BI26" s="71"/>
      <c r="BJ26" s="72"/>
      <c r="BK26" s="71"/>
      <c r="BL26" s="71"/>
      <c r="BM26" s="71"/>
      <c r="BN26" s="71"/>
      <c r="BO26" s="72"/>
    </row>
    <row r="27" spans="1:67">
      <c r="B27" s="240" t="s">
        <v>186</v>
      </c>
      <c r="G27" s="68"/>
      <c r="H27" s="71"/>
      <c r="I27" s="241">
        <f>I15-H15</f>
        <v>4.4890000000000008</v>
      </c>
      <c r="J27" s="241">
        <f>J15-I15</f>
        <v>10.782</v>
      </c>
      <c r="K27" s="241">
        <f>K15-J15</f>
        <v>7.9080000000000013</v>
      </c>
      <c r="L27" s="72"/>
      <c r="M27" s="241">
        <f>M15-K15</f>
        <v>6.4009999999999962</v>
      </c>
      <c r="N27" s="241">
        <f>N15-M15</f>
        <v>15.052</v>
      </c>
      <c r="O27" s="241">
        <f>O15-N15</f>
        <v>11.394999999999996</v>
      </c>
      <c r="P27" s="241">
        <f>P15-O15</f>
        <v>13.219000000000008</v>
      </c>
      <c r="Q27" s="242">
        <f>SUM(M27:P27)</f>
        <v>46.067</v>
      </c>
      <c r="R27" s="241">
        <f>R15-P15</f>
        <v>19.384999999999991</v>
      </c>
      <c r="S27" s="241">
        <f>S15-R15</f>
        <v>23.399000000000001</v>
      </c>
      <c r="T27" s="241">
        <f>T15-S15</f>
        <v>23.257000000000019</v>
      </c>
      <c r="U27" s="241">
        <f>U15-T15</f>
        <v>29.814999999999998</v>
      </c>
      <c r="V27" s="242">
        <f>SUM(R27:U27)</f>
        <v>95.856000000000009</v>
      </c>
      <c r="W27" s="241">
        <f>W15-U15</f>
        <v>35.542000000000002</v>
      </c>
      <c r="X27" s="241">
        <f>X15-W15</f>
        <v>40.792999999999978</v>
      </c>
      <c r="Y27" s="241">
        <f>Y15-X15</f>
        <v>57.835000000000036</v>
      </c>
      <c r="Z27" s="241">
        <f>Z15-Y15</f>
        <v>47.099999999999966</v>
      </c>
      <c r="AA27" s="242">
        <f>SUM(W27:Z27)</f>
        <v>181.26999999999998</v>
      </c>
      <c r="AB27" s="241">
        <f>AB15-Z15</f>
        <v>34.876000000000033</v>
      </c>
      <c r="AC27" s="241">
        <f>AC15-AB15</f>
        <v>71.833999999999946</v>
      </c>
      <c r="AD27" s="241">
        <f>AD15-AC15</f>
        <v>56.48399999999998</v>
      </c>
      <c r="AE27" s="241">
        <f>AE15-AD15</f>
        <v>32.576999999999998</v>
      </c>
      <c r="AF27" s="242">
        <f>SUM(AB27:AE27)</f>
        <v>195.77099999999996</v>
      </c>
      <c r="AG27" s="241">
        <f>AG15-AE15</f>
        <v>34.743000000000052</v>
      </c>
      <c r="AH27" s="241">
        <f>AH15-AG15</f>
        <v>50.136999999999944</v>
      </c>
      <c r="AI27" s="241">
        <f>AI15-AH15</f>
        <v>58.269000000000005</v>
      </c>
      <c r="AJ27" s="241">
        <f>AJ15-AI15</f>
        <v>39.61200000000008</v>
      </c>
      <c r="AK27" s="242">
        <f>SUM(AG27:AJ27)</f>
        <v>182.76100000000008</v>
      </c>
      <c r="AL27" s="241">
        <f>AL15-AJ15</f>
        <v>51.496999999999957</v>
      </c>
      <c r="AM27" s="241">
        <f>AM15-AL15</f>
        <v>39.663000000000011</v>
      </c>
      <c r="AN27" s="241">
        <f>AN15-AM15</f>
        <v>71.032000000000039</v>
      </c>
      <c r="AO27" s="241">
        <f>AO15-AN15</f>
        <v>43.020999999999958</v>
      </c>
      <c r="AP27" s="242">
        <f>SUM(AL27:AO27)</f>
        <v>205.21299999999997</v>
      </c>
      <c r="AQ27" s="241">
        <f>AQ15-AO15</f>
        <v>53.509999999999991</v>
      </c>
      <c r="AR27" s="241">
        <f>AR15-AQ15</f>
        <v>93.683000000000106</v>
      </c>
      <c r="AS27" s="241">
        <f>AS15-AR15</f>
        <v>67.880999999999858</v>
      </c>
      <c r="AT27" s="241">
        <f>AT15-AS15</f>
        <v>40.4390060010046</v>
      </c>
      <c r="AU27" s="242">
        <f>SUM(AQ27:AT27)</f>
        <v>255.51300600100456</v>
      </c>
      <c r="AV27" s="241">
        <f>AV15-AT15</f>
        <v>62.8237309712772</v>
      </c>
      <c r="AW27" s="241">
        <f>AW15-AV15</f>
        <v>91.568827979287562</v>
      </c>
      <c r="AX27" s="241">
        <f>AX15-AW15</f>
        <v>87.211940063894417</v>
      </c>
      <c r="AY27" s="241">
        <f>AY15-AX15</f>
        <v>52.071343593462188</v>
      </c>
      <c r="AZ27" s="242">
        <f>SUM(AV27:AY27)</f>
        <v>293.67584260792137</v>
      </c>
      <c r="BA27" s="241">
        <f>BA15-AY15</f>
        <v>78.713982638066682</v>
      </c>
      <c r="BB27" s="241">
        <f>BB15-BA15</f>
        <v>119.74774367532063</v>
      </c>
      <c r="BC27" s="241">
        <f>BC15-BB15</f>
        <v>113.64775869429559</v>
      </c>
      <c r="BD27" s="241">
        <f>BD15-BC15</f>
        <v>45.019135335658575</v>
      </c>
      <c r="BE27" s="242">
        <f>SUM(BA27:BD27)</f>
        <v>357.12862034334148</v>
      </c>
      <c r="BF27" s="241">
        <f>BF15-BD15</f>
        <v>81.584032776147978</v>
      </c>
      <c r="BG27" s="241">
        <f>BG15-BF15</f>
        <v>142.92609556182651</v>
      </c>
      <c r="BH27" s="241">
        <f>BH15-BG15</f>
        <v>179.94744709752649</v>
      </c>
      <c r="BI27" s="241">
        <f>BI15-BH15</f>
        <v>65.78805645349712</v>
      </c>
      <c r="BJ27" s="242">
        <f>SUM(BF27:BI27)</f>
        <v>470.2456318889981</v>
      </c>
      <c r="BK27" s="241">
        <f>BK15-BI15</f>
        <v>88.98416695407559</v>
      </c>
      <c r="BL27" s="241">
        <f>BL15-BK15</f>
        <v>145.46659950150934</v>
      </c>
      <c r="BM27" s="241">
        <f>BM15-BL15</f>
        <v>240.28182397337787</v>
      </c>
      <c r="BN27" s="241">
        <f>BN15-BM15</f>
        <v>50.073735324062</v>
      </c>
      <c r="BO27" s="242">
        <f>SUM(BK27:BN27)</f>
        <v>524.80632575302479</v>
      </c>
    </row>
    <row r="28" spans="1:67">
      <c r="B28" s="157" t="str">
        <f>B52</f>
        <v>% yoy</v>
      </c>
      <c r="G28" s="68"/>
      <c r="H28" s="71"/>
      <c r="I28" s="71"/>
      <c r="J28" s="71"/>
      <c r="K28" s="71"/>
      <c r="L28" s="72"/>
      <c r="M28" s="71"/>
      <c r="N28" s="117">
        <f>N27/I27</f>
        <v>3.3530853196703045</v>
      </c>
      <c r="O28" s="117">
        <f>O27/J27</f>
        <v>1.056854015952513</v>
      </c>
      <c r="P28" s="117">
        <f>P27/K27</f>
        <v>1.671598381385939</v>
      </c>
      <c r="Q28" s="72"/>
      <c r="R28" s="169">
        <f t="shared" ref="R28:BJ28" si="10">R27/M27-1</f>
        <v>2.0284330573347917</v>
      </c>
      <c r="S28" s="169">
        <f t="shared" si="10"/>
        <v>0.55454424661174606</v>
      </c>
      <c r="T28" s="169">
        <f t="shared" si="10"/>
        <v>1.0409828872312441</v>
      </c>
      <c r="U28" s="169">
        <f t="shared" si="10"/>
        <v>1.2554656176715318</v>
      </c>
      <c r="V28" s="243">
        <f t="shared" si="10"/>
        <v>1.0807953632752296</v>
      </c>
      <c r="W28" s="169">
        <f t="shared" si="10"/>
        <v>0.83347949445447611</v>
      </c>
      <c r="X28" s="169">
        <f t="shared" si="10"/>
        <v>0.74336510107269449</v>
      </c>
      <c r="Y28" s="169">
        <f t="shared" si="10"/>
        <v>1.4867781743131094</v>
      </c>
      <c r="Z28" s="169">
        <f t="shared" si="10"/>
        <v>0.57974174073452867</v>
      </c>
      <c r="AA28" s="243">
        <f t="shared" si="10"/>
        <v>0.89106576531463833</v>
      </c>
      <c r="AB28" s="169">
        <f t="shared" si="10"/>
        <v>-1.8738394012716486E-2</v>
      </c>
      <c r="AC28" s="169">
        <f t="shared" si="10"/>
        <v>0.7609393768538717</v>
      </c>
      <c r="AD28" s="169">
        <f t="shared" si="10"/>
        <v>-2.3359557361460226E-2</v>
      </c>
      <c r="AE28" s="169">
        <f t="shared" si="10"/>
        <v>-0.30834394904458551</v>
      </c>
      <c r="AF28" s="243">
        <f t="shared" si="10"/>
        <v>7.9996690020411432E-2</v>
      </c>
      <c r="AG28" s="169">
        <f t="shared" si="10"/>
        <v>-3.8135107237062815E-3</v>
      </c>
      <c r="AH28" s="169">
        <f t="shared" si="10"/>
        <v>-0.30204360052342927</v>
      </c>
      <c r="AI28" s="169">
        <f t="shared" si="10"/>
        <v>3.1601869555980988E-2</v>
      </c>
      <c r="AJ28" s="169">
        <f t="shared" si="10"/>
        <v>0.21594990330601593</v>
      </c>
      <c r="AK28" s="243">
        <f t="shared" si="10"/>
        <v>-6.6455195100397324E-2</v>
      </c>
      <c r="AL28" s="169">
        <f t="shared" si="10"/>
        <v>0.48222663558126477</v>
      </c>
      <c r="AM28" s="169">
        <f t="shared" si="10"/>
        <v>-0.20890759319464558</v>
      </c>
      <c r="AN28" s="169">
        <f t="shared" si="10"/>
        <v>0.21903585096706712</v>
      </c>
      <c r="AO28" s="169">
        <f>AO27/AJ27-1</f>
        <v>8.6059779864684272E-2</v>
      </c>
      <c r="AP28" s="243">
        <f>AP27/AK27-1</f>
        <v>0.12284896668326328</v>
      </c>
      <c r="AQ28" s="169">
        <f t="shared" si="10"/>
        <v>3.9089655708100191E-2</v>
      </c>
      <c r="AR28" s="361">
        <f t="shared" si="10"/>
        <v>1.3619746363109217</v>
      </c>
      <c r="AS28" s="169">
        <f t="shared" si="10"/>
        <v>-4.4360288320759333E-2</v>
      </c>
      <c r="AT28" s="361">
        <f t="shared" si="10"/>
        <v>-6.0017061411760775E-2</v>
      </c>
      <c r="AU28" s="243">
        <f t="shared" si="10"/>
        <v>0.24511120640994766</v>
      </c>
      <c r="AV28" s="169">
        <f t="shared" si="10"/>
        <v>0.17405589555741385</v>
      </c>
      <c r="AW28" s="169">
        <f t="shared" si="10"/>
        <v>-2.2567296315367136E-2</v>
      </c>
      <c r="AX28" s="169">
        <f t="shared" si="10"/>
        <v>0.28477688990873151</v>
      </c>
      <c r="AY28" s="169">
        <f t="shared" si="10"/>
        <v>0.28765142229679475</v>
      </c>
      <c r="AZ28" s="243">
        <f t="shared" si="10"/>
        <v>0.14935770669445603</v>
      </c>
      <c r="BA28" s="169">
        <f t="shared" si="10"/>
        <v>0.25293390604347343</v>
      </c>
      <c r="BB28" s="169">
        <f t="shared" si="10"/>
        <v>0.30773480798953767</v>
      </c>
      <c r="BC28" s="169">
        <f t="shared" si="10"/>
        <v>0.30312155206080038</v>
      </c>
      <c r="BD28" s="169">
        <f t="shared" si="10"/>
        <v>-0.13543357576601989</v>
      </c>
      <c r="BE28" s="243">
        <f t="shared" si="10"/>
        <v>0.21606400162826533</v>
      </c>
      <c r="BF28" s="169">
        <f t="shared" si="10"/>
        <v>3.6461757389129046E-2</v>
      </c>
      <c r="BG28" s="169">
        <f t="shared" si="10"/>
        <v>0.19355982146394979</v>
      </c>
      <c r="BH28" s="169">
        <f t="shared" si="10"/>
        <v>0.58337875876261114</v>
      </c>
      <c r="BI28" s="169">
        <f t="shared" si="10"/>
        <v>0.46133540688836772</v>
      </c>
      <c r="BJ28" s="243">
        <f t="shared" si="10"/>
        <v>0.31674025855700538</v>
      </c>
      <c r="BK28" s="169">
        <f>BK27/BF27-1</f>
        <v>9.0705667838610671E-2</v>
      </c>
      <c r="BL28" s="169">
        <f>BL27/BG27-1</f>
        <v>1.7774948162519788E-2</v>
      </c>
      <c r="BM28" s="169">
        <f>BM27/BH27-1</f>
        <v>0.33528887377408489</v>
      </c>
      <c r="BN28" s="169">
        <f>BN27/BI27-1</f>
        <v>-0.2388628267281756</v>
      </c>
      <c r="BO28" s="243">
        <f>BO27/BJ27-1</f>
        <v>0.11602594508927999</v>
      </c>
    </row>
    <row r="29" spans="1:67">
      <c r="B29" s="156"/>
      <c r="G29" s="68"/>
      <c r="H29" s="71"/>
      <c r="I29" s="71"/>
      <c r="J29" s="71"/>
      <c r="K29" s="71"/>
      <c r="L29" s="72"/>
      <c r="M29" s="71"/>
      <c r="N29" s="71"/>
      <c r="O29" s="71"/>
      <c r="P29" s="71"/>
      <c r="Q29" s="72"/>
      <c r="R29" s="71"/>
      <c r="S29" s="71"/>
      <c r="T29" s="71"/>
      <c r="U29" s="71"/>
      <c r="V29" s="72"/>
      <c r="W29" s="71"/>
      <c r="X29" s="71"/>
      <c r="Y29" s="71"/>
      <c r="Z29" s="71"/>
      <c r="AA29" s="72"/>
      <c r="AB29" s="71"/>
      <c r="AC29" s="71"/>
      <c r="AD29" s="71"/>
      <c r="AE29" s="71"/>
      <c r="AF29" s="72"/>
      <c r="AG29" s="71"/>
      <c r="AH29" s="71"/>
      <c r="AI29" s="71"/>
      <c r="AJ29" s="71"/>
      <c r="AK29" s="72"/>
      <c r="AL29" s="84"/>
      <c r="AM29" s="71"/>
      <c r="AN29" s="71"/>
      <c r="AO29" s="71"/>
      <c r="AP29" s="72"/>
      <c r="AQ29" s="84"/>
      <c r="AR29" s="71"/>
      <c r="AS29" s="71"/>
      <c r="AT29" s="71"/>
      <c r="AU29" s="72"/>
      <c r="AV29" s="71"/>
      <c r="AW29" s="71"/>
      <c r="AX29" s="71"/>
      <c r="AY29" s="71"/>
      <c r="AZ29" s="72"/>
      <c r="BA29" s="71"/>
      <c r="BB29" s="71"/>
      <c r="BC29" s="71"/>
      <c r="BD29" s="71"/>
      <c r="BE29" s="72"/>
      <c r="BF29" s="71"/>
      <c r="BG29" s="71"/>
      <c r="BH29" s="71"/>
      <c r="BI29" s="71"/>
      <c r="BJ29" s="72"/>
      <c r="BK29" s="71"/>
      <c r="BL29" s="71"/>
      <c r="BM29" s="71"/>
      <c r="BN29" s="71"/>
      <c r="BO29" s="72"/>
    </row>
    <row r="30" spans="1:67" s="59" customFormat="1" hidden="1" outlineLevel="1">
      <c r="B30" s="165" t="s">
        <v>462</v>
      </c>
      <c r="G30" s="1362"/>
      <c r="H30" s="1363"/>
      <c r="I30" s="1363"/>
      <c r="J30" s="1363"/>
      <c r="K30" s="1363"/>
      <c r="L30" s="1364"/>
      <c r="M30" s="1363"/>
      <c r="N30" s="1363"/>
      <c r="O30" s="1363"/>
      <c r="P30" s="1363"/>
      <c r="Q30" s="1364"/>
      <c r="R30" s="1363"/>
      <c r="S30" s="1363"/>
      <c r="T30" s="1363"/>
      <c r="U30" s="1363"/>
      <c r="V30" s="1364"/>
      <c r="W30" s="1363"/>
      <c r="X30" s="1363"/>
      <c r="Y30" s="1363"/>
      <c r="Z30" s="1363"/>
      <c r="AA30" s="1364"/>
      <c r="AB30" s="1363"/>
      <c r="AC30" s="1363"/>
      <c r="AD30" s="1363"/>
      <c r="AE30" s="1363"/>
      <c r="AF30" s="1364"/>
      <c r="AG30" s="1376">
        <f>AG15*11%</f>
        <v>64.907920000000004</v>
      </c>
      <c r="AH30" s="1376">
        <f>AH15*11%</f>
        <v>70.422989999999999</v>
      </c>
      <c r="AI30" s="1376">
        <f>AI15*11%</f>
        <v>76.832579999999993</v>
      </c>
      <c r="AJ30" s="1376">
        <f>AJ15*11%</f>
        <v>81.189900000000009</v>
      </c>
      <c r="AK30" s="1377">
        <f>SUM(AG30:AJ30)</f>
        <v>293.35339000000005</v>
      </c>
      <c r="AL30" s="1376">
        <f>AL15*11%</f>
        <v>86.854569999999995</v>
      </c>
      <c r="AM30" s="1376">
        <f>AM15*11%</f>
        <v>91.217500000000001</v>
      </c>
      <c r="AN30" s="1376">
        <f>AN15*11%</f>
        <v>99.031019999999998</v>
      </c>
      <c r="AO30" s="1376">
        <f>AO15*11%</f>
        <v>103.76333</v>
      </c>
      <c r="AP30" s="1377">
        <f>SUM(AL30:AO30)</f>
        <v>380.86642000000001</v>
      </c>
      <c r="AQ30" s="1378"/>
      <c r="AR30" s="1376"/>
      <c r="AS30" s="1376"/>
      <c r="AT30" s="1376"/>
      <c r="AU30" s="1377"/>
      <c r="AV30" s="1363"/>
      <c r="AW30" s="1363"/>
      <c r="AX30" s="1363"/>
      <c r="AY30" s="1363"/>
      <c r="AZ30" s="1364"/>
      <c r="BA30" s="1363"/>
      <c r="BB30" s="1363"/>
      <c r="BC30" s="1363"/>
      <c r="BD30" s="1363"/>
      <c r="BE30" s="1364"/>
      <c r="BF30" s="1363"/>
      <c r="BG30" s="1363"/>
      <c r="BH30" s="1363"/>
      <c r="BI30" s="1363"/>
      <c r="BJ30" s="1364"/>
      <c r="BK30" s="1363"/>
      <c r="BL30" s="1363"/>
      <c r="BM30" s="1363"/>
      <c r="BN30" s="1363"/>
      <c r="BO30" s="1364"/>
    </row>
    <row r="31" spans="1:67" hidden="1" outlineLevel="1">
      <c r="B31" s="158" t="s">
        <v>464</v>
      </c>
      <c r="G31" s="68"/>
      <c r="H31" s="71"/>
      <c r="I31" s="71"/>
      <c r="J31" s="71"/>
      <c r="K31" s="71"/>
      <c r="L31" s="72"/>
      <c r="M31" s="71"/>
      <c r="N31" s="71"/>
      <c r="O31" s="71"/>
      <c r="P31" s="71"/>
      <c r="Q31" s="72"/>
      <c r="R31" s="71"/>
      <c r="S31" s="71"/>
      <c r="T31" s="71"/>
      <c r="U31" s="71"/>
      <c r="V31" s="72"/>
      <c r="W31" s="71"/>
      <c r="X31" s="71"/>
      <c r="Y31" s="71"/>
      <c r="Z31" s="71"/>
      <c r="AA31" s="72"/>
      <c r="AB31" s="71"/>
      <c r="AC31" s="71"/>
      <c r="AD31" s="71"/>
      <c r="AE31" s="71"/>
      <c r="AF31" s="72"/>
      <c r="AG31" s="941">
        <f t="shared" ref="AG31:AP31" si="11">AG30/AG15</f>
        <v>0.11</v>
      </c>
      <c r="AH31" s="941">
        <f t="shared" si="11"/>
        <v>0.11</v>
      </c>
      <c r="AI31" s="941">
        <f t="shared" si="11"/>
        <v>0.11</v>
      </c>
      <c r="AJ31" s="941">
        <f t="shared" si="11"/>
        <v>0.11</v>
      </c>
      <c r="AK31" s="72">
        <f t="shared" si="11"/>
        <v>0.11000000000000001</v>
      </c>
      <c r="AL31" s="941">
        <f t="shared" si="11"/>
        <v>0.11</v>
      </c>
      <c r="AM31" s="941">
        <f t="shared" si="11"/>
        <v>0.11</v>
      </c>
      <c r="AN31" s="941">
        <f t="shared" si="11"/>
        <v>0.10999999999999999</v>
      </c>
      <c r="AO31" s="941">
        <f t="shared" si="11"/>
        <v>0.11</v>
      </c>
      <c r="AP31" s="72">
        <f t="shared" si="11"/>
        <v>0.11</v>
      </c>
      <c r="AQ31" s="1371"/>
      <c r="AR31" s="974"/>
      <c r="AS31" s="941"/>
      <c r="AT31" s="974"/>
      <c r="AU31" s="72"/>
      <c r="AV31" s="71"/>
      <c r="AW31" s="71"/>
      <c r="AX31" s="71"/>
      <c r="AY31" s="71"/>
      <c r="AZ31" s="72"/>
      <c r="BA31" s="71"/>
      <c r="BB31" s="71"/>
      <c r="BC31" s="71"/>
      <c r="BD31" s="71"/>
      <c r="BE31" s="72"/>
      <c r="BF31" s="71"/>
      <c r="BG31" s="71"/>
      <c r="BH31" s="71"/>
      <c r="BI31" s="71"/>
      <c r="BJ31" s="72"/>
      <c r="BK31" s="71"/>
      <c r="BL31" s="71"/>
      <c r="BM31" s="71"/>
      <c r="BN31" s="71"/>
      <c r="BO31" s="72"/>
    </row>
    <row r="32" spans="1:67" hidden="1" outlineLevel="1">
      <c r="B32" s="154" t="s">
        <v>463</v>
      </c>
      <c r="G32" s="68"/>
      <c r="H32" s="71"/>
      <c r="I32" s="71"/>
      <c r="J32" s="71"/>
      <c r="K32" s="71"/>
      <c r="L32" s="72"/>
      <c r="M32" s="71"/>
      <c r="N32" s="71"/>
      <c r="O32" s="71"/>
      <c r="P32" s="71"/>
      <c r="Q32" s="72"/>
      <c r="R32" s="71"/>
      <c r="S32" s="71"/>
      <c r="T32" s="71"/>
      <c r="U32" s="71"/>
      <c r="V32" s="72"/>
      <c r="W32" s="71"/>
      <c r="X32" s="71"/>
      <c r="Y32" s="71"/>
      <c r="Z32" s="71"/>
      <c r="AA32" s="72"/>
      <c r="AB32" s="71"/>
      <c r="AC32" s="71"/>
      <c r="AD32" s="71"/>
      <c r="AE32" s="71"/>
      <c r="AF32" s="72"/>
      <c r="AG32" s="96">
        <f>AG15-AG30</f>
        <v>525.16408000000001</v>
      </c>
      <c r="AH32" s="96">
        <f>AH15-AH30</f>
        <v>569.78600999999992</v>
      </c>
      <c r="AI32" s="96">
        <f>AI15-AI30</f>
        <v>621.64541999999994</v>
      </c>
      <c r="AJ32" s="96">
        <f>AJ15-AJ30</f>
        <v>656.90010000000007</v>
      </c>
      <c r="AK32" s="115">
        <f>SUM(AG32:AJ32)</f>
        <v>2373.4956099999999</v>
      </c>
      <c r="AL32" s="96">
        <f>AL15-AL30</f>
        <v>702.73243000000002</v>
      </c>
      <c r="AM32" s="96">
        <f>AM15-AM30</f>
        <v>738.03250000000003</v>
      </c>
      <c r="AN32" s="96">
        <f>AN15-AN30</f>
        <v>801.25098000000003</v>
      </c>
      <c r="AO32" s="96">
        <f>AO15-AO30</f>
        <v>839.53967</v>
      </c>
      <c r="AP32" s="115">
        <f>SUM(AL32:AO32)</f>
        <v>3081.5555800000002</v>
      </c>
      <c r="AQ32" s="1372"/>
      <c r="AR32" s="96"/>
      <c r="AS32" s="96"/>
      <c r="AT32" s="96"/>
      <c r="AU32" s="115"/>
      <c r="AV32" s="71"/>
      <c r="AW32" s="71"/>
      <c r="AX32" s="71"/>
      <c r="AY32" s="71"/>
      <c r="AZ32" s="72"/>
      <c r="BA32" s="71"/>
      <c r="BB32" s="71"/>
      <c r="BC32" s="71"/>
      <c r="BD32" s="71"/>
      <c r="BE32" s="72"/>
      <c r="BF32" s="71"/>
      <c r="BG32" s="71"/>
      <c r="BH32" s="71"/>
      <c r="BI32" s="71"/>
      <c r="BJ32" s="72"/>
      <c r="BK32" s="71"/>
      <c r="BL32" s="71"/>
      <c r="BM32" s="71"/>
      <c r="BN32" s="71"/>
      <c r="BO32" s="72"/>
    </row>
    <row r="33" spans="2:67" hidden="1" outlineLevel="1">
      <c r="B33" s="158" t="str">
        <f>B22</f>
        <v>% yoy</v>
      </c>
      <c r="G33" s="68"/>
      <c r="H33" s="71"/>
      <c r="I33" s="71"/>
      <c r="J33" s="71"/>
      <c r="K33" s="71"/>
      <c r="L33" s="72"/>
      <c r="M33" s="71"/>
      <c r="N33" s="71"/>
      <c r="O33" s="71"/>
      <c r="P33" s="71"/>
      <c r="Q33" s="72"/>
      <c r="R33" s="71"/>
      <c r="S33" s="71"/>
      <c r="T33" s="71"/>
      <c r="U33" s="71"/>
      <c r="V33" s="72"/>
      <c r="W33" s="71"/>
      <c r="X33" s="71"/>
      <c r="Y33" s="71"/>
      <c r="Z33" s="71"/>
      <c r="AA33" s="72"/>
      <c r="AB33" s="71"/>
      <c r="AC33" s="71"/>
      <c r="AD33" s="71"/>
      <c r="AE33" s="71"/>
      <c r="AF33" s="72"/>
      <c r="AG33" s="96"/>
      <c r="AH33" s="96"/>
      <c r="AI33" s="96"/>
      <c r="AJ33" s="96"/>
      <c r="AK33" s="115"/>
      <c r="AL33" s="169">
        <f t="shared" ref="AL33:AP33" si="12">AL32/AG32-1</f>
        <v>0.33811975487737089</v>
      </c>
      <c r="AM33" s="169">
        <f t="shared" si="12"/>
        <v>0.2952801350808878</v>
      </c>
      <c r="AN33" s="169">
        <f t="shared" si="12"/>
        <v>0.28891962237894409</v>
      </c>
      <c r="AO33" s="169">
        <f t="shared" si="12"/>
        <v>0.27803248926282698</v>
      </c>
      <c r="AP33" s="975">
        <f t="shared" si="12"/>
        <v>0.2983194774057325</v>
      </c>
      <c r="AQ33" s="361"/>
      <c r="AR33" s="169"/>
      <c r="AS33" s="169"/>
      <c r="AT33" s="169"/>
      <c r="AU33" s="975"/>
      <c r="AV33" s="71"/>
      <c r="AW33" s="71"/>
      <c r="AX33" s="71"/>
      <c r="AY33" s="71"/>
      <c r="AZ33" s="72"/>
      <c r="BA33" s="71"/>
      <c r="BB33" s="71"/>
      <c r="BC33" s="71"/>
      <c r="BD33" s="71"/>
      <c r="BE33" s="72"/>
      <c r="BF33" s="71"/>
      <c r="BG33" s="71"/>
      <c r="BH33" s="71"/>
      <c r="BI33" s="71"/>
      <c r="BJ33" s="72"/>
      <c r="BK33" s="71"/>
      <c r="BL33" s="71"/>
      <c r="BM33" s="71"/>
      <c r="BN33" s="71"/>
      <c r="BO33" s="72"/>
    </row>
    <row r="34" spans="2:67" hidden="1" outlineLevel="1">
      <c r="B34" s="158" t="str">
        <f>B23</f>
        <v>% qoq</v>
      </c>
      <c r="G34" s="68"/>
      <c r="H34" s="71"/>
      <c r="I34" s="71"/>
      <c r="J34" s="71"/>
      <c r="K34" s="71"/>
      <c r="L34" s="72"/>
      <c r="M34" s="71"/>
      <c r="N34" s="71"/>
      <c r="O34" s="71"/>
      <c r="P34" s="71"/>
      <c r="Q34" s="72"/>
      <c r="R34" s="71"/>
      <c r="S34" s="71"/>
      <c r="T34" s="71"/>
      <c r="U34" s="71"/>
      <c r="V34" s="72"/>
      <c r="W34" s="71"/>
      <c r="X34" s="71"/>
      <c r="Y34" s="71"/>
      <c r="Z34" s="71"/>
      <c r="AA34" s="72"/>
      <c r="AB34" s="71"/>
      <c r="AC34" s="71"/>
      <c r="AD34" s="71"/>
      <c r="AE34" s="71"/>
      <c r="AF34" s="72"/>
      <c r="AG34" s="96"/>
      <c r="AH34" s="169">
        <f>AH32/AG32-1</f>
        <v>8.4967597174581799E-2</v>
      </c>
      <c r="AI34" s="169">
        <f>AI32/AH32-1</f>
        <v>9.1015590221318332E-2</v>
      </c>
      <c r="AJ34" s="169">
        <f>AJ32/AI32-1</f>
        <v>5.6711879257471454E-2</v>
      </c>
      <c r="AK34" s="115"/>
      <c r="AL34" s="169">
        <f>AL32/AJ32-1</f>
        <v>6.977062417862312E-2</v>
      </c>
      <c r="AM34" s="169">
        <f>AM32/AL32-1</f>
        <v>5.0232589948922657E-2</v>
      </c>
      <c r="AN34" s="169">
        <f>AN32/AM32-1</f>
        <v>8.5658124811576641E-2</v>
      </c>
      <c r="AO34" s="169">
        <f>AO32/AN32-1</f>
        <v>4.7786138121166388E-2</v>
      </c>
      <c r="AP34" s="115"/>
      <c r="AQ34" s="361"/>
      <c r="AR34" s="169"/>
      <c r="AS34" s="169"/>
      <c r="AT34" s="169"/>
      <c r="AU34" s="72"/>
      <c r="AV34" s="71"/>
      <c r="AW34" s="71"/>
      <c r="AX34" s="71"/>
      <c r="AY34" s="71"/>
      <c r="AZ34" s="72"/>
      <c r="BA34" s="71"/>
      <c r="BB34" s="71"/>
      <c r="BC34" s="71"/>
      <c r="BD34" s="71"/>
      <c r="BE34" s="72"/>
      <c r="BF34" s="71"/>
      <c r="BG34" s="71"/>
      <c r="BH34" s="71"/>
      <c r="BI34" s="71"/>
      <c r="BJ34" s="72"/>
      <c r="BK34" s="71"/>
      <c r="BL34" s="71"/>
      <c r="BM34" s="71"/>
      <c r="BN34" s="71"/>
      <c r="BO34" s="72"/>
    </row>
    <row r="35" spans="2:67" hidden="1" outlineLevel="1">
      <c r="B35" s="154" t="s">
        <v>465</v>
      </c>
      <c r="G35" s="68"/>
      <c r="H35" s="71"/>
      <c r="I35" s="71"/>
      <c r="J35" s="71"/>
      <c r="K35" s="71"/>
      <c r="L35" s="72"/>
      <c r="M35" s="71"/>
      <c r="N35" s="71"/>
      <c r="O35" s="71"/>
      <c r="P35" s="71"/>
      <c r="Q35" s="72"/>
      <c r="R35" s="71"/>
      <c r="S35" s="71"/>
      <c r="T35" s="71"/>
      <c r="U35" s="71"/>
      <c r="V35" s="72"/>
      <c r="W35" s="71"/>
      <c r="X35" s="71"/>
      <c r="Y35" s="71"/>
      <c r="Z35" s="71"/>
      <c r="AA35" s="72"/>
      <c r="AB35" s="71"/>
      <c r="AC35" s="71"/>
      <c r="AD35" s="71"/>
      <c r="AE35" s="71"/>
      <c r="AF35" s="72"/>
      <c r="AG35" s="96"/>
      <c r="AH35" s="169"/>
      <c r="AI35" s="169"/>
      <c r="AJ35" s="169"/>
      <c r="AK35" s="115"/>
      <c r="AL35" s="169"/>
      <c r="AM35" s="169"/>
      <c r="AN35" s="169"/>
      <c r="AO35" s="169"/>
      <c r="AP35" s="975">
        <f>AP33-AP17</f>
        <v>0</v>
      </c>
      <c r="AQ35" s="169"/>
      <c r="AR35" s="169"/>
      <c r="AS35" s="169"/>
      <c r="AT35" s="169"/>
      <c r="AU35" s="975"/>
      <c r="AV35" s="71"/>
      <c r="AW35" s="71"/>
      <c r="AX35" s="71"/>
      <c r="AY35" s="71"/>
      <c r="AZ35" s="72"/>
      <c r="BA35" s="71"/>
      <c r="BB35" s="71"/>
      <c r="BC35" s="71"/>
      <c r="BD35" s="71"/>
      <c r="BE35" s="72"/>
      <c r="BF35" s="71"/>
      <c r="BG35" s="71"/>
      <c r="BH35" s="71"/>
      <c r="BI35" s="71"/>
      <c r="BJ35" s="72"/>
      <c r="BK35" s="71"/>
      <c r="BL35" s="71"/>
      <c r="BM35" s="71"/>
      <c r="BN35" s="71"/>
      <c r="BO35" s="72"/>
    </row>
    <row r="36" spans="2:67" hidden="1" outlineLevel="1">
      <c r="B36" s="157"/>
      <c r="G36" s="68"/>
      <c r="H36" s="71"/>
      <c r="I36" s="71"/>
      <c r="J36" s="71"/>
      <c r="K36" s="71"/>
      <c r="L36" s="72"/>
      <c r="M36" s="71"/>
      <c r="N36" s="117"/>
      <c r="O36" s="117"/>
      <c r="P36" s="117"/>
      <c r="Q36" s="72"/>
      <c r="R36" s="169"/>
      <c r="S36" s="169"/>
      <c r="T36" s="169"/>
      <c r="U36" s="169"/>
      <c r="V36" s="243"/>
      <c r="W36" s="169"/>
      <c r="X36" s="169"/>
      <c r="Y36" s="169"/>
      <c r="Z36" s="169"/>
      <c r="AA36" s="243"/>
      <c r="AB36" s="169"/>
      <c r="AC36" s="169"/>
      <c r="AD36" s="169"/>
      <c r="AE36" s="169"/>
      <c r="AF36" s="243"/>
      <c r="AG36" s="169"/>
      <c r="AH36" s="169"/>
      <c r="AI36" s="169"/>
      <c r="AJ36" s="281"/>
      <c r="AK36" s="243"/>
      <c r="AL36" s="169"/>
      <c r="AM36" s="169"/>
      <c r="AN36" s="169"/>
      <c r="AO36" s="169"/>
      <c r="AP36" s="243"/>
      <c r="AQ36" s="169"/>
      <c r="AR36" s="169"/>
      <c r="AS36" s="169"/>
      <c r="AT36" s="169"/>
      <c r="AU36" s="243"/>
      <c r="AV36" s="169"/>
      <c r="AW36" s="169"/>
      <c r="AX36" s="169"/>
      <c r="AY36" s="169"/>
      <c r="AZ36" s="243"/>
      <c r="BA36" s="169"/>
      <c r="BB36" s="169"/>
      <c r="BC36" s="169"/>
      <c r="BD36" s="169"/>
      <c r="BE36" s="243"/>
      <c r="BF36" s="169"/>
      <c r="BG36" s="169"/>
      <c r="BH36" s="169"/>
      <c r="BI36" s="169"/>
      <c r="BJ36" s="243"/>
      <c r="BK36" s="169"/>
      <c r="BL36" s="169"/>
      <c r="BM36" s="169"/>
      <c r="BN36" s="169"/>
      <c r="BO36" s="243"/>
    </row>
    <row r="37" spans="2:67" s="59" customFormat="1" hidden="1" outlineLevel="1">
      <c r="B37" s="1361" t="s">
        <v>187</v>
      </c>
      <c r="G37" s="1362"/>
      <c r="H37" s="1363"/>
      <c r="I37" s="1363"/>
      <c r="J37" s="1363"/>
      <c r="K37" s="1363"/>
      <c r="L37" s="1364"/>
      <c r="M37" s="1363"/>
      <c r="N37" s="1365"/>
      <c r="O37" s="1365"/>
      <c r="P37" s="1365"/>
      <c r="Q37" s="1364"/>
      <c r="R37" s="1366"/>
      <c r="S37" s="1366"/>
      <c r="T37" s="1366"/>
      <c r="U37" s="1366"/>
      <c r="V37" s="1367"/>
      <c r="W37" s="1366"/>
      <c r="X37" s="1366"/>
      <c r="Y37" s="1366"/>
      <c r="Z37" s="1366"/>
      <c r="AA37" s="1367"/>
      <c r="AB37" s="1366"/>
      <c r="AC37" s="1366"/>
      <c r="AD37" s="1366"/>
      <c r="AE37" s="1366"/>
      <c r="AF37" s="1367"/>
      <c r="AG37" s="1374">
        <v>3.5</v>
      </c>
      <c r="AH37" s="1374">
        <v>6.5</v>
      </c>
      <c r="AI37" s="1375">
        <v>11</v>
      </c>
      <c r="AJ37" s="1375">
        <v>14</v>
      </c>
      <c r="AK37" s="1368">
        <v>35</v>
      </c>
      <c r="AL37" s="1374">
        <v>18</v>
      </c>
      <c r="AM37" s="1374">
        <v>23</v>
      </c>
      <c r="AN37" s="1375">
        <v>27</v>
      </c>
      <c r="AO37" s="1375">
        <v>31</v>
      </c>
      <c r="AP37" s="1368">
        <v>100</v>
      </c>
      <c r="AQ37" s="1379"/>
      <c r="AR37" s="1366"/>
      <c r="AS37" s="1375"/>
      <c r="AT37" s="1366"/>
      <c r="AU37" s="1367"/>
      <c r="AV37" s="1366"/>
      <c r="AW37" s="1366"/>
      <c r="AX37" s="1366"/>
      <c r="AY37" s="1366"/>
      <c r="AZ37" s="1367"/>
      <c r="BA37" s="1366"/>
      <c r="BB37" s="1366"/>
      <c r="BC37" s="1366"/>
      <c r="BD37" s="1366"/>
      <c r="BE37" s="1367"/>
      <c r="BF37" s="1366"/>
      <c r="BG37" s="1366"/>
      <c r="BH37" s="1366"/>
      <c r="BI37" s="1366"/>
      <c r="BJ37" s="1367"/>
      <c r="BK37" s="1366"/>
      <c r="BL37" s="1366"/>
      <c r="BM37" s="1366"/>
      <c r="BN37" s="1366"/>
      <c r="BO37" s="1367"/>
    </row>
    <row r="38" spans="2:67" hidden="1" outlineLevel="1">
      <c r="B38" s="158" t="s">
        <v>32</v>
      </c>
      <c r="G38" s="68"/>
      <c r="L38" s="68"/>
      <c r="Q38" s="68"/>
      <c r="V38" s="68"/>
      <c r="Z38" s="98"/>
      <c r="AA38" s="68"/>
      <c r="AB38" s="150"/>
      <c r="AC38" s="150"/>
      <c r="AD38" s="150"/>
      <c r="AE38" s="150"/>
      <c r="AF38" s="134"/>
      <c r="AG38" s="150"/>
      <c r="AH38" s="150"/>
      <c r="AI38" s="150"/>
      <c r="AJ38" s="150"/>
      <c r="AK38" s="134"/>
      <c r="AL38" s="150">
        <f>AL37/AG37-1</f>
        <v>4.1428571428571432</v>
      </c>
      <c r="AM38" s="150">
        <f t="shared" ref="AM38:AO38" si="13">AM37/AH37-1</f>
        <v>2.5384615384615383</v>
      </c>
      <c r="AN38" s="150">
        <f t="shared" si="13"/>
        <v>1.4545454545454546</v>
      </c>
      <c r="AO38" s="150">
        <f t="shared" si="13"/>
        <v>1.2142857142857144</v>
      </c>
      <c r="AP38" s="134">
        <f>AP37/AK37-1</f>
        <v>1.8571428571428572</v>
      </c>
      <c r="AQ38" s="150"/>
      <c r="AS38" s="150"/>
      <c r="AU38" s="68"/>
      <c r="AZ38" s="68"/>
      <c r="BE38" s="68"/>
      <c r="BJ38" s="68"/>
      <c r="BO38" s="68"/>
    </row>
    <row r="39" spans="2:67" hidden="1" outlineLevel="1">
      <c r="B39" s="158" t="s">
        <v>33</v>
      </c>
      <c r="G39" s="68"/>
      <c r="L39" s="68"/>
      <c r="Q39" s="68"/>
      <c r="V39" s="68"/>
      <c r="Z39" s="98"/>
      <c r="AA39" s="68"/>
      <c r="AB39" s="150"/>
      <c r="AC39" s="150"/>
      <c r="AD39" s="150"/>
      <c r="AE39" s="150"/>
      <c r="AF39" s="134"/>
      <c r="AG39" s="150"/>
      <c r="AH39" s="150">
        <f>AH37/AG37-1</f>
        <v>0.85714285714285721</v>
      </c>
      <c r="AI39" s="150">
        <f>AI37/AH37-1</f>
        <v>0.69230769230769229</v>
      </c>
      <c r="AJ39" s="150">
        <f>AJ37/AI37-1</f>
        <v>0.27272727272727271</v>
      </c>
      <c r="AK39" s="134"/>
      <c r="AL39" s="150">
        <f>AL37/AJ37-1</f>
        <v>0.28571428571428581</v>
      </c>
      <c r="AM39" s="150">
        <f>AM37/AL37-1</f>
        <v>0.27777777777777768</v>
      </c>
      <c r="AN39" s="150">
        <f>AN37/AM37-1</f>
        <v>0.17391304347826098</v>
      </c>
      <c r="AO39" s="150">
        <f>AO37/AN37-1</f>
        <v>0.14814814814814814</v>
      </c>
      <c r="AP39" s="134"/>
      <c r="AQ39" s="150"/>
      <c r="AS39" s="150"/>
      <c r="AU39" s="68"/>
      <c r="AZ39" s="68"/>
      <c r="BE39" s="68"/>
      <c r="BJ39" s="68"/>
      <c r="BO39" s="68"/>
    </row>
    <row r="40" spans="2:67" hidden="1" outlineLevel="1">
      <c r="B40" s="158" t="s">
        <v>188</v>
      </c>
      <c r="G40" s="68"/>
      <c r="L40" s="68"/>
      <c r="Q40" s="68"/>
      <c r="V40" s="68"/>
      <c r="Z40" s="98"/>
      <c r="AA40" s="68"/>
      <c r="AB40" s="150"/>
      <c r="AC40" s="150"/>
      <c r="AD40" s="150"/>
      <c r="AE40" s="150"/>
      <c r="AF40" s="134"/>
      <c r="AG40" s="150">
        <f t="shared" ref="AG40:AP40" si="14">AG37/AG15</f>
        <v>5.9314795482585175E-3</v>
      </c>
      <c r="AH40" s="150">
        <f t="shared" si="14"/>
        <v>1.0152934432349436E-2</v>
      </c>
      <c r="AI40" s="150">
        <f t="shared" si="14"/>
        <v>1.5748527512677565E-2</v>
      </c>
      <c r="AJ40" s="150">
        <f t="shared" si="14"/>
        <v>1.896787654622065E-2</v>
      </c>
      <c r="AK40" s="135">
        <f t="shared" si="14"/>
        <v>1.3124102639482025E-2</v>
      </c>
      <c r="AL40" s="125">
        <f t="shared" si="14"/>
        <v>2.2796727909654035E-2</v>
      </c>
      <c r="AM40" s="125">
        <f t="shared" si="14"/>
        <v>2.7735905939101597E-2</v>
      </c>
      <c r="AN40" s="125">
        <f t="shared" si="14"/>
        <v>2.9990602944410749E-2</v>
      </c>
      <c r="AO40" s="1228">
        <f t="shared" si="14"/>
        <v>3.2863247546122507E-2</v>
      </c>
      <c r="AP40" s="135">
        <f t="shared" si="14"/>
        <v>2.888151704211676E-2</v>
      </c>
      <c r="AQ40" s="125"/>
      <c r="AS40" s="125"/>
      <c r="AU40" s="68"/>
      <c r="AZ40" s="68"/>
      <c r="BE40" s="68"/>
      <c r="BJ40" s="68"/>
      <c r="BO40" s="68"/>
    </row>
    <row r="41" spans="2:67" hidden="1" outlineLevel="1">
      <c r="B41" s="158" t="s">
        <v>479</v>
      </c>
      <c r="G41" s="68"/>
      <c r="L41" s="68"/>
      <c r="Q41" s="68"/>
      <c r="V41" s="68"/>
      <c r="Z41" s="98"/>
      <c r="AA41" s="68"/>
      <c r="AB41" s="150"/>
      <c r="AC41" s="150"/>
      <c r="AD41" s="150"/>
      <c r="AE41" s="150"/>
      <c r="AF41" s="134"/>
      <c r="AG41" s="150"/>
      <c r="AH41" s="150"/>
      <c r="AI41" s="150"/>
      <c r="AJ41" s="150"/>
      <c r="AK41" s="135"/>
      <c r="AL41" s="150">
        <f>(AL15-AL37)/(AG15-AG37)-1</f>
        <v>0.31541737416719506</v>
      </c>
      <c r="AM41" s="150">
        <f>(AM15-AM37)/(AH15-AH37)-1</f>
        <v>0.27227165781139306</v>
      </c>
      <c r="AN41" s="150">
        <f>(AN15-AN37)/(AI15-AI37)-1</f>
        <v>0.27026901224475552</v>
      </c>
      <c r="AO41" s="150">
        <f>(AO15-AO37)/(AJ15-AJ37)-1</f>
        <v>0.2599303953928378</v>
      </c>
      <c r="AP41" s="135">
        <f>(AP15-AP37)/(AK15-AK37)-1</f>
        <v>0.27758925379077581</v>
      </c>
      <c r="AQ41" s="150"/>
      <c r="AS41" s="150"/>
      <c r="AU41" s="68"/>
      <c r="AZ41" s="68"/>
      <c r="BE41" s="68"/>
      <c r="BJ41" s="68"/>
      <c r="BO41" s="68"/>
    </row>
    <row r="42" spans="2:67" hidden="1" outlineLevel="1">
      <c r="B42" s="158"/>
      <c r="G42" s="68"/>
      <c r="L42" s="68"/>
      <c r="Q42" s="68"/>
      <c r="V42" s="68"/>
      <c r="Z42" s="98"/>
      <c r="AA42" s="68"/>
      <c r="AB42" s="150"/>
      <c r="AC42" s="150"/>
      <c r="AD42" s="150"/>
      <c r="AE42" s="150"/>
      <c r="AF42" s="134"/>
      <c r="AG42" s="150"/>
      <c r="AH42" s="150"/>
      <c r="AI42" s="150"/>
      <c r="AJ42" s="150"/>
      <c r="AK42" s="134"/>
      <c r="AL42" s="150"/>
      <c r="AM42" s="150"/>
      <c r="AN42" s="150"/>
      <c r="AO42" s="150"/>
      <c r="AP42" s="134"/>
      <c r="AQ42" s="150"/>
      <c r="AS42" s="150"/>
      <c r="AU42" s="68"/>
      <c r="AZ42" s="68"/>
      <c r="BE42" s="68"/>
      <c r="BJ42" s="68"/>
      <c r="BO42" s="68"/>
    </row>
    <row r="43" spans="2:67" s="59" customFormat="1" hidden="1" outlineLevel="1">
      <c r="B43" s="1361" t="s">
        <v>484</v>
      </c>
      <c r="G43" s="1362"/>
      <c r="H43" s="1363"/>
      <c r="I43" s="1363"/>
      <c r="J43" s="1363"/>
      <c r="K43" s="1363"/>
      <c r="L43" s="1364"/>
      <c r="M43" s="1363"/>
      <c r="N43" s="1365"/>
      <c r="O43" s="1365"/>
      <c r="P43" s="1365"/>
      <c r="Q43" s="1364"/>
      <c r="R43" s="1366"/>
      <c r="S43" s="1366"/>
      <c r="T43" s="1366"/>
      <c r="U43" s="1366"/>
      <c r="V43" s="1367"/>
      <c r="W43" s="1366"/>
      <c r="X43" s="1366"/>
      <c r="Y43" s="1366"/>
      <c r="Z43" s="1366"/>
      <c r="AA43" s="1367"/>
      <c r="AB43" s="1366"/>
      <c r="AC43" s="1366"/>
      <c r="AD43" s="1366"/>
      <c r="AE43" s="1366"/>
      <c r="AF43" s="1367"/>
      <c r="AG43" s="1366"/>
      <c r="AH43" s="1366"/>
      <c r="AI43" s="1366"/>
      <c r="AJ43" s="1366"/>
      <c r="AK43" s="1368"/>
      <c r="AL43" s="1366"/>
      <c r="AM43" s="1366"/>
      <c r="AN43" s="1369">
        <v>200</v>
      </c>
      <c r="AO43" s="355"/>
      <c r="AP43" s="1368"/>
      <c r="AQ43" s="1366"/>
      <c r="AR43" s="1366"/>
      <c r="AS43" s="1375"/>
      <c r="AT43" s="1366"/>
      <c r="AU43" s="1367"/>
      <c r="AV43" s="1366"/>
      <c r="AW43" s="1366"/>
      <c r="AX43" s="1366"/>
      <c r="AY43" s="1366"/>
      <c r="AZ43" s="1367"/>
      <c r="BA43" s="1366"/>
      <c r="BB43" s="1366"/>
      <c r="BC43" s="1366"/>
      <c r="BD43" s="1366"/>
      <c r="BE43" s="1367"/>
      <c r="BF43" s="1366"/>
      <c r="BG43" s="1366"/>
      <c r="BH43" s="1366"/>
      <c r="BI43" s="1366"/>
      <c r="BJ43" s="1367"/>
      <c r="BK43" s="1366"/>
      <c r="BL43" s="1366"/>
      <c r="BM43" s="1366"/>
      <c r="BN43" s="1366"/>
      <c r="BO43" s="1367"/>
    </row>
    <row r="44" spans="2:67" s="59" customFormat="1" hidden="1" outlineLevel="1">
      <c r="B44" s="1361"/>
      <c r="G44" s="1362"/>
      <c r="H44" s="1363"/>
      <c r="I44" s="1363"/>
      <c r="J44" s="1363"/>
      <c r="K44" s="1363"/>
      <c r="L44" s="1364"/>
      <c r="M44" s="1363"/>
      <c r="N44" s="1365"/>
      <c r="O44" s="1365"/>
      <c r="P44" s="1365"/>
      <c r="Q44" s="1364"/>
      <c r="R44" s="1366"/>
      <c r="S44" s="1366"/>
      <c r="T44" s="1366"/>
      <c r="U44" s="1366"/>
      <c r="V44" s="1367"/>
      <c r="W44" s="1366"/>
      <c r="X44" s="1366"/>
      <c r="Y44" s="1366"/>
      <c r="Z44" s="1366"/>
      <c r="AA44" s="1367"/>
      <c r="AB44" s="1366"/>
      <c r="AC44" s="1366"/>
      <c r="AD44" s="1366"/>
      <c r="AE44" s="1366"/>
      <c r="AF44" s="1367"/>
      <c r="AG44" s="1366"/>
      <c r="AH44" s="1366"/>
      <c r="AI44" s="1366"/>
      <c r="AJ44" s="1366"/>
      <c r="AK44" s="1368"/>
      <c r="AL44" s="1366"/>
      <c r="AM44" s="1366"/>
      <c r="AN44" s="1375"/>
      <c r="AO44" s="355"/>
      <c r="AP44" s="1368"/>
      <c r="AQ44" s="1366"/>
      <c r="AR44" s="1366"/>
      <c r="AS44" s="1375"/>
      <c r="AT44" s="1366"/>
      <c r="AU44" s="1367"/>
      <c r="AV44" s="1366"/>
      <c r="AW44" s="1366"/>
      <c r="AX44" s="1366"/>
      <c r="AY44" s="1366"/>
      <c r="AZ44" s="1367"/>
      <c r="BA44" s="1366"/>
      <c r="BB44" s="1366"/>
      <c r="BC44" s="1366"/>
      <c r="BD44" s="1366"/>
      <c r="BE44" s="1367"/>
      <c r="BF44" s="1366"/>
      <c r="BG44" s="1366"/>
      <c r="BH44" s="1366"/>
      <c r="BI44" s="1366"/>
      <c r="BJ44" s="1367"/>
      <c r="BK44" s="1366"/>
      <c r="BL44" s="1366"/>
      <c r="BM44" s="1366"/>
      <c r="BN44" s="1366"/>
      <c r="BO44" s="1367"/>
    </row>
    <row r="45" spans="2:67" s="59" customFormat="1" hidden="1" outlineLevel="1">
      <c r="B45" s="1361" t="s">
        <v>490</v>
      </c>
      <c r="G45" s="1362"/>
      <c r="H45" s="1363"/>
      <c r="I45" s="1363"/>
      <c r="J45" s="1363"/>
      <c r="K45" s="1363"/>
      <c r="L45" s="1364"/>
      <c r="M45" s="1363"/>
      <c r="N45" s="1365"/>
      <c r="O45" s="1365"/>
      <c r="P45" s="1365"/>
      <c r="Q45" s="1364"/>
      <c r="R45" s="1366"/>
      <c r="S45" s="1366"/>
      <c r="T45" s="1366"/>
      <c r="U45" s="1366"/>
      <c r="V45" s="1367"/>
      <c r="W45" s="1366"/>
      <c r="X45" s="1366"/>
      <c r="Y45" s="1366"/>
      <c r="Z45" s="1366"/>
      <c r="AA45" s="1367"/>
      <c r="AB45" s="1366"/>
      <c r="AC45" s="1366"/>
      <c r="AD45" s="1366"/>
      <c r="AE45" s="1366"/>
      <c r="AF45" s="1367"/>
      <c r="AG45" s="1366"/>
      <c r="AH45" s="1366"/>
      <c r="AI45" s="1366"/>
      <c r="AJ45" s="1366"/>
      <c r="AK45" s="1368"/>
      <c r="AL45" s="1366"/>
      <c r="AM45" s="1366"/>
      <c r="AN45" s="1375"/>
      <c r="AO45" s="355"/>
      <c r="AP45" s="1368"/>
      <c r="AQ45" s="1366"/>
      <c r="AR45" s="1366"/>
      <c r="AS45" s="1369">
        <v>100</v>
      </c>
      <c r="AT45" s="1366"/>
      <c r="AU45" s="1367"/>
      <c r="AV45" s="1366"/>
      <c r="AW45" s="1366"/>
      <c r="AX45" s="1366"/>
      <c r="AY45" s="1366"/>
      <c r="AZ45" s="1367"/>
      <c r="BA45" s="1366"/>
      <c r="BB45" s="1366"/>
      <c r="BC45" s="1366"/>
      <c r="BD45" s="1366"/>
      <c r="BE45" s="1367"/>
      <c r="BF45" s="1366"/>
      <c r="BG45" s="1366"/>
      <c r="BH45" s="1366"/>
      <c r="BI45" s="1366"/>
      <c r="BJ45" s="1367"/>
      <c r="BK45" s="1366"/>
      <c r="BL45" s="1366"/>
      <c r="BM45" s="1366"/>
      <c r="BN45" s="1366"/>
      <c r="BO45" s="1367"/>
    </row>
    <row r="46" spans="2:67" hidden="1" outlineLevel="1">
      <c r="B46" s="240"/>
      <c r="G46" s="68"/>
      <c r="H46" s="71"/>
      <c r="I46" s="71"/>
      <c r="J46" s="71"/>
      <c r="K46" s="71"/>
      <c r="L46" s="72"/>
      <c r="M46" s="71"/>
      <c r="N46" s="117"/>
      <c r="O46" s="117"/>
      <c r="P46" s="117"/>
      <c r="Q46" s="72"/>
      <c r="R46" s="169"/>
      <c r="S46" s="169"/>
      <c r="T46" s="169"/>
      <c r="U46" s="169"/>
      <c r="V46" s="243"/>
      <c r="W46" s="169"/>
      <c r="X46" s="169"/>
      <c r="Y46" s="169"/>
      <c r="Z46" s="169"/>
      <c r="AA46" s="243"/>
      <c r="AB46" s="169"/>
      <c r="AC46" s="169"/>
      <c r="AD46" s="169"/>
      <c r="AE46" s="169"/>
      <c r="AF46" s="243"/>
      <c r="AG46" s="169"/>
      <c r="AH46" s="169"/>
      <c r="AI46" s="169"/>
      <c r="AJ46" s="1384"/>
      <c r="AK46" s="83"/>
      <c r="AL46" s="169"/>
      <c r="AM46" s="169"/>
      <c r="AN46" s="250"/>
      <c r="AO46" s="355"/>
      <c r="AP46" s="83"/>
      <c r="AQ46" s="169"/>
      <c r="AR46" s="169"/>
      <c r="AS46" s="250"/>
      <c r="AT46" s="169"/>
      <c r="AU46" s="242"/>
      <c r="AV46" s="169"/>
      <c r="AW46" s="169"/>
      <c r="AX46" s="169"/>
      <c r="AY46" s="169"/>
      <c r="AZ46" s="243"/>
      <c r="BA46" s="169"/>
      <c r="BB46" s="169"/>
      <c r="BC46" s="169"/>
      <c r="BD46" s="169"/>
      <c r="BE46" s="243"/>
      <c r="BF46" s="169"/>
      <c r="BG46" s="169"/>
      <c r="BH46" s="169"/>
      <c r="BI46" s="169"/>
      <c r="BJ46" s="243"/>
      <c r="BK46" s="169"/>
      <c r="BL46" s="169"/>
      <c r="BM46" s="169"/>
      <c r="BN46" s="169"/>
      <c r="BO46" s="243"/>
    </row>
    <row r="47" spans="2:67" s="59" customFormat="1" hidden="1" outlineLevel="1">
      <c r="B47" s="1361" t="s">
        <v>488</v>
      </c>
      <c r="G47" s="1362"/>
      <c r="H47" s="1363"/>
      <c r="I47" s="1363"/>
      <c r="J47" s="1363"/>
      <c r="K47" s="1363"/>
      <c r="L47" s="1364"/>
      <c r="M47" s="1363"/>
      <c r="N47" s="1365"/>
      <c r="O47" s="1365"/>
      <c r="P47" s="1365"/>
      <c r="Q47" s="1364"/>
      <c r="R47" s="1366"/>
      <c r="S47" s="1366"/>
      <c r="T47" s="1366"/>
      <c r="U47" s="1366"/>
      <c r="V47" s="1367"/>
      <c r="W47" s="1366"/>
      <c r="X47" s="1366"/>
      <c r="Y47" s="1366"/>
      <c r="Z47" s="1366"/>
      <c r="AA47" s="1367"/>
      <c r="AB47" s="1366"/>
      <c r="AC47" s="1366"/>
      <c r="AD47" s="1366"/>
      <c r="AE47" s="1366"/>
      <c r="AF47" s="1367"/>
      <c r="AG47" s="1366"/>
      <c r="AH47" s="1366"/>
      <c r="AI47" s="1366"/>
      <c r="AJ47" s="1385"/>
      <c r="AK47" s="1368"/>
      <c r="AM47" s="1369">
        <v>2500</v>
      </c>
      <c r="AN47" s="1369">
        <v>3200</v>
      </c>
      <c r="AO47" s="1369">
        <v>4000</v>
      </c>
      <c r="AP47" s="1368"/>
      <c r="AQ47" s="1369">
        <v>5200</v>
      </c>
      <c r="AR47" s="1369">
        <v>6100</v>
      </c>
      <c r="AS47" s="1369">
        <v>7300</v>
      </c>
      <c r="AT47" s="1366"/>
      <c r="AU47" s="1370"/>
      <c r="AV47" s="1366"/>
      <c r="AW47" s="1366"/>
      <c r="AX47" s="1366"/>
      <c r="AY47" s="1366"/>
      <c r="AZ47" s="1367"/>
      <c r="BA47" s="1366"/>
      <c r="BB47" s="1366"/>
      <c r="BC47" s="1366"/>
      <c r="BD47" s="1366"/>
      <c r="BE47" s="1367"/>
      <c r="BF47" s="1366"/>
      <c r="BG47" s="1366"/>
      <c r="BH47" s="1366"/>
      <c r="BI47" s="1366"/>
      <c r="BJ47" s="1367"/>
      <c r="BK47" s="1366"/>
      <c r="BL47" s="1366"/>
      <c r="BM47" s="1366"/>
      <c r="BN47" s="1366"/>
      <c r="BO47" s="1367"/>
    </row>
    <row r="48" spans="2:67" hidden="1" outlineLevel="1">
      <c r="B48" s="937" t="s">
        <v>33</v>
      </c>
      <c r="G48" s="68"/>
      <c r="H48" s="71"/>
      <c r="I48" s="71"/>
      <c r="J48" s="71"/>
      <c r="K48" s="71"/>
      <c r="L48" s="72"/>
      <c r="M48" s="71"/>
      <c r="N48" s="117"/>
      <c r="O48" s="117"/>
      <c r="P48" s="117"/>
      <c r="Q48" s="72"/>
      <c r="R48" s="169"/>
      <c r="S48" s="169"/>
      <c r="T48" s="169"/>
      <c r="U48" s="169"/>
      <c r="V48" s="243"/>
      <c r="W48" s="169"/>
      <c r="X48" s="169"/>
      <c r="Y48" s="169"/>
      <c r="Z48" s="169"/>
      <c r="AA48" s="243"/>
      <c r="AB48" s="169"/>
      <c r="AC48" s="169"/>
      <c r="AD48" s="169"/>
      <c r="AE48" s="169"/>
      <c r="AF48" s="243"/>
      <c r="AG48" s="169"/>
      <c r="AH48" s="169"/>
      <c r="AI48" s="169"/>
      <c r="AJ48" s="169"/>
      <c r="AK48" s="83"/>
      <c r="AM48" s="169"/>
      <c r="AN48" s="1359">
        <f>AN47/AM47-1</f>
        <v>0.28000000000000003</v>
      </c>
      <c r="AO48" s="1359">
        <f>AO47/AN47-1</f>
        <v>0.25</v>
      </c>
      <c r="AP48" s="83"/>
      <c r="AQ48" s="1359">
        <f>AQ47/AO47-1</f>
        <v>0.30000000000000004</v>
      </c>
      <c r="AR48" s="1359">
        <f>AR47/AQ47-1</f>
        <v>0.17307692307692313</v>
      </c>
      <c r="AS48" s="1359">
        <f>AS47/AR47-1</f>
        <v>0.19672131147540983</v>
      </c>
      <c r="AT48" s="169"/>
      <c r="AU48" s="242"/>
      <c r="AV48" s="169"/>
      <c r="AW48" s="169"/>
      <c r="AX48" s="169"/>
      <c r="AY48" s="169"/>
      <c r="AZ48" s="243"/>
      <c r="BA48" s="169"/>
      <c r="BB48" s="169"/>
      <c r="BC48" s="169"/>
      <c r="BD48" s="169"/>
      <c r="BE48" s="243"/>
      <c r="BF48" s="169"/>
      <c r="BG48" s="169"/>
      <c r="BH48" s="169"/>
      <c r="BI48" s="169"/>
      <c r="BJ48" s="243"/>
      <c r="BK48" s="169"/>
      <c r="BL48" s="169"/>
      <c r="BM48" s="169"/>
      <c r="BN48" s="169"/>
      <c r="BO48" s="243"/>
    </row>
    <row r="49" spans="1:67" hidden="1" outlineLevel="1">
      <c r="B49" s="937" t="s">
        <v>172</v>
      </c>
      <c r="G49" s="68"/>
      <c r="H49" s="71"/>
      <c r="I49" s="71"/>
      <c r="J49" s="71"/>
      <c r="K49" s="71"/>
      <c r="L49" s="72"/>
      <c r="M49" s="71"/>
      <c r="N49" s="117"/>
      <c r="O49" s="117"/>
      <c r="P49" s="117"/>
      <c r="Q49" s="72"/>
      <c r="R49" s="169"/>
      <c r="S49" s="169"/>
      <c r="T49" s="169"/>
      <c r="U49" s="169"/>
      <c r="V49" s="243"/>
      <c r="W49" s="169"/>
      <c r="X49" s="169"/>
      <c r="Y49" s="169"/>
      <c r="Z49" s="169"/>
      <c r="AA49" s="243"/>
      <c r="AB49" s="169"/>
      <c r="AC49" s="169"/>
      <c r="AD49" s="169"/>
      <c r="AE49" s="169"/>
      <c r="AF49" s="243"/>
      <c r="AG49" s="169"/>
      <c r="AH49" s="169"/>
      <c r="AI49" s="169"/>
      <c r="AJ49" s="169"/>
      <c r="AK49" s="83"/>
      <c r="AM49" s="169"/>
      <c r="AN49" s="1360">
        <f>AN47-AM47</f>
        <v>700</v>
      </c>
      <c r="AO49" s="1360">
        <f>AO47-AN47</f>
        <v>800</v>
      </c>
      <c r="AP49" s="83"/>
      <c r="AQ49" s="1360">
        <f>AQ47-AO47</f>
        <v>1200</v>
      </c>
      <c r="AR49" s="1360">
        <f>AR47-AQ47</f>
        <v>900</v>
      </c>
      <c r="AS49" s="1360">
        <f>AS47-AR47</f>
        <v>1200</v>
      </c>
      <c r="AT49" s="169"/>
      <c r="AU49" s="242"/>
      <c r="AV49" s="169"/>
      <c r="AW49" s="169"/>
      <c r="AX49" s="169"/>
      <c r="AY49" s="169"/>
      <c r="AZ49" s="243"/>
      <c r="BA49" s="169"/>
      <c r="BB49" s="169"/>
      <c r="BC49" s="169"/>
      <c r="BD49" s="169"/>
      <c r="BE49" s="243"/>
      <c r="BF49" s="169"/>
      <c r="BG49" s="169"/>
      <c r="BH49" s="169"/>
      <c r="BI49" s="169"/>
      <c r="BJ49" s="243"/>
      <c r="BK49" s="169"/>
      <c r="BL49" s="169"/>
      <c r="BM49" s="169"/>
      <c r="BN49" s="169"/>
      <c r="BO49" s="243"/>
    </row>
    <row r="50" spans="1:67" collapsed="1">
      <c r="B50" s="158"/>
      <c r="G50" s="68"/>
      <c r="L50" s="68"/>
      <c r="Q50" s="68"/>
      <c r="V50" s="68"/>
      <c r="Z50" s="98"/>
      <c r="AA50" s="68"/>
      <c r="AB50" s="150"/>
      <c r="AC50" s="150"/>
      <c r="AD50" s="150"/>
      <c r="AE50" s="150"/>
      <c r="AF50" s="134"/>
      <c r="AG50" s="150"/>
      <c r="AH50" s="150"/>
      <c r="AI50" s="150"/>
      <c r="AJ50" s="150"/>
      <c r="AK50" s="134"/>
      <c r="AL50" s="150"/>
      <c r="AM50" s="150"/>
      <c r="AN50" s="150"/>
      <c r="AO50" s="150"/>
      <c r="AP50" s="134"/>
      <c r="AQ50" s="150"/>
      <c r="AS50" s="150"/>
      <c r="AU50" s="68"/>
      <c r="AZ50" s="68"/>
      <c r="BE50" s="68"/>
      <c r="BJ50" s="68"/>
      <c r="BO50" s="68"/>
    </row>
    <row r="51" spans="1:67">
      <c r="A51" s="108" t="s">
        <v>75</v>
      </c>
      <c r="B51" s="155" t="s">
        <v>38</v>
      </c>
      <c r="C51" s="64"/>
      <c r="D51" s="64"/>
      <c r="E51" s="64"/>
      <c r="F51" s="64"/>
      <c r="G51" s="93"/>
      <c r="H51" s="906">
        <f>'IS (Non-GAAP)'!H19</f>
        <v>0.217</v>
      </c>
      <c r="I51" s="906">
        <f>'IS (Non-GAAP)'!I19</f>
        <v>0.23</v>
      </c>
      <c r="J51" s="906">
        <f>'IS (Non-GAAP)'!J19</f>
        <v>0.223</v>
      </c>
      <c r="K51" s="906">
        <f>'IS (Non-GAAP)'!K19</f>
        <v>0.313</v>
      </c>
      <c r="L51" s="907">
        <f>SUM(H51:K51)</f>
        <v>0.9830000000000001</v>
      </c>
      <c r="M51" s="906">
        <f>'IS (Non-GAAP)'!M19</f>
        <v>0.93899999999999995</v>
      </c>
      <c r="N51" s="906">
        <f>'IS (Non-GAAP)'!N19</f>
        <v>2.5209999999999999</v>
      </c>
      <c r="O51" s="906">
        <f>'IS (Non-GAAP)'!O19</f>
        <v>3.7989999999999999</v>
      </c>
      <c r="P51" s="906">
        <f>'IS (Non-GAAP)'!P19</f>
        <v>5.26</v>
      </c>
      <c r="Q51" s="907">
        <f>SUM(M51:P51)</f>
        <v>12.519</v>
      </c>
      <c r="R51" s="906">
        <f>'IS (Non-GAAP)'!R19</f>
        <v>6.9980000000000002</v>
      </c>
      <c r="S51" s="906">
        <f>'IS (Non-GAAP)'!S19</f>
        <v>7.9290000000000003</v>
      </c>
      <c r="T51" s="906">
        <f>'IS (Non-GAAP)'!T19</f>
        <v>11.151</v>
      </c>
      <c r="U51" s="906">
        <f>'IS (Non-GAAP)'!U19</f>
        <v>12.177</v>
      </c>
      <c r="V51" s="907">
        <f>SUM(R51:U51)</f>
        <v>38.254999999999995</v>
      </c>
      <c r="W51" s="906">
        <f>'IS (Non-GAAP)'!W19</f>
        <v>15.084</v>
      </c>
      <c r="X51" s="906">
        <f>'IS (Non-GAAP)'!X19</f>
        <v>17.574999999999999</v>
      </c>
      <c r="Y51" s="906">
        <f>'IS (Non-GAAP)'!Y19</f>
        <v>21.983000000000001</v>
      </c>
      <c r="Z51" s="906">
        <f>'IS (Non-GAAP)'!Z19</f>
        <v>24.216000000000001</v>
      </c>
      <c r="AA51" s="907">
        <f>SUM(W51:Z51)</f>
        <v>78.858000000000004</v>
      </c>
      <c r="AB51" s="906">
        <f>'IS (Non-GAAP)'!AB19</f>
        <v>27.937000000000001</v>
      </c>
      <c r="AC51" s="906">
        <f>'IS (Non-GAAP)'!AC19</f>
        <v>30.98</v>
      </c>
      <c r="AD51" s="906">
        <f>'IS (Non-GAAP)'!AD19</f>
        <v>34.276000000000003</v>
      </c>
      <c r="AE51" s="906">
        <f>'IS (Non-GAAP)'!AE19</f>
        <v>33.683</v>
      </c>
      <c r="AF51" s="907">
        <f>SUM(AB51:AE51)</f>
        <v>126.876</v>
      </c>
      <c r="AG51" s="906">
        <f>'IS (Non-GAAP)'!AG19</f>
        <v>33.527000000000001</v>
      </c>
      <c r="AH51" s="906">
        <f>'IS (Non-GAAP)'!AH19</f>
        <v>33.808999999999997</v>
      </c>
      <c r="AI51" s="906">
        <f>'IS (Non-GAAP)'!AI19</f>
        <v>35.695</v>
      </c>
      <c r="AJ51" s="906">
        <f>'IS (Non-GAAP)'!AJ19</f>
        <v>36.609000000000002</v>
      </c>
      <c r="AK51" s="907">
        <f>SUM(AG51:AJ51)</f>
        <v>139.64000000000001</v>
      </c>
      <c r="AL51" s="906">
        <f>'IS (Non-GAAP)'!AL19</f>
        <v>39.122</v>
      </c>
      <c r="AM51" s="906">
        <f>'IS (Non-GAAP)'!AM19</f>
        <v>39.573</v>
      </c>
      <c r="AN51" s="906">
        <f>'IS (Non-GAAP)'!AN19</f>
        <v>41.811999999999998</v>
      </c>
      <c r="AO51" s="906">
        <f>'IS (Non-GAAP)'!AO19</f>
        <v>43.466999999999999</v>
      </c>
      <c r="AP51" s="907">
        <f>SUM(AL51:AO51)</f>
        <v>163.97399999999999</v>
      </c>
      <c r="AQ51" s="906">
        <f>'IS (Non-GAAP)'!AQ19</f>
        <v>45.261000000000003</v>
      </c>
      <c r="AR51" s="906">
        <f>'IS (Non-GAAP)'!AR19</f>
        <v>54.472999999999999</v>
      </c>
      <c r="AS51" s="906">
        <f>'IS (Non-GAAP)'!AS19</f>
        <v>54.531999999999996</v>
      </c>
      <c r="AT51" s="65">
        <f>AO51*(1+AT52)</f>
        <v>49.987049999999996</v>
      </c>
      <c r="AU51" s="70">
        <f>SUM(AQ51:AT51)</f>
        <v>204.25305000000003</v>
      </c>
      <c r="AV51" s="65">
        <f>AQ51*(1+AV52)</f>
        <v>51.371235000000006</v>
      </c>
      <c r="AW51" s="65">
        <f>AR51*(1+AW52)</f>
        <v>61.826855000000002</v>
      </c>
      <c r="AX51" s="65">
        <f>AS51*(1+AX52)</f>
        <v>61.893819999999998</v>
      </c>
      <c r="AY51" s="65">
        <f>AT51*(1+AY52)</f>
        <v>56.735301749999998</v>
      </c>
      <c r="AZ51" s="70">
        <f>SUM(AV51:AY51)</f>
        <v>231.82721175</v>
      </c>
      <c r="BA51" s="65">
        <f>AV51*(1+BA52)</f>
        <v>58.049495550000003</v>
      </c>
      <c r="BB51" s="65">
        <f>AW51*(1+BB52)</f>
        <v>69.864346149999989</v>
      </c>
      <c r="BC51" s="65">
        <f>AX51*(1+BC52)</f>
        <v>69.940016599999993</v>
      </c>
      <c r="BD51" s="65">
        <f>AY51*(1+BD52)</f>
        <v>64.110890977499992</v>
      </c>
      <c r="BE51" s="70">
        <f>SUM(BA51:BD51)</f>
        <v>261.9647492775</v>
      </c>
      <c r="BF51" s="65">
        <f>BA51*(1+BF52)</f>
        <v>65.305682493749998</v>
      </c>
      <c r="BG51" s="65">
        <f>BB51*(1+BG52)</f>
        <v>78.597389418749984</v>
      </c>
      <c r="BH51" s="65">
        <f>BC51*(1+BH52)</f>
        <v>78.682518674999997</v>
      </c>
      <c r="BI51" s="65">
        <f>BD51*(1+BI52)</f>
        <v>72.124752349687498</v>
      </c>
      <c r="BJ51" s="70">
        <f>SUM(BF51:BI51)</f>
        <v>294.71034293718742</v>
      </c>
      <c r="BK51" s="65">
        <f>BF51*(1+BK52)</f>
        <v>73.468892805468755</v>
      </c>
      <c r="BL51" s="65">
        <f>BG51*(1+BL52)</f>
        <v>88.422063096093737</v>
      </c>
      <c r="BM51" s="65">
        <f>BH51*(1+BM52)</f>
        <v>88.517833509374995</v>
      </c>
      <c r="BN51" s="65">
        <f>BI51*(1+BN52)</f>
        <v>81.140346393398431</v>
      </c>
      <c r="BO51" s="70">
        <f>SUM(BK51:BN51)</f>
        <v>331.54913580433595</v>
      </c>
    </row>
    <row r="52" spans="1:67">
      <c r="A52" s="108" t="s">
        <v>63</v>
      </c>
      <c r="B52" s="156" t="s">
        <v>32</v>
      </c>
      <c r="G52" s="68"/>
      <c r="H52" s="71" t="str">
        <f t="shared" ref="H52:AN52" si="15">IFERROR(H51/C51-1,"--")</f>
        <v>--</v>
      </c>
      <c r="I52" s="71" t="str">
        <f t="shared" si="15"/>
        <v>--</v>
      </c>
      <c r="J52" s="71" t="str">
        <f t="shared" si="15"/>
        <v>--</v>
      </c>
      <c r="K52" s="71" t="str">
        <f t="shared" si="15"/>
        <v>--</v>
      </c>
      <c r="L52" s="72" t="str">
        <f t="shared" si="15"/>
        <v>--</v>
      </c>
      <c r="M52" s="71">
        <f t="shared" si="15"/>
        <v>3.3271889400921655</v>
      </c>
      <c r="N52" s="71">
        <f t="shared" si="15"/>
        <v>9.96086956521739</v>
      </c>
      <c r="O52" s="71">
        <f t="shared" si="15"/>
        <v>16.035874439461882</v>
      </c>
      <c r="P52" s="71">
        <f t="shared" si="15"/>
        <v>15.80511182108626</v>
      </c>
      <c r="Q52" s="72">
        <f t="shared" si="15"/>
        <v>11.735503560528992</v>
      </c>
      <c r="R52" s="71">
        <f t="shared" si="15"/>
        <v>6.4526091586794472</v>
      </c>
      <c r="S52" s="71">
        <f t="shared" si="15"/>
        <v>2.1451804839349466</v>
      </c>
      <c r="T52" s="71">
        <f t="shared" si="15"/>
        <v>1.9352461173993154</v>
      </c>
      <c r="U52" s="71">
        <f t="shared" si="15"/>
        <v>1.3150190114068443</v>
      </c>
      <c r="V52" s="72">
        <f t="shared" si="15"/>
        <v>2.055755252016934</v>
      </c>
      <c r="W52" s="71">
        <f t="shared" si="15"/>
        <v>1.1554729922835096</v>
      </c>
      <c r="X52" s="71">
        <f t="shared" si="15"/>
        <v>1.2165468533232437</v>
      </c>
      <c r="Y52" s="71">
        <f t="shared" si="15"/>
        <v>0.97139270020625967</v>
      </c>
      <c r="Z52" s="71">
        <f t="shared" si="15"/>
        <v>0.98866715939886696</v>
      </c>
      <c r="AA52" s="72">
        <f t="shared" si="15"/>
        <v>1.0613775976996473</v>
      </c>
      <c r="AB52" s="71">
        <f t="shared" si="15"/>
        <v>0.85209493503049605</v>
      </c>
      <c r="AC52" s="71">
        <f t="shared" si="15"/>
        <v>0.76273115220483656</v>
      </c>
      <c r="AD52" s="71">
        <f t="shared" si="15"/>
        <v>0.55920484010371663</v>
      </c>
      <c r="AE52" s="71">
        <f t="shared" si="15"/>
        <v>0.39093987446316469</v>
      </c>
      <c r="AF52" s="72">
        <f t="shared" si="15"/>
        <v>0.60891729437723496</v>
      </c>
      <c r="AG52" s="71">
        <f t="shared" si="15"/>
        <v>0.20009306654257797</v>
      </c>
      <c r="AH52" s="71">
        <f t="shared" si="15"/>
        <v>9.1316978695932693E-2</v>
      </c>
      <c r="AI52" s="71">
        <f t="shared" si="15"/>
        <v>4.1399229781771352E-2</v>
      </c>
      <c r="AJ52" s="71">
        <f t="shared" si="15"/>
        <v>8.6868746845589762E-2</v>
      </c>
      <c r="AK52" s="72">
        <f t="shared" si="15"/>
        <v>0.10060216274157452</v>
      </c>
      <c r="AL52" s="71">
        <f t="shared" si="15"/>
        <v>0.16688042473230524</v>
      </c>
      <c r="AM52" s="71">
        <f t="shared" si="15"/>
        <v>0.17048714839243995</v>
      </c>
      <c r="AN52" s="71">
        <f t="shared" si="15"/>
        <v>0.17136853901106597</v>
      </c>
      <c r="AO52" s="71">
        <f>IFERROR(AO51/AJ51-1,"--")</f>
        <v>0.18733098418421701</v>
      </c>
      <c r="AP52" s="72">
        <f>IFERROR(AP51/AK51-1,"--")</f>
        <v>0.17426238900028634</v>
      </c>
      <c r="AQ52" s="71">
        <f t="shared" ref="AQ52:AS52" si="16">IFERROR(AQ51/AL51-1,"--")</f>
        <v>0.15691938039977504</v>
      </c>
      <c r="AR52" s="71">
        <f t="shared" si="16"/>
        <v>0.37651934399716969</v>
      </c>
      <c r="AS52" s="71">
        <f t="shared" si="16"/>
        <v>0.30421888453075674</v>
      </c>
      <c r="AT52" s="73">
        <v>0.15</v>
      </c>
      <c r="AU52" s="72">
        <f>IFERROR(AU51/AP51-1,"--")</f>
        <v>0.24564290680229828</v>
      </c>
      <c r="AV52" s="73">
        <v>0.13500000000000001</v>
      </c>
      <c r="AW52" s="73">
        <f>AV52</f>
        <v>0.13500000000000001</v>
      </c>
      <c r="AX52" s="73">
        <f>AW52</f>
        <v>0.13500000000000001</v>
      </c>
      <c r="AY52" s="73">
        <f>AX52</f>
        <v>0.13500000000000001</v>
      </c>
      <c r="AZ52" s="72">
        <f>IFERROR(AZ51/AU51-1,"--")</f>
        <v>0.13499999999999979</v>
      </c>
      <c r="BA52" s="73">
        <v>0.13</v>
      </c>
      <c r="BB52" s="73">
        <f>BA52</f>
        <v>0.13</v>
      </c>
      <c r="BC52" s="73">
        <f>BB52</f>
        <v>0.13</v>
      </c>
      <c r="BD52" s="73">
        <f>BC52</f>
        <v>0.13</v>
      </c>
      <c r="BE52" s="72">
        <f>IFERROR(BE51/AZ51-1,"--")</f>
        <v>0.12999999999999989</v>
      </c>
      <c r="BF52" s="73">
        <v>0.125</v>
      </c>
      <c r="BG52" s="73">
        <f>BF52</f>
        <v>0.125</v>
      </c>
      <c r="BH52" s="73">
        <f>BG52</f>
        <v>0.125</v>
      </c>
      <c r="BI52" s="73">
        <f>BH52</f>
        <v>0.125</v>
      </c>
      <c r="BJ52" s="72">
        <f>IFERROR(BJ51/BE51-1,"--")</f>
        <v>0.12499999999999978</v>
      </c>
      <c r="BK52" s="73">
        <v>0.125</v>
      </c>
      <c r="BL52" s="73">
        <f>BK52</f>
        <v>0.125</v>
      </c>
      <c r="BM52" s="73">
        <f>BL52</f>
        <v>0.125</v>
      </c>
      <c r="BN52" s="73">
        <f>BM52</f>
        <v>0.125</v>
      </c>
      <c r="BO52" s="72">
        <f>IFERROR(BO51/BJ51-1,"--")</f>
        <v>0.12500000000000044</v>
      </c>
    </row>
    <row r="53" spans="1:67">
      <c r="A53" s="57" t="s">
        <v>64</v>
      </c>
      <c r="B53" s="156" t="s">
        <v>33</v>
      </c>
      <c r="G53" s="68"/>
      <c r="H53" s="71" t="str">
        <f>IFERROR(H51/F51-1,"--")</f>
        <v>--</v>
      </c>
      <c r="I53" s="71">
        <f>IFERROR(I51/H51-1,"--")</f>
        <v>5.9907834101382562E-2</v>
      </c>
      <c r="J53" s="71">
        <f>IFERROR(J51/I51-1,"--")</f>
        <v>-3.0434782608695699E-2</v>
      </c>
      <c r="K53" s="71">
        <f>IFERROR(K51/J51-1,"--")</f>
        <v>0.4035874439461884</v>
      </c>
      <c r="L53" s="72" t="s">
        <v>36</v>
      </c>
      <c r="M53" s="71">
        <f>IFERROR(M51/K51-1,"--")</f>
        <v>2</v>
      </c>
      <c r="N53" s="71">
        <f>IFERROR(N51/M51-1,"--")</f>
        <v>1.6847710330138446</v>
      </c>
      <c r="O53" s="71">
        <f>IFERROR(O51/N51-1,"--")</f>
        <v>0.5069416898056327</v>
      </c>
      <c r="P53" s="71">
        <f>IFERROR(P51/O51-1,"--")</f>
        <v>0.38457488812845475</v>
      </c>
      <c r="Q53" s="72" t="s">
        <v>36</v>
      </c>
      <c r="R53" s="71">
        <f>IFERROR(R51/P51-1,"--")</f>
        <v>0.33041825095057042</v>
      </c>
      <c r="S53" s="71">
        <f>IFERROR(S51/R51-1,"--")</f>
        <v>0.1330380108602458</v>
      </c>
      <c r="T53" s="71">
        <f>IFERROR(T51/S51-1,"--")</f>
        <v>0.40635641316685578</v>
      </c>
      <c r="U53" s="71">
        <f>IFERROR(U51/T51-1,"--")</f>
        <v>9.2009685230024285E-2</v>
      </c>
      <c r="V53" s="72" t="s">
        <v>36</v>
      </c>
      <c r="W53" s="71">
        <f>IFERROR(W51/U51-1,"--")</f>
        <v>0.23872875092387291</v>
      </c>
      <c r="X53" s="71">
        <f>IFERROR(X51/W51-1,"--")</f>
        <v>0.16514187218244492</v>
      </c>
      <c r="Y53" s="71">
        <f>IFERROR(Y51/X51-1,"--")</f>
        <v>0.25081081081081091</v>
      </c>
      <c r="Z53" s="71">
        <f>IFERROR(Z51/Y51-1,"--")</f>
        <v>0.10157849247145534</v>
      </c>
      <c r="AA53" s="72" t="s">
        <v>36</v>
      </c>
      <c r="AB53" s="71">
        <f>IFERROR(AB51/Z51-1,"--")</f>
        <v>0.15365873802444674</v>
      </c>
      <c r="AC53" s="71">
        <f>IFERROR(AC51/AB51-1,"--")</f>
        <v>0.10892364964026191</v>
      </c>
      <c r="AD53" s="71">
        <f>IFERROR(AD51/AC51-1,"--")</f>
        <v>0.10639122014202718</v>
      </c>
      <c r="AE53" s="71">
        <f>IFERROR(AE51/AD51-1,"--")</f>
        <v>-1.7300735208309104E-2</v>
      </c>
      <c r="AF53" s="72" t="s">
        <v>36</v>
      </c>
      <c r="AG53" s="71">
        <f>IFERROR(AG51/AE51-1,"--")</f>
        <v>-4.6314164415283132E-3</v>
      </c>
      <c r="AH53" s="71">
        <f>IFERROR(AH51/AG51-1,"--")</f>
        <v>8.4111313269901178E-3</v>
      </c>
      <c r="AI53" s="71">
        <f>IFERROR(AI51/AH51-1,"--")</f>
        <v>5.5783962850128654E-2</v>
      </c>
      <c r="AJ53" s="71">
        <f>IFERROR(AJ51/AI51-1,"--")</f>
        <v>2.5605827146659266E-2</v>
      </c>
      <c r="AK53" s="72" t="s">
        <v>36</v>
      </c>
      <c r="AL53" s="71">
        <f>IFERROR(AL51/AJ51-1,"--")</f>
        <v>6.8644322434374017E-2</v>
      </c>
      <c r="AM53" s="71">
        <f>IFERROR(AM51/AL51-1,"--")</f>
        <v>1.1528040488727687E-2</v>
      </c>
      <c r="AN53" s="71">
        <f>IFERROR(AN51/AM51-1,"--")</f>
        <v>5.6578980618098074E-2</v>
      </c>
      <c r="AO53" s="71">
        <f>IFERROR(AO51/AN51-1,"--")</f>
        <v>3.9581938199559907E-2</v>
      </c>
      <c r="AP53" s="72" t="s">
        <v>36</v>
      </c>
      <c r="AQ53" s="71">
        <f>IFERROR(AQ51/AO51-1,"--")</f>
        <v>4.1272689626613346E-2</v>
      </c>
      <c r="AR53" s="71">
        <f>IFERROR(AR51/AQ51-1,"--")</f>
        <v>0.20353063343717537</v>
      </c>
      <c r="AS53" s="71">
        <f>IFERROR(AS51/AR51-1,"--")</f>
        <v>1.0831053916617872E-3</v>
      </c>
      <c r="AT53" s="71">
        <f>IFERROR(AT51/AS51-1,"--")</f>
        <v>-8.3344641678280595E-2</v>
      </c>
      <c r="AU53" s="72" t="s">
        <v>36</v>
      </c>
      <c r="AV53" s="71">
        <f>IFERROR(AV51/AT51-1,"--")</f>
        <v>2.7690871935831529E-2</v>
      </c>
      <c r="AW53" s="71">
        <f>IFERROR(AW51/AV51-1,"--")</f>
        <v>0.20353063343717537</v>
      </c>
      <c r="AX53" s="71">
        <f>IFERROR(AX51/AW51-1,"--")</f>
        <v>1.0831053916617872E-3</v>
      </c>
      <c r="AY53" s="71">
        <f>IFERROR(AY51/AX51-1,"--")</f>
        <v>-8.3344641678280595E-2</v>
      </c>
      <c r="AZ53" s="72" t="s">
        <v>36</v>
      </c>
      <c r="BA53" s="71">
        <f>IFERROR(BA51/AY51-1,"--")</f>
        <v>2.3163599372237442E-2</v>
      </c>
      <c r="BB53" s="71">
        <f>IFERROR(BB51/BA51-1,"--")</f>
        <v>0.20353063343717515</v>
      </c>
      <c r="BC53" s="71">
        <f>IFERROR(BC51/BB51-1,"--")</f>
        <v>1.0831053916620093E-3</v>
      </c>
      <c r="BD53" s="71">
        <f>IFERROR(BD51/BC51-1,"--")</f>
        <v>-8.3344641678280706E-2</v>
      </c>
      <c r="BE53" s="72" t="s">
        <v>36</v>
      </c>
      <c r="BF53" s="71">
        <f>IFERROR(BF51/BD51-1,"--")</f>
        <v>1.8636326808643577E-2</v>
      </c>
      <c r="BG53" s="71">
        <f>IFERROR(BG51/BF51-1,"--")</f>
        <v>0.20353063343717537</v>
      </c>
      <c r="BH53" s="71">
        <f>IFERROR(BH51/BG51-1,"--")</f>
        <v>1.0831053916620093E-3</v>
      </c>
      <c r="BI53" s="71">
        <f>IFERROR(BI51/BH51-1,"--")</f>
        <v>-8.3344641678280595E-2</v>
      </c>
      <c r="BJ53" s="72" t="s">
        <v>36</v>
      </c>
      <c r="BK53" s="71">
        <f>IFERROR(BK51/BI51-1,"--")</f>
        <v>1.8636326808643577E-2</v>
      </c>
      <c r="BL53" s="71">
        <f>IFERROR(BL51/BK51-1,"--")</f>
        <v>0.20353063343717515</v>
      </c>
      <c r="BM53" s="71">
        <f>IFERROR(BM51/BL51-1,"--")</f>
        <v>1.0831053916620093E-3</v>
      </c>
      <c r="BN53" s="71">
        <f>IFERROR(BN51/BM51-1,"--")</f>
        <v>-8.3344641678280706E-2</v>
      </c>
      <c r="BO53" s="72" t="s">
        <v>36</v>
      </c>
    </row>
    <row r="54" spans="1:67">
      <c r="B54" s="157" t="s">
        <v>35</v>
      </c>
      <c r="G54" s="68"/>
      <c r="H54" s="71">
        <f t="shared" ref="H54:AM54" si="17">H51/H$11</f>
        <v>1.6190405133179139E-2</v>
      </c>
      <c r="I54" s="71">
        <f t="shared" si="17"/>
        <v>1.2845573862049707E-2</v>
      </c>
      <c r="J54" s="71">
        <f t="shared" si="17"/>
        <v>7.7754532775453277E-3</v>
      </c>
      <c r="K54" s="71">
        <f t="shared" si="17"/>
        <v>8.5337259392551379E-3</v>
      </c>
      <c r="L54" s="72">
        <f t="shared" si="17"/>
        <v>1.0169035648521715E-2</v>
      </c>
      <c r="M54" s="71">
        <f t="shared" si="17"/>
        <v>2.148495595469626E-2</v>
      </c>
      <c r="N54" s="71">
        <f t="shared" si="17"/>
        <v>4.1780606241402743E-2</v>
      </c>
      <c r="O54" s="71">
        <f t="shared" si="17"/>
        <v>5.2032542595737682E-2</v>
      </c>
      <c r="P54" s="71">
        <f t="shared" si="17"/>
        <v>5.998266660584773E-2</v>
      </c>
      <c r="Q54" s="72">
        <f t="shared" si="17"/>
        <v>4.7286476196231893E-2</v>
      </c>
      <c r="R54" s="71">
        <f t="shared" si="17"/>
        <v>6.4310986536782619E-2</v>
      </c>
      <c r="S54" s="71">
        <f t="shared" si="17"/>
        <v>5.9551616658530183E-2</v>
      </c>
      <c r="T54" s="71">
        <f t="shared" si="17"/>
        <v>6.9857916102841672E-2</v>
      </c>
      <c r="U54" s="71">
        <f t="shared" si="17"/>
        <v>6.3933006064106263E-2</v>
      </c>
      <c r="V54" s="72">
        <f t="shared" si="17"/>
        <v>6.4614584265829347E-2</v>
      </c>
      <c r="W54" s="71">
        <f t="shared" si="17"/>
        <v>6.5893741754545362E-2</v>
      </c>
      <c r="X54" s="71">
        <f t="shared" si="17"/>
        <v>6.456696963239994E-2</v>
      </c>
      <c r="Y54" s="71">
        <f t="shared" si="17"/>
        <v>6.5730577291659806E-2</v>
      </c>
      <c r="Z54" s="71">
        <f t="shared" si="17"/>
        <v>6.3099636765387962E-2</v>
      </c>
      <c r="AA54" s="72">
        <f t="shared" si="17"/>
        <v>6.4673381299684168E-2</v>
      </c>
      <c r="AB54" s="71">
        <f t="shared" si="17"/>
        <v>6.6143272146998722E-2</v>
      </c>
      <c r="AC54" s="71">
        <f t="shared" si="17"/>
        <v>6.2302915245511299E-2</v>
      </c>
      <c r="AD54" s="71">
        <f t="shared" si="17"/>
        <v>6.1533711052227193E-2</v>
      </c>
      <c r="AE54" s="71">
        <f t="shared" si="17"/>
        <v>5.7185592144132893E-2</v>
      </c>
      <c r="AF54" s="72">
        <f t="shared" si="17"/>
        <v>6.1421560867500398E-2</v>
      </c>
      <c r="AG54" s="71">
        <f t="shared" si="17"/>
        <v>5.3763716747461103E-2</v>
      </c>
      <c r="AH54" s="71">
        <f t="shared" si="17"/>
        <v>5.0160381473491805E-2</v>
      </c>
      <c r="AI54" s="71">
        <f t="shared" si="17"/>
        <v>4.8619330866158252E-2</v>
      </c>
      <c r="AJ54" s="71">
        <f t="shared" si="17"/>
        <v>4.7255772887276219E-2</v>
      </c>
      <c r="AK54" s="72">
        <f t="shared" si="17"/>
        <v>4.9756118766187934E-2</v>
      </c>
      <c r="AL54" s="71">
        <f t="shared" si="17"/>
        <v>4.720836867947615E-2</v>
      </c>
      <c r="AM54" s="71">
        <f t="shared" si="17"/>
        <v>4.5547827348032914E-2</v>
      </c>
      <c r="AN54" s="71">
        <f t="shared" ref="AN54:BJ54" si="18">AN51/AN$11</f>
        <v>4.4381983114211529E-2</v>
      </c>
      <c r="AO54" s="71">
        <f t="shared" si="18"/>
        <v>4.4049778570487551E-2</v>
      </c>
      <c r="AP54" s="72">
        <f t="shared" si="18"/>
        <v>4.5216793753357319E-2</v>
      </c>
      <c r="AQ54" s="71">
        <f t="shared" si="18"/>
        <v>4.343357573454476E-2</v>
      </c>
      <c r="AR54" s="71">
        <f t="shared" si="18"/>
        <v>4.7575960571858276E-2</v>
      </c>
      <c r="AS54" s="71">
        <f t="shared" ref="AS54" si="19">AS51/AS$11</f>
        <v>4.495967958024881E-2</v>
      </c>
      <c r="AT54" s="71">
        <f t="shared" si="18"/>
        <v>4.0027968989819473E-2</v>
      </c>
      <c r="AU54" s="72">
        <f t="shared" si="18"/>
        <v>4.3937150385312942E-2</v>
      </c>
      <c r="AV54" s="71">
        <f t="shared" si="18"/>
        <v>3.912475683492192E-2</v>
      </c>
      <c r="AW54" s="71">
        <f t="shared" si="18"/>
        <v>4.369279675141706E-2</v>
      </c>
      <c r="AX54" s="71">
        <f t="shared" si="18"/>
        <v>4.119898144442103E-2</v>
      </c>
      <c r="AY54" s="71">
        <f t="shared" si="18"/>
        <v>3.6621680517834668E-2</v>
      </c>
      <c r="AZ54" s="72">
        <f t="shared" si="18"/>
        <v>4.0111374214364399E-2</v>
      </c>
      <c r="BA54" s="71">
        <f t="shared" si="18"/>
        <v>3.5629464943423839E-2</v>
      </c>
      <c r="BB54" s="71">
        <f t="shared" si="18"/>
        <v>3.9677212114841258E-2</v>
      </c>
      <c r="BC54" s="71">
        <f t="shared" si="18"/>
        <v>3.7310468820502797E-2</v>
      </c>
      <c r="BD54" s="71">
        <f t="shared" si="18"/>
        <v>3.3500465279438604E-2</v>
      </c>
      <c r="BE54" s="72">
        <f t="shared" si="18"/>
        <v>3.649374811546631E-2</v>
      </c>
      <c r="BF54" s="71">
        <f t="shared" si="18"/>
        <v>3.2709917039162463E-2</v>
      </c>
      <c r="BG54" s="71">
        <f t="shared" si="18"/>
        <v>3.6510599529533068E-2</v>
      </c>
      <c r="BH54" s="71">
        <f t="shared" si="18"/>
        <v>3.3729359078196512E-2</v>
      </c>
      <c r="BI54" s="71">
        <f t="shared" si="18"/>
        <v>3.0152603741553589E-2</v>
      </c>
      <c r="BJ54" s="72">
        <f t="shared" si="18"/>
        <v>3.3210580206538109E-2</v>
      </c>
      <c r="BK54" s="71">
        <f>BK51/BK$11</f>
        <v>2.9596876167884333E-2</v>
      </c>
      <c r="BL54" s="71">
        <f>BL51/BL$11</f>
        <v>3.345849341347782E-2</v>
      </c>
      <c r="BM54" s="71">
        <f>BM51/BM$11</f>
        <v>3.070213525835264E-2</v>
      </c>
      <c r="BN54" s="71">
        <f>BN51/BN$11</f>
        <v>2.7732583281650694E-2</v>
      </c>
      <c r="BO54" s="72">
        <f>BO51/BO$11</f>
        <v>3.032280210466792E-2</v>
      </c>
    </row>
    <row r="55" spans="1:67" s="59" customFormat="1" hidden="1" outlineLevel="1">
      <c r="A55" s="1169" t="s">
        <v>90</v>
      </c>
      <c r="B55" s="1176" t="s">
        <v>48</v>
      </c>
      <c r="C55" s="1171"/>
      <c r="D55" s="1171"/>
      <c r="E55" s="1171"/>
      <c r="F55" s="1171"/>
      <c r="G55" s="1172"/>
      <c r="H55" s="1171"/>
      <c r="I55" s="1171"/>
      <c r="J55" s="1177">
        <v>702</v>
      </c>
      <c r="K55" s="1177">
        <v>948</v>
      </c>
      <c r="L55" s="1178">
        <f>K55</f>
        <v>948</v>
      </c>
      <c r="M55" s="1179">
        <v>1194</v>
      </c>
      <c r="N55" s="1179">
        <v>1547</v>
      </c>
      <c r="O55" s="1179">
        <v>1934</v>
      </c>
      <c r="P55" s="1179">
        <v>2392</v>
      </c>
      <c r="Q55" s="1178">
        <f>P55</f>
        <v>2392</v>
      </c>
      <c r="R55" s="1179">
        <v>2720</v>
      </c>
      <c r="S55" s="1179">
        <v>3117</v>
      </c>
      <c r="T55" s="1179">
        <v>3554</v>
      </c>
      <c r="U55" s="1179">
        <v>4139</v>
      </c>
      <c r="V55" s="1178">
        <f>U55</f>
        <v>4139</v>
      </c>
      <c r="W55" s="1179">
        <v>4532</v>
      </c>
      <c r="X55" s="1179">
        <v>4990</v>
      </c>
      <c r="Y55" s="1179">
        <v>5416</v>
      </c>
      <c r="Z55" s="1179">
        <v>5944</v>
      </c>
      <c r="AA55" s="1178">
        <f>Z55</f>
        <v>5944</v>
      </c>
      <c r="AB55" s="1180">
        <v>6322</v>
      </c>
      <c r="AC55" s="1179">
        <v>6823</v>
      </c>
      <c r="AD55" s="1179">
        <v>7212</v>
      </c>
      <c r="AE55" s="1179">
        <v>7776</v>
      </c>
      <c r="AF55" s="1178">
        <f>AE55</f>
        <v>7776</v>
      </c>
      <c r="AG55" s="1179">
        <v>8087</v>
      </c>
      <c r="AH55" s="1179">
        <v>8487</v>
      </c>
      <c r="AI55" s="1179">
        <v>8885</v>
      </c>
      <c r="AJ55" s="1179">
        <v>9384</v>
      </c>
      <c r="AK55" s="1178">
        <f>AJ55</f>
        <v>9384</v>
      </c>
      <c r="AL55" s="1179">
        <v>9741</v>
      </c>
      <c r="AM55" s="1179">
        <v>10147</v>
      </c>
      <c r="AN55" s="1182">
        <v>10490</v>
      </c>
      <c r="AO55" s="1182">
        <v>11023</v>
      </c>
      <c r="AP55" s="1178">
        <f>AO55</f>
        <v>11023</v>
      </c>
      <c r="AQ55" s="1182">
        <v>11473</v>
      </c>
      <c r="AR55" s="1182">
        <v>12006</v>
      </c>
      <c r="AS55" s="1179">
        <v>12621</v>
      </c>
      <c r="AT55" s="1181">
        <f>AT82+AT68</f>
        <v>13198.791301200445</v>
      </c>
      <c r="AU55" s="1178">
        <f>AT55</f>
        <v>13198.791301200445</v>
      </c>
      <c r="AV55" s="1181">
        <f>AV82+AV68</f>
        <v>13692.830063260746</v>
      </c>
      <c r="AW55" s="1181">
        <f>AW82+AW68</f>
        <v>14268.395812786152</v>
      </c>
      <c r="AX55" s="1181">
        <f>AX82+AX68</f>
        <v>14946.757287586077</v>
      </c>
      <c r="AY55" s="1181">
        <f>AY82+AY68</f>
        <v>15576.270491004636</v>
      </c>
      <c r="AZ55" s="1178">
        <f>AY55</f>
        <v>15576.270491004636</v>
      </c>
      <c r="BA55" s="1181">
        <f>BA82+BA68</f>
        <v>16104.902657575072</v>
      </c>
      <c r="BB55" s="1181">
        <f>BB82+BB68</f>
        <v>16725.288385576623</v>
      </c>
      <c r="BC55" s="1181">
        <f>BC82+BC68</f>
        <v>17460.813043771184</v>
      </c>
      <c r="BD55" s="1181">
        <f>BD82+BD68</f>
        <v>18134.174331508846</v>
      </c>
      <c r="BE55" s="1178">
        <f>BD55</f>
        <v>18134.174331508846</v>
      </c>
      <c r="BF55" s="1181">
        <f>BF82+BF68</f>
        <v>18680.690034538464</v>
      </c>
      <c r="BG55" s="1181">
        <f>BG82+BG68</f>
        <v>19328.73096394015</v>
      </c>
      <c r="BH55" s="1181">
        <f>BH82+BH68</f>
        <v>20103.894546777199</v>
      </c>
      <c r="BI55" s="1181">
        <f>BI82+BI68</f>
        <v>20801.466087172837</v>
      </c>
      <c r="BJ55" s="1178">
        <f>BI55</f>
        <v>20801.466087172837</v>
      </c>
      <c r="BK55" s="1181">
        <f>BK82+BK68</f>
        <v>21348.306428149954</v>
      </c>
      <c r="BL55" s="1181">
        <f>BL82+BL68</f>
        <v>22005.934297615531</v>
      </c>
      <c r="BM55" s="1181">
        <f>BM82+BM68</f>
        <v>22802.450611956134</v>
      </c>
      <c r="BN55" s="1181">
        <f>BN82+BN68</f>
        <v>23484.935538572507</v>
      </c>
      <c r="BO55" s="1178">
        <f>BN55</f>
        <v>23484.935538572507</v>
      </c>
    </row>
    <row r="56" spans="1:67" hidden="1" outlineLevel="1">
      <c r="A56" s="108" t="s">
        <v>97</v>
      </c>
      <c r="B56" s="161" t="s">
        <v>88</v>
      </c>
      <c r="G56" s="68"/>
      <c r="J56" s="109"/>
      <c r="K56" s="2">
        <f>K55-J55</f>
        <v>246</v>
      </c>
      <c r="L56" s="97" t="s">
        <v>36</v>
      </c>
      <c r="M56" s="113">
        <f>M55-K55</f>
        <v>246</v>
      </c>
      <c r="N56" s="113">
        <f>N55-M55</f>
        <v>353</v>
      </c>
      <c r="O56" s="113">
        <f>O55-N55</f>
        <v>387</v>
      </c>
      <c r="P56" s="113">
        <f>P55-O55</f>
        <v>458</v>
      </c>
      <c r="Q56" s="100">
        <f>SUM(M56:P56)</f>
        <v>1444</v>
      </c>
      <c r="R56" s="113">
        <f>R55-P55</f>
        <v>328</v>
      </c>
      <c r="S56" s="113">
        <f>S55-R55</f>
        <v>397</v>
      </c>
      <c r="T56" s="113">
        <f>T55-S55</f>
        <v>437</v>
      </c>
      <c r="U56" s="113">
        <f>U55-T55</f>
        <v>585</v>
      </c>
      <c r="V56" s="100">
        <f>SUM(R56:U56)</f>
        <v>1747</v>
      </c>
      <c r="W56" s="113">
        <f>W55-U55</f>
        <v>393</v>
      </c>
      <c r="X56" s="113">
        <f>X55-W55</f>
        <v>458</v>
      </c>
      <c r="Y56" s="113">
        <f>Y55-X55</f>
        <v>426</v>
      </c>
      <c r="Z56" s="113">
        <f>Z55-Y55</f>
        <v>528</v>
      </c>
      <c r="AA56" s="100">
        <f>SUM(W56:Z56)</f>
        <v>1805</v>
      </c>
      <c r="AB56" s="113">
        <f>AB55-Z55</f>
        <v>378</v>
      </c>
      <c r="AC56" s="113">
        <f>AC55-AB55</f>
        <v>501</v>
      </c>
      <c r="AD56" s="113">
        <f>AD55-AC55</f>
        <v>389</v>
      </c>
      <c r="AE56" s="113">
        <f>AE55-AD55</f>
        <v>564</v>
      </c>
      <c r="AF56" s="100">
        <f>SUM(AB56:AE56)</f>
        <v>1832</v>
      </c>
      <c r="AG56" s="113">
        <f>AG55-AE55</f>
        <v>311</v>
      </c>
      <c r="AH56" s="113">
        <f>AH55-AG55</f>
        <v>400</v>
      </c>
      <c r="AI56" s="113">
        <f>AI55-AH55</f>
        <v>398</v>
      </c>
      <c r="AJ56" s="113">
        <f>AJ55-AI55</f>
        <v>499</v>
      </c>
      <c r="AK56" s="100">
        <f>SUM(AG56:AJ56)</f>
        <v>1608</v>
      </c>
      <c r="AL56" s="113">
        <f>AL55-AJ55</f>
        <v>357</v>
      </c>
      <c r="AM56" s="113">
        <f>AM55-AL55</f>
        <v>406</v>
      </c>
      <c r="AN56" s="113">
        <f>AN55-AM55</f>
        <v>343</v>
      </c>
      <c r="AO56" s="113">
        <f>AO55-AN55</f>
        <v>533</v>
      </c>
      <c r="AP56" s="100">
        <f>SUM(AL56:AO56)</f>
        <v>1639</v>
      </c>
      <c r="AQ56" s="113">
        <f>AQ55-AO55</f>
        <v>450</v>
      </c>
      <c r="AR56" s="113">
        <f>AR55-AQ55</f>
        <v>533</v>
      </c>
      <c r="AS56" s="113">
        <f>AS55-AR55</f>
        <v>615</v>
      </c>
      <c r="AT56" s="113">
        <f>AT55-AS55</f>
        <v>577.79130120044465</v>
      </c>
      <c r="AU56" s="100">
        <f>SUM(AQ56:AT56)</f>
        <v>2175.7913012004447</v>
      </c>
      <c r="AV56" s="113">
        <f>AV55-AT55</f>
        <v>494.03876206030145</v>
      </c>
      <c r="AW56" s="113">
        <f>AW55-AV55</f>
        <v>575.56574952540541</v>
      </c>
      <c r="AX56" s="113">
        <f>AX55-AW55</f>
        <v>678.36147479992542</v>
      </c>
      <c r="AY56" s="113">
        <f>AY55-AX55</f>
        <v>629.51320341855899</v>
      </c>
      <c r="AZ56" s="100">
        <f>SUM(AV56:AY56)</f>
        <v>2377.4791898041913</v>
      </c>
      <c r="BA56" s="113">
        <f>BA55-AY55</f>
        <v>528.63216657043631</v>
      </c>
      <c r="BB56" s="113">
        <f>BB55-BA55</f>
        <v>620.38572800155089</v>
      </c>
      <c r="BC56" s="113">
        <f>BC55-BB55</f>
        <v>735.5246581945612</v>
      </c>
      <c r="BD56" s="113">
        <f>BD55-BC55</f>
        <v>673.36128773766177</v>
      </c>
      <c r="BE56" s="100">
        <f>SUM(BA56:BD56)</f>
        <v>2557.9038405042102</v>
      </c>
      <c r="BF56" s="113">
        <f>BF55-BD55</f>
        <v>546.51570302961773</v>
      </c>
      <c r="BG56" s="113">
        <f>BG55-BF55</f>
        <v>648.0409294016863</v>
      </c>
      <c r="BH56" s="113">
        <f>BH55-BG55</f>
        <v>775.16358283704903</v>
      </c>
      <c r="BI56" s="113">
        <f>BI55-BH55</f>
        <v>697.57154039563829</v>
      </c>
      <c r="BJ56" s="100">
        <f>SUM(BF56:BI56)</f>
        <v>2667.2917556639914</v>
      </c>
      <c r="BK56" s="113">
        <f>BK55-BI55</f>
        <v>546.84034097711628</v>
      </c>
      <c r="BL56" s="113">
        <f>BL55-BK55</f>
        <v>657.62786946557753</v>
      </c>
      <c r="BM56" s="113">
        <f>BM55-BL55</f>
        <v>796.51631434060255</v>
      </c>
      <c r="BN56" s="113">
        <f>BN55-BM55</f>
        <v>682.48492661637283</v>
      </c>
      <c r="BO56" s="100">
        <f>SUM(BK56:BN56)</f>
        <v>2683.4694513996692</v>
      </c>
    </row>
    <row r="57" spans="1:67" hidden="1" outlineLevel="1">
      <c r="A57" s="108" t="s">
        <v>98</v>
      </c>
      <c r="B57" s="156" t="s">
        <v>32</v>
      </c>
      <c r="G57" s="68"/>
      <c r="J57" s="71" t="str">
        <f t="shared" ref="J57:AE57" si="20">IFERROR(J55/E55-1,"--")</f>
        <v>--</v>
      </c>
      <c r="K57" s="71" t="str">
        <f t="shared" si="20"/>
        <v>--</v>
      </c>
      <c r="L57" s="72" t="str">
        <f t="shared" si="20"/>
        <v>--</v>
      </c>
      <c r="M57" s="71" t="str">
        <f t="shared" si="20"/>
        <v>--</v>
      </c>
      <c r="N57" s="71" t="str">
        <f t="shared" si="20"/>
        <v>--</v>
      </c>
      <c r="O57" s="71">
        <f t="shared" si="20"/>
        <v>1.7549857549857548</v>
      </c>
      <c r="P57" s="71">
        <f t="shared" si="20"/>
        <v>1.5232067510548521</v>
      </c>
      <c r="Q57" s="72">
        <f t="shared" si="20"/>
        <v>1.5232067510548521</v>
      </c>
      <c r="R57" s="71">
        <f t="shared" si="20"/>
        <v>1.2780569514237854</v>
      </c>
      <c r="S57" s="71">
        <f t="shared" si="20"/>
        <v>1.0148674854557207</v>
      </c>
      <c r="T57" s="71">
        <f t="shared" si="20"/>
        <v>0.8376421923474664</v>
      </c>
      <c r="U57" s="71">
        <f t="shared" si="20"/>
        <v>0.73035117056856191</v>
      </c>
      <c r="V57" s="72">
        <f t="shared" si="20"/>
        <v>0.73035117056856191</v>
      </c>
      <c r="W57" s="71">
        <f t="shared" si="20"/>
        <v>0.66617647058823537</v>
      </c>
      <c r="X57" s="71">
        <f t="shared" si="20"/>
        <v>0.60089829964709662</v>
      </c>
      <c r="Y57" s="71">
        <f t="shared" si="20"/>
        <v>0.52391671356218339</v>
      </c>
      <c r="Z57" s="71">
        <f t="shared" si="20"/>
        <v>0.43609567528388493</v>
      </c>
      <c r="AA57" s="72">
        <f t="shared" si="20"/>
        <v>0.43609567528388493</v>
      </c>
      <c r="AB57" s="71">
        <f t="shared" si="20"/>
        <v>0.3949691085613416</v>
      </c>
      <c r="AC57" s="71">
        <f t="shared" si="20"/>
        <v>0.36733466933867742</v>
      </c>
      <c r="AD57" s="71">
        <f t="shared" si="20"/>
        <v>0.33161004431314622</v>
      </c>
      <c r="AE57" s="71">
        <f t="shared" si="20"/>
        <v>0.30820995962314934</v>
      </c>
      <c r="AF57" s="134">
        <f>AF55/AA55-1</f>
        <v>0.30820995962314934</v>
      </c>
      <c r="AG57" s="71">
        <f>IFERROR(AG55/AB55-1,"--")</f>
        <v>0.27918380259411579</v>
      </c>
      <c r="AH57" s="71">
        <f>IFERROR(AH55/AC55-1,"--")</f>
        <v>0.24388099076652492</v>
      </c>
      <c r="AI57" s="71">
        <f>IFERROR(AI55/AD55-1,"--")</f>
        <v>0.23197448696616751</v>
      </c>
      <c r="AJ57" s="71">
        <f>IFERROR(AJ55/AE55-1,"--")</f>
        <v>0.20679012345679015</v>
      </c>
      <c r="AK57" s="134">
        <f>AK55/AF55-1</f>
        <v>0.20679012345679015</v>
      </c>
      <c r="AL57" s="71">
        <f>IFERROR(AL55/AG55-1,"--")</f>
        <v>0.20452578211945105</v>
      </c>
      <c r="AM57" s="71">
        <f>IFERROR(AM55/AH55-1,"--")</f>
        <v>0.19559326028042889</v>
      </c>
      <c r="AN57" s="71">
        <f>IFERROR(AN55/AI55-1,"--")</f>
        <v>0.18064153066966804</v>
      </c>
      <c r="AO57" s="71">
        <f>IFERROR(AO55/AJ55-1,"--")</f>
        <v>0.17465899403239549</v>
      </c>
      <c r="AP57" s="134">
        <f>AP55/AK55-1</f>
        <v>0.17465899403239549</v>
      </c>
      <c r="AQ57" s="71">
        <f>IFERROR(AQ55/AL55-1,"--")</f>
        <v>0.17780515347500248</v>
      </c>
      <c r="AR57" s="71">
        <f>IFERROR(AR55/AM55-1,"--")</f>
        <v>0.18320685917019808</v>
      </c>
      <c r="AS57" s="71">
        <f>IFERROR(AS55/AN55-1,"--")</f>
        <v>0.20314585319351774</v>
      </c>
      <c r="AT57" s="71">
        <f>IFERROR(AT55/AO55-1,"--")</f>
        <v>0.19738649198951697</v>
      </c>
      <c r="AU57" s="134">
        <f>AU55/AP55-1</f>
        <v>0.19738649198951697</v>
      </c>
      <c r="AV57" s="71">
        <f>IFERROR(AV55/AQ55-1,"--")</f>
        <v>0.19348296550690725</v>
      </c>
      <c r="AW57" s="71">
        <f>IFERROR(AW55/AR55-1,"--")</f>
        <v>0.18843876501633772</v>
      </c>
      <c r="AX57" s="71">
        <f>IFERROR(AX55/AS55-1,"--")</f>
        <v>0.18427678374028034</v>
      </c>
      <c r="AY57" s="71">
        <f>IFERROR(AY55/AT55-1,"--")</f>
        <v>0.18012855386144011</v>
      </c>
      <c r="AZ57" s="134">
        <f>AZ55/AU55-1</f>
        <v>0.18012855386144011</v>
      </c>
      <c r="BA57" s="71">
        <f>IFERROR(BA55/AV55-1,"--")</f>
        <v>0.17615588473460742</v>
      </c>
      <c r="BB57" s="71">
        <f>IFERROR(BB55/AW55-1,"--")</f>
        <v>0.17219122633175132</v>
      </c>
      <c r="BC57" s="71">
        <f>IFERROR(BC55/AX55-1,"--")</f>
        <v>0.16820074801596863</v>
      </c>
      <c r="BD57" s="71">
        <f>IFERROR(BD55/AY55-1,"--")</f>
        <v>0.16421799056336428</v>
      </c>
      <c r="BE57" s="134">
        <f>BE55/AZ55-1</f>
        <v>0.16421799056336428</v>
      </c>
      <c r="BF57" s="71">
        <f>IFERROR(BF55/BA55-1,"--")</f>
        <v>0.15993809038962725</v>
      </c>
      <c r="BG57" s="71">
        <f>IFERROR(BG55/BB55-1,"--")</f>
        <v>0.15565905462106455</v>
      </c>
      <c r="BH57" s="71">
        <f>IFERROR(BH55/BC55-1,"--")</f>
        <v>0.15137218962142684</v>
      </c>
      <c r="BI57" s="71">
        <f>IFERROR(BI55/BD55-1,"--")</f>
        <v>0.14708647368793981</v>
      </c>
      <c r="BJ57" s="134">
        <f>BJ55/BE55-1</f>
        <v>0.14708647368793981</v>
      </c>
      <c r="BK57" s="71">
        <f>IFERROR(BK55/BF55-1,"--")</f>
        <v>0.14280074176485824</v>
      </c>
      <c r="BL57" s="71">
        <f>IFERROR(BL55/BG55-1,"--")</f>
        <v>0.13850900706673364</v>
      </c>
      <c r="BM57" s="71">
        <f>IFERROR(BM55/BH55-1,"--")</f>
        <v>0.13423051234674999</v>
      </c>
      <c r="BN57" s="71">
        <f>IFERROR(BN55/BI55-1,"--")</f>
        <v>0.1290038615621627</v>
      </c>
      <c r="BO57" s="134">
        <f>BO55/BJ55-1</f>
        <v>0.1290038615621627</v>
      </c>
    </row>
    <row r="58" spans="1:67" hidden="1" outlineLevel="1">
      <c r="A58" s="108" t="s">
        <v>99</v>
      </c>
      <c r="B58" s="156" t="s">
        <v>33</v>
      </c>
      <c r="G58" s="68"/>
      <c r="J58" s="71" t="str">
        <f>IFERROR(J55/I55-1,"--")</f>
        <v>--</v>
      </c>
      <c r="K58" s="71">
        <f>IFERROR(K55/J55-1,"--")</f>
        <v>0.35042735042735051</v>
      </c>
      <c r="L58" s="72" t="s">
        <v>36</v>
      </c>
      <c r="M58" s="71">
        <f>IFERROR(M55/K55-1,"--")</f>
        <v>0.259493670886076</v>
      </c>
      <c r="N58" s="71">
        <f>IFERROR(N55/M55-1,"--")</f>
        <v>0.29564489112227799</v>
      </c>
      <c r="O58" s="71">
        <f>IFERROR(O55/N55-1,"--")</f>
        <v>0.25016160310277957</v>
      </c>
      <c r="P58" s="71">
        <f>IFERROR(P55/O55-1,"--")</f>
        <v>0.23681489141675294</v>
      </c>
      <c r="Q58" s="72" t="s">
        <v>36</v>
      </c>
      <c r="R58" s="71">
        <f>IFERROR(R55/P55-1,"--")</f>
        <v>0.1371237458193979</v>
      </c>
      <c r="S58" s="71">
        <f>IFERROR(S55/R55-1,"--")</f>
        <v>0.14595588235294121</v>
      </c>
      <c r="T58" s="71">
        <f>IFERROR(T55/S55-1,"--")</f>
        <v>0.14019890920757128</v>
      </c>
      <c r="U58" s="71">
        <f>IFERROR(U55/T55-1,"--")</f>
        <v>0.16460326392796842</v>
      </c>
      <c r="V58" s="72" t="s">
        <v>36</v>
      </c>
      <c r="W58" s="71">
        <f>IFERROR(W55/U55-1,"--")</f>
        <v>9.4950471128291802E-2</v>
      </c>
      <c r="X58" s="71">
        <f>IFERROR(X55/W55-1,"--")</f>
        <v>0.10105913503971764</v>
      </c>
      <c r="Y58" s="71">
        <f>IFERROR(Y55/X55-1,"--")</f>
        <v>8.5370741482965862E-2</v>
      </c>
      <c r="Z58" s="71">
        <f>IFERROR(Z55/Y55-1,"--")</f>
        <v>9.748892171344159E-2</v>
      </c>
      <c r="AA58" s="68"/>
      <c r="AB58" s="71">
        <f>IFERROR(AB55/Z55-1,"--")</f>
        <v>6.3593539703903135E-2</v>
      </c>
      <c r="AC58" s="71">
        <f>IFERROR(AC55/AB55-1,"--")</f>
        <v>7.9247073710851046E-2</v>
      </c>
      <c r="AD58" s="71">
        <f>IFERROR(AD55/AC55-1,"--")</f>
        <v>5.7013044115491684E-2</v>
      </c>
      <c r="AE58" s="71">
        <f>IFERROR(AE55/AD55-1,"--")</f>
        <v>7.8202995008319398E-2</v>
      </c>
      <c r="AF58" s="134"/>
      <c r="AG58" s="71">
        <f>IFERROR(AG55/AE55-1,"--")</f>
        <v>3.9994855967078191E-2</v>
      </c>
      <c r="AH58" s="71">
        <f>IFERROR(AH55/AG55-1,"--")</f>
        <v>4.9462099666130799E-2</v>
      </c>
      <c r="AI58" s="71">
        <f>IFERROR(AI55/AH55-1,"--")</f>
        <v>4.6895251561211326E-2</v>
      </c>
      <c r="AJ58" s="71">
        <f>IFERROR(AJ55/AI55-1,"--")</f>
        <v>5.6162070906021322E-2</v>
      </c>
      <c r="AK58" s="68"/>
      <c r="AL58" s="71">
        <f>IFERROR(AL55/AJ55-1,"--")</f>
        <v>3.8043478260869623E-2</v>
      </c>
      <c r="AM58" s="71">
        <f>IFERROR(AM55/AL55-1,"--")</f>
        <v>4.1679499024740885E-2</v>
      </c>
      <c r="AN58" s="71">
        <f>IFERROR(AN55/AM55-1,"--")</f>
        <v>3.3803094510692855E-2</v>
      </c>
      <c r="AO58" s="71">
        <f>IFERROR(AO55/AN55-1,"--")</f>
        <v>5.0810295519542414E-2</v>
      </c>
      <c r="AP58" s="68"/>
      <c r="AQ58" s="71">
        <f>IFERROR(AQ55/AO55-1,"--")</f>
        <v>4.0823732196316742E-2</v>
      </c>
      <c r="AR58" s="71">
        <f>IFERROR(AR55/AQ55-1,"--")</f>
        <v>4.6456898805891989E-2</v>
      </c>
      <c r="AS58" s="71">
        <f>IFERROR(AS55/AR55-1,"--")</f>
        <v>5.1224387806096949E-2</v>
      </c>
      <c r="AT58" s="71">
        <f>IFERROR(AT55/AS55-1,"--")</f>
        <v>4.5780152222521631E-2</v>
      </c>
      <c r="AU58" s="68"/>
      <c r="AV58" s="71">
        <f>IFERROR(AV55/AT55-1,"--")</f>
        <v>3.7430606393130006E-2</v>
      </c>
      <c r="AW58" s="71">
        <f>IFERROR(AW55/AV55-1,"--")</f>
        <v>4.2034097178325958E-2</v>
      </c>
      <c r="AX58" s="71">
        <f>IFERROR(AX55/AW55-1,"--")</f>
        <v>4.7542939213393254E-2</v>
      </c>
      <c r="AY58" s="71">
        <f>IFERROR(AY55/AX55-1,"--")</f>
        <v>4.2117041931322152E-2</v>
      </c>
      <c r="AZ58" s="68"/>
      <c r="BA58" s="71">
        <f>IFERROR(BA55/AY55-1,"--")</f>
        <v>3.3938301654155456E-2</v>
      </c>
      <c r="BB58" s="71">
        <f>IFERROR(BB55/BA55-1,"--")</f>
        <v>3.8521544724130719E-2</v>
      </c>
      <c r="BC58" s="71">
        <f>IFERROR(BC55/BB55-1,"--")</f>
        <v>4.3976799756042073E-2</v>
      </c>
      <c r="BD58" s="71">
        <f>IFERROR(BD55/BC55-1,"--")</f>
        <v>3.856414280650422E-2</v>
      </c>
      <c r="BE58" s="68"/>
      <c r="BF58" s="71">
        <f>IFERROR(BF55/BD55-1,"--")</f>
        <v>3.0137335896238016E-2</v>
      </c>
      <c r="BG58" s="71">
        <f>IFERROR(BG55/BF55-1,"--")</f>
        <v>3.4690417120755823E-2</v>
      </c>
      <c r="BH58" s="71">
        <f>IFERROR(BH55/BG55-1,"--")</f>
        <v>4.0104215030112522E-2</v>
      </c>
      <c r="BI58" s="71">
        <f>IFERROR(BI55/BH55-1,"--")</f>
        <v>3.4698328663262057E-2</v>
      </c>
      <c r="BJ58" s="68"/>
      <c r="BK58" s="71">
        <f>IFERROR(BK55/BI55-1,"--")</f>
        <v>2.6288548061250472E-2</v>
      </c>
      <c r="BL58" s="71">
        <f>IFERROR(BL55/BK55-1,"--")</f>
        <v>3.0804685686843358E-2</v>
      </c>
      <c r="BM58" s="71">
        <f>IFERROR(BM55/BL55-1,"--")</f>
        <v>3.6195523605962565E-2</v>
      </c>
      <c r="BN58" s="71">
        <f>IFERROR(BN55/BM55-1,"--")</f>
        <v>2.9930332411662874E-2</v>
      </c>
      <c r="BO58" s="68"/>
    </row>
    <row r="59" spans="1:67" hidden="1" outlineLevel="1">
      <c r="B59" s="154"/>
      <c r="G59" s="68"/>
      <c r="L59" s="68"/>
      <c r="Q59" s="68"/>
      <c r="V59" s="68"/>
      <c r="AA59" s="68"/>
      <c r="AF59" s="134"/>
      <c r="AK59" s="68"/>
      <c r="AP59" s="68"/>
      <c r="AU59" s="68"/>
      <c r="AZ59" s="68"/>
      <c r="BE59" s="68"/>
      <c r="BJ59" s="68"/>
      <c r="BO59" s="68"/>
    </row>
    <row r="60" spans="1:67" hidden="1" outlineLevel="1">
      <c r="A60" s="57" t="s">
        <v>91</v>
      </c>
      <c r="B60" s="160" t="s">
        <v>49</v>
      </c>
      <c r="C60" s="64"/>
      <c r="D60" s="64"/>
      <c r="E60" s="64"/>
      <c r="F60" s="64"/>
      <c r="G60" s="93"/>
      <c r="H60" s="104"/>
      <c r="I60" s="104"/>
      <c r="J60" s="104"/>
      <c r="K60" s="104">
        <f>(K15*10^6)/AVERAGE(K55,J55)</f>
        <v>44078.78787878788</v>
      </c>
      <c r="L60" s="103"/>
      <c r="M60" s="104">
        <f>(M15*10^6)/AVERAGE(M55,L55)</f>
        <v>39930.905695611575</v>
      </c>
      <c r="N60" s="104">
        <f>(N15*10^6)/AVERAGE(N55,M55)</f>
        <v>42187.522801897117</v>
      </c>
      <c r="O60" s="104">
        <f>(O15*10^6)/AVERAGE(O55,N55)</f>
        <v>39766.159149669635</v>
      </c>
      <c r="P60" s="104">
        <f>(P15*10^6)/AVERAGE(P55,O55)</f>
        <v>38110.032362459548</v>
      </c>
      <c r="Q60" s="103">
        <f>(Q15*10^6)/AVERAGE(Q55,L55)</f>
        <v>151035.32934131735</v>
      </c>
      <c r="R60" s="104">
        <f>(R15*10^6)/AVERAGE(R55,Q55)</f>
        <v>39834.507042253521</v>
      </c>
      <c r="S60" s="104">
        <f>(S15*10^6)/AVERAGE(S55,R55)</f>
        <v>42904.231625835186</v>
      </c>
      <c r="T60" s="104">
        <f>(T15*10^6)/AVERAGE(T55,S55)</f>
        <v>44512.966571728379</v>
      </c>
      <c r="U60" s="104">
        <f>(U15*10^6)/AVERAGE(U55,T55)</f>
        <v>46350.70843624074</v>
      </c>
      <c r="V60" s="103">
        <f>(V15*10^6)/AVERAGE(V55,Q55)</f>
        <v>169589.3431327515</v>
      </c>
      <c r="W60" s="104">
        <f>(W15*10^6)/AVERAGE(W55,V55)</f>
        <v>49320.724253257984</v>
      </c>
      <c r="X60" s="104">
        <f>(X15*10^6)/AVERAGE(X55,W55)</f>
        <v>53480.991388363786</v>
      </c>
      <c r="Y60" s="104">
        <f>(Y15*10^6)/AVERAGE(Y55,X55)</f>
        <v>60053.430713050162</v>
      </c>
      <c r="Z60" s="104">
        <f>(Z15*10^6)/AVERAGE(Z55,Y55)</f>
        <v>63302.464788732395</v>
      </c>
      <c r="AA60" s="103">
        <f>(AA15*10^6)/AVERAGE(AA55,V55)</f>
        <v>226216.2054943965</v>
      </c>
      <c r="AB60" s="104">
        <f>(AB15*10^6)/AVERAGE(AB55,AA55)</f>
        <v>64313.386597097669</v>
      </c>
      <c r="AC60" s="104">
        <f>(AC15*10^6)/AVERAGE(AC55,AB55)</f>
        <v>70942.259414225948</v>
      </c>
      <c r="AD60" s="104">
        <f>(AD15*10^6)/AVERAGE(AD55,AC55)</f>
        <v>74492.625578909865</v>
      </c>
      <c r="AE60" s="104">
        <f>(AE15*10^6)/AVERAGE(AE55,AD55)</f>
        <v>74103.149186015478</v>
      </c>
      <c r="AF60" s="103">
        <f>(AF15*10^6)/AVERAGE(AF55,AA55)</f>
        <v>282621.42857142858</v>
      </c>
      <c r="AG60" s="104">
        <f>(AG15*10^6)/AVERAGE(AG55,AF55)</f>
        <v>74396.015886024077</v>
      </c>
      <c r="AH60" s="104">
        <f>(AH15*10^6)/AVERAGE(AH55,AG55)</f>
        <v>77254.615663086763</v>
      </c>
      <c r="AI60" s="104">
        <f>(AI15*10^6)/AVERAGE(AI55,AH55)</f>
        <v>80414.229795072533</v>
      </c>
      <c r="AJ60" s="104">
        <f>(AJ15*10^6)/AVERAGE(AJ55,AI55)</f>
        <v>80802.452241502004</v>
      </c>
      <c r="AK60" s="103">
        <f>(AK15*10^6)/AVERAGE(AK55,AF55)</f>
        <v>310821.5617715618</v>
      </c>
      <c r="AL60" s="104">
        <f>(AL15*10^6)/AVERAGE(AL55,AK55)</f>
        <v>82571.189542483655</v>
      </c>
      <c r="AM60" s="104">
        <f>(AM15*10^6)/AVERAGE(AM55,AL55)</f>
        <v>83391.995172968629</v>
      </c>
      <c r="AN60" s="104">
        <f>(AN15*10^6)/AVERAGE(AN55,AM55)</f>
        <v>87249.309492658824</v>
      </c>
      <c r="AO60" s="104">
        <f>(AO15*10^6)/AVERAGE(AO55,AN55)</f>
        <v>87696.09073583415</v>
      </c>
      <c r="AP60" s="103">
        <f>(AP15*10^6)/AVERAGE(AP55,AK55)</f>
        <v>339336.69819179695</v>
      </c>
      <c r="AQ60" s="104">
        <f>(AQ15*10^6)/AVERAGE(AQ55,AP55)</f>
        <v>88621.35490753912</v>
      </c>
      <c r="AR60" s="104">
        <f>(AR15*10^6)/AVERAGE(AR55,AQ55)</f>
        <v>92891.179351761151</v>
      </c>
      <c r="AS60" s="104">
        <f>(AS15*10^6)/AVERAGE(AS55,AR55)</f>
        <v>94073.740203841313</v>
      </c>
      <c r="AT60" s="104">
        <f>(AT15*10^6)/AVERAGE(AT55,AS55)</f>
        <v>92860.239807226302</v>
      </c>
      <c r="AU60" s="103">
        <f>(AU15*10^6)/AVERAGE(AU55,AP55)</f>
        <v>366983.75861084508</v>
      </c>
      <c r="AV60" s="104">
        <f>(AV15*10^6)/AVERAGE(AV55,AU55)</f>
        <v>93831.436927757008</v>
      </c>
      <c r="AW60" s="104">
        <f>(AW15*10^6)/AVERAGE(AW55,AV55)</f>
        <v>96791.790957262798</v>
      </c>
      <c r="AX60" s="104">
        <f>(AX15*10^6)/AVERAGE(AX55,AW55)</f>
        <v>98607.767008218187</v>
      </c>
      <c r="AY60" s="104">
        <f>(AY15*10^6)/AVERAGE(AY55,AX55)</f>
        <v>97794.482214230462</v>
      </c>
      <c r="AZ60" s="103">
        <f>(AZ15*10^6)/AVERAGE(AZ55,AU55)</f>
        <v>385595.04723990423</v>
      </c>
      <c r="BA60" s="104">
        <f>(BA15*10^6)/AVERAGE(BA55,AZ55)</f>
        <v>99188.614252274376</v>
      </c>
      <c r="BB60" s="104">
        <f>(BB15*10^6)/AVERAGE(BB55,BA55)</f>
        <v>103012.10691705934</v>
      </c>
      <c r="BC60" s="104">
        <f>(BC15*10^6)/AVERAGE(BC55,BB55)</f>
        <v>105575.14651655537</v>
      </c>
      <c r="BD60" s="104">
        <f>(BD15*10^6)/AVERAGE(BD55,BC55)</f>
        <v>103925.89548925025</v>
      </c>
      <c r="BE60" s="103">
        <f>(BE15*10^6)/AVERAGE(BE55,AZ55)</f>
        <v>410340.54846520949</v>
      </c>
      <c r="BF60" s="104">
        <f>(BF15*10^6)/AVERAGE(BF55,BE55)</f>
        <v>104914.38906451483</v>
      </c>
      <c r="BG60" s="104">
        <f>(BG15*10^6)/AVERAGE(BG55,BF55)</f>
        <v>109137.71074667315</v>
      </c>
      <c r="BH60" s="104">
        <f>(BH15*10^6)/AVERAGE(BH55,BG55)</f>
        <v>114325.53704927079</v>
      </c>
      <c r="BI60" s="104">
        <f>(BI15*10^6)/AVERAGE(BI55,BH55)</f>
        <v>113426.01873632458</v>
      </c>
      <c r="BJ60" s="103">
        <f>(BJ15*10^6)/AVERAGE(BJ55,BE55)</f>
        <v>440690.28540397523</v>
      </c>
      <c r="BK60" s="104">
        <f>(BK15*10^6)/AVERAGE(BK55,BJ55)</f>
        <v>114299.56196891201</v>
      </c>
      <c r="BL60" s="104">
        <f>(BL15*10^6)/AVERAGE(BL55,BK55)</f>
        <v>117834.6950395935</v>
      </c>
      <c r="BM60" s="104">
        <f>(BM15*10^6)/AVERAGE(BM55,BL55)</f>
        <v>124735.52425109904</v>
      </c>
      <c r="BN60" s="104">
        <f>(BN15*10^6)/AVERAGE(BN55,BM55)</f>
        <v>122913.50465732884</v>
      </c>
      <c r="BO60" s="103">
        <f>(BO15*10^6)/AVERAGE(BO55,BJ55)</f>
        <v>478812.36062281998</v>
      </c>
    </row>
    <row r="61" spans="1:67" hidden="1" outlineLevel="1">
      <c r="A61" s="108" t="s">
        <v>100</v>
      </c>
      <c r="B61" s="156" t="s">
        <v>32</v>
      </c>
      <c r="G61" s="68"/>
      <c r="H61" s="71"/>
      <c r="I61" s="71"/>
      <c r="J61" s="71"/>
      <c r="K61" s="71" t="str">
        <f>IFERROR(K60/F60-1,"--")</f>
        <v>--</v>
      </c>
      <c r="L61" s="72"/>
      <c r="M61" s="71" t="str">
        <f t="shared" ref="M61:R61" si="21">IFERROR(M60/H60-1,"--")</f>
        <v>--</v>
      </c>
      <c r="N61" s="71" t="str">
        <f t="shared" si="21"/>
        <v>--</v>
      </c>
      <c r="O61" s="71" t="str">
        <f t="shared" si="21"/>
        <v>--</v>
      </c>
      <c r="P61" s="71">
        <f t="shared" si="21"/>
        <v>-0.13541106286184168</v>
      </c>
      <c r="Q61" s="72" t="str">
        <f t="shared" si="21"/>
        <v>--</v>
      </c>
      <c r="R61" s="71">
        <f t="shared" si="21"/>
        <v>-2.4141364108515306E-3</v>
      </c>
      <c r="S61" s="71">
        <f t="shared" ref="S61:AA61" si="22">IFERROR(S60/N60-1,"--")</f>
        <v>1.6988644422275545E-2</v>
      </c>
      <c r="T61" s="71">
        <f t="shared" si="22"/>
        <v>0.11936801349592185</v>
      </c>
      <c r="U61" s="71">
        <f t="shared" si="22"/>
        <v>0.21623377265611321</v>
      </c>
      <c r="V61" s="72">
        <f t="shared" si="22"/>
        <v>0.1228455214574653</v>
      </c>
      <c r="W61" s="71">
        <f>IFERROR(W60/R60-1,"--")</f>
        <v>0.23814069547646666</v>
      </c>
      <c r="X61" s="71">
        <f t="shared" si="22"/>
        <v>0.24652020002986608</v>
      </c>
      <c r="Y61" s="71">
        <f t="shared" si="22"/>
        <v>0.34912218479709312</v>
      </c>
      <c r="Z61" s="71">
        <f t="shared" si="22"/>
        <v>0.36572809616945134</v>
      </c>
      <c r="AA61" s="72">
        <f t="shared" si="22"/>
        <v>0.33390578273139782</v>
      </c>
      <c r="AB61" s="71">
        <f t="shared" ref="AB61:BJ61" si="23">IFERROR(AB60/W60-1,"--")</f>
        <v>0.30398301263488259</v>
      </c>
      <c r="AC61" s="71">
        <f t="shared" si="23"/>
        <v>0.32649484559968966</v>
      </c>
      <c r="AD61" s="71">
        <f t="shared" si="23"/>
        <v>0.24043913385820836</v>
      </c>
      <c r="AE61" s="71">
        <f t="shared" si="23"/>
        <v>0.17062028205899438</v>
      </c>
      <c r="AF61" s="72">
        <f t="shared" si="23"/>
        <v>0.24934209710466249</v>
      </c>
      <c r="AG61" s="71">
        <f t="shared" si="23"/>
        <v>0.15677341565125125</v>
      </c>
      <c r="AH61" s="71">
        <f t="shared" si="23"/>
        <v>8.8978787833687178E-2</v>
      </c>
      <c r="AI61" s="71">
        <f t="shared" si="23"/>
        <v>7.9492488956372398E-2</v>
      </c>
      <c r="AJ61" s="71">
        <f t="shared" si="23"/>
        <v>9.0405105978286882E-2</v>
      </c>
      <c r="AK61" s="72">
        <f t="shared" si="23"/>
        <v>9.978059109911408E-2</v>
      </c>
      <c r="AL61" s="71">
        <f t="shared" si="23"/>
        <v>0.10988725080364614</v>
      </c>
      <c r="AM61" s="71">
        <f t="shared" si="23"/>
        <v>7.9443531719158855E-2</v>
      </c>
      <c r="AN61" s="71">
        <f t="shared" si="23"/>
        <v>8.4998385422639711E-2</v>
      </c>
      <c r="AO61" s="71">
        <f>IFERROR(AO60/AJ60-1,"--")</f>
        <v>8.5314718837102399E-2</v>
      </c>
      <c r="AP61" s="72">
        <f>IFERROR(AP60/AK60-1,"--")</f>
        <v>9.1741178629017872E-2</v>
      </c>
      <c r="AQ61" s="71">
        <f t="shared" si="23"/>
        <v>7.3272110993902961E-2</v>
      </c>
      <c r="AR61" s="71">
        <f t="shared" si="23"/>
        <v>0.11391002408672035</v>
      </c>
      <c r="AS61" s="71">
        <f t="shared" si="23"/>
        <v>7.8217589925530628E-2</v>
      </c>
      <c r="AT61" s="71">
        <f t="shared" si="23"/>
        <v>5.8886878856984071E-2</v>
      </c>
      <c r="AU61" s="72">
        <f t="shared" si="23"/>
        <v>8.1473829875664316E-2</v>
      </c>
      <c r="AV61" s="71">
        <f t="shared" si="23"/>
        <v>5.8790367464520266E-2</v>
      </c>
      <c r="AW61" s="71">
        <f t="shared" si="23"/>
        <v>4.1991194779977814E-2</v>
      </c>
      <c r="AX61" s="71">
        <f t="shared" si="23"/>
        <v>4.8196518970675895E-2</v>
      </c>
      <c r="AY61" s="71">
        <f t="shared" si="23"/>
        <v>5.313622296525855E-2</v>
      </c>
      <c r="AZ61" s="72">
        <f t="shared" si="23"/>
        <v>5.0714202447293744E-2</v>
      </c>
      <c r="BA61" s="71">
        <f t="shared" si="23"/>
        <v>5.7093629810252011E-2</v>
      </c>
      <c r="BB61" s="71">
        <f t="shared" si="23"/>
        <v>6.426491232653242E-2</v>
      </c>
      <c r="BC61" s="71">
        <f t="shared" si="23"/>
        <v>7.0657512280513313E-2</v>
      </c>
      <c r="BD61" s="71">
        <f t="shared" si="23"/>
        <v>6.2696924572781088E-2</v>
      </c>
      <c r="BE61" s="72">
        <f t="shared" si="23"/>
        <v>6.4174841981073039E-2</v>
      </c>
      <c r="BF61" s="71">
        <f t="shared" si="23"/>
        <v>5.7726129711598073E-2</v>
      </c>
      <c r="BG61" s="71">
        <f t="shared" si="23"/>
        <v>5.9464892165984606E-2</v>
      </c>
      <c r="BH61" s="71">
        <f t="shared" si="23"/>
        <v>8.2883053648836302E-2</v>
      </c>
      <c r="BI61" s="71">
        <f t="shared" si="23"/>
        <v>9.1412474266887589E-2</v>
      </c>
      <c r="BJ61" s="72">
        <f t="shared" si="23"/>
        <v>7.3962315087510611E-2</v>
      </c>
      <c r="BK61" s="71">
        <f>IFERROR(BK60/BF60-1,"--")</f>
        <v>8.9455535966815436E-2</v>
      </c>
      <c r="BL61" s="71">
        <f>IFERROR(BL60/BG60-1,"--")</f>
        <v>7.9688168584619579E-2</v>
      </c>
      <c r="BM61" s="71">
        <f>IFERROR(BM60/BH60-1,"--")</f>
        <v>9.1055659745922446E-2</v>
      </c>
      <c r="BN61" s="71">
        <f>IFERROR(BN60/BI60-1,"--")</f>
        <v>8.3644705392149188E-2</v>
      </c>
      <c r="BO61" s="72">
        <f>IFERROR(BO60/BJ60-1,"--")</f>
        <v>8.6505367786582132E-2</v>
      </c>
    </row>
    <row r="62" spans="1:67" hidden="1" outlineLevel="1">
      <c r="A62" s="108" t="s">
        <v>101</v>
      </c>
      <c r="B62" s="156" t="s">
        <v>33</v>
      </c>
      <c r="G62" s="68"/>
      <c r="H62" s="71"/>
      <c r="I62" s="71"/>
      <c r="J62" s="71"/>
      <c r="K62" s="71" t="str">
        <f>IFERROR(K60/J60-1,"--")</f>
        <v>--</v>
      </c>
      <c r="L62" s="72"/>
      <c r="M62" s="71">
        <f>IFERROR(M60/K60-1,"--")</f>
        <v>-9.4101548222754072E-2</v>
      </c>
      <c r="N62" s="71">
        <f>IFERROR(N60/M60-1,"--")</f>
        <v>5.6513045897016667E-2</v>
      </c>
      <c r="O62" s="71">
        <f>IFERROR(O60/N60-1,"--")</f>
        <v>-5.7395255549790081E-2</v>
      </c>
      <c r="P62" s="71">
        <f>IFERROR(P60/O60-1,"--")</f>
        <v>-4.1646636804345327E-2</v>
      </c>
      <c r="Q62" s="72" t="s">
        <v>36</v>
      </c>
      <c r="R62" s="71">
        <f>IFERROR(R60/P60-1,"--")</f>
        <v>4.5249887572718972E-2</v>
      </c>
      <c r="S62" s="71">
        <f>IFERROR(S60/R60-1,"--")</f>
        <v>7.7061944818986428E-2</v>
      </c>
      <c r="T62" s="71">
        <f>IFERROR(T60/S60-1,"--")</f>
        <v>3.7495950514225607E-2</v>
      </c>
      <c r="U62" s="71">
        <f>IFERROR(U60/T60-1,"--")</f>
        <v>4.1285540058333625E-2</v>
      </c>
      <c r="V62" s="72" t="s">
        <v>36</v>
      </c>
      <c r="W62" s="71">
        <f>IFERROR(W60/U60-1,"--")</f>
        <v>6.407703176970303E-2</v>
      </c>
      <c r="X62" s="71">
        <f>IFERROR(X60/W60-1,"--")</f>
        <v>8.4351298528041907E-2</v>
      </c>
      <c r="Y62" s="71">
        <f>IFERROR(Y60/X60-1,"--")</f>
        <v>0.12289299719519375</v>
      </c>
      <c r="Z62" s="71">
        <f>IFERROR(Z60/Y60-1,"--")</f>
        <v>5.4102389107574922E-2</v>
      </c>
      <c r="AA62" s="72" t="s">
        <v>36</v>
      </c>
      <c r="AB62" s="71">
        <f>IFERROR(AB60/Z60-1,"--")</f>
        <v>1.5969706894338964E-2</v>
      </c>
      <c r="AC62" s="71">
        <f>IFERROR(AC60/AB60-1,"--")</f>
        <v>0.10307143143706621</v>
      </c>
      <c r="AD62" s="71">
        <f>IFERROR(AD60/AC60-1,"--")</f>
        <v>5.0045856926456578E-2</v>
      </c>
      <c r="AE62" s="71">
        <f>IFERROR(AE60/AD60-1,"--")</f>
        <v>-5.2283885803141583E-3</v>
      </c>
      <c r="AF62" s="72" t="s">
        <v>36</v>
      </c>
      <c r="AG62" s="71">
        <f>IFERROR(AG60/AE60-1,"--")</f>
        <v>3.9521491761900229E-3</v>
      </c>
      <c r="AH62" s="71">
        <f>IFERROR(AH60/AG60-1,"--")</f>
        <v>3.8424097621599929E-2</v>
      </c>
      <c r="AI62" s="71">
        <f>IFERROR(AI60/AH60-1,"--")</f>
        <v>4.0898710127108551E-2</v>
      </c>
      <c r="AJ62" s="71">
        <f>IFERROR(AJ60/AI60-1,"--")</f>
        <v>4.827782936164704E-3</v>
      </c>
      <c r="AK62" s="72" t="s">
        <v>36</v>
      </c>
      <c r="AL62" s="71">
        <f>IFERROR(AL60/AJ60-1,"--")</f>
        <v>2.1889648790549776E-2</v>
      </c>
      <c r="AM62" s="71">
        <f>IFERROR(AM60/AL60-1,"--")</f>
        <v>9.9405813944664079E-3</v>
      </c>
      <c r="AN62" s="71">
        <f>IFERROR(AN60/AM60-1,"--")</f>
        <v>4.6255210847150119E-2</v>
      </c>
      <c r="AO62" s="71">
        <f>IFERROR(AO60/AN60-1,"--")</f>
        <v>5.1207424537029755E-3</v>
      </c>
      <c r="AP62" s="72" t="s">
        <v>36</v>
      </c>
      <c r="AQ62" s="71">
        <f>IFERROR(AQ60/AO60-1,"--")</f>
        <v>1.0550802937067338E-2</v>
      </c>
      <c r="AR62" s="71">
        <f>IFERROR(AR60/AQ60-1,"--")</f>
        <v>4.8180536719133249E-2</v>
      </c>
      <c r="AS62" s="71">
        <f>IFERROR(AS60/AR60-1,"--")</f>
        <v>1.2730604351593344E-2</v>
      </c>
      <c r="AT62" s="71">
        <f>IFERROR(AT60/AS60-1,"--")</f>
        <v>-1.2899459445171124E-2</v>
      </c>
      <c r="AU62" s="72" t="s">
        <v>36</v>
      </c>
      <c r="AV62" s="71">
        <f>IFERROR(AV60/AT60-1,"--")</f>
        <v>1.0458697097346148E-2</v>
      </c>
      <c r="AW62" s="71">
        <f>IFERROR(AW60/AV60-1,"--")</f>
        <v>3.1549703664722095E-2</v>
      </c>
      <c r="AX62" s="71">
        <f>IFERROR(AX60/AW60-1,"--")</f>
        <v>1.8761674239060389E-2</v>
      </c>
      <c r="AY62" s="71">
        <f>IFERROR(AY60/AX60-1,"--")</f>
        <v>-8.2476747893494018E-3</v>
      </c>
      <c r="AZ62" s="72" t="s">
        <v>36</v>
      </c>
      <c r="BA62" s="71">
        <f>IFERROR(BA60/AY60-1,"--")</f>
        <v>1.4255733109664659E-2</v>
      </c>
      <c r="BB62" s="71">
        <f>IFERROR(BB60/BA60-1,"--")</f>
        <v>3.8547697168753281E-2</v>
      </c>
      <c r="BC62" s="71">
        <f>IFERROR(BC60/BB60-1,"--")</f>
        <v>2.488095502754506E-2</v>
      </c>
      <c r="BD62" s="71">
        <f>IFERROR(BD60/BC60-1,"--")</f>
        <v>-1.5621584072786465E-2</v>
      </c>
      <c r="BE62" s="72" t="s">
        <v>36</v>
      </c>
      <c r="BF62" s="71">
        <f>IFERROR(BF60/BD60-1,"--")</f>
        <v>9.5115232888882684E-3</v>
      </c>
      <c r="BG62" s="71">
        <f>IFERROR(BG60/BF60-1,"--")</f>
        <v>4.0254932805845023E-2</v>
      </c>
      <c r="BH62" s="71">
        <f>IFERROR(BH60/BG60-1,"--")</f>
        <v>4.7534681340709595E-2</v>
      </c>
      <c r="BI62" s="71">
        <f>IFERROR(BI60/BH60-1,"--")</f>
        <v>-7.8680436249212171E-3</v>
      </c>
      <c r="BJ62" s="72" t="s">
        <v>36</v>
      </c>
      <c r="BK62" s="71">
        <f>IFERROR(BK60/BI60-1,"--")</f>
        <v>7.7014360754219524E-3</v>
      </c>
      <c r="BL62" s="71">
        <f>IFERROR(BL60/BK60-1,"--")</f>
        <v>3.0928666827638507E-2</v>
      </c>
      <c r="BM62" s="71">
        <f>IFERROR(BM60/BL60-1,"--")</f>
        <v>5.8563644681957294E-2</v>
      </c>
      <c r="BN62" s="71">
        <f>IFERROR(BN60/BM60-1,"--")</f>
        <v>-1.460706246042931E-2</v>
      </c>
      <c r="BO62" s="72" t="s">
        <v>36</v>
      </c>
    </row>
    <row r="63" spans="1:67" hidden="1" outlineLevel="1">
      <c r="A63" s="108"/>
      <c r="B63" s="154"/>
      <c r="G63" s="68"/>
      <c r="L63" s="68"/>
      <c r="Q63" s="68"/>
      <c r="V63" s="68"/>
      <c r="AA63" s="68"/>
      <c r="AF63" s="68"/>
      <c r="AK63" s="68"/>
      <c r="AP63" s="68"/>
      <c r="AU63" s="68"/>
      <c r="AZ63" s="68"/>
      <c r="BE63" s="68"/>
      <c r="BJ63" s="68"/>
      <c r="BO63" s="68"/>
    </row>
    <row r="64" spans="1:67" hidden="1" outlineLevel="1">
      <c r="A64" s="57" t="s">
        <v>92</v>
      </c>
      <c r="B64" s="160" t="s">
        <v>52</v>
      </c>
      <c r="C64" s="64"/>
      <c r="D64" s="64"/>
      <c r="E64" s="64"/>
      <c r="F64" s="64"/>
      <c r="G64" s="93"/>
      <c r="H64" s="64"/>
      <c r="I64" s="64"/>
      <c r="J64" s="104"/>
      <c r="K64" s="104"/>
      <c r="L64" s="103"/>
      <c r="M64" s="104">
        <f>(M15*10^6*4)/AVERAGE(M55,L55)</f>
        <v>159723.6227824463</v>
      </c>
      <c r="N64" s="104">
        <f>(N15*10^6*4)/AVERAGE(N55,M55)</f>
        <v>168750.09120758847</v>
      </c>
      <c r="O64" s="104">
        <f>(O15*10^6*4)/AVERAGE(O55,N55)</f>
        <v>159064.63659867854</v>
      </c>
      <c r="P64" s="104">
        <f>(P15*10^6*4)/AVERAGE(P55,O55)</f>
        <v>152440.12944983819</v>
      </c>
      <c r="Q64" s="103">
        <f>(Q15*10^6)/AVERAGE(Q55,L55)</f>
        <v>151035.32934131735</v>
      </c>
      <c r="R64" s="104">
        <f>(R15*10^6*4)/AVERAGE(R55,Q55)</f>
        <v>159338.02816901408</v>
      </c>
      <c r="S64" s="104">
        <f>(S15*10^6*4)/AVERAGE(S55,R55)</f>
        <v>171616.92650334074</v>
      </c>
      <c r="T64" s="104">
        <f>(T15*10^6*4)/AVERAGE(T55,S55)</f>
        <v>178051.86628691352</v>
      </c>
      <c r="U64" s="104">
        <f>(U15*10^6*4)/AVERAGE(U55,T55)</f>
        <v>185402.83374496296</v>
      </c>
      <c r="V64" s="103">
        <f>(V15*10^6)/AVERAGE(V55,Q55)</f>
        <v>169589.3431327515</v>
      </c>
      <c r="W64" s="104">
        <f>(W15*10^6*4)/AVERAGE(W55,V55)</f>
        <v>197282.89701303194</v>
      </c>
      <c r="X64" s="104">
        <f>(X15*10^6*4)/AVERAGE(X55,W55)</f>
        <v>213923.96555345514</v>
      </c>
      <c r="Y64" s="104">
        <f>(Y15*10^6*4)/AVERAGE(Y55,X55)</f>
        <v>240213.72285220065</v>
      </c>
      <c r="Z64" s="104">
        <f>(Z15*10^6*4)/AVERAGE(Z55,Y55)</f>
        <v>253209.85915492958</v>
      </c>
      <c r="AA64" s="103">
        <f>(AA15*10^6)/AVERAGE(AA55,V55)</f>
        <v>226216.2054943965</v>
      </c>
      <c r="AB64" s="104">
        <f>(AB15*10^6*4)/AVERAGE(AB55,AA55)</f>
        <v>257253.54638839068</v>
      </c>
      <c r="AC64" s="104">
        <f>(AC15*10^6*4)/AVERAGE(AC55,AB55)</f>
        <v>283769.03765690379</v>
      </c>
      <c r="AD64" s="104">
        <f>(AD15*10^6*4)/AVERAGE(AD55,AC55)</f>
        <v>297970.50231563946</v>
      </c>
      <c r="AE64" s="104">
        <f>(AE15*10^6*4)/AVERAGE(AE55,AD55)</f>
        <v>296412.59674406191</v>
      </c>
      <c r="AF64" s="103">
        <f>(AF15*10^6)/AVERAGE(AF55,AA55)</f>
        <v>282621.42857142858</v>
      </c>
      <c r="AG64" s="104">
        <f>(AG15*10^6*4)/AVERAGE(AG55,AF55)</f>
        <v>297584.06354409631</v>
      </c>
      <c r="AH64" s="104">
        <f>(AH15*10^6*4)/AVERAGE(AH55,AG55)</f>
        <v>309018.46265234705</v>
      </c>
      <c r="AI64" s="104">
        <f>(AI15*10^6*4)/AVERAGE(AI55,AH55)</f>
        <v>321656.91918029013</v>
      </c>
      <c r="AJ64" s="104">
        <f>(AJ15*10^6*4)/AVERAGE(AJ55,AI55)</f>
        <v>323209.80896600801</v>
      </c>
      <c r="AK64" s="103">
        <f>(AK15*10^6)/AVERAGE(AK55,AF55)</f>
        <v>310821.5617715618</v>
      </c>
      <c r="AL64" s="104">
        <f>(AL15*10^6*4)/AVERAGE(AL55,AK55)</f>
        <v>330284.75816993462</v>
      </c>
      <c r="AM64" s="104">
        <f>(AM15*10^6*4)/AVERAGE(AM55,AL55)</f>
        <v>333567.98069187452</v>
      </c>
      <c r="AN64" s="104">
        <f>(AN15*10^6*4)/AVERAGE(AN55,AM55)</f>
        <v>348997.23797063529</v>
      </c>
      <c r="AO64" s="104">
        <f>(AO15*10^6*4)/AVERAGE(AO55,AN55)</f>
        <v>350784.3629433366</v>
      </c>
      <c r="AP64" s="103">
        <f>(AP15*10^6)/AVERAGE(AP55,AK55)</f>
        <v>339336.69819179695</v>
      </c>
      <c r="AQ64" s="104">
        <f>(AQ15*10^6*4)/AVERAGE(AQ55,AP55)</f>
        <v>354485.41963015648</v>
      </c>
      <c r="AR64" s="104">
        <f>(AR15*10^6*4)/AVERAGE(AR55,AQ55)</f>
        <v>371564.71740704461</v>
      </c>
      <c r="AS64" s="104">
        <f>(AS15*10^6*4)/AVERAGE(AS55,AR55)</f>
        <v>376294.96081536525</v>
      </c>
      <c r="AT64" s="104">
        <f>(AT15*10^6*4)/AVERAGE(AT55,AS55)</f>
        <v>371440.95922890521</v>
      </c>
      <c r="AU64" s="103">
        <f>(AU15*10^6)/AVERAGE(AU55,AP55)</f>
        <v>366983.75861084508</v>
      </c>
      <c r="AV64" s="104">
        <f>(AV15*10^6*4)/AVERAGE(AV55,AU55)</f>
        <v>375325.74771102803</v>
      </c>
      <c r="AW64" s="104">
        <f>(AW15*10^6*4)/AVERAGE(AW55,AV55)</f>
        <v>387167.16382905119</v>
      </c>
      <c r="AX64" s="104">
        <f>(AX15*10^6*4)/AVERAGE(AX55,AW55)</f>
        <v>394431.06803287275</v>
      </c>
      <c r="AY64" s="104">
        <f>(AY15*10^6*4)/AVERAGE(AY55,AX55)</f>
        <v>391177.92885692185</v>
      </c>
      <c r="AZ64" s="103">
        <f>(AZ15*10^6)/AVERAGE(AZ55,AU55)</f>
        <v>385595.04723990423</v>
      </c>
      <c r="BA64" s="104">
        <f>(BA15*10^6*4)/AVERAGE(BA55,AZ55)</f>
        <v>396754.4570090975</v>
      </c>
      <c r="BB64" s="104">
        <f>(BB15*10^6*4)/AVERAGE(BB55,BA55)</f>
        <v>412048.42766823736</v>
      </c>
      <c r="BC64" s="104">
        <f>(BC15*10^6*4)/AVERAGE(BC55,BB55)</f>
        <v>422300.58606622147</v>
      </c>
      <c r="BD64" s="104">
        <f>(BD15*10^6*4)/AVERAGE(BD55,BC55)</f>
        <v>415703.58195700101</v>
      </c>
      <c r="BE64" s="103">
        <f>(BE15*10^6)/AVERAGE(BE55,AZ55)</f>
        <v>410340.54846520949</v>
      </c>
      <c r="BF64" s="104">
        <f>(BF15*10^6*4)/AVERAGE(BF55,BE55)</f>
        <v>419657.55625805934</v>
      </c>
      <c r="BG64" s="104">
        <f>(BG15*10^6*4)/AVERAGE(BG55,BF55)</f>
        <v>436550.84298669262</v>
      </c>
      <c r="BH64" s="104">
        <f>(BH15*10^6*4)/AVERAGE(BH55,BG55)</f>
        <v>457302.14819708315</v>
      </c>
      <c r="BI64" s="104">
        <f>(BI15*10^6*4)/AVERAGE(BI55,BH55)</f>
        <v>453704.07494529831</v>
      </c>
      <c r="BJ64" s="103">
        <f>(BJ15*10^6)/AVERAGE(BJ55,BE55)</f>
        <v>440690.28540397523</v>
      </c>
      <c r="BK64" s="104">
        <f>(BK15*10^6*4)/AVERAGE(BK55,BJ55)</f>
        <v>457198.24787564803</v>
      </c>
      <c r="BL64" s="104">
        <f>(BL15*10^6*4)/AVERAGE(BL55,BK55)</f>
        <v>471338.78015837399</v>
      </c>
      <c r="BM64" s="104">
        <f>(BM15*10^6*4)/AVERAGE(BM55,BL55)</f>
        <v>498942.09700439614</v>
      </c>
      <c r="BN64" s="104">
        <f>(BN15*10^6*4)/AVERAGE(BN55,BM55)</f>
        <v>491654.01862931537</v>
      </c>
      <c r="BO64" s="103">
        <f>(BO15*10^6)/AVERAGE(BO55,BJ55)</f>
        <v>478812.36062281998</v>
      </c>
    </row>
    <row r="65" spans="1:67" hidden="1" outlineLevel="1">
      <c r="A65" s="108" t="s">
        <v>102</v>
      </c>
      <c r="B65" s="156" t="s">
        <v>32</v>
      </c>
      <c r="G65" s="68"/>
      <c r="J65" s="71"/>
      <c r="K65" s="71"/>
      <c r="L65" s="72"/>
      <c r="M65" s="71" t="str">
        <f t="shared" ref="M65:R65" si="24">IFERROR(M64/H64-1,"--")</f>
        <v>--</v>
      </c>
      <c r="N65" s="71" t="str">
        <f t="shared" si="24"/>
        <v>--</v>
      </c>
      <c r="O65" s="71" t="str">
        <f t="shared" si="24"/>
        <v>--</v>
      </c>
      <c r="P65" s="71" t="str">
        <f t="shared" si="24"/>
        <v>--</v>
      </c>
      <c r="Q65" s="72" t="str">
        <f t="shared" si="24"/>
        <v>--</v>
      </c>
      <c r="R65" s="71">
        <f t="shared" si="24"/>
        <v>-2.4141364108515306E-3</v>
      </c>
      <c r="S65" s="71">
        <f t="shared" ref="S65:AA65" si="25">IFERROR(S64/N64-1,"--")</f>
        <v>1.6988644422275545E-2</v>
      </c>
      <c r="T65" s="71">
        <f t="shared" si="25"/>
        <v>0.11936801349592185</v>
      </c>
      <c r="U65" s="71">
        <f t="shared" si="25"/>
        <v>0.21623377265611321</v>
      </c>
      <c r="V65" s="72">
        <f t="shared" si="25"/>
        <v>0.1228455214574653</v>
      </c>
      <c r="W65" s="71">
        <f>IFERROR(W64/R64-1,"--")</f>
        <v>0.23814069547646666</v>
      </c>
      <c r="X65" s="71">
        <f t="shared" si="25"/>
        <v>0.24652020002986608</v>
      </c>
      <c r="Y65" s="71">
        <f t="shared" si="25"/>
        <v>0.34912218479709312</v>
      </c>
      <c r="Z65" s="71">
        <f t="shared" si="25"/>
        <v>0.36572809616945134</v>
      </c>
      <c r="AA65" s="72">
        <f t="shared" si="25"/>
        <v>0.33390578273139782</v>
      </c>
      <c r="AB65" s="71">
        <f t="shared" ref="AB65:BJ65" si="26">IFERROR(AB64/W64-1,"--")</f>
        <v>0.30398301263488259</v>
      </c>
      <c r="AC65" s="71">
        <f t="shared" si="26"/>
        <v>0.32649484559968966</v>
      </c>
      <c r="AD65" s="71">
        <f t="shared" si="26"/>
        <v>0.24043913385820836</v>
      </c>
      <c r="AE65" s="71">
        <f t="shared" si="26"/>
        <v>0.17062028205899438</v>
      </c>
      <c r="AF65" s="72">
        <f t="shared" si="26"/>
        <v>0.24934209710466249</v>
      </c>
      <c r="AG65" s="71">
        <f t="shared" si="26"/>
        <v>0.15677341565125125</v>
      </c>
      <c r="AH65" s="71">
        <f t="shared" si="26"/>
        <v>8.8978787833687178E-2</v>
      </c>
      <c r="AI65" s="71">
        <f t="shared" si="26"/>
        <v>7.9492488956372398E-2</v>
      </c>
      <c r="AJ65" s="71">
        <f t="shared" si="26"/>
        <v>9.0405105978286882E-2</v>
      </c>
      <c r="AK65" s="72">
        <f t="shared" si="26"/>
        <v>9.978059109911408E-2</v>
      </c>
      <c r="AL65" s="71">
        <f t="shared" si="26"/>
        <v>0.10988725080364614</v>
      </c>
      <c r="AM65" s="71">
        <f t="shared" si="26"/>
        <v>7.9443531719158855E-2</v>
      </c>
      <c r="AN65" s="71">
        <f t="shared" si="26"/>
        <v>8.4998385422639711E-2</v>
      </c>
      <c r="AO65" s="71">
        <f>IFERROR(AO64/AJ64-1,"--")</f>
        <v>8.5314718837102399E-2</v>
      </c>
      <c r="AP65" s="72">
        <f>IFERROR(AP64/AK64-1,"--")</f>
        <v>9.1741178629017872E-2</v>
      </c>
      <c r="AQ65" s="71">
        <f t="shared" si="26"/>
        <v>7.3272110993902961E-2</v>
      </c>
      <c r="AR65" s="71">
        <f t="shared" si="26"/>
        <v>0.11391002408672035</v>
      </c>
      <c r="AS65" s="71">
        <f t="shared" si="26"/>
        <v>7.8217589925530628E-2</v>
      </c>
      <c r="AT65" s="71">
        <f t="shared" si="26"/>
        <v>5.8886878856984071E-2</v>
      </c>
      <c r="AU65" s="72">
        <f t="shared" si="26"/>
        <v>8.1473829875664316E-2</v>
      </c>
      <c r="AV65" s="71">
        <f t="shared" si="26"/>
        <v>5.8790367464520266E-2</v>
      </c>
      <c r="AW65" s="71">
        <f t="shared" si="26"/>
        <v>4.1991194779977814E-2</v>
      </c>
      <c r="AX65" s="71">
        <f t="shared" si="26"/>
        <v>4.8196518970675895E-2</v>
      </c>
      <c r="AY65" s="71">
        <f t="shared" si="26"/>
        <v>5.313622296525855E-2</v>
      </c>
      <c r="AZ65" s="72">
        <f t="shared" si="26"/>
        <v>5.0714202447293744E-2</v>
      </c>
      <c r="BA65" s="71">
        <f t="shared" si="26"/>
        <v>5.7093629810252011E-2</v>
      </c>
      <c r="BB65" s="71">
        <f t="shared" si="26"/>
        <v>6.426491232653242E-2</v>
      </c>
      <c r="BC65" s="71">
        <f t="shared" si="26"/>
        <v>7.0657512280513313E-2</v>
      </c>
      <c r="BD65" s="71">
        <f t="shared" si="26"/>
        <v>6.2696924572781088E-2</v>
      </c>
      <c r="BE65" s="72">
        <f t="shared" si="26"/>
        <v>6.4174841981073039E-2</v>
      </c>
      <c r="BF65" s="71">
        <f t="shared" si="26"/>
        <v>5.7726129711598073E-2</v>
      </c>
      <c r="BG65" s="71">
        <f t="shared" si="26"/>
        <v>5.9464892165984606E-2</v>
      </c>
      <c r="BH65" s="71">
        <f t="shared" si="26"/>
        <v>8.2883053648836302E-2</v>
      </c>
      <c r="BI65" s="71">
        <f t="shared" si="26"/>
        <v>9.1412474266887589E-2</v>
      </c>
      <c r="BJ65" s="72">
        <f t="shared" si="26"/>
        <v>7.3962315087510611E-2</v>
      </c>
      <c r="BK65" s="71">
        <f>IFERROR(BK64/BF64-1,"--")</f>
        <v>8.9455535966815436E-2</v>
      </c>
      <c r="BL65" s="71">
        <f>IFERROR(BL64/BG64-1,"--")</f>
        <v>7.9688168584619579E-2</v>
      </c>
      <c r="BM65" s="71">
        <f>IFERROR(BM64/BH64-1,"--")</f>
        <v>9.1055659745922446E-2</v>
      </c>
      <c r="BN65" s="71">
        <f>IFERROR(BN64/BI64-1,"--")</f>
        <v>8.3644705392149188E-2</v>
      </c>
      <c r="BO65" s="72">
        <f>IFERROR(BO64/BJ64-1,"--")</f>
        <v>8.6505367786582132E-2</v>
      </c>
    </row>
    <row r="66" spans="1:67" hidden="1" outlineLevel="1">
      <c r="A66" s="108" t="s">
        <v>103</v>
      </c>
      <c r="B66" s="156" t="s">
        <v>33</v>
      </c>
      <c r="G66" s="68"/>
      <c r="J66" s="71"/>
      <c r="K66" s="71"/>
      <c r="L66" s="72"/>
      <c r="M66" s="71" t="str">
        <f>IFERROR(M64/K64-1,"--")</f>
        <v>--</v>
      </c>
      <c r="N66" s="71">
        <f>IFERROR(N64/M64-1,"--")</f>
        <v>5.6513045897016667E-2</v>
      </c>
      <c r="O66" s="71">
        <f>IFERROR(O64/N64-1,"--")</f>
        <v>-5.7395255549790081E-2</v>
      </c>
      <c r="P66" s="71">
        <f>IFERROR(P64/O64-1,"--")</f>
        <v>-4.1646636804345327E-2</v>
      </c>
      <c r="Q66" s="72" t="s">
        <v>36</v>
      </c>
      <c r="R66" s="71">
        <f>IFERROR(R64/P64-1,"--")</f>
        <v>4.5249887572718972E-2</v>
      </c>
      <c r="S66" s="71">
        <f>IFERROR(S64/R64-1,"--")</f>
        <v>7.7061944818986428E-2</v>
      </c>
      <c r="T66" s="71">
        <f>IFERROR(T64/S64-1,"--")</f>
        <v>3.7495950514225607E-2</v>
      </c>
      <c r="U66" s="71">
        <f>IFERROR(U64/T64-1,"--")</f>
        <v>4.1285540058333625E-2</v>
      </c>
      <c r="V66" s="72" t="s">
        <v>36</v>
      </c>
      <c r="W66" s="71">
        <f>IFERROR(W64/U64-1,"--")</f>
        <v>6.407703176970303E-2</v>
      </c>
      <c r="X66" s="71">
        <f>IFERROR(X64/W64-1,"--")</f>
        <v>8.4351298528041907E-2</v>
      </c>
      <c r="Y66" s="71">
        <f>IFERROR(Y64/X64-1,"--")</f>
        <v>0.12289299719519375</v>
      </c>
      <c r="Z66" s="71">
        <f>IFERROR(Z64/Y64-1,"--")</f>
        <v>5.4102389107574922E-2</v>
      </c>
      <c r="AA66" s="72" t="s">
        <v>36</v>
      </c>
      <c r="AB66" s="71">
        <f>IFERROR(AB64/Z64-1,"--")</f>
        <v>1.5969706894338964E-2</v>
      </c>
      <c r="AC66" s="71">
        <f>IFERROR(AC64/AB64-1,"--")</f>
        <v>0.10307143143706621</v>
      </c>
      <c r="AD66" s="71">
        <f>IFERROR(AD64/AC64-1,"--")</f>
        <v>5.0045856926456578E-2</v>
      </c>
      <c r="AE66" s="71">
        <f>IFERROR(AE64/AD64-1,"--")</f>
        <v>-5.2283885803141583E-3</v>
      </c>
      <c r="AF66" s="72" t="s">
        <v>36</v>
      </c>
      <c r="AG66" s="71">
        <f>IFERROR(AG64/AE64-1,"--")</f>
        <v>3.9521491761900229E-3</v>
      </c>
      <c r="AH66" s="71">
        <f>IFERROR(AH64/AG64-1,"--")</f>
        <v>3.8424097621599929E-2</v>
      </c>
      <c r="AI66" s="71">
        <f>IFERROR(AI64/AH64-1,"--")</f>
        <v>4.0898710127108551E-2</v>
      </c>
      <c r="AJ66" s="71">
        <f>IFERROR(AJ64/AI64-1,"--")</f>
        <v>4.827782936164704E-3</v>
      </c>
      <c r="AK66" s="72" t="s">
        <v>36</v>
      </c>
      <c r="AL66" s="71">
        <f>IFERROR(AL64/AJ64-1,"--")</f>
        <v>2.1889648790549776E-2</v>
      </c>
      <c r="AM66" s="71">
        <f>IFERROR(AM64/AL64-1,"--")</f>
        <v>9.9405813944664079E-3</v>
      </c>
      <c r="AN66" s="71">
        <f>IFERROR(AN64/AM64-1,"--")</f>
        <v>4.6255210847150119E-2</v>
      </c>
      <c r="AO66" s="71">
        <f>IFERROR(AO64/AN64-1,"--")</f>
        <v>5.1207424537029755E-3</v>
      </c>
      <c r="AP66" s="72" t="s">
        <v>36</v>
      </c>
      <c r="AQ66" s="71">
        <f>IFERROR(AQ64/AO64-1,"--")</f>
        <v>1.0550802937067338E-2</v>
      </c>
      <c r="AR66" s="71">
        <f>IFERROR(AR64/AQ64-1,"--")</f>
        <v>4.8180536719133249E-2</v>
      </c>
      <c r="AS66" s="71">
        <f>IFERROR(AS64/AR64-1,"--")</f>
        <v>1.2730604351593344E-2</v>
      </c>
      <c r="AT66" s="71">
        <f>IFERROR(AT64/AS64-1,"--")</f>
        <v>-1.2899459445171124E-2</v>
      </c>
      <c r="AU66" s="72" t="s">
        <v>36</v>
      </c>
      <c r="AV66" s="71">
        <f>IFERROR(AV64/AT64-1,"--")</f>
        <v>1.0458697097346148E-2</v>
      </c>
      <c r="AW66" s="71">
        <f>IFERROR(AW64/AV64-1,"--")</f>
        <v>3.1549703664722095E-2</v>
      </c>
      <c r="AX66" s="71">
        <f>IFERROR(AX64/AW64-1,"--")</f>
        <v>1.8761674239060389E-2</v>
      </c>
      <c r="AY66" s="71">
        <f>IFERROR(AY64/AX64-1,"--")</f>
        <v>-8.2476747893494018E-3</v>
      </c>
      <c r="AZ66" s="72" t="s">
        <v>36</v>
      </c>
      <c r="BA66" s="71">
        <f>IFERROR(BA64/AY64-1,"--")</f>
        <v>1.4255733109664659E-2</v>
      </c>
      <c r="BB66" s="71">
        <f>IFERROR(BB64/BA64-1,"--")</f>
        <v>3.8547697168753281E-2</v>
      </c>
      <c r="BC66" s="71">
        <f>IFERROR(BC64/BB64-1,"--")</f>
        <v>2.488095502754506E-2</v>
      </c>
      <c r="BD66" s="71">
        <f>IFERROR(BD64/BC64-1,"--")</f>
        <v>-1.5621584072786465E-2</v>
      </c>
      <c r="BE66" s="72" t="s">
        <v>36</v>
      </c>
      <c r="BF66" s="71">
        <f>IFERROR(BF64/BD64-1,"--")</f>
        <v>9.5115232888882684E-3</v>
      </c>
      <c r="BG66" s="71">
        <f>IFERROR(BG64/BF64-1,"--")</f>
        <v>4.0254932805845023E-2</v>
      </c>
      <c r="BH66" s="71">
        <f>IFERROR(BH64/BG64-1,"--")</f>
        <v>4.7534681340709595E-2</v>
      </c>
      <c r="BI66" s="71">
        <f>IFERROR(BI64/BH64-1,"--")</f>
        <v>-7.8680436249212171E-3</v>
      </c>
      <c r="BJ66" s="72" t="s">
        <v>36</v>
      </c>
      <c r="BK66" s="71">
        <f>IFERROR(BK64/BI64-1,"--")</f>
        <v>7.7014360754219524E-3</v>
      </c>
      <c r="BL66" s="71">
        <f>IFERROR(BL64/BK64-1,"--")</f>
        <v>3.0928666827638507E-2</v>
      </c>
      <c r="BM66" s="71">
        <f>IFERROR(BM64/BL64-1,"--")</f>
        <v>5.8563644681957294E-2</v>
      </c>
      <c r="BN66" s="71">
        <f>IFERROR(BN64/BM64-1,"--")</f>
        <v>-1.460706246042931E-2</v>
      </c>
      <c r="BO66" s="72" t="s">
        <v>36</v>
      </c>
    </row>
    <row r="67" spans="1:67" collapsed="1">
      <c r="B67" s="154"/>
      <c r="G67" s="68"/>
      <c r="L67" s="68"/>
      <c r="Q67" s="68"/>
      <c r="V67" s="68"/>
      <c r="AA67" s="68"/>
      <c r="AF67" s="68"/>
      <c r="AK67" s="68"/>
      <c r="AP67" s="68"/>
      <c r="AQ67" s="150"/>
      <c r="AU67" s="68"/>
      <c r="AV67" s="278"/>
      <c r="AW67" s="278"/>
      <c r="AX67" s="278"/>
      <c r="AY67" s="278"/>
      <c r="AZ67" s="68"/>
      <c r="BA67" s="278"/>
      <c r="BB67" s="278"/>
      <c r="BC67" s="278"/>
      <c r="BD67" s="278"/>
      <c r="BE67" s="68"/>
      <c r="BF67" s="278"/>
      <c r="BG67" s="278"/>
      <c r="BH67" s="278"/>
      <c r="BI67" s="278"/>
      <c r="BJ67" s="68"/>
      <c r="BK67" s="278"/>
      <c r="BL67" s="278"/>
      <c r="BM67" s="278"/>
      <c r="BN67" s="278"/>
      <c r="BO67" s="68"/>
    </row>
    <row r="68" spans="1:67">
      <c r="A68" s="57" t="s">
        <v>93</v>
      </c>
      <c r="B68" s="209" t="s">
        <v>175</v>
      </c>
      <c r="C68" s="210"/>
      <c r="D68" s="210"/>
      <c r="E68" s="210"/>
      <c r="F68" s="210"/>
      <c r="G68" s="209"/>
      <c r="H68" s="210"/>
      <c r="I68" s="210"/>
      <c r="J68" s="211">
        <v>14</v>
      </c>
      <c r="K68" s="211">
        <v>14</v>
      </c>
      <c r="L68" s="212">
        <f>K68</f>
        <v>14</v>
      </c>
      <c r="M68" s="213">
        <v>16</v>
      </c>
      <c r="N68" s="213">
        <v>22</v>
      </c>
      <c r="O68" s="213">
        <v>31</v>
      </c>
      <c r="P68" s="213">
        <v>41</v>
      </c>
      <c r="Q68" s="212">
        <f>P68</f>
        <v>41</v>
      </c>
      <c r="R68" s="213">
        <v>48</v>
      </c>
      <c r="S68" s="213">
        <v>56</v>
      </c>
      <c r="T68" s="213">
        <v>65</v>
      </c>
      <c r="U68" s="213">
        <v>77</v>
      </c>
      <c r="V68" s="212">
        <f>U68</f>
        <v>77</v>
      </c>
      <c r="W68" s="213">
        <v>104</v>
      </c>
      <c r="X68" s="213">
        <v>116</v>
      </c>
      <c r="Y68" s="213">
        <v>148</v>
      </c>
      <c r="Z68" s="213">
        <v>184</v>
      </c>
      <c r="AA68" s="212">
        <f>Z68</f>
        <v>184</v>
      </c>
      <c r="AB68" s="211">
        <v>206</v>
      </c>
      <c r="AC68" s="213">
        <v>248</v>
      </c>
      <c r="AD68" s="213">
        <v>287</v>
      </c>
      <c r="AE68" s="213">
        <v>330</v>
      </c>
      <c r="AF68" s="212">
        <f>AE68</f>
        <v>330</v>
      </c>
      <c r="AG68" s="211">
        <v>373</v>
      </c>
      <c r="AH68" s="213">
        <v>401</v>
      </c>
      <c r="AI68" s="213">
        <v>436</v>
      </c>
      <c r="AJ68" s="213">
        <v>455</v>
      </c>
      <c r="AK68" s="212">
        <f>AJ68</f>
        <v>455</v>
      </c>
      <c r="AL68" s="211">
        <v>479</v>
      </c>
      <c r="AM68" s="213">
        <v>507</v>
      </c>
      <c r="AN68" s="213">
        <v>540</v>
      </c>
      <c r="AO68" s="213">
        <v>579</v>
      </c>
      <c r="AP68" s="212">
        <f>AO68</f>
        <v>579</v>
      </c>
      <c r="AQ68" s="213">
        <v>606</v>
      </c>
      <c r="AR68" s="213">
        <v>654</v>
      </c>
      <c r="AS68" s="213">
        <v>688</v>
      </c>
      <c r="AT68" s="246">
        <f>AO68*(1+AT70)</f>
        <v>725.55883888888889</v>
      </c>
      <c r="AU68" s="247">
        <f>AT68</f>
        <v>725.55883888888889</v>
      </c>
      <c r="AV68" s="246">
        <f>AQ68*(1+AV70)</f>
        <v>757.87818888888899</v>
      </c>
      <c r="AW68" s="246">
        <f>AR68*(1+AW70)</f>
        <v>801.55814444444445</v>
      </c>
      <c r="AX68" s="246">
        <f>AS68*(1+AX70)</f>
        <v>838.41336296296299</v>
      </c>
      <c r="AY68" s="246">
        <f>AT68*(1+AY70)</f>
        <v>879.10455635501023</v>
      </c>
      <c r="AZ68" s="247">
        <f>AY68</f>
        <v>879.10455635501023</v>
      </c>
      <c r="BA68" s="246">
        <f>AV68*(1+BA70)</f>
        <v>912.20043336232516</v>
      </c>
      <c r="BB68" s="246">
        <f>AW68*(1+BB70)</f>
        <v>958.36221426792179</v>
      </c>
      <c r="BC68" s="246">
        <f>AX68*(1+BC70)</f>
        <v>995.7198938802195</v>
      </c>
      <c r="BD68" s="246">
        <f>AY68*(1+BD70)</f>
        <v>1037.0128983045786</v>
      </c>
      <c r="BE68" s="247">
        <f>BD68</f>
        <v>1037.0128983045786</v>
      </c>
      <c r="BF68" s="246">
        <f>BA68*(1+BF70)</f>
        <v>1067.843787674741</v>
      </c>
      <c r="BG68" s="246">
        <f>BB68*(1+BG70)</f>
        <v>1113.2566197765539</v>
      </c>
      <c r="BH68" s="246">
        <f>BC68*(1+BH70)</f>
        <v>1147.6907207208233</v>
      </c>
      <c r="BI68" s="246">
        <f>BD68*(1+BI70)</f>
        <v>1185.9529156264455</v>
      </c>
      <c r="BJ68" s="247">
        <f>BI68</f>
        <v>1185.9529156264455</v>
      </c>
      <c r="BK68" s="246">
        <f>BF68*(1+BK70)</f>
        <v>1211.6012688462051</v>
      </c>
      <c r="BL68" s="246">
        <f>BG68*(1+BL70)</f>
        <v>1253.1084518428167</v>
      </c>
      <c r="BM68" s="246">
        <f>BH68*(1+BM70)</f>
        <v>1281.539088348296</v>
      </c>
      <c r="BN68" s="246">
        <f>BI68*(1+BN70)</f>
        <v>1313.59000006619</v>
      </c>
      <c r="BO68" s="247">
        <f>BN68</f>
        <v>1313.59000006619</v>
      </c>
    </row>
    <row r="69" spans="1:67">
      <c r="A69" s="108" t="s">
        <v>106</v>
      </c>
      <c r="B69" s="170" t="s">
        <v>88</v>
      </c>
      <c r="C69" s="171"/>
      <c r="D69" s="171"/>
      <c r="E69" s="171"/>
      <c r="F69" s="171"/>
      <c r="G69" s="172"/>
      <c r="H69" s="171"/>
      <c r="I69" s="171"/>
      <c r="J69" s="171"/>
      <c r="K69" s="173">
        <f>K68-J68</f>
        <v>0</v>
      </c>
      <c r="L69" s="174"/>
      <c r="M69" s="173">
        <f>M68-K68</f>
        <v>2</v>
      </c>
      <c r="N69" s="173">
        <f>N68-M68</f>
        <v>6</v>
      </c>
      <c r="O69" s="173">
        <f>O68-N68</f>
        <v>9</v>
      </c>
      <c r="P69" s="173">
        <f>P68-O68</f>
        <v>10</v>
      </c>
      <c r="Q69" s="175">
        <f>SUM(M69:P69)</f>
        <v>27</v>
      </c>
      <c r="R69" s="173">
        <f>R68-P68</f>
        <v>7</v>
      </c>
      <c r="S69" s="173">
        <f>S68-R68</f>
        <v>8</v>
      </c>
      <c r="T69" s="173">
        <f>T68-S68</f>
        <v>9</v>
      </c>
      <c r="U69" s="173">
        <f>U68-T68</f>
        <v>12</v>
      </c>
      <c r="V69" s="175">
        <f>V68-Q68</f>
        <v>36</v>
      </c>
      <c r="W69" s="173">
        <f>W68-U68</f>
        <v>27</v>
      </c>
      <c r="X69" s="173">
        <f>X68-W68</f>
        <v>12</v>
      </c>
      <c r="Y69" s="173">
        <f>Y68-X68</f>
        <v>32</v>
      </c>
      <c r="Z69" s="173">
        <f>Z68-Y68</f>
        <v>36</v>
      </c>
      <c r="AA69" s="175">
        <f>AA68-V68</f>
        <v>107</v>
      </c>
      <c r="AB69" s="173">
        <f>AB68-Z68</f>
        <v>22</v>
      </c>
      <c r="AC69" s="173">
        <f>AC68-AB68</f>
        <v>42</v>
      </c>
      <c r="AD69" s="173">
        <f>AD68-AC68</f>
        <v>39</v>
      </c>
      <c r="AE69" s="173">
        <f>AE68-AD68</f>
        <v>43</v>
      </c>
      <c r="AF69" s="175">
        <f>AF68-AA68</f>
        <v>146</v>
      </c>
      <c r="AG69" s="173">
        <f>AG68-AE68</f>
        <v>43</v>
      </c>
      <c r="AH69" s="173">
        <f>AH68-AG68</f>
        <v>28</v>
      </c>
      <c r="AI69" s="173">
        <f>AI68-AH68</f>
        <v>35</v>
      </c>
      <c r="AJ69" s="173">
        <f>AJ68-AI68</f>
        <v>19</v>
      </c>
      <c r="AK69" s="175">
        <f>AK68-AF68</f>
        <v>125</v>
      </c>
      <c r="AL69" s="173">
        <f>AL68-AJ68</f>
        <v>24</v>
      </c>
      <c r="AM69" s="173">
        <f>AM68-AL68</f>
        <v>28</v>
      </c>
      <c r="AN69" s="173">
        <f>AN68-AM68</f>
        <v>33</v>
      </c>
      <c r="AO69" s="173">
        <f>AO68-AN68</f>
        <v>39</v>
      </c>
      <c r="AP69" s="175">
        <f>AP68-AK68</f>
        <v>124</v>
      </c>
      <c r="AQ69" s="173">
        <f>AQ68-AO68</f>
        <v>27</v>
      </c>
      <c r="AR69" s="173">
        <f>AR68-AQ68</f>
        <v>48</v>
      </c>
      <c r="AS69" s="173">
        <f>AS68-AR68</f>
        <v>34</v>
      </c>
      <c r="AT69" s="173">
        <f>AT68-AS68</f>
        <v>37.558838888888886</v>
      </c>
      <c r="AU69" s="175">
        <f>AU68-AP68</f>
        <v>146.55883888888889</v>
      </c>
      <c r="AV69" s="173">
        <f>AV68-AU68</f>
        <v>32.319350000000099</v>
      </c>
      <c r="AW69" s="173">
        <f>AW68-AV68</f>
        <v>43.679955555555466</v>
      </c>
      <c r="AX69" s="173">
        <f>AX68-AW68</f>
        <v>36.855218518518541</v>
      </c>
      <c r="AY69" s="173">
        <f>AY68-AX68</f>
        <v>40.691193392047239</v>
      </c>
      <c r="AZ69" s="175">
        <f>AZ68-AU68</f>
        <v>153.54571746612135</v>
      </c>
      <c r="BA69" s="173">
        <f>BA68-AZ68</f>
        <v>33.095877007314925</v>
      </c>
      <c r="BB69" s="173">
        <f>BB68-BA68</f>
        <v>46.161780905596629</v>
      </c>
      <c r="BC69" s="173">
        <f>BC68-BB68</f>
        <v>37.357679612297716</v>
      </c>
      <c r="BD69" s="173">
        <f>BD68-BC68</f>
        <v>41.293004424359083</v>
      </c>
      <c r="BE69" s="175">
        <f>BE68-AZ68</f>
        <v>157.90834194956835</v>
      </c>
      <c r="BF69" s="173">
        <f>BF68-BE68</f>
        <v>30.830889370162367</v>
      </c>
      <c r="BG69" s="173">
        <f>BG68-BF68</f>
        <v>45.41283210181291</v>
      </c>
      <c r="BH69" s="173">
        <f>BH68-BG68</f>
        <v>34.434100944269403</v>
      </c>
      <c r="BI69" s="173">
        <f>BI68-BH68</f>
        <v>38.262194905622209</v>
      </c>
      <c r="BJ69" s="175">
        <f>BJ68-BE68</f>
        <v>148.94001732186689</v>
      </c>
      <c r="BK69" s="173">
        <f>BK68-BJ68</f>
        <v>25.648353219759656</v>
      </c>
      <c r="BL69" s="173">
        <f>BL68-BK68</f>
        <v>41.507182996611618</v>
      </c>
      <c r="BM69" s="173">
        <f>BM68-BL68</f>
        <v>28.430636505479242</v>
      </c>
      <c r="BN69" s="173">
        <f>BN68-BM68</f>
        <v>32.050911717893996</v>
      </c>
      <c r="BO69" s="175">
        <f>BO68-BJ68</f>
        <v>127.63708443974451</v>
      </c>
    </row>
    <row r="70" spans="1:67">
      <c r="A70" s="108" t="s">
        <v>104</v>
      </c>
      <c r="B70" s="176" t="s">
        <v>32</v>
      </c>
      <c r="C70" s="171"/>
      <c r="D70" s="171"/>
      <c r="E70" s="171"/>
      <c r="F70" s="171"/>
      <c r="G70" s="172"/>
      <c r="H70" s="171"/>
      <c r="I70" s="171"/>
      <c r="J70" s="177" t="str">
        <f t="shared" ref="J70:AS70" si="27">IFERROR(J68/E68-1,"--")</f>
        <v>--</v>
      </c>
      <c r="K70" s="177" t="str">
        <f t="shared" si="27"/>
        <v>--</v>
      </c>
      <c r="L70" s="178" t="str">
        <f t="shared" si="27"/>
        <v>--</v>
      </c>
      <c r="M70" s="177" t="str">
        <f t="shared" si="27"/>
        <v>--</v>
      </c>
      <c r="N70" s="177" t="str">
        <f t="shared" si="27"/>
        <v>--</v>
      </c>
      <c r="O70" s="177">
        <f t="shared" si="27"/>
        <v>1.2142857142857144</v>
      </c>
      <c r="P70" s="177">
        <f t="shared" si="27"/>
        <v>1.9285714285714284</v>
      </c>
      <c r="Q70" s="178">
        <f t="shared" si="27"/>
        <v>1.9285714285714284</v>
      </c>
      <c r="R70" s="177">
        <f t="shared" si="27"/>
        <v>2</v>
      </c>
      <c r="S70" s="177">
        <f t="shared" si="27"/>
        <v>1.5454545454545454</v>
      </c>
      <c r="T70" s="177">
        <f t="shared" si="27"/>
        <v>1.096774193548387</v>
      </c>
      <c r="U70" s="177">
        <f t="shared" si="27"/>
        <v>0.87804878048780477</v>
      </c>
      <c r="V70" s="178">
        <f t="shared" si="27"/>
        <v>0.87804878048780477</v>
      </c>
      <c r="W70" s="177">
        <f t="shared" si="27"/>
        <v>1.1666666666666665</v>
      </c>
      <c r="X70" s="177">
        <f t="shared" si="27"/>
        <v>1.0714285714285716</v>
      </c>
      <c r="Y70" s="177">
        <f t="shared" si="27"/>
        <v>1.2769230769230768</v>
      </c>
      <c r="Z70" s="177">
        <f t="shared" si="27"/>
        <v>1.3896103896103895</v>
      </c>
      <c r="AA70" s="178">
        <f t="shared" si="27"/>
        <v>1.3896103896103895</v>
      </c>
      <c r="AB70" s="177">
        <f t="shared" si="27"/>
        <v>0.98076923076923084</v>
      </c>
      <c r="AC70" s="177">
        <f t="shared" si="27"/>
        <v>1.1379310344827585</v>
      </c>
      <c r="AD70" s="177">
        <f t="shared" si="27"/>
        <v>0.93918918918918926</v>
      </c>
      <c r="AE70" s="177">
        <f t="shared" si="27"/>
        <v>0.79347826086956519</v>
      </c>
      <c r="AF70" s="178">
        <f t="shared" si="27"/>
        <v>0.79347826086956519</v>
      </c>
      <c r="AG70" s="177">
        <f t="shared" si="27"/>
        <v>0.81067961165048552</v>
      </c>
      <c r="AH70" s="177">
        <f t="shared" si="27"/>
        <v>0.61693548387096775</v>
      </c>
      <c r="AI70" s="177">
        <f t="shared" si="27"/>
        <v>0.51916376306620204</v>
      </c>
      <c r="AJ70" s="177">
        <f t="shared" si="27"/>
        <v>0.3787878787878789</v>
      </c>
      <c r="AK70" s="232">
        <f t="shared" si="27"/>
        <v>0.3787878787878789</v>
      </c>
      <c r="AL70" s="177">
        <f t="shared" si="27"/>
        <v>0.28418230563002678</v>
      </c>
      <c r="AM70" s="177">
        <f t="shared" si="27"/>
        <v>0.26433915211970072</v>
      </c>
      <c r="AN70" s="177">
        <f t="shared" si="27"/>
        <v>0.23853211009174302</v>
      </c>
      <c r="AO70" s="177">
        <f t="shared" si="27"/>
        <v>0.27252747252747245</v>
      </c>
      <c r="AP70" s="232">
        <f t="shared" si="27"/>
        <v>0.27252747252747245</v>
      </c>
      <c r="AQ70" s="1387">
        <f t="shared" si="27"/>
        <v>0.2651356993736953</v>
      </c>
      <c r="AR70" s="177">
        <f t="shared" si="27"/>
        <v>0.28994082840236679</v>
      </c>
      <c r="AS70" s="177">
        <f t="shared" si="27"/>
        <v>0.27407407407407414</v>
      </c>
      <c r="AT70" s="231">
        <f>AS70+AT73</f>
        <v>0.25312407407407411</v>
      </c>
      <c r="AU70" s="232">
        <f>IFERROR(AU68/AP68-1,"--")</f>
        <v>0.25312407407407411</v>
      </c>
      <c r="AV70" s="231">
        <f>AT70+AV73</f>
        <v>0.25062407407407411</v>
      </c>
      <c r="AW70" s="231">
        <f>AV70+AW73</f>
        <v>0.22562407407407412</v>
      </c>
      <c r="AX70" s="231">
        <f>AW70+AX73</f>
        <v>0.21862407407407411</v>
      </c>
      <c r="AY70" s="231">
        <f>AX70+AY73</f>
        <v>0.2116240740740741</v>
      </c>
      <c r="AZ70" s="232">
        <f>IFERROR(AZ68/AU68-1,"--")</f>
        <v>0.21162407407407402</v>
      </c>
      <c r="BA70" s="231">
        <f>AY70+BA73</f>
        <v>0.2036240740740741</v>
      </c>
      <c r="BB70" s="231">
        <f>BA70+BB73</f>
        <v>0.19562407407407409</v>
      </c>
      <c r="BC70" s="231">
        <f>BB70+BC73</f>
        <v>0.18762407407407408</v>
      </c>
      <c r="BD70" s="231">
        <f>BC70+BD73</f>
        <v>0.17962407407407407</v>
      </c>
      <c r="BE70" s="232">
        <f>IFERROR(BE68/AZ68-1,"--")</f>
        <v>0.17962407407407399</v>
      </c>
      <c r="BF70" s="231">
        <f>BD70+BF73</f>
        <v>0.17062407407407407</v>
      </c>
      <c r="BG70" s="231">
        <f>BF70+BG73</f>
        <v>0.16162407407407406</v>
      </c>
      <c r="BH70" s="231">
        <f>BG70+BH73</f>
        <v>0.15262407407407405</v>
      </c>
      <c r="BI70" s="231">
        <f>BH70+BI73</f>
        <v>0.14362407407407404</v>
      </c>
      <c r="BJ70" s="232">
        <f>IFERROR(BJ68/BE68-1,"--")</f>
        <v>0.14362407407407396</v>
      </c>
      <c r="BK70" s="231">
        <f>BI70+BK73</f>
        <v>0.13462407407407403</v>
      </c>
      <c r="BL70" s="231">
        <f>BK70+BL73</f>
        <v>0.12562407407407403</v>
      </c>
      <c r="BM70" s="231">
        <f>BL70+BM73</f>
        <v>0.11662407407407403</v>
      </c>
      <c r="BN70" s="231">
        <f>BM70+BN73</f>
        <v>0.10762407407407404</v>
      </c>
      <c r="BO70" s="232">
        <f>IFERROR(BO68/BJ68-1,"--")</f>
        <v>0.10762407407407393</v>
      </c>
    </row>
    <row r="71" spans="1:67">
      <c r="A71" s="108" t="s">
        <v>105</v>
      </c>
      <c r="B71" s="176" t="s">
        <v>33</v>
      </c>
      <c r="C71" s="171"/>
      <c r="D71" s="171"/>
      <c r="E71" s="171"/>
      <c r="F71" s="171"/>
      <c r="G71" s="172"/>
      <c r="H71" s="171"/>
      <c r="I71" s="171"/>
      <c r="J71" s="177" t="str">
        <f>IFERROR(J68/I68-1,"--")</f>
        <v>--</v>
      </c>
      <c r="K71" s="177">
        <f>IFERROR(K68/J68-1,"--")</f>
        <v>0</v>
      </c>
      <c r="L71" s="178" t="s">
        <v>36</v>
      </c>
      <c r="M71" s="177">
        <f>IFERROR(M68/K68-1,"--")</f>
        <v>0.14285714285714279</v>
      </c>
      <c r="N71" s="177">
        <f>IFERROR(N68/M68-1,"--")</f>
        <v>0.375</v>
      </c>
      <c r="O71" s="177">
        <f>IFERROR(O68/N68-1,"--")</f>
        <v>0.40909090909090917</v>
      </c>
      <c r="P71" s="177">
        <f>IFERROR(P68/O68-1,"--")</f>
        <v>0.32258064516129026</v>
      </c>
      <c r="Q71" s="178" t="s">
        <v>36</v>
      </c>
      <c r="R71" s="177">
        <f>IFERROR(R68/P68-1,"--")</f>
        <v>0.1707317073170731</v>
      </c>
      <c r="S71" s="177">
        <f>IFERROR(S68/R68-1,"--")</f>
        <v>0.16666666666666674</v>
      </c>
      <c r="T71" s="177">
        <f>IFERROR(T68/S68-1,"--")</f>
        <v>0.16071428571428581</v>
      </c>
      <c r="U71" s="177">
        <f>IFERROR(U68/T68-1,"--")</f>
        <v>0.18461538461538463</v>
      </c>
      <c r="V71" s="178" t="s">
        <v>36</v>
      </c>
      <c r="W71" s="177">
        <f>IFERROR(W68/U68-1,"--")</f>
        <v>0.35064935064935066</v>
      </c>
      <c r="X71" s="177">
        <f>IFERROR(X68/W68-1,"--")</f>
        <v>0.11538461538461542</v>
      </c>
      <c r="Y71" s="177">
        <f>IFERROR(Y68/X68-1,"--")</f>
        <v>0.27586206896551735</v>
      </c>
      <c r="Z71" s="177">
        <f>IFERROR(Z68/Y68-1,"--")</f>
        <v>0.2432432432432432</v>
      </c>
      <c r="AA71" s="178" t="s">
        <v>36</v>
      </c>
      <c r="AB71" s="177">
        <f>IFERROR(AB68/Z68-1,"--")</f>
        <v>0.11956521739130443</v>
      </c>
      <c r="AC71" s="177">
        <f>IFERROR(AC68/AB68-1,"--")</f>
        <v>0.20388349514563098</v>
      </c>
      <c r="AD71" s="177">
        <f>IFERROR(AD68/AC68-1,"--")</f>
        <v>0.157258064516129</v>
      </c>
      <c r="AE71" s="177">
        <f>IFERROR(AE68/AD68-1,"--")</f>
        <v>0.14982578397212554</v>
      </c>
      <c r="AF71" s="178" t="s">
        <v>36</v>
      </c>
      <c r="AG71" s="177">
        <f>IFERROR(AG68/AE68-1,"--")</f>
        <v>0.13030303030303036</v>
      </c>
      <c r="AH71" s="177">
        <f>IFERROR(AH68/AG68-1,"--")</f>
        <v>7.5067024128686377E-2</v>
      </c>
      <c r="AI71" s="177">
        <f>IFERROR(AI68/AH68-1,"--")</f>
        <v>8.7281795511221949E-2</v>
      </c>
      <c r="AJ71" s="177">
        <f>IFERROR(AJ68/AI68-1,"--")</f>
        <v>4.3577981651376163E-2</v>
      </c>
      <c r="AK71" s="178" t="s">
        <v>36</v>
      </c>
      <c r="AL71" s="177">
        <f>IFERROR(AL68/AJ68-1,"--")</f>
        <v>5.2747252747252782E-2</v>
      </c>
      <c r="AM71" s="177">
        <f>IFERROR(AM68/AL68-1,"--")</f>
        <v>5.845511482254695E-2</v>
      </c>
      <c r="AN71" s="177">
        <f>IFERROR(AN68/AM68-1,"--")</f>
        <v>6.5088757396449815E-2</v>
      </c>
      <c r="AO71" s="177">
        <f>IFERROR(AO68/AN68-1,"--")</f>
        <v>7.2222222222222188E-2</v>
      </c>
      <c r="AP71" s="178" t="s">
        <v>36</v>
      </c>
      <c r="AQ71" s="177">
        <f>IFERROR(AQ68/AO68-1,"--")</f>
        <v>4.663212435233155E-2</v>
      </c>
      <c r="AR71" s="177">
        <f>IFERROR(AR68/AQ68-1,"--")</f>
        <v>7.9207920792079278E-2</v>
      </c>
      <c r="AS71" s="177">
        <f>IFERROR(AS68/AR68-1,"--")</f>
        <v>5.1987767584097844E-2</v>
      </c>
      <c r="AT71" s="177">
        <f>IFERROR(AT68/AS68-1,"--")</f>
        <v>5.4591335594315282E-2</v>
      </c>
      <c r="AU71" s="178" t="s">
        <v>36</v>
      </c>
      <c r="AV71" s="177">
        <f>IFERROR(AV68/AU68-1,"--")</f>
        <v>4.4544078671129528E-2</v>
      </c>
      <c r="AW71" s="177">
        <f>IFERROR(AW68/AV68-1,"--")</f>
        <v>5.7634533089801376E-2</v>
      </c>
      <c r="AX71" s="177">
        <f>IFERROR(AX68/AW68-1,"--")</f>
        <v>4.5979469828807851E-2</v>
      </c>
      <c r="AY71" s="177">
        <f>IFERROR(AY68/AX68-1,"--")</f>
        <v>4.8533569703903545E-2</v>
      </c>
      <c r="AZ71" s="178" t="s">
        <v>36</v>
      </c>
      <c r="BA71" s="177">
        <f>IFERROR(BA68/AZ68-1,"--")</f>
        <v>3.7647259097983499E-2</v>
      </c>
      <c r="BB71" s="177">
        <f>IFERROR(BB68/BA68-1,"--")</f>
        <v>5.060486623038174E-2</v>
      </c>
      <c r="BC71" s="177">
        <f>IFERROR(BC68/BB68-1,"--")</f>
        <v>3.898075180357008E-2</v>
      </c>
      <c r="BD71" s="177">
        <f>IFERROR(BD68/BC68-1,"--")</f>
        <v>4.1470502576225865E-2</v>
      </c>
      <c r="BE71" s="178" t="s">
        <v>36</v>
      </c>
      <c r="BF71" s="177">
        <f>IFERROR(BF68/BE68-1,"--")</f>
        <v>2.9730478203856547E-2</v>
      </c>
      <c r="BG71" s="177">
        <f>IFERROR(BG68/BF68-1,"--")</f>
        <v>4.252759872368661E-2</v>
      </c>
      <c r="BH71" s="177">
        <f>IFERROR(BH68/BG68-1,"--")</f>
        <v>3.0930964462785537E-2</v>
      </c>
      <c r="BI71" s="177">
        <f>IFERROR(BI68/BH68-1,"--")</f>
        <v>3.3338419675982944E-2</v>
      </c>
      <c r="BJ71" s="178" t="s">
        <v>36</v>
      </c>
      <c r="BK71" s="177">
        <f>IFERROR(BK68/BJ68-1,"--")</f>
        <v>2.1626788788837947E-2</v>
      </c>
      <c r="BL71" s="177">
        <f>IFERROR(BL68/BK68-1,"--")</f>
        <v>3.4258121102942019E-2</v>
      </c>
      <c r="BM71" s="177">
        <f>IFERROR(BM68/BL68-1,"--")</f>
        <v>2.2688089337893569E-2</v>
      </c>
      <c r="BN71" s="177">
        <f>IFERROR(BN68/BM68-1,"--")</f>
        <v>2.5009702793539201E-2</v>
      </c>
      <c r="BO71" s="178" t="s">
        <v>36</v>
      </c>
    </row>
    <row r="72" spans="1:67">
      <c r="B72" s="176" t="s">
        <v>114</v>
      </c>
      <c r="C72" s="171"/>
      <c r="D72" s="171"/>
      <c r="E72" s="171"/>
      <c r="F72" s="171"/>
      <c r="G72" s="172"/>
      <c r="H72" s="171"/>
      <c r="I72" s="171"/>
      <c r="J72" s="171"/>
      <c r="K72" s="177">
        <f>K68/K$55</f>
        <v>1.4767932489451477E-2</v>
      </c>
      <c r="L72" s="172"/>
      <c r="M72" s="177">
        <f t="shared" ref="M72:AR72" si="28">M68/M$55</f>
        <v>1.340033500837521E-2</v>
      </c>
      <c r="N72" s="177">
        <f t="shared" si="28"/>
        <v>1.4221073044602456E-2</v>
      </c>
      <c r="O72" s="177">
        <f t="shared" si="28"/>
        <v>1.6028955532574975E-2</v>
      </c>
      <c r="P72" s="177">
        <f t="shared" si="28"/>
        <v>1.7140468227424748E-2</v>
      </c>
      <c r="Q72" s="178">
        <f t="shared" si="28"/>
        <v>1.7140468227424748E-2</v>
      </c>
      <c r="R72" s="177">
        <f t="shared" si="28"/>
        <v>1.7647058823529412E-2</v>
      </c>
      <c r="S72" s="177">
        <f t="shared" si="28"/>
        <v>1.7965992941931345E-2</v>
      </c>
      <c r="T72" s="177">
        <f t="shared" si="28"/>
        <v>1.8289251547552055E-2</v>
      </c>
      <c r="U72" s="177">
        <f t="shared" si="28"/>
        <v>1.8603527422082627E-2</v>
      </c>
      <c r="V72" s="178">
        <f t="shared" si="28"/>
        <v>1.8603527422082627E-2</v>
      </c>
      <c r="W72" s="177">
        <f t="shared" si="28"/>
        <v>2.2947925860547221E-2</v>
      </c>
      <c r="X72" s="177">
        <f t="shared" si="28"/>
        <v>2.3246492985971944E-2</v>
      </c>
      <c r="Y72" s="177">
        <f t="shared" si="28"/>
        <v>2.7326440177252585E-2</v>
      </c>
      <c r="Z72" s="177">
        <f t="shared" si="28"/>
        <v>3.095558546433378E-2</v>
      </c>
      <c r="AA72" s="178">
        <f t="shared" si="28"/>
        <v>3.095558546433378E-2</v>
      </c>
      <c r="AB72" s="177">
        <f t="shared" si="28"/>
        <v>3.2584625118633345E-2</v>
      </c>
      <c r="AC72" s="177">
        <f t="shared" si="28"/>
        <v>3.6347647662318627E-2</v>
      </c>
      <c r="AD72" s="177">
        <f t="shared" si="28"/>
        <v>3.9794786466999445E-2</v>
      </c>
      <c r="AE72" s="177">
        <f t="shared" si="28"/>
        <v>4.2438271604938273E-2</v>
      </c>
      <c r="AF72" s="178">
        <f t="shared" si="28"/>
        <v>4.2438271604938273E-2</v>
      </c>
      <c r="AG72" s="177">
        <f t="shared" si="28"/>
        <v>4.6123407938666997E-2</v>
      </c>
      <c r="AH72" s="177">
        <f t="shared" si="28"/>
        <v>4.7248733356898789E-2</v>
      </c>
      <c r="AI72" s="177">
        <f t="shared" si="28"/>
        <v>4.9071468767585821E-2</v>
      </c>
      <c r="AJ72" s="177">
        <f t="shared" si="28"/>
        <v>4.8486786018755328E-2</v>
      </c>
      <c r="AK72" s="178">
        <f t="shared" si="28"/>
        <v>4.8486786018755328E-2</v>
      </c>
      <c r="AL72" s="177">
        <f t="shared" si="28"/>
        <v>4.9173596140026692E-2</v>
      </c>
      <c r="AM72" s="177">
        <f t="shared" si="28"/>
        <v>4.9965507046417661E-2</v>
      </c>
      <c r="AN72" s="177">
        <f t="shared" si="28"/>
        <v>5.1477597712106769E-2</v>
      </c>
      <c r="AO72" s="177">
        <f t="shared" si="28"/>
        <v>5.2526535425927605E-2</v>
      </c>
      <c r="AP72" s="178">
        <f t="shared" si="28"/>
        <v>5.2526535425927605E-2</v>
      </c>
      <c r="AQ72" s="177">
        <f t="shared" si="28"/>
        <v>5.2819663557918589E-2</v>
      </c>
      <c r="AR72" s="177">
        <f t="shared" si="28"/>
        <v>5.4472763618190902E-2</v>
      </c>
      <c r="AS72" s="177">
        <f t="shared" ref="AS72" si="29">AS68/AS$55</f>
        <v>5.4512320735282463E-2</v>
      </c>
      <c r="AT72" s="177">
        <f t="shared" ref="AT72:BO72" si="30">AT68/AT$55</f>
        <v>5.4971612349298871E-2</v>
      </c>
      <c r="AU72" s="178">
        <f t="shared" si="30"/>
        <v>5.4971612349298871E-2</v>
      </c>
      <c r="AV72" s="177">
        <f t="shared" si="30"/>
        <v>5.5348542659734976E-2</v>
      </c>
      <c r="AW72" s="177">
        <f t="shared" si="30"/>
        <v>5.6177173310972675E-2</v>
      </c>
      <c r="AX72" s="177">
        <f t="shared" si="30"/>
        <v>5.6093328260525196E-2</v>
      </c>
      <c r="AY72" s="177">
        <f t="shared" si="30"/>
        <v>5.6438706355458897E-2</v>
      </c>
      <c r="AZ72" s="178">
        <f t="shared" si="30"/>
        <v>5.6438706355458897E-2</v>
      </c>
      <c r="BA72" s="177">
        <f t="shared" si="30"/>
        <v>5.6641164045363804E-2</v>
      </c>
      <c r="BB72" s="177">
        <f t="shared" si="30"/>
        <v>5.7300190715658096E-2</v>
      </c>
      <c r="BC72" s="177">
        <f t="shared" si="30"/>
        <v>5.7025975330250944E-2</v>
      </c>
      <c r="BD72" s="177">
        <f t="shared" si="30"/>
        <v>5.7185559118769894E-2</v>
      </c>
      <c r="BE72" s="178">
        <f t="shared" si="30"/>
        <v>5.7185559118769894E-2</v>
      </c>
      <c r="BF72" s="177">
        <f t="shared" si="30"/>
        <v>5.7162973407321661E-2</v>
      </c>
      <c r="BG72" s="177">
        <f t="shared" si="30"/>
        <v>5.7595949876557091E-2</v>
      </c>
      <c r="BH72" s="177">
        <f t="shared" si="30"/>
        <v>5.7087979547963082E-2</v>
      </c>
      <c r="BI72" s="177">
        <f t="shared" si="30"/>
        <v>5.7012948542014538E-2</v>
      </c>
      <c r="BJ72" s="178">
        <f t="shared" si="30"/>
        <v>5.7012948542014538E-2</v>
      </c>
      <c r="BK72" s="177">
        <f t="shared" si="30"/>
        <v>5.67539759148568E-2</v>
      </c>
      <c r="BL72" s="177">
        <f t="shared" si="30"/>
        <v>5.6944114932606982E-2</v>
      </c>
      <c r="BM72" s="177">
        <f t="shared" si="30"/>
        <v>5.6201814013636747E-2</v>
      </c>
      <c r="BN72" s="177">
        <f t="shared" si="30"/>
        <v>5.5933302346463855E-2</v>
      </c>
      <c r="BO72" s="178">
        <f t="shared" si="30"/>
        <v>5.5933302346463855E-2</v>
      </c>
    </row>
    <row r="73" spans="1:67">
      <c r="B73" s="176" t="s">
        <v>174</v>
      </c>
      <c r="C73" s="171"/>
      <c r="D73" s="171"/>
      <c r="E73" s="171"/>
      <c r="F73" s="171"/>
      <c r="G73" s="172"/>
      <c r="H73" s="171"/>
      <c r="I73" s="171"/>
      <c r="J73" s="171"/>
      <c r="K73" s="177"/>
      <c r="L73" s="172"/>
      <c r="M73" s="177"/>
      <c r="N73" s="177"/>
      <c r="O73" s="177"/>
      <c r="P73" s="177"/>
      <c r="Q73" s="178"/>
      <c r="R73" s="177">
        <f>R70-P70</f>
        <v>7.1428571428571619E-2</v>
      </c>
      <c r="S73" s="177">
        <f>S70-R70</f>
        <v>-0.45454545454545459</v>
      </c>
      <c r="T73" s="177">
        <f>T70-S70</f>
        <v>-0.4486803519061584</v>
      </c>
      <c r="U73" s="177">
        <f>U70-T70</f>
        <v>-0.21872541306058224</v>
      </c>
      <c r="V73" s="178">
        <f>AVERAGE(R73:U73)</f>
        <v>-0.2626306620209059</v>
      </c>
      <c r="W73" s="177">
        <f>W70-U70</f>
        <v>0.28861788617886175</v>
      </c>
      <c r="X73" s="177">
        <f>X70-W70</f>
        <v>-9.52380952380949E-2</v>
      </c>
      <c r="Y73" s="177">
        <f>Y70-X70</f>
        <v>0.20549450549450521</v>
      </c>
      <c r="Z73" s="177">
        <f>Z70-Y70</f>
        <v>0.11268731268731269</v>
      </c>
      <c r="AA73" s="178">
        <f>AVERAGE(W73:Z73)</f>
        <v>0.12789040228064619</v>
      </c>
      <c r="AB73" s="177">
        <f>AB70-Z70</f>
        <v>-0.40884115884115868</v>
      </c>
      <c r="AC73" s="177">
        <f>AC70-AB70</f>
        <v>0.15716180371352761</v>
      </c>
      <c r="AD73" s="177">
        <f>AD70-AC70</f>
        <v>-0.1987418452935692</v>
      </c>
      <c r="AE73" s="177">
        <f>AE70-AD70</f>
        <v>-0.14571092831962407</v>
      </c>
      <c r="AF73" s="178">
        <f>AVERAGE(AB73:AE73)</f>
        <v>-0.14903303218520608</v>
      </c>
      <c r="AG73" s="177">
        <f>AG70-AE70</f>
        <v>1.7201350780920333E-2</v>
      </c>
      <c r="AH73" s="177">
        <f>AH70-AG70</f>
        <v>-0.19374412777951777</v>
      </c>
      <c r="AI73" s="177">
        <f>AI70-AH70</f>
        <v>-9.7771720804765705E-2</v>
      </c>
      <c r="AJ73" s="177">
        <f>AJ70-AI70</f>
        <v>-0.14037588427832315</v>
      </c>
      <c r="AK73" s="178">
        <f>AVERAGE(AG73:AJ73)</f>
        <v>-0.10367259552042157</v>
      </c>
      <c r="AL73" s="177">
        <f>AL70-AJ70</f>
        <v>-9.4605573157852119E-2</v>
      </c>
      <c r="AM73" s="177">
        <f>AM70-AL70</f>
        <v>-1.9843153510326061E-2</v>
      </c>
      <c r="AN73" s="177">
        <f>AN70-AM70</f>
        <v>-2.5807042027957694E-2</v>
      </c>
      <c r="AO73" s="177">
        <f>AO70-AN70</f>
        <v>3.3995362435729426E-2</v>
      </c>
      <c r="AP73" s="178">
        <f>AVERAGE(AL73:AO73)</f>
        <v>-2.6565101565101612E-2</v>
      </c>
      <c r="AQ73" s="177">
        <f>AQ70-AO70</f>
        <v>-7.3917731537771481E-3</v>
      </c>
      <c r="AR73" s="177">
        <f>AR70-AQ70</f>
        <v>2.4805129028671491E-2</v>
      </c>
      <c r="AS73" s="177">
        <f>AS70-AR70</f>
        <v>-1.5866754328292654E-2</v>
      </c>
      <c r="AT73" s="179">
        <v>-2.095E-2</v>
      </c>
      <c r="AU73" s="178">
        <f>AVERAGE(AQ73:AT73)</f>
        <v>-4.8508496133495777E-3</v>
      </c>
      <c r="AV73" s="179">
        <v>-2.5000000000000001E-3</v>
      </c>
      <c r="AW73" s="179">
        <v>-2.5000000000000001E-2</v>
      </c>
      <c r="AX73" s="179">
        <v>-7.0000000000000001E-3</v>
      </c>
      <c r="AY73" s="179">
        <v>-7.0000000000000001E-3</v>
      </c>
      <c r="AZ73" s="178">
        <f>AVERAGE(AV73:AY73)</f>
        <v>-1.0375000000000001E-2</v>
      </c>
      <c r="BA73" s="179">
        <v>-8.0000000000000002E-3</v>
      </c>
      <c r="BB73" s="179">
        <f>BA73</f>
        <v>-8.0000000000000002E-3</v>
      </c>
      <c r="BC73" s="179">
        <f t="shared" ref="BC73:BD73" si="31">BB73</f>
        <v>-8.0000000000000002E-3</v>
      </c>
      <c r="BD73" s="179">
        <f t="shared" si="31"/>
        <v>-8.0000000000000002E-3</v>
      </c>
      <c r="BE73" s="178">
        <f>AVERAGE(BA73:BD73)</f>
        <v>-8.0000000000000002E-3</v>
      </c>
      <c r="BF73" s="179">
        <v>-8.9999999999999993E-3</v>
      </c>
      <c r="BG73" s="179">
        <f>BF73</f>
        <v>-8.9999999999999993E-3</v>
      </c>
      <c r="BH73" s="179">
        <f t="shared" ref="BH73:BI73" si="32">BG73</f>
        <v>-8.9999999999999993E-3</v>
      </c>
      <c r="BI73" s="179">
        <f t="shared" si="32"/>
        <v>-8.9999999999999993E-3</v>
      </c>
      <c r="BJ73" s="178">
        <f>AVERAGE(BF73:BI73)</f>
        <v>-8.9999999999999993E-3</v>
      </c>
      <c r="BK73" s="179">
        <v>-8.9999999999999993E-3</v>
      </c>
      <c r="BL73" s="179">
        <f>BK73</f>
        <v>-8.9999999999999993E-3</v>
      </c>
      <c r="BM73" s="179">
        <f t="shared" ref="BM73:BN73" si="33">BL73</f>
        <v>-8.9999999999999993E-3</v>
      </c>
      <c r="BN73" s="179">
        <f t="shared" si="33"/>
        <v>-8.9999999999999993E-3</v>
      </c>
      <c r="BO73" s="178">
        <f>AVERAGE(BK73:BN73)</f>
        <v>-8.9999999999999993E-3</v>
      </c>
    </row>
    <row r="74" spans="1:67">
      <c r="B74" s="176" t="s">
        <v>446</v>
      </c>
      <c r="C74" s="171"/>
      <c r="D74" s="171"/>
      <c r="E74" s="171"/>
      <c r="F74" s="171"/>
      <c r="G74" s="172"/>
      <c r="H74" s="171"/>
      <c r="I74" s="171"/>
      <c r="J74" s="171"/>
      <c r="K74" s="177"/>
      <c r="L74" s="172"/>
      <c r="M74" s="177">
        <f>IFERROR(M69/Q69,"--")</f>
        <v>7.407407407407407E-2</v>
      </c>
      <c r="N74" s="177">
        <f>IFERROR(N69/Q69,"--")</f>
        <v>0.22222222222222221</v>
      </c>
      <c r="O74" s="177">
        <f>IFERROR(O69/Q69,"--")</f>
        <v>0.33333333333333331</v>
      </c>
      <c r="P74" s="177">
        <f>IFERROR(P69/Q69,"--")</f>
        <v>0.37037037037037035</v>
      </c>
      <c r="Q74" s="178"/>
      <c r="R74" s="177">
        <f>IFERROR(R69/V69,"--")</f>
        <v>0.19444444444444445</v>
      </c>
      <c r="S74" s="177">
        <f>IFERROR(S69/V69,"--")</f>
        <v>0.22222222222222221</v>
      </c>
      <c r="T74" s="177">
        <f>IFERROR(T69/V69,"--")</f>
        <v>0.25</v>
      </c>
      <c r="U74" s="177">
        <f>IFERROR(U69/V69,"--")</f>
        <v>0.33333333333333331</v>
      </c>
      <c r="V74" s="178"/>
      <c r="W74" s="177">
        <f>IFERROR(W69/AA69,"--")</f>
        <v>0.25233644859813081</v>
      </c>
      <c r="X74" s="177">
        <f>IFERROR(X69/AA69,"--")</f>
        <v>0.11214953271028037</v>
      </c>
      <c r="Y74" s="177">
        <f>IFERROR(Y69/AA69,"--")</f>
        <v>0.29906542056074764</v>
      </c>
      <c r="Z74" s="177">
        <f>IFERROR(Z69/AA69,"--")</f>
        <v>0.3364485981308411</v>
      </c>
      <c r="AA74" s="178"/>
      <c r="AB74" s="177">
        <f>IFERROR(AB69/AF69,"--")</f>
        <v>0.15068493150684931</v>
      </c>
      <c r="AC74" s="177">
        <f>IFERROR(AC69/AF69,"--")</f>
        <v>0.28767123287671231</v>
      </c>
      <c r="AD74" s="177">
        <f>IFERROR(AD69/AF69,"--")</f>
        <v>0.26712328767123289</v>
      </c>
      <c r="AE74" s="177">
        <f>IFERROR(AE69/AF69,"--")</f>
        <v>0.29452054794520549</v>
      </c>
      <c r="AF74" s="178"/>
      <c r="AG74" s="177">
        <f>IFERROR(AG69/AK69,"--")</f>
        <v>0.34399999999999997</v>
      </c>
      <c r="AH74" s="177">
        <f>IFERROR(AH69/AK69,"--")</f>
        <v>0.224</v>
      </c>
      <c r="AI74" s="177">
        <f>IFERROR(AI69/AK69,"--")</f>
        <v>0.28000000000000003</v>
      </c>
      <c r="AJ74" s="177">
        <f>IFERROR(AJ69/AK69,"--")</f>
        <v>0.152</v>
      </c>
      <c r="AK74" s="178"/>
      <c r="AL74" s="177">
        <f>IFERROR(AL69/AP69,"--")</f>
        <v>0.19354838709677419</v>
      </c>
      <c r="AM74" s="177">
        <f>IFERROR(AM69/AP69,"--")</f>
        <v>0.22580645161290322</v>
      </c>
      <c r="AN74" s="177">
        <f>IFERROR(AN69/AP69,"--")</f>
        <v>0.2661290322580645</v>
      </c>
      <c r="AO74" s="177">
        <f>IFERROR(AO69/AP69,"--")</f>
        <v>0.31451612903225806</v>
      </c>
      <c r="AP74" s="178"/>
      <c r="AQ74" s="177">
        <f>IFERROR(AQ69/AU69,"--")</f>
        <v>0.18422635034977042</v>
      </c>
      <c r="AR74" s="177">
        <f>IFERROR(AR69/AU69,"--")</f>
        <v>0.32751351173292514</v>
      </c>
      <c r="AS74" s="177">
        <f>IFERROR(AS69/AU69,"--")</f>
        <v>0.23198873747748866</v>
      </c>
      <c r="AT74" s="177">
        <f>IFERROR(AT69/AU69,"--")</f>
        <v>0.25627140043981578</v>
      </c>
      <c r="AU74" s="178"/>
      <c r="AV74" s="177">
        <f>IFERROR(AV69/AZ69,"--")</f>
        <v>0.2104868213412146</v>
      </c>
      <c r="AW74" s="177">
        <f>IFERROR(AW69/AZ69,"--")</f>
        <v>0.28447524474391872</v>
      </c>
      <c r="AX74" s="177">
        <f>IFERROR(AX69/AZ69,"--")</f>
        <v>0.24002765512916605</v>
      </c>
      <c r="AY74" s="177">
        <f>IFERROR(AY69/AZ69,"--")</f>
        <v>0.2650102787857006</v>
      </c>
      <c r="AZ74" s="178"/>
      <c r="BA74" s="177">
        <f>IFERROR(BA69/BE69,"--")</f>
        <v>0.2095891616535677</v>
      </c>
      <c r="BB74" s="177">
        <f>IFERROR(BB69/BE69,"--")</f>
        <v>0.29233275668450404</v>
      </c>
      <c r="BC74" s="177">
        <f>IFERROR(BC69/BE69,"--")</f>
        <v>0.23657825261840029</v>
      </c>
      <c r="BD74" s="177">
        <f>IFERROR(BD69/BE69,"--")</f>
        <v>0.26149982904352798</v>
      </c>
      <c r="BE74" s="178"/>
      <c r="BF74" s="177">
        <f>IFERROR(BF69/BJ69,"--")</f>
        <v>0.20700205307170913</v>
      </c>
      <c r="BG74" s="177">
        <f>IFERROR(BG69/BJ69,"--")</f>
        <v>0.30490685390262506</v>
      </c>
      <c r="BH74" s="177">
        <f>IFERROR(BH69/BJ69,"--")</f>
        <v>0.23119442016617719</v>
      </c>
      <c r="BI74" s="177">
        <f>IFERROR(BI69/BJ69,"--")</f>
        <v>0.25689667285948864</v>
      </c>
      <c r="BJ74" s="178"/>
      <c r="BK74" s="177">
        <f>IFERROR(BK69/BO69,"--")</f>
        <v>0.20094750152231694</v>
      </c>
      <c r="BL74" s="177">
        <f>IFERROR(BL69/BO69,"--")</f>
        <v>0.32519689069054625</v>
      </c>
      <c r="BM74" s="177">
        <f>IFERROR(BM69/BO69,"--")</f>
        <v>0.22274589419112675</v>
      </c>
      <c r="BN74" s="177">
        <f>IFERROR(BN69/BO69,"--")</f>
        <v>0.25110971359601003</v>
      </c>
      <c r="BO74" s="178"/>
    </row>
    <row r="75" spans="1:67" s="59" customFormat="1">
      <c r="B75" s="352"/>
      <c r="C75" s="216"/>
      <c r="D75" s="216"/>
      <c r="E75" s="216"/>
      <c r="F75" s="216"/>
      <c r="G75" s="217"/>
      <c r="H75" s="216"/>
      <c r="I75" s="216"/>
      <c r="J75" s="216"/>
      <c r="K75" s="218"/>
      <c r="L75" s="217"/>
      <c r="M75" s="218"/>
      <c r="N75" s="218"/>
      <c r="O75" s="218"/>
      <c r="P75" s="218"/>
      <c r="Q75" s="219"/>
      <c r="R75" s="218"/>
      <c r="S75" s="218"/>
      <c r="T75" s="218"/>
      <c r="U75" s="218"/>
      <c r="V75" s="219"/>
      <c r="W75" s="218"/>
      <c r="X75" s="218"/>
      <c r="Y75" s="218"/>
      <c r="Z75" s="218"/>
      <c r="AA75" s="219"/>
      <c r="AB75" s="218"/>
      <c r="AC75" s="218"/>
      <c r="AD75" s="218"/>
      <c r="AE75" s="218"/>
      <c r="AF75" s="353"/>
      <c r="AG75" s="218"/>
      <c r="AH75" s="218"/>
      <c r="AI75" s="218"/>
      <c r="AJ75" s="218"/>
      <c r="AK75" s="217"/>
      <c r="AL75" s="218"/>
      <c r="AM75" s="218"/>
      <c r="AN75" s="218"/>
      <c r="AO75" s="218"/>
      <c r="AP75" s="217"/>
      <c r="AQ75" s="218"/>
      <c r="AR75" s="218"/>
      <c r="AS75" s="1398"/>
      <c r="AT75" s="218"/>
      <c r="AU75" s="217"/>
      <c r="AV75" s="218"/>
      <c r="AW75" s="218"/>
      <c r="AX75" s="218"/>
      <c r="AY75" s="218"/>
      <c r="AZ75" s="217"/>
      <c r="BA75" s="218"/>
      <c r="BB75" s="218"/>
      <c r="BC75" s="218"/>
      <c r="BD75" s="218"/>
      <c r="BE75" s="217"/>
      <c r="BF75" s="218"/>
      <c r="BG75" s="218"/>
      <c r="BH75" s="218"/>
      <c r="BI75" s="218"/>
      <c r="BJ75" s="217"/>
      <c r="BK75" s="218"/>
      <c r="BL75" s="218"/>
      <c r="BM75" s="218"/>
      <c r="BN75" s="218"/>
      <c r="BO75" s="217"/>
    </row>
    <row r="76" spans="1:67">
      <c r="A76" s="57"/>
      <c r="B76" s="209" t="s">
        <v>168</v>
      </c>
      <c r="C76" s="210"/>
      <c r="D76" s="210"/>
      <c r="E76" s="210"/>
      <c r="F76" s="210"/>
      <c r="G76" s="209"/>
      <c r="H76" s="210"/>
      <c r="I76" s="210"/>
      <c r="J76" s="211"/>
      <c r="K76" s="211"/>
      <c r="L76" s="212"/>
      <c r="M76" s="213"/>
      <c r="N76" s="213"/>
      <c r="O76" s="213"/>
      <c r="P76" s="213"/>
      <c r="Q76" s="212"/>
      <c r="R76" s="213">
        <v>3194</v>
      </c>
      <c r="S76" s="213">
        <v>3230</v>
      </c>
      <c r="T76" s="213">
        <v>3243</v>
      </c>
      <c r="U76" s="213">
        <v>3395</v>
      </c>
      <c r="V76" s="212">
        <f>U76</f>
        <v>3395</v>
      </c>
      <c r="W76" s="213">
        <v>3250</v>
      </c>
      <c r="X76" s="213">
        <v>3475</v>
      </c>
      <c r="Y76" s="213">
        <v>3467</v>
      </c>
      <c r="Z76" s="213">
        <v>3478</v>
      </c>
      <c r="AA76" s="212">
        <f>Z76</f>
        <v>3478</v>
      </c>
      <c r="AB76" s="213">
        <v>3660</v>
      </c>
      <c r="AC76" s="213">
        <f>(SUM(AB15:AC15,Y15:Z15)*AC80)/AC68*1000</f>
        <v>3708.1887096774194</v>
      </c>
      <c r="AD76" s="213">
        <f>(SUM(AB15:AD15,Z15)*AD80)/AD68*1000</f>
        <v>3704.6596515679439</v>
      </c>
      <c r="AE76" s="213">
        <f>(SUM(AB15:AE15)*AE80)/AE68*1000</f>
        <v>3642.5619999999994</v>
      </c>
      <c r="AF76" s="212">
        <f>AE76</f>
        <v>3642.5619999999994</v>
      </c>
      <c r="AG76" s="213">
        <f>(SUM(AG15,AC15:AE15)*AG80)/AG68*1000</f>
        <v>3662.2773190348526</v>
      </c>
      <c r="AH76" s="213">
        <f>(SUM(AG15:AH15,AD15:AE15)*AH80)/AH68*1000</f>
        <v>3684.1687780548627</v>
      </c>
      <c r="AI76" s="213">
        <f>(SUM(AG15:AI15,AE15)*AI80)/AI68*1000</f>
        <v>3703.3422018348624</v>
      </c>
      <c r="AJ76" s="213">
        <f>(SUM(AG15:AJ15)*AJ80)/AJ68*1000</f>
        <v>3692.5601538461538</v>
      </c>
      <c r="AK76" s="212">
        <f>AJ76</f>
        <v>3692.5601538461538</v>
      </c>
      <c r="AL76" s="213">
        <f>(SUM(AL15,AH15:AJ15)*AL80)/AL68*1000</f>
        <v>3889.6379958246348</v>
      </c>
      <c r="AM76" s="213">
        <f>(SUM(AL15:AM15,AI15:AJ15)*AM80)/AM68*1000</f>
        <v>3676.128303747535</v>
      </c>
      <c r="AN76" s="213">
        <f>(SUM(AL15:AN15,AJ15)*AN80)/AN68*1000</f>
        <v>3981.0332222222228</v>
      </c>
      <c r="AO76" s="213">
        <f>(SUM(AL15:AO15)*AO80)/AO68*1000</f>
        <v>3887.0022452504322</v>
      </c>
      <c r="AP76" s="212">
        <f>AO76</f>
        <v>3887.0022452504322</v>
      </c>
      <c r="AQ76" s="213">
        <f>(SUM(AQ15,AM15:AO15)*AQ80)/AQ68*1000</f>
        <v>3996.6463366336639</v>
      </c>
      <c r="AR76" s="213">
        <f>(SUM(AQ15:AR15,AN15:AO15)*AR80)/AR68*1000</f>
        <v>4027.0626605504585</v>
      </c>
      <c r="AS76" s="213">
        <f>(SUM(AQ15:AS15,AO15)*AS80)/AS68*1000</f>
        <v>4079.39335755814</v>
      </c>
      <c r="AT76" s="214">
        <f>AS76*(1+AT78)</f>
        <v>4120.1872911337214</v>
      </c>
      <c r="AU76" s="212">
        <f>AT76</f>
        <v>4120.1872911337214</v>
      </c>
      <c r="AV76" s="214">
        <f>AU76*(1+AV78)</f>
        <v>4212.8915051842296</v>
      </c>
      <c r="AW76" s="214">
        <f>AV76*(1+AW78)</f>
        <v>4223.4237339471902</v>
      </c>
      <c r="AX76" s="214">
        <f>AW76*(1+AX78)</f>
        <v>4274.1048187545566</v>
      </c>
      <c r="AY76" s="214">
        <f>AX76*(1+AY78)</f>
        <v>4321.1199717608561</v>
      </c>
      <c r="AZ76" s="212">
        <f>AY76</f>
        <v>4321.1199717608561</v>
      </c>
      <c r="BA76" s="214">
        <f>AZ76*(1+BA78)</f>
        <v>4429.1479710548774</v>
      </c>
      <c r="BB76" s="214">
        <f>BA76*(1+BB78)</f>
        <v>4486.7268946785907</v>
      </c>
      <c r="BC76" s="214">
        <f>BB76*(1+BC78)</f>
        <v>4589.9216132561978</v>
      </c>
      <c r="BD76" s="214">
        <f>BC76*(1+BD78)</f>
        <v>4667.9502806815526</v>
      </c>
      <c r="BE76" s="212">
        <f>BD76</f>
        <v>4667.9502806815526</v>
      </c>
      <c r="BF76" s="214">
        <f>BE76*(1+BF78)</f>
        <v>4791.6509631196141</v>
      </c>
      <c r="BG76" s="214">
        <f>BF76*(1+BG78)</f>
        <v>4853.9424256401689</v>
      </c>
      <c r="BH76" s="214">
        <f>BG76*(1+BH78)</f>
        <v>4999.5606984093738</v>
      </c>
      <c r="BI76" s="214">
        <f>BH76*(1+BI78)</f>
        <v>5144.5479586632455</v>
      </c>
      <c r="BJ76" s="212">
        <f>BI76</f>
        <v>5144.5479586632455</v>
      </c>
      <c r="BK76" s="214">
        <f>BJ76*(1+BK78)</f>
        <v>5350.3298770097754</v>
      </c>
      <c r="BL76" s="214">
        <f>BK76*(1+BL78)</f>
        <v>5468.0371343039906</v>
      </c>
      <c r="BM76" s="214">
        <f>BL76*(1+BM78)</f>
        <v>5664.8864711389342</v>
      </c>
      <c r="BN76" s="214">
        <f>BM76*(1+BN78)</f>
        <v>5834.833065273102</v>
      </c>
      <c r="BO76" s="212">
        <f>BN76</f>
        <v>5834.833065273102</v>
      </c>
    </row>
    <row r="77" spans="1:67">
      <c r="B77" s="176" t="s">
        <v>32</v>
      </c>
      <c r="C77" s="171"/>
      <c r="D77" s="171"/>
      <c r="E77" s="171"/>
      <c r="F77" s="171"/>
      <c r="G77" s="172"/>
      <c r="H77" s="171"/>
      <c r="I77" s="171"/>
      <c r="J77" s="177" t="str">
        <f t="shared" ref="J77:AN77" si="34">IFERROR(J76/E76-1,"--")</f>
        <v>--</v>
      </c>
      <c r="K77" s="177" t="str">
        <f t="shared" si="34"/>
        <v>--</v>
      </c>
      <c r="L77" s="178" t="str">
        <f t="shared" si="34"/>
        <v>--</v>
      </c>
      <c r="M77" s="177" t="str">
        <f t="shared" si="34"/>
        <v>--</v>
      </c>
      <c r="N77" s="177" t="str">
        <f t="shared" si="34"/>
        <v>--</v>
      </c>
      <c r="O77" s="177" t="str">
        <f t="shared" si="34"/>
        <v>--</v>
      </c>
      <c r="P77" s="177" t="str">
        <f t="shared" si="34"/>
        <v>--</v>
      </c>
      <c r="Q77" s="178" t="str">
        <f t="shared" si="34"/>
        <v>--</v>
      </c>
      <c r="R77" s="177" t="str">
        <f t="shared" si="34"/>
        <v>--</v>
      </c>
      <c r="S77" s="177" t="str">
        <f t="shared" si="34"/>
        <v>--</v>
      </c>
      <c r="T77" s="177" t="str">
        <f t="shared" si="34"/>
        <v>--</v>
      </c>
      <c r="U77" s="177" t="str">
        <f t="shared" si="34"/>
        <v>--</v>
      </c>
      <c r="V77" s="178" t="str">
        <f t="shared" si="34"/>
        <v>--</v>
      </c>
      <c r="W77" s="177">
        <f t="shared" si="34"/>
        <v>1.7532874139010612E-2</v>
      </c>
      <c r="X77" s="177">
        <f t="shared" si="34"/>
        <v>7.5851393188854477E-2</v>
      </c>
      <c r="Y77" s="177">
        <f t="shared" si="34"/>
        <v>6.9071847055195867E-2</v>
      </c>
      <c r="Z77" s="177">
        <f t="shared" si="34"/>
        <v>2.4447717231222299E-2</v>
      </c>
      <c r="AA77" s="178">
        <f t="shared" si="34"/>
        <v>2.4447717231222299E-2</v>
      </c>
      <c r="AB77" s="177">
        <f t="shared" si="34"/>
        <v>0.12615384615384606</v>
      </c>
      <c r="AC77" s="177">
        <f t="shared" si="34"/>
        <v>6.710466465537257E-2</v>
      </c>
      <c r="AD77" s="177">
        <f t="shared" si="34"/>
        <v>6.8549077464073793E-2</v>
      </c>
      <c r="AE77" s="177">
        <f t="shared" si="34"/>
        <v>4.7315123634272371E-2</v>
      </c>
      <c r="AF77" s="178">
        <f t="shared" si="34"/>
        <v>4.7315123634272371E-2</v>
      </c>
      <c r="AG77" s="177">
        <f t="shared" si="34"/>
        <v>6.2221831553355145E-4</v>
      </c>
      <c r="AH77" s="177">
        <f t="shared" si="34"/>
        <v>-6.4775375535421897E-3</v>
      </c>
      <c r="AI77" s="177">
        <f t="shared" si="34"/>
        <v>-3.5561964039632077E-4</v>
      </c>
      <c r="AJ77" s="177">
        <f t="shared" si="34"/>
        <v>1.3726095491622292E-2</v>
      </c>
      <c r="AK77" s="178">
        <f>IFERROR(AK76/AF76-1,"--")</f>
        <v>1.3726095491622292E-2</v>
      </c>
      <c r="AL77" s="177">
        <f t="shared" si="34"/>
        <v>6.208177507696222E-2</v>
      </c>
      <c r="AM77" s="177">
        <f t="shared" si="34"/>
        <v>-2.1824391855285175E-3</v>
      </c>
      <c r="AN77" s="177">
        <f t="shared" si="34"/>
        <v>7.4983894345430846E-2</v>
      </c>
      <c r="AO77" s="177">
        <f>IFERROR(AO76/AJ76-1,"--")</f>
        <v>5.2657799278299722E-2</v>
      </c>
      <c r="AP77" s="178">
        <f>IFERROR(AP76/AK76-1,"--")</f>
        <v>5.2657799278299722E-2</v>
      </c>
      <c r="AQ77" s="177">
        <f t="shared" ref="AQ77:AS77" si="35">IFERROR(AQ76/AL76-1,"--")</f>
        <v>2.7511131093407082E-2</v>
      </c>
      <c r="AR77" s="177">
        <f t="shared" si="35"/>
        <v>9.5463032790551017E-2</v>
      </c>
      <c r="AS77" s="177">
        <f t="shared" si="35"/>
        <v>2.4707187768961303E-2</v>
      </c>
      <c r="AT77" s="177">
        <f>IFERROR(AT76/AO76-1,"--")</f>
        <v>5.9990972778114715E-2</v>
      </c>
      <c r="AU77" s="178">
        <f t="shared" ref="AU77:BJ77" si="36">IFERROR(AU76/AP76-1,"--")</f>
        <v>5.9990972778114715E-2</v>
      </c>
      <c r="AV77" s="177">
        <f t="shared" si="36"/>
        <v>5.4106656015179722E-2</v>
      </c>
      <c r="AW77" s="177">
        <f t="shared" si="36"/>
        <v>4.8760372000243635E-2</v>
      </c>
      <c r="AX77" s="177">
        <f t="shared" si="36"/>
        <v>4.7730494249999866E-2</v>
      </c>
      <c r="AY77" s="177">
        <f t="shared" si="36"/>
        <v>4.8767851174999821E-2</v>
      </c>
      <c r="AZ77" s="178">
        <f t="shared" si="36"/>
        <v>4.8767851174999821E-2</v>
      </c>
      <c r="BA77" s="177">
        <f t="shared" si="36"/>
        <v>5.1332075749999762E-2</v>
      </c>
      <c r="BB77" s="177">
        <f t="shared" si="36"/>
        <v>6.2343533899999803E-2</v>
      </c>
      <c r="BC77" s="177">
        <f t="shared" si="36"/>
        <v>7.3890746224999582E-2</v>
      </c>
      <c r="BD77" s="177">
        <f t="shared" si="36"/>
        <v>8.0263985074999766E-2</v>
      </c>
      <c r="BE77" s="178">
        <f t="shared" si="36"/>
        <v>8.0263985074999766E-2</v>
      </c>
      <c r="BF77" s="177">
        <f t="shared" si="36"/>
        <v>8.1844859199499798E-2</v>
      </c>
      <c r="BG77" s="177">
        <f t="shared" si="36"/>
        <v>8.1844859199499798E-2</v>
      </c>
      <c r="BH77" s="177">
        <f t="shared" si="36"/>
        <v>8.9247512194999823E-2</v>
      </c>
      <c r="BI77" s="177">
        <f t="shared" si="36"/>
        <v>0.10209999021499994</v>
      </c>
      <c r="BJ77" s="178">
        <f t="shared" si="36"/>
        <v>0.10209999021499994</v>
      </c>
      <c r="BK77" s="177">
        <f>IFERROR(BK76/BF76-1,"--")</f>
        <v>0.11659424239999994</v>
      </c>
      <c r="BL77" s="177">
        <f>IFERROR(BL76/BG76-1,"--")</f>
        <v>0.12651462560000004</v>
      </c>
      <c r="BM77" s="177">
        <f>IFERROR(BM76/BH76-1,"--")</f>
        <v>0.13307684672000009</v>
      </c>
      <c r="BN77" s="177">
        <f>IFERROR(BN76/BI76-1,"--")</f>
        <v>0.1341779904</v>
      </c>
      <c r="BO77" s="178">
        <f>IFERROR(BO76/BJ76-1,"--")</f>
        <v>0.1341779904</v>
      </c>
    </row>
    <row r="78" spans="1:67">
      <c r="B78" s="176" t="s">
        <v>33</v>
      </c>
      <c r="C78" s="171"/>
      <c r="D78" s="171"/>
      <c r="E78" s="171"/>
      <c r="F78" s="171"/>
      <c r="G78" s="172"/>
      <c r="H78" s="171"/>
      <c r="I78" s="171"/>
      <c r="J78" s="177" t="str">
        <f>IFERROR(J76/I76-1,"--")</f>
        <v>--</v>
      </c>
      <c r="K78" s="177" t="str">
        <f>IFERROR(K76/J76-1,"--")</f>
        <v>--</v>
      </c>
      <c r="L78" s="178" t="s">
        <v>36</v>
      </c>
      <c r="M78" s="177" t="str">
        <f>IFERROR(M76/K76-1,"--")</f>
        <v>--</v>
      </c>
      <c r="N78" s="177" t="str">
        <f>IFERROR(N76/M76-1,"--")</f>
        <v>--</v>
      </c>
      <c r="O78" s="177" t="str">
        <f>IFERROR(O76/N76-1,"--")</f>
        <v>--</v>
      </c>
      <c r="P78" s="177" t="str">
        <f>IFERROR(P76/O76-1,"--")</f>
        <v>--</v>
      </c>
      <c r="Q78" s="178" t="s">
        <v>36</v>
      </c>
      <c r="R78" s="177" t="str">
        <f>IFERROR(R76/P76-1,"--")</f>
        <v>--</v>
      </c>
      <c r="S78" s="177">
        <f>IFERROR(S76/R76-1,"--")</f>
        <v>1.1271133375078346E-2</v>
      </c>
      <c r="T78" s="177">
        <f>IFERROR(T76/S76-1,"--")</f>
        <v>4.024767801857676E-3</v>
      </c>
      <c r="U78" s="177">
        <f>IFERROR(U76/T76-1,"--")</f>
        <v>4.687018193031145E-2</v>
      </c>
      <c r="V78" s="178" t="s">
        <v>36</v>
      </c>
      <c r="W78" s="177">
        <f>IFERROR(W76/U76-1,"--")</f>
        <v>-4.2709867452135453E-2</v>
      </c>
      <c r="X78" s="177">
        <f>IFERROR(X76/W76-1,"--")</f>
        <v>6.9230769230769207E-2</v>
      </c>
      <c r="Y78" s="177">
        <f>IFERROR(Y76/X76-1,"--")</f>
        <v>-2.3021582733813162E-3</v>
      </c>
      <c r="Z78" s="177">
        <f>IFERROR(Z76/Y76-1,"--")</f>
        <v>3.1727718488607781E-3</v>
      </c>
      <c r="AA78" s="178" t="s">
        <v>36</v>
      </c>
      <c r="AB78" s="177">
        <f>IFERROR(AB76/Z76-1,"--")</f>
        <v>5.232892466935013E-2</v>
      </c>
      <c r="AC78" s="177">
        <f>IFERROR(AC76/AB76-1,"--")</f>
        <v>1.3166314119513522E-2</v>
      </c>
      <c r="AD78" s="177">
        <f>IFERROR(AD76/AC76-1,"--")</f>
        <v>-9.516932351003593E-4</v>
      </c>
      <c r="AE78" s="177">
        <f>IFERROR(AE76/AD76-1,"--")</f>
        <v>-1.6762039541652007E-2</v>
      </c>
      <c r="AF78" s="178" t="s">
        <v>36</v>
      </c>
      <c r="AG78" s="177">
        <f>IFERROR(AG76/AE76-1,"--")</f>
        <v>5.4124868800731196E-3</v>
      </c>
      <c r="AH78" s="177">
        <f>IFERROR(AH76/AG76-1,"--")</f>
        <v>5.9775536129469398E-3</v>
      </c>
      <c r="AI78" s="177">
        <f>IFERROR(AI76/AH76-1,"--")</f>
        <v>5.2042739991198239E-3</v>
      </c>
      <c r="AJ78" s="177">
        <f>IFERROR(AJ76/AI76-1,"--")</f>
        <v>-2.9114371292413566E-3</v>
      </c>
      <c r="AK78" s="178" t="s">
        <v>36</v>
      </c>
      <c r="AL78" s="177">
        <f>IFERROR(AL76/AJ76-1,"--")</f>
        <v>5.33715995860502E-2</v>
      </c>
      <c r="AM78" s="177">
        <f>IFERROR(AM76/AL76-1,"--")</f>
        <v>-5.489191855547837E-2</v>
      </c>
      <c r="AN78" s="177">
        <f>IFERROR(AN76/AM76-1,"--")</f>
        <v>8.2941859826780373E-2</v>
      </c>
      <c r="AO78" s="177">
        <f>IFERROR(AO76/AN76-1,"--")</f>
        <v>-2.3619741841617192E-2</v>
      </c>
      <c r="AP78" s="178" t="s">
        <v>36</v>
      </c>
      <c r="AQ78" s="177">
        <f>IFERROR(AQ76/AO76-1,"--")</f>
        <v>2.8207879611391151E-2</v>
      </c>
      <c r="AR78" s="177">
        <f>IFERROR(AR76/AQ76-1,"--")</f>
        <v>7.6104617108587735E-3</v>
      </c>
      <c r="AS78" s="177">
        <f>IFERROR(AS76/AR76-1,"--")</f>
        <v>1.2994756083712922E-2</v>
      </c>
      <c r="AT78" s="356">
        <v>0.01</v>
      </c>
      <c r="AU78" s="178" t="s">
        <v>36</v>
      </c>
      <c r="AV78" s="356">
        <v>2.2499999999999999E-2</v>
      </c>
      <c r="AW78" s="356">
        <v>2.5000000000000001E-3</v>
      </c>
      <c r="AX78" s="356">
        <v>1.2E-2</v>
      </c>
      <c r="AY78" s="356">
        <v>1.0999999999999999E-2</v>
      </c>
      <c r="AZ78" s="232"/>
      <c r="BA78" s="356">
        <v>2.5000000000000001E-2</v>
      </c>
      <c r="BB78" s="356">
        <v>1.2999999999999999E-2</v>
      </c>
      <c r="BC78" s="356">
        <v>2.3E-2</v>
      </c>
      <c r="BD78" s="356">
        <v>1.7000000000000001E-2</v>
      </c>
      <c r="BE78" s="232"/>
      <c r="BF78" s="356">
        <v>2.6499999999999999E-2</v>
      </c>
      <c r="BG78" s="356">
        <v>1.2999999999999999E-2</v>
      </c>
      <c r="BH78" s="356">
        <v>0.03</v>
      </c>
      <c r="BI78" s="356">
        <v>2.9000000000000001E-2</v>
      </c>
      <c r="BJ78" s="232"/>
      <c r="BK78" s="356">
        <v>0.04</v>
      </c>
      <c r="BL78" s="356">
        <v>2.1999999999999999E-2</v>
      </c>
      <c r="BM78" s="356">
        <v>3.5999999999999997E-2</v>
      </c>
      <c r="BN78" s="356">
        <v>0.03</v>
      </c>
      <c r="BO78" s="232" t="s">
        <v>36</v>
      </c>
    </row>
    <row r="79" spans="1:67" s="59" customFormat="1">
      <c r="A79"/>
      <c r="B79" s="215" t="s">
        <v>178</v>
      </c>
      <c r="C79" s="216"/>
      <c r="D79" s="216"/>
      <c r="E79" s="216"/>
      <c r="F79" s="216"/>
      <c r="G79" s="217"/>
      <c r="H79" s="216"/>
      <c r="I79" s="216"/>
      <c r="J79" s="218"/>
      <c r="K79" s="218"/>
      <c r="L79" s="219"/>
      <c r="M79" s="218"/>
      <c r="N79" s="218"/>
      <c r="O79" s="218"/>
      <c r="P79" s="218"/>
      <c r="Q79" s="219"/>
      <c r="R79" s="220">
        <f>R76*R68/1000</f>
        <v>153.31200000000001</v>
      </c>
      <c r="S79" s="220">
        <f>S76*S68/1000</f>
        <v>180.88</v>
      </c>
      <c r="T79" s="220">
        <f>T76*T68/1000</f>
        <v>210.79499999999999</v>
      </c>
      <c r="U79" s="220">
        <f>U76*U68/1000</f>
        <v>261.41500000000002</v>
      </c>
      <c r="V79" s="219"/>
      <c r="W79" s="220">
        <f>W76*W68/1000</f>
        <v>338</v>
      </c>
      <c r="X79" s="220">
        <f>X76*X68/1000</f>
        <v>403.1</v>
      </c>
      <c r="Y79" s="220">
        <f>Y76*Y68/1000</f>
        <v>513.11599999999999</v>
      </c>
      <c r="Z79" s="220">
        <f>Z76*Z68/1000</f>
        <v>639.952</v>
      </c>
      <c r="AA79" s="219"/>
      <c r="AB79" s="220">
        <f>AB76*AB68/1000</f>
        <v>753.96</v>
      </c>
      <c r="AC79" s="220">
        <f>AC76*AC68/1000</f>
        <v>919.63080000000002</v>
      </c>
      <c r="AD79" s="220">
        <f>AD76*AD68/1000</f>
        <v>1063.2373199999997</v>
      </c>
      <c r="AE79" s="220">
        <f>AE76*AE68/1000</f>
        <v>1202.0454599999998</v>
      </c>
      <c r="AF79" s="219"/>
      <c r="AG79" s="220">
        <f>AG76*AG68/1000</f>
        <v>1366.02944</v>
      </c>
      <c r="AH79" s="220">
        <f>AH76*AH68/1000</f>
        <v>1477.35168</v>
      </c>
      <c r="AI79" s="220">
        <f>AI76*AI68/1000</f>
        <v>1614.6571999999999</v>
      </c>
      <c r="AJ79" s="220">
        <f>AJ76*AJ68/1000</f>
        <v>1680.1148699999999</v>
      </c>
      <c r="AK79" s="219"/>
      <c r="AL79" s="220">
        <f>AL76*AL68/1000</f>
        <v>1863.1366</v>
      </c>
      <c r="AM79" s="220">
        <f>AM76*AM68/1000</f>
        <v>1863.7970500000004</v>
      </c>
      <c r="AN79" s="220">
        <f>AN76*AN68/1000</f>
        <v>2149.7579400000004</v>
      </c>
      <c r="AO79" s="220">
        <f>AO76*AO68/1000</f>
        <v>2250.5743000000002</v>
      </c>
      <c r="AP79" s="219"/>
      <c r="AQ79" s="220">
        <f>AQ76*AQ68/1000</f>
        <v>2421.9676800000002</v>
      </c>
      <c r="AR79" s="220">
        <f>AR76*AR68/1000</f>
        <v>2633.6989800000001</v>
      </c>
      <c r="AS79" s="220">
        <f>AS76*AS68/1000</f>
        <v>2806.6226300000003</v>
      </c>
      <c r="AT79" s="220">
        <f>AT76*AT68/1000</f>
        <v>2989.4383069597393</v>
      </c>
      <c r="AU79" s="219"/>
      <c r="AV79" s="220">
        <f>AV76*AV68/1000</f>
        <v>3192.8585839344096</v>
      </c>
      <c r="AW79" s="220">
        <f>AW76*AW68/1000</f>
        <v>3385.3196913853367</v>
      </c>
      <c r="AX79" s="220">
        <f>AX76*AX68/1000</f>
        <v>3583.4665947482135</v>
      </c>
      <c r="AY79" s="220">
        <f>AY76*AY68/1000</f>
        <v>3798.7162557316019</v>
      </c>
      <c r="AZ79" s="219"/>
      <c r="BA79" s="220">
        <f>BA76*BA68/1000</f>
        <v>4040.2706986221224</v>
      </c>
      <c r="BB79" s="220">
        <f>BB76*BB68/1000</f>
        <v>4299.9095215996113</v>
      </c>
      <c r="BC79" s="220">
        <f>BC76*BC68/1000</f>
        <v>4570.2762616699865</v>
      </c>
      <c r="BD79" s="220">
        <f>BD76*BD68/1000</f>
        <v>4840.7246497112474</v>
      </c>
      <c r="BE79" s="219"/>
      <c r="BF79" s="220">
        <f>BF76*BF68/1000</f>
        <v>5116.7347136729695</v>
      </c>
      <c r="BG79" s="220">
        <f>BG76*BG68/1000</f>
        <v>5403.6835373581816</v>
      </c>
      <c r="BH79" s="220">
        <f>BH76*BH68/1000</f>
        <v>5737.9494212449563</v>
      </c>
      <c r="BI79" s="220">
        <f>BI76*BI68/1000</f>
        <v>6101.1916511567542</v>
      </c>
      <c r="BJ79" s="219"/>
      <c r="BK79" s="220">
        <f>BK76*BK68/1000</f>
        <v>6482.4664677308047</v>
      </c>
      <c r="BL79" s="220">
        <f>BL76*BL68/1000</f>
        <v>6852.0435479867056</v>
      </c>
      <c r="BM79" s="220">
        <f>BM76*BM68/1000</f>
        <v>7259.7734438199859</v>
      </c>
      <c r="BN79" s="220">
        <f>BN76*BN68/1000</f>
        <v>7664.5783665983017</v>
      </c>
      <c r="BO79" s="219"/>
    </row>
    <row r="80" spans="1:67">
      <c r="B80" s="180" t="s">
        <v>171</v>
      </c>
      <c r="C80" s="171"/>
      <c r="D80" s="171"/>
      <c r="E80" s="171"/>
      <c r="F80" s="171"/>
      <c r="G80" s="172"/>
      <c r="H80" s="171"/>
      <c r="I80" s="171"/>
      <c r="J80" s="177"/>
      <c r="K80" s="177"/>
      <c r="L80" s="178"/>
      <c r="M80" s="177"/>
      <c r="N80" s="177"/>
      <c r="O80" s="177"/>
      <c r="P80" s="177"/>
      <c r="Q80" s="178"/>
      <c r="R80" s="177">
        <f>R79/SUM(R15,N15:P15)</f>
        <v>0.49252120277563616</v>
      </c>
      <c r="S80" s="177">
        <f>S79/SUM(R15:S15,O15:P15)</f>
        <v>0.47766176012337658</v>
      </c>
      <c r="T80" s="177">
        <f>T79/SUM(R15:T15,P15)</f>
        <v>0.46031340487140177</v>
      </c>
      <c r="U80" s="177">
        <f>U79/SUM(R15:U15)</f>
        <v>0.4720437563426112</v>
      </c>
      <c r="V80" s="178">
        <f>U80</f>
        <v>0.4720437563426112</v>
      </c>
      <c r="W80" s="177">
        <f>W79/SUM(W15,S15:U15)</f>
        <v>0.50765462063330669</v>
      </c>
      <c r="X80" s="177">
        <f>X79/SUM(W15:X15,T15:U15)</f>
        <v>0.50690757456483415</v>
      </c>
      <c r="Y80" s="177">
        <f>Y79/SUM(W15:Y15,U15)</f>
        <v>0.53494217571119229</v>
      </c>
      <c r="Z80" s="177">
        <f>Z79/SUM(W15:Z15)</f>
        <v>0.56113055243062282</v>
      </c>
      <c r="AA80" s="178">
        <f>Z80</f>
        <v>0.56113055243062282</v>
      </c>
      <c r="AB80" s="177">
        <f>AB79/SUM(AB15,X15:Z15)</f>
        <v>0.57071789371215664</v>
      </c>
      <c r="AC80" s="179">
        <v>0.6</v>
      </c>
      <c r="AD80" s="179">
        <v>0.61</v>
      </c>
      <c r="AE80" s="179">
        <v>0.62</v>
      </c>
      <c r="AF80" s="178">
        <f>AE80</f>
        <v>0.62</v>
      </c>
      <c r="AG80" s="179">
        <v>0.64</v>
      </c>
      <c r="AH80" s="179">
        <v>0.64</v>
      </c>
      <c r="AI80" s="179">
        <v>0.65</v>
      </c>
      <c r="AJ80" s="179">
        <v>0.63</v>
      </c>
      <c r="AK80" s="178">
        <f>AJ80</f>
        <v>0.63</v>
      </c>
      <c r="AL80" s="179">
        <v>0.65</v>
      </c>
      <c r="AM80" s="179">
        <v>0.61</v>
      </c>
      <c r="AN80" s="179">
        <v>0.66</v>
      </c>
      <c r="AO80" s="179">
        <v>0.65</v>
      </c>
      <c r="AP80" s="178">
        <f>AO80</f>
        <v>0.65</v>
      </c>
      <c r="AQ80" s="179">
        <v>0.66</v>
      </c>
      <c r="AR80" s="179">
        <v>0.67</v>
      </c>
      <c r="AS80" s="179">
        <f>+AR80</f>
        <v>0.67</v>
      </c>
      <c r="AT80" s="177">
        <f>AT79/SUM(AQ15:AT15)</f>
        <v>0.67261490779470323</v>
      </c>
      <c r="AU80" s="178">
        <f>AT80</f>
        <v>0.67261490779470323</v>
      </c>
      <c r="AV80" s="177">
        <f>AV79/SUM(AV15,AR15:AT15)</f>
        <v>0.67798592075323316</v>
      </c>
      <c r="AW80" s="177">
        <f>AW79/SUM(AV15:AW15,AS15:AT15)</f>
        <v>0.68087119187636891</v>
      </c>
      <c r="AX80" s="177">
        <f>AX79/SUM(AV15:AX15,AT15)</f>
        <v>0.68203440224689005</v>
      </c>
      <c r="AY80" s="177">
        <f>AY79/SUM(AV15:AY15)</f>
        <v>0.68472965789044216</v>
      </c>
      <c r="AZ80" s="178">
        <f>AY80</f>
        <v>0.68472965789044216</v>
      </c>
      <c r="BA80" s="177">
        <f>BA79/SUM(BA15,AW15:AY15)</f>
        <v>0.68978065783068121</v>
      </c>
      <c r="BB80" s="177">
        <f>BB79/SUM(BA15:BB15,AX15:AY15)</f>
        <v>0.69408550672588232</v>
      </c>
      <c r="BC80" s="177">
        <f>BC79/SUM(BA15:BC15,AY15)</f>
        <v>0.69676784055489627</v>
      </c>
      <c r="BD80" s="177">
        <f>BD79/SUM(BA15:BD15)</f>
        <v>0.69989269006680221</v>
      </c>
      <c r="BE80" s="178">
        <f>BD80</f>
        <v>0.69989269006680221</v>
      </c>
      <c r="BF80" s="177">
        <f>BF79/SUM(BF15,BB15:BD15)</f>
        <v>0.7031978536862401</v>
      </c>
      <c r="BG80" s="177">
        <f>BG79/SUM(BF15:BG15,BC15:BD15)</f>
        <v>0.70548252422254409</v>
      </c>
      <c r="BH80" s="177">
        <f>BH79/SUM(BF15:BH15,BD15)</f>
        <v>0.70759965928615087</v>
      </c>
      <c r="BI80" s="177">
        <f>BI79/SUM(BF15:BI15)</f>
        <v>0.71115433796464123</v>
      </c>
      <c r="BJ80" s="178">
        <f>BI80</f>
        <v>0.71115433796464123</v>
      </c>
      <c r="BK80" s="177">
        <f>BK79/SUM(BK15,BG15:BI15)</f>
        <v>0.71574695168041569</v>
      </c>
      <c r="BL80" s="177">
        <f>BL79/SUM(BK15:BL15,BH15:BI15)</f>
        <v>0.71846110909129679</v>
      </c>
      <c r="BM80" s="177">
        <f>BM79/SUM(BK15:BM15,BI15)</f>
        <v>0.72038485789730655</v>
      </c>
      <c r="BN80" s="177">
        <f>BN79/SUM(BK15:BN15)</f>
        <v>0.72290714491648889</v>
      </c>
      <c r="BO80" s="178">
        <f>BN80</f>
        <v>0.72290714491648889</v>
      </c>
    </row>
    <row r="81" spans="1:67">
      <c r="B81" s="154"/>
      <c r="G81" s="224"/>
      <c r="L81" s="224"/>
      <c r="Q81" s="224"/>
      <c r="V81" s="224"/>
      <c r="AA81" s="224"/>
      <c r="AF81" s="224"/>
      <c r="AK81" s="224"/>
      <c r="AL81" s="357"/>
      <c r="AO81" s="360"/>
      <c r="AP81" s="167"/>
      <c r="AQ81" s="357"/>
      <c r="AS81" s="359"/>
      <c r="AT81" s="360"/>
      <c r="AU81" s="167"/>
      <c r="AV81" s="357"/>
      <c r="AW81" s="358"/>
      <c r="AX81" s="359"/>
      <c r="AY81" s="360"/>
      <c r="AZ81" s="167"/>
      <c r="BA81" s="357"/>
      <c r="BB81" s="358"/>
      <c r="BC81" s="359"/>
      <c r="BD81" s="360"/>
      <c r="BE81" s="167"/>
      <c r="BF81" s="357"/>
      <c r="BG81" s="358"/>
      <c r="BH81" s="359"/>
      <c r="BI81" s="360"/>
      <c r="BJ81" s="167"/>
      <c r="BK81" s="357"/>
      <c r="BL81" s="358"/>
      <c r="BM81" s="359"/>
      <c r="BN81" s="360"/>
      <c r="BO81" s="167"/>
    </row>
    <row r="82" spans="1:67" s="2" customFormat="1">
      <c r="A82" s="128" t="s">
        <v>93</v>
      </c>
      <c r="B82" s="258" t="s">
        <v>176</v>
      </c>
      <c r="C82" s="259"/>
      <c r="D82" s="259"/>
      <c r="E82" s="259"/>
      <c r="F82" s="259"/>
      <c r="G82" s="258"/>
      <c r="H82" s="259"/>
      <c r="I82" s="259"/>
      <c r="J82" s="259">
        <f t="shared" ref="J82:AE82" si="37">J55-J68</f>
        <v>688</v>
      </c>
      <c r="K82" s="259">
        <f t="shared" si="37"/>
        <v>934</v>
      </c>
      <c r="L82" s="249">
        <f t="shared" si="37"/>
        <v>934</v>
      </c>
      <c r="M82" s="248">
        <f t="shared" si="37"/>
        <v>1178</v>
      </c>
      <c r="N82" s="248">
        <f t="shared" si="37"/>
        <v>1525</v>
      </c>
      <c r="O82" s="248">
        <f t="shared" si="37"/>
        <v>1903</v>
      </c>
      <c r="P82" s="248">
        <f t="shared" si="37"/>
        <v>2351</v>
      </c>
      <c r="Q82" s="249">
        <f t="shared" si="37"/>
        <v>2351</v>
      </c>
      <c r="R82" s="248">
        <f t="shared" si="37"/>
        <v>2672</v>
      </c>
      <c r="S82" s="248">
        <f t="shared" si="37"/>
        <v>3061</v>
      </c>
      <c r="T82" s="248">
        <f t="shared" si="37"/>
        <v>3489</v>
      </c>
      <c r="U82" s="248">
        <f t="shared" si="37"/>
        <v>4062</v>
      </c>
      <c r="V82" s="249">
        <f t="shared" si="37"/>
        <v>4062</v>
      </c>
      <c r="W82" s="248">
        <f t="shared" si="37"/>
        <v>4428</v>
      </c>
      <c r="X82" s="248">
        <f t="shared" si="37"/>
        <v>4874</v>
      </c>
      <c r="Y82" s="248">
        <f t="shared" si="37"/>
        <v>5268</v>
      </c>
      <c r="Z82" s="248">
        <f t="shared" si="37"/>
        <v>5760</v>
      </c>
      <c r="AA82" s="249">
        <f t="shared" si="37"/>
        <v>5760</v>
      </c>
      <c r="AB82" s="248">
        <f t="shared" si="37"/>
        <v>6116</v>
      </c>
      <c r="AC82" s="248">
        <f t="shared" si="37"/>
        <v>6575</v>
      </c>
      <c r="AD82" s="248">
        <f t="shared" si="37"/>
        <v>6925</v>
      </c>
      <c r="AE82" s="248">
        <f t="shared" si="37"/>
        <v>7446</v>
      </c>
      <c r="AF82" s="249">
        <f>AE82</f>
        <v>7446</v>
      </c>
      <c r="AG82" s="248">
        <f>AG55-AG68</f>
        <v>7714</v>
      </c>
      <c r="AH82" s="248">
        <f>AH55-AH68</f>
        <v>8086</v>
      </c>
      <c r="AI82" s="248">
        <f>AI55-AI68</f>
        <v>8449</v>
      </c>
      <c r="AJ82" s="248">
        <f>AJ55-AJ68</f>
        <v>8929</v>
      </c>
      <c r="AK82" s="249">
        <f>AJ82</f>
        <v>8929</v>
      </c>
      <c r="AL82" s="248">
        <f>AL55-AL68</f>
        <v>9262</v>
      </c>
      <c r="AM82" s="248">
        <f>AM55-AM68</f>
        <v>9640</v>
      </c>
      <c r="AN82" s="248">
        <f>AN55-AN68</f>
        <v>9950</v>
      </c>
      <c r="AO82" s="248">
        <f>AO55-AO68</f>
        <v>10444</v>
      </c>
      <c r="AP82" s="249">
        <f>AO82</f>
        <v>10444</v>
      </c>
      <c r="AQ82" s="248">
        <f>AQ55-AQ68</f>
        <v>10867</v>
      </c>
      <c r="AR82" s="248">
        <f>AR55-AR68</f>
        <v>11352</v>
      </c>
      <c r="AS82" s="248">
        <f>AS55-AS68</f>
        <v>11933</v>
      </c>
      <c r="AT82" s="248">
        <f>AO82*(1+AT84)</f>
        <v>12473.232462311556</v>
      </c>
      <c r="AU82" s="249">
        <f>AT82</f>
        <v>12473.232462311556</v>
      </c>
      <c r="AV82" s="248">
        <f>AQ82*(1+AV84)</f>
        <v>12934.951874371856</v>
      </c>
      <c r="AW82" s="248">
        <f>AR82*(1+AW84)</f>
        <v>13466.837668341706</v>
      </c>
      <c r="AX82" s="248">
        <f>AS82*(1+AX84)</f>
        <v>14108.343924623114</v>
      </c>
      <c r="AY82" s="248">
        <f>AT82*(1+AY84)</f>
        <v>14697.165934649625</v>
      </c>
      <c r="AZ82" s="249">
        <f>AY82</f>
        <v>14697.165934649625</v>
      </c>
      <c r="BA82" s="248">
        <f>AV82*(1+BA84)</f>
        <v>15192.702224212748</v>
      </c>
      <c r="BB82" s="248">
        <f>AW82*(1+BB84)</f>
        <v>15766.926171308702</v>
      </c>
      <c r="BC82" s="248">
        <f>AX82*(1+BC84)</f>
        <v>16465.093149890963</v>
      </c>
      <c r="BD82" s="248">
        <f>AY82*(1+BD84)</f>
        <v>17097.161433204266</v>
      </c>
      <c r="BE82" s="249">
        <f>BD82</f>
        <v>17097.161433204266</v>
      </c>
      <c r="BF82" s="248">
        <f>BA82*(1+BF84)</f>
        <v>17612.846246863723</v>
      </c>
      <c r="BG82" s="248">
        <f>BB82*(1+BG84)</f>
        <v>18215.474344163595</v>
      </c>
      <c r="BH82" s="248">
        <f>BC82*(1+BH84)</f>
        <v>18956.203826056375</v>
      </c>
      <c r="BI82" s="248">
        <f>BD82*(1+BI84)</f>
        <v>19615.51317154639</v>
      </c>
      <c r="BJ82" s="249">
        <f>BI82</f>
        <v>19615.51317154639</v>
      </c>
      <c r="BK82" s="248">
        <f>BF82*(1+BK84)</f>
        <v>20136.70515930375</v>
      </c>
      <c r="BL82" s="248">
        <f>BG82*(1+BL84)</f>
        <v>20752.825845772713</v>
      </c>
      <c r="BM82" s="248">
        <f>BH82*(1+BM84)</f>
        <v>21520.91152360784</v>
      </c>
      <c r="BN82" s="248">
        <f>BI82*(1+BN84)</f>
        <v>22171.345538506317</v>
      </c>
      <c r="BO82" s="249">
        <f>BN82</f>
        <v>22171.345538506317</v>
      </c>
    </row>
    <row r="83" spans="1:67">
      <c r="A83" s="108" t="s">
        <v>106</v>
      </c>
      <c r="B83" s="181" t="s">
        <v>88</v>
      </c>
      <c r="C83" s="182"/>
      <c r="D83" s="182"/>
      <c r="E83" s="182"/>
      <c r="F83" s="182"/>
      <c r="G83" s="183"/>
      <c r="H83" s="182"/>
      <c r="I83" s="182"/>
      <c r="J83" s="182"/>
      <c r="K83" s="184">
        <f>K82-J82</f>
        <v>246</v>
      </c>
      <c r="L83" s="185"/>
      <c r="M83" s="184">
        <f>M82-K82</f>
        <v>244</v>
      </c>
      <c r="N83" s="184">
        <f>N82-M82</f>
        <v>347</v>
      </c>
      <c r="O83" s="184">
        <f>O82-N82</f>
        <v>378</v>
      </c>
      <c r="P83" s="184">
        <f>P82-O82</f>
        <v>448</v>
      </c>
      <c r="Q83" s="186">
        <f>Q82-L82</f>
        <v>1417</v>
      </c>
      <c r="R83" s="184">
        <f>R82-P82</f>
        <v>321</v>
      </c>
      <c r="S83" s="184">
        <f>S82-R82</f>
        <v>389</v>
      </c>
      <c r="T83" s="184">
        <f>T82-S82</f>
        <v>428</v>
      </c>
      <c r="U83" s="184">
        <f>U82-T82</f>
        <v>573</v>
      </c>
      <c r="V83" s="186">
        <f>V82-Q82</f>
        <v>1711</v>
      </c>
      <c r="W83" s="184">
        <f>W82-U82</f>
        <v>366</v>
      </c>
      <c r="X83" s="184">
        <f>X82-W82</f>
        <v>446</v>
      </c>
      <c r="Y83" s="184">
        <f>Y82-X82</f>
        <v>394</v>
      </c>
      <c r="Z83" s="184">
        <f>Z82-Y82</f>
        <v>492</v>
      </c>
      <c r="AA83" s="186">
        <f>AA82-V82</f>
        <v>1698</v>
      </c>
      <c r="AB83" s="184">
        <f>AB82-Z82</f>
        <v>356</v>
      </c>
      <c r="AC83" s="184">
        <f>AC82-AB82</f>
        <v>459</v>
      </c>
      <c r="AD83" s="184">
        <f>AD82-AC82</f>
        <v>350</v>
      </c>
      <c r="AE83" s="184">
        <f>AE82-AD82</f>
        <v>521</v>
      </c>
      <c r="AF83" s="186">
        <f>AF82-AA82</f>
        <v>1686</v>
      </c>
      <c r="AG83" s="184">
        <f>AG82-AE82</f>
        <v>268</v>
      </c>
      <c r="AH83" s="184">
        <f>AH82-AG82</f>
        <v>372</v>
      </c>
      <c r="AI83" s="184">
        <f>AI82-AH82</f>
        <v>363</v>
      </c>
      <c r="AJ83" s="184">
        <f>AJ82-AI82</f>
        <v>480</v>
      </c>
      <c r="AK83" s="186">
        <f>AK82-AF82</f>
        <v>1483</v>
      </c>
      <c r="AL83" s="184">
        <f>AL82-AJ82</f>
        <v>333</v>
      </c>
      <c r="AM83" s="184">
        <f>AM82-AL82</f>
        <v>378</v>
      </c>
      <c r="AN83" s="184">
        <f>AN82-AM82</f>
        <v>310</v>
      </c>
      <c r="AO83" s="184">
        <f>AO82-AN82</f>
        <v>494</v>
      </c>
      <c r="AP83" s="186">
        <f>AP82-AK82</f>
        <v>1515</v>
      </c>
      <c r="AQ83" s="184">
        <f>AQ82-AO82</f>
        <v>423</v>
      </c>
      <c r="AR83" s="184">
        <f>AR82-AQ82</f>
        <v>485</v>
      </c>
      <c r="AS83" s="184">
        <f>AS82-AR82</f>
        <v>581</v>
      </c>
      <c r="AT83" s="184">
        <f>AT82-AS82</f>
        <v>540.23246231155645</v>
      </c>
      <c r="AU83" s="186">
        <f>AU82-AP82</f>
        <v>2029.2324623115564</v>
      </c>
      <c r="AV83" s="184">
        <f>AV82-AU82</f>
        <v>461.71941206029987</v>
      </c>
      <c r="AW83" s="184">
        <f>AW82-AV82</f>
        <v>531.88579396985006</v>
      </c>
      <c r="AX83" s="184">
        <f>AX82-AW82</f>
        <v>641.50625628140733</v>
      </c>
      <c r="AY83" s="184">
        <f>AY82-AX82</f>
        <v>588.82201002651163</v>
      </c>
      <c r="AZ83" s="186">
        <f>AZ82-AU82</f>
        <v>2223.9334723380689</v>
      </c>
      <c r="BA83" s="184">
        <f>BA82-AZ82</f>
        <v>495.53628956312241</v>
      </c>
      <c r="BB83" s="184">
        <f>BB82-BA82</f>
        <v>574.22394709595392</v>
      </c>
      <c r="BC83" s="184">
        <f>BC82-BB82</f>
        <v>698.16697858226144</v>
      </c>
      <c r="BD83" s="184">
        <f>BD82-BC82</f>
        <v>632.06828331330325</v>
      </c>
      <c r="BE83" s="186">
        <f>BE82-AZ82</f>
        <v>2399.995498554641</v>
      </c>
      <c r="BF83" s="184">
        <f>BF82-BE82</f>
        <v>515.68481365945627</v>
      </c>
      <c r="BG83" s="184">
        <f>BG82-BF82</f>
        <v>602.62809729987202</v>
      </c>
      <c r="BH83" s="184">
        <f>BH82-BG82</f>
        <v>740.72948189278031</v>
      </c>
      <c r="BI83" s="184">
        <f>BI82-BH82</f>
        <v>659.3093454900154</v>
      </c>
      <c r="BJ83" s="186">
        <f>BJ82-BE82</f>
        <v>2518.351738342124</v>
      </c>
      <c r="BK83" s="184">
        <f>BK82-BJ82</f>
        <v>521.19198775736004</v>
      </c>
      <c r="BL83" s="184">
        <f>BL82-BK82</f>
        <v>616.12068646896296</v>
      </c>
      <c r="BM83" s="184">
        <f>BM82-BL82</f>
        <v>768.08567783512626</v>
      </c>
      <c r="BN83" s="184">
        <f>BN82-BM82</f>
        <v>650.43401489847747</v>
      </c>
      <c r="BO83" s="186">
        <f>BO82-BJ82</f>
        <v>2555.8323669599267</v>
      </c>
    </row>
    <row r="84" spans="1:67">
      <c r="A84" s="108" t="s">
        <v>104</v>
      </c>
      <c r="B84" s="187" t="s">
        <v>32</v>
      </c>
      <c r="C84" s="182"/>
      <c r="D84" s="182"/>
      <c r="E84" s="182"/>
      <c r="F84" s="182"/>
      <c r="G84" s="183"/>
      <c r="H84" s="182"/>
      <c r="I84" s="182"/>
      <c r="J84" s="188" t="str">
        <f t="shared" ref="J84:AN84" si="38">IFERROR(J82/E82-1,"--")</f>
        <v>--</v>
      </c>
      <c r="K84" s="188" t="str">
        <f t="shared" si="38"/>
        <v>--</v>
      </c>
      <c r="L84" s="189" t="str">
        <f t="shared" si="38"/>
        <v>--</v>
      </c>
      <c r="M84" s="188" t="str">
        <f t="shared" si="38"/>
        <v>--</v>
      </c>
      <c r="N84" s="188" t="str">
        <f t="shared" si="38"/>
        <v>--</v>
      </c>
      <c r="O84" s="188">
        <f t="shared" si="38"/>
        <v>1.7659883720930232</v>
      </c>
      <c r="P84" s="188">
        <f t="shared" si="38"/>
        <v>1.5171306209850108</v>
      </c>
      <c r="Q84" s="189">
        <f t="shared" si="38"/>
        <v>1.5171306209850108</v>
      </c>
      <c r="R84" s="188">
        <f t="shared" si="38"/>
        <v>1.268251273344652</v>
      </c>
      <c r="S84" s="188">
        <f t="shared" si="38"/>
        <v>1.0072131147540984</v>
      </c>
      <c r="T84" s="188">
        <f t="shared" si="38"/>
        <v>0.83342091434576981</v>
      </c>
      <c r="U84" s="188">
        <f t="shared" si="38"/>
        <v>0.72777541471714158</v>
      </c>
      <c r="V84" s="189">
        <f t="shared" si="38"/>
        <v>0.72777541471714158</v>
      </c>
      <c r="W84" s="188">
        <f t="shared" si="38"/>
        <v>0.65718562874251507</v>
      </c>
      <c r="X84" s="188">
        <f t="shared" si="38"/>
        <v>0.59229010127409354</v>
      </c>
      <c r="Y84" s="188">
        <f t="shared" si="38"/>
        <v>0.50988822012037827</v>
      </c>
      <c r="Z84" s="188">
        <f t="shared" si="38"/>
        <v>0.41802067946824217</v>
      </c>
      <c r="AA84" s="189">
        <f t="shared" si="38"/>
        <v>0.41802067946824217</v>
      </c>
      <c r="AB84" s="188">
        <f t="shared" si="38"/>
        <v>0.38121047877145431</v>
      </c>
      <c r="AC84" s="188">
        <f t="shared" si="38"/>
        <v>0.3489946655724252</v>
      </c>
      <c r="AD84" s="188">
        <f t="shared" si="38"/>
        <v>0.31454062262718296</v>
      </c>
      <c r="AE84" s="188">
        <f t="shared" si="38"/>
        <v>0.29270833333333335</v>
      </c>
      <c r="AF84" s="189">
        <f t="shared" si="38"/>
        <v>0.29270833333333335</v>
      </c>
      <c r="AG84" s="188">
        <f t="shared" si="38"/>
        <v>0.26128188358404181</v>
      </c>
      <c r="AH84" s="188">
        <f t="shared" si="38"/>
        <v>0.22980988593155893</v>
      </c>
      <c r="AI84" s="188">
        <f t="shared" si="38"/>
        <v>0.22007220216606505</v>
      </c>
      <c r="AJ84" s="188">
        <f t="shared" si="38"/>
        <v>0.19916733816814403</v>
      </c>
      <c r="AK84" s="189">
        <f t="shared" si="38"/>
        <v>0.19916733816814403</v>
      </c>
      <c r="AL84" s="188">
        <f t="shared" si="38"/>
        <v>0.20067409904070521</v>
      </c>
      <c r="AM84" s="188">
        <f t="shared" si="38"/>
        <v>0.19218402176601534</v>
      </c>
      <c r="AN84" s="188">
        <f t="shared" si="38"/>
        <v>0.17765416025565162</v>
      </c>
      <c r="AO84" s="188">
        <f>IFERROR(AO82/AJ82-1,"--")</f>
        <v>0.16967185575092403</v>
      </c>
      <c r="AP84" s="189">
        <f>IFERROR(AP82/AK82-1,"--")</f>
        <v>0.16967185575092403</v>
      </c>
      <c r="AQ84" s="188">
        <f t="shared" ref="AQ84:AS84" si="39">IFERROR(AQ82/AL82-1,"--")</f>
        <v>0.17328870654286321</v>
      </c>
      <c r="AR84" s="188">
        <f t="shared" si="39"/>
        <v>0.17759336099585066</v>
      </c>
      <c r="AS84" s="188">
        <f t="shared" si="39"/>
        <v>0.19929648241206022</v>
      </c>
      <c r="AT84" s="279">
        <f>AS84+AT87</f>
        <v>0.19429648241206021</v>
      </c>
      <c r="AU84" s="1175">
        <f>IFERROR(AU82/AP82-1,"--")</f>
        <v>0.1942964824120601</v>
      </c>
      <c r="AV84" s="279">
        <f>AT84+AV87</f>
        <v>0.19029648241206021</v>
      </c>
      <c r="AW84" s="279">
        <f>AV84+AW87</f>
        <v>0.1862964824120602</v>
      </c>
      <c r="AX84" s="279">
        <f>AW84+AX87</f>
        <v>0.1822964824120602</v>
      </c>
      <c r="AY84" s="279">
        <f>AX84+AY87</f>
        <v>0.1782964824120602</v>
      </c>
      <c r="AZ84" s="1175">
        <f>IFERROR(AZ82/AU82-1,"--")</f>
        <v>0.17829648241206009</v>
      </c>
      <c r="BA84" s="279">
        <f>AY84+BA87</f>
        <v>0.17454648241206019</v>
      </c>
      <c r="BB84" s="279">
        <f>BA84+BB87</f>
        <v>0.17079648241206019</v>
      </c>
      <c r="BC84" s="279">
        <f>BB84+BC87</f>
        <v>0.16704648241206019</v>
      </c>
      <c r="BD84" s="279">
        <f>BC84+BD87</f>
        <v>0.16329648241206018</v>
      </c>
      <c r="BE84" s="1175">
        <f>IFERROR(BE82/AZ82-1,"--")</f>
        <v>0.16329648241206018</v>
      </c>
      <c r="BF84" s="279">
        <f>BD84+BF87</f>
        <v>0.15929648241206018</v>
      </c>
      <c r="BG84" s="279">
        <f>BF84+BG87</f>
        <v>0.15529648241206018</v>
      </c>
      <c r="BH84" s="279">
        <f>BG84+BH87</f>
        <v>0.15129648241206017</v>
      </c>
      <c r="BI84" s="279">
        <f>BH84+BI87</f>
        <v>0.14729648241206017</v>
      </c>
      <c r="BJ84" s="1175">
        <f>IFERROR(BJ82/BE82-1,"--")</f>
        <v>0.14729648241206017</v>
      </c>
      <c r="BK84" s="279">
        <f>BI84+BK87</f>
        <v>0.14329648241206017</v>
      </c>
      <c r="BL84" s="279">
        <f>BK84+BL87</f>
        <v>0.13929648241206016</v>
      </c>
      <c r="BM84" s="279">
        <f>BL84+BM87</f>
        <v>0.13529648241206016</v>
      </c>
      <c r="BN84" s="279">
        <f>BM84+BN87</f>
        <v>0.13029648241206016</v>
      </c>
      <c r="BO84" s="1175">
        <f>IFERROR(BO82/BJ82-1,"--")</f>
        <v>0.13029648241206004</v>
      </c>
    </row>
    <row r="85" spans="1:67">
      <c r="A85" s="108" t="s">
        <v>105</v>
      </c>
      <c r="B85" s="187" t="s">
        <v>33</v>
      </c>
      <c r="C85" s="182"/>
      <c r="D85" s="182"/>
      <c r="E85" s="182"/>
      <c r="F85" s="182"/>
      <c r="G85" s="183"/>
      <c r="H85" s="182"/>
      <c r="I85" s="182"/>
      <c r="J85" s="188" t="str">
        <f>IFERROR(J82/I82-1,"--")</f>
        <v>--</v>
      </c>
      <c r="K85" s="188">
        <f>IFERROR(K82/J82-1,"--")</f>
        <v>0.35755813953488369</v>
      </c>
      <c r="L85" s="189" t="s">
        <v>36</v>
      </c>
      <c r="M85" s="188">
        <f>IFERROR(M82/K82-1,"--")</f>
        <v>0.26124197002141325</v>
      </c>
      <c r="N85" s="188">
        <f>IFERROR(N82/M82-1,"--")</f>
        <v>0.29456706281833611</v>
      </c>
      <c r="O85" s="188">
        <f>IFERROR(O82/N82-1,"--")</f>
        <v>0.24786885245901646</v>
      </c>
      <c r="P85" s="188">
        <f>IFERROR(P82/O82-1,"--")</f>
        <v>0.23541776142932203</v>
      </c>
      <c r="Q85" s="189" t="s">
        <v>36</v>
      </c>
      <c r="R85" s="188">
        <f>IFERROR(R82/P82-1,"--")</f>
        <v>0.13653764355593356</v>
      </c>
      <c r="S85" s="188">
        <f>IFERROR(S82/R82-1,"--")</f>
        <v>0.14558383233532934</v>
      </c>
      <c r="T85" s="188">
        <f>IFERROR(T82/S82-1,"--")</f>
        <v>0.13982358706305131</v>
      </c>
      <c r="U85" s="188">
        <f>IFERROR(U82/T82-1,"--")</f>
        <v>0.16423043852106622</v>
      </c>
      <c r="V85" s="189" t="s">
        <v>36</v>
      </c>
      <c r="W85" s="188">
        <f>IFERROR(W82/U82-1,"--")</f>
        <v>9.0103397341211311E-2</v>
      </c>
      <c r="X85" s="188">
        <f>IFERROR(X82/W82-1,"--")</f>
        <v>0.1007226738934055</v>
      </c>
      <c r="Y85" s="188">
        <f>IFERROR(Y82/X82-1,"--")</f>
        <v>8.0837094788674513E-2</v>
      </c>
      <c r="Z85" s="188">
        <f>IFERROR(Z82/Y82-1,"--")</f>
        <v>9.339407744874717E-2</v>
      </c>
      <c r="AA85" s="189" t="s">
        <v>36</v>
      </c>
      <c r="AB85" s="188">
        <f>IFERROR(AB82/Z82-1,"--")</f>
        <v>6.1805555555555447E-2</v>
      </c>
      <c r="AC85" s="188">
        <f>IFERROR(AC82/AB82-1,"--")</f>
        <v>7.5049051667756661E-2</v>
      </c>
      <c r="AD85" s="188">
        <f>IFERROR(AD82/AC82-1,"--")</f>
        <v>5.323193916349811E-2</v>
      </c>
      <c r="AE85" s="188">
        <f>IFERROR(AE82/AD82-1,"--")</f>
        <v>7.5234657039711106E-2</v>
      </c>
      <c r="AF85" s="189" t="s">
        <v>36</v>
      </c>
      <c r="AG85" s="188">
        <f>IFERROR(AG82/AE82-1,"--")</f>
        <v>3.5992479183454273E-2</v>
      </c>
      <c r="AH85" s="188">
        <f>IFERROR(AH82/AG82-1,"--")</f>
        <v>4.8224008296603671E-2</v>
      </c>
      <c r="AI85" s="188">
        <f>IFERROR(AI82/AH82-1,"--")</f>
        <v>4.4892406628741055E-2</v>
      </c>
      <c r="AJ85" s="188">
        <f>IFERROR(AJ82/AI82-1,"--")</f>
        <v>5.6811456977157171E-2</v>
      </c>
      <c r="AK85" s="189" t="s">
        <v>36</v>
      </c>
      <c r="AL85" s="188">
        <f>IFERROR(AL82/AJ82-1,"--")</f>
        <v>3.7294209877925866E-2</v>
      </c>
      <c r="AM85" s="188">
        <f>IFERROR(AM82/AL82-1,"--")</f>
        <v>4.0811919671777108E-2</v>
      </c>
      <c r="AN85" s="188">
        <f>IFERROR(AN82/AM82-1,"--")</f>
        <v>3.2157676348547826E-2</v>
      </c>
      <c r="AO85" s="188">
        <f>IFERROR(AO82/AN82-1,"--")</f>
        <v>4.9648241206030175E-2</v>
      </c>
      <c r="AP85" s="189" t="s">
        <v>36</v>
      </c>
      <c r="AQ85" s="188">
        <f>IFERROR(AQ82/AO82-1,"--")</f>
        <v>4.0501723477594842E-2</v>
      </c>
      <c r="AR85" s="188">
        <f>IFERROR(AR82/AQ82-1,"--")</f>
        <v>4.463053280574214E-2</v>
      </c>
      <c r="AS85" s="188">
        <f>IFERROR(AS82/AR82-1,"--")</f>
        <v>5.1180408738548344E-2</v>
      </c>
      <c r="AT85" s="188">
        <f>IFERROR(AT82/AS82-1,"--")</f>
        <v>4.5272141314971703E-2</v>
      </c>
      <c r="AU85" s="189" t="s">
        <v>36</v>
      </c>
      <c r="AV85" s="188">
        <f>IFERROR(AV82/AU82-1,"--")</f>
        <v>3.7016820896700775E-2</v>
      </c>
      <c r="AW85" s="188">
        <f>IFERROR(AW82/AV82-1,"--")</f>
        <v>4.1120044290514857E-2</v>
      </c>
      <c r="AX85" s="188">
        <f>IFERROR(AX82/AW82-1,"--")</f>
        <v>4.7635998300438631E-2</v>
      </c>
      <c r="AY85" s="188">
        <f>IFERROR(AY82/AX82-1,"--")</f>
        <v>4.1735728386862458E-2</v>
      </c>
      <c r="AZ85" s="189" t="s">
        <v>36</v>
      </c>
      <c r="BA85" s="188">
        <f>IFERROR(BA82/AZ82-1,"--")</f>
        <v>3.3716451985811746E-2</v>
      </c>
      <c r="BB85" s="188">
        <f>IFERROR(BB82/BA82-1,"--")</f>
        <v>3.7796037770082114E-2</v>
      </c>
      <c r="BC85" s="188">
        <f>IFERROR(BC82/BB82-1,"--")</f>
        <v>4.4280474900220357E-2</v>
      </c>
      <c r="BD85" s="188">
        <f>IFERROR(BD82/BC82-1,"--")</f>
        <v>3.8388381866973464E-2</v>
      </c>
      <c r="BE85" s="189" t="s">
        <v>36</v>
      </c>
      <c r="BF85" s="188">
        <f>IFERROR(BF82/BE82-1,"--")</f>
        <v>3.0162013482422312E-2</v>
      </c>
      <c r="BG85" s="188">
        <f>IFERROR(BG82/BF82-1,"--")</f>
        <v>3.4215259070190296E-2</v>
      </c>
      <c r="BH85" s="188">
        <f>IFERROR(BH82/BG82-1,"--")</f>
        <v>4.0664847255548864E-2</v>
      </c>
      <c r="BI85" s="188">
        <f>IFERROR(BI82/BH82-1,"--")</f>
        <v>3.4780663446114524E-2</v>
      </c>
      <c r="BJ85" s="189" t="s">
        <v>36</v>
      </c>
      <c r="BK85" s="188">
        <f>IFERROR(BK82/BJ82-1,"--")</f>
        <v>2.6570397786655153E-2</v>
      </c>
      <c r="BL85" s="188">
        <f>IFERROR(BL82/BK82-1,"--")</f>
        <v>3.0596896641966076E-2</v>
      </c>
      <c r="BM85" s="188">
        <f>IFERROR(BM82/BL82-1,"--")</f>
        <v>3.7011136870865435E-2</v>
      </c>
      <c r="BN85" s="188">
        <f>IFERROR(BN82/BM82-1,"--")</f>
        <v>3.0223348773353198E-2</v>
      </c>
      <c r="BO85" s="189" t="s">
        <v>36</v>
      </c>
    </row>
    <row r="86" spans="1:67">
      <c r="B86" s="187" t="s">
        <v>114</v>
      </c>
      <c r="C86" s="182"/>
      <c r="D86" s="182"/>
      <c r="E86" s="182"/>
      <c r="F86" s="182"/>
      <c r="G86" s="183"/>
      <c r="H86" s="182"/>
      <c r="I86" s="182"/>
      <c r="J86" s="182"/>
      <c r="K86" s="188">
        <f>K82/K$55</f>
        <v>0.98523206751054848</v>
      </c>
      <c r="L86" s="183"/>
      <c r="M86" s="188">
        <f>M82/M$55</f>
        <v>0.98659966499162477</v>
      </c>
      <c r="N86" s="188">
        <f t="shared" ref="N86:AD86" si="40">N82/N$55</f>
        <v>0.98577892695539759</v>
      </c>
      <c r="O86" s="188">
        <f t="shared" si="40"/>
        <v>0.983971044467425</v>
      </c>
      <c r="P86" s="188">
        <f t="shared" si="40"/>
        <v>0.98285953177257523</v>
      </c>
      <c r="Q86" s="189">
        <f t="shared" si="40"/>
        <v>0.98285953177257523</v>
      </c>
      <c r="R86" s="188">
        <f t="shared" si="40"/>
        <v>0.98235294117647054</v>
      </c>
      <c r="S86" s="188">
        <f t="shared" si="40"/>
        <v>0.98203400705806865</v>
      </c>
      <c r="T86" s="188">
        <f t="shared" si="40"/>
        <v>0.98171074845244799</v>
      </c>
      <c r="U86" s="188">
        <f t="shared" si="40"/>
        <v>0.9813964725779174</v>
      </c>
      <c r="V86" s="189">
        <f t="shared" si="40"/>
        <v>0.9813964725779174</v>
      </c>
      <c r="W86" s="188">
        <f t="shared" si="40"/>
        <v>0.97705207413945283</v>
      </c>
      <c r="X86" s="188">
        <f t="shared" si="40"/>
        <v>0.97675350701402808</v>
      </c>
      <c r="Y86" s="188">
        <f t="shared" si="40"/>
        <v>0.97267355982274739</v>
      </c>
      <c r="Z86" s="188">
        <f t="shared" si="40"/>
        <v>0.96904441453566625</v>
      </c>
      <c r="AA86" s="189">
        <f t="shared" si="40"/>
        <v>0.96904441453566625</v>
      </c>
      <c r="AB86" s="188">
        <f t="shared" si="40"/>
        <v>0.96741537488136664</v>
      </c>
      <c r="AC86" s="188">
        <f t="shared" si="40"/>
        <v>0.96365235233768132</v>
      </c>
      <c r="AD86" s="188">
        <f t="shared" si="40"/>
        <v>0.96020521353300059</v>
      </c>
      <c r="AE86" s="188">
        <f t="shared" ref="AE86:AN86" si="41">AE82/AE$55</f>
        <v>0.95756172839506171</v>
      </c>
      <c r="AF86" s="189">
        <f t="shared" si="41"/>
        <v>0.95756172839506171</v>
      </c>
      <c r="AG86" s="188">
        <f t="shared" si="41"/>
        <v>0.95387659206133302</v>
      </c>
      <c r="AH86" s="188">
        <f t="shared" si="41"/>
        <v>0.95275126664310117</v>
      </c>
      <c r="AI86" s="188">
        <f t="shared" si="41"/>
        <v>0.95092853123241416</v>
      </c>
      <c r="AJ86" s="188">
        <f t="shared" si="41"/>
        <v>0.95151321398124467</v>
      </c>
      <c r="AK86" s="189">
        <f t="shared" si="41"/>
        <v>0.95151321398124467</v>
      </c>
      <c r="AL86" s="188">
        <f t="shared" si="41"/>
        <v>0.9508264038599733</v>
      </c>
      <c r="AM86" s="188">
        <f t="shared" si="41"/>
        <v>0.95003449295358233</v>
      </c>
      <c r="AN86" s="188">
        <f t="shared" si="41"/>
        <v>0.9485224022878932</v>
      </c>
      <c r="AO86" s="188">
        <f>AO82/AO$55</f>
        <v>0.94747346457407244</v>
      </c>
      <c r="AP86" s="189">
        <f>AP82/AP$55</f>
        <v>0.94747346457407244</v>
      </c>
      <c r="AQ86" s="188">
        <f t="shared" ref="AQ86:AS86" si="42">AQ82/AQ$55</f>
        <v>0.94718033644208144</v>
      </c>
      <c r="AR86" s="188">
        <f t="shared" si="42"/>
        <v>0.94552723638180913</v>
      </c>
      <c r="AS86" s="188">
        <f t="shared" si="42"/>
        <v>0.94548767926471755</v>
      </c>
      <c r="AT86" s="188">
        <f t="shared" ref="AT86:AZ86" si="43">AT82/AT$55</f>
        <v>0.94502838765070118</v>
      </c>
      <c r="AU86" s="189">
        <f t="shared" si="43"/>
        <v>0.94502838765070118</v>
      </c>
      <c r="AV86" s="188">
        <f t="shared" si="43"/>
        <v>0.94465145734026501</v>
      </c>
      <c r="AW86" s="188">
        <f t="shared" si="43"/>
        <v>0.94382282668902728</v>
      </c>
      <c r="AX86" s="188">
        <f t="shared" si="43"/>
        <v>0.94390667173947485</v>
      </c>
      <c r="AY86" s="188">
        <f t="shared" si="43"/>
        <v>0.94356129364454111</v>
      </c>
      <c r="AZ86" s="189">
        <f t="shared" si="43"/>
        <v>0.94356129364454111</v>
      </c>
      <c r="BA86" s="188">
        <f t="shared" ref="BA86:BJ86" si="44">BA82/BA$55</f>
        <v>0.94335883595463621</v>
      </c>
      <c r="BB86" s="188">
        <f t="shared" si="44"/>
        <v>0.94269980928434194</v>
      </c>
      <c r="BC86" s="188">
        <f t="shared" si="44"/>
        <v>0.942974024669749</v>
      </c>
      <c r="BD86" s="188">
        <f t="shared" si="44"/>
        <v>0.94281444088123001</v>
      </c>
      <c r="BE86" s="189">
        <f t="shared" si="44"/>
        <v>0.94281444088123001</v>
      </c>
      <c r="BF86" s="188">
        <f t="shared" si="44"/>
        <v>0.94283702659267832</v>
      </c>
      <c r="BG86" s="188">
        <f t="shared" si="44"/>
        <v>0.94240405012344286</v>
      </c>
      <c r="BH86" s="188">
        <f t="shared" si="44"/>
        <v>0.94291202045203693</v>
      </c>
      <c r="BI86" s="188">
        <f t="shared" si="44"/>
        <v>0.94298705145798534</v>
      </c>
      <c r="BJ86" s="189">
        <f t="shared" si="44"/>
        <v>0.94298705145798534</v>
      </c>
      <c r="BK86" s="188">
        <f>BK82/BK$55</f>
        <v>0.94324602408514324</v>
      </c>
      <c r="BL86" s="188">
        <f>BL82/BL$55</f>
        <v>0.94305588506739302</v>
      </c>
      <c r="BM86" s="188">
        <f>BM82/BM$55</f>
        <v>0.94379818598636334</v>
      </c>
      <c r="BN86" s="188">
        <f>BN82/BN$55</f>
        <v>0.94406669765353612</v>
      </c>
      <c r="BO86" s="189">
        <f>BO82/BO$55</f>
        <v>0.94406669765353612</v>
      </c>
    </row>
    <row r="87" spans="1:67">
      <c r="B87" s="187" t="s">
        <v>174</v>
      </c>
      <c r="C87" s="182"/>
      <c r="D87" s="182"/>
      <c r="E87" s="182"/>
      <c r="F87" s="182"/>
      <c r="G87" s="183"/>
      <c r="H87" s="182"/>
      <c r="I87" s="182"/>
      <c r="J87" s="182"/>
      <c r="K87" s="188"/>
      <c r="L87" s="183"/>
      <c r="M87" s="188"/>
      <c r="N87" s="188"/>
      <c r="O87" s="188"/>
      <c r="P87" s="188"/>
      <c r="Q87" s="189"/>
      <c r="R87" s="188">
        <f>R84-P84</f>
        <v>-0.24887934764035879</v>
      </c>
      <c r="S87" s="188">
        <f>S84-R84</f>
        <v>-0.26103815859055368</v>
      </c>
      <c r="T87" s="188">
        <f>T84-S84</f>
        <v>-0.17379220040832855</v>
      </c>
      <c r="U87" s="188">
        <f>U84-T84</f>
        <v>-0.10564549962862824</v>
      </c>
      <c r="V87" s="189">
        <f>AVERAGE(R87:U87)</f>
        <v>-0.19733880156696731</v>
      </c>
      <c r="W87" s="188">
        <f>W84-U84</f>
        <v>-7.0589785974626507E-2</v>
      </c>
      <c r="X87" s="188">
        <f>X84-W84</f>
        <v>-6.4895527468421532E-2</v>
      </c>
      <c r="Y87" s="188">
        <f>Y84-X84</f>
        <v>-8.2401881153715273E-2</v>
      </c>
      <c r="Z87" s="188">
        <f>Z84-Y84</f>
        <v>-9.1867540652136093E-2</v>
      </c>
      <c r="AA87" s="189">
        <f>AVERAGE(W87:Z87)</f>
        <v>-7.7438683812224851E-2</v>
      </c>
      <c r="AB87" s="188">
        <f>AB84-Z84</f>
        <v>-3.6810200696787865E-2</v>
      </c>
      <c r="AC87" s="188">
        <f>AC84-AB84</f>
        <v>-3.2215813199029109E-2</v>
      </c>
      <c r="AD87" s="188">
        <f>AD84-AC84</f>
        <v>-3.4454042945242236E-2</v>
      </c>
      <c r="AE87" s="188">
        <f>AE84-AD84</f>
        <v>-2.1832289293849616E-2</v>
      </c>
      <c r="AF87" s="189">
        <f>AVERAGE(AB87:AE87)</f>
        <v>-3.1328086533727206E-2</v>
      </c>
      <c r="AG87" s="188">
        <f>AG84-AE84</f>
        <v>-3.1426449749291541E-2</v>
      </c>
      <c r="AH87" s="188">
        <f>AH84-AG84</f>
        <v>-3.1471997652482875E-2</v>
      </c>
      <c r="AI87" s="188">
        <f>AI84-AH84</f>
        <v>-9.7376837654938875E-3</v>
      </c>
      <c r="AJ87" s="188">
        <f>AJ84-AI84</f>
        <v>-2.0904863997921019E-2</v>
      </c>
      <c r="AK87" s="189">
        <f>AVERAGE(AG87:AJ87)</f>
        <v>-2.3385248791297331E-2</v>
      </c>
      <c r="AL87" s="188">
        <f>AL84-AJ84</f>
        <v>1.5067608725611858E-3</v>
      </c>
      <c r="AM87" s="188">
        <f>AM84-AL84</f>
        <v>-8.4900772746898667E-3</v>
      </c>
      <c r="AN87" s="188">
        <f>AN84-AM84</f>
        <v>-1.4529861510363729E-2</v>
      </c>
      <c r="AO87" s="188">
        <f>AO84-AN84</f>
        <v>-7.9823045047275887E-3</v>
      </c>
      <c r="AP87" s="189">
        <f>AVERAGE(AL87:AO87)</f>
        <v>-7.3738706043049995E-3</v>
      </c>
      <c r="AQ87" s="188">
        <f>AQ84-AO84</f>
        <v>3.6168507919391857E-3</v>
      </c>
      <c r="AR87" s="188">
        <f>AR84-AQ84</f>
        <v>4.3046544529874442E-3</v>
      </c>
      <c r="AS87" s="188">
        <f>AS84-AR84</f>
        <v>2.1703121416209559E-2</v>
      </c>
      <c r="AT87" s="190">
        <v>-5.0000000000000001E-3</v>
      </c>
      <c r="AU87" s="189">
        <f>AVERAGE(AQ87:AT87)</f>
        <v>6.1561566652840469E-3</v>
      </c>
      <c r="AV87" s="190">
        <v>-4.0000000000000001E-3</v>
      </c>
      <c r="AW87" s="190">
        <f>AV87</f>
        <v>-4.0000000000000001E-3</v>
      </c>
      <c r="AX87" s="190">
        <f>AW87</f>
        <v>-4.0000000000000001E-3</v>
      </c>
      <c r="AY87" s="190">
        <f>AX87</f>
        <v>-4.0000000000000001E-3</v>
      </c>
      <c r="AZ87" s="189">
        <f>AVERAGE(AV87:AY87)</f>
        <v>-4.0000000000000001E-3</v>
      </c>
      <c r="BA87" s="190">
        <v>-3.7499999999999999E-3</v>
      </c>
      <c r="BB87" s="190">
        <f>BA87</f>
        <v>-3.7499999999999999E-3</v>
      </c>
      <c r="BC87" s="190">
        <f>BB87</f>
        <v>-3.7499999999999999E-3</v>
      </c>
      <c r="BD87" s="190">
        <f>BC87</f>
        <v>-3.7499999999999999E-3</v>
      </c>
      <c r="BE87" s="189">
        <f>AVERAGE(BA87:BD87)</f>
        <v>-3.7499999999999999E-3</v>
      </c>
      <c r="BF87" s="190">
        <v>-4.0000000000000001E-3</v>
      </c>
      <c r="BG87" s="190">
        <f>BF87</f>
        <v>-4.0000000000000001E-3</v>
      </c>
      <c r="BH87" s="190">
        <f>BG87</f>
        <v>-4.0000000000000001E-3</v>
      </c>
      <c r="BI87" s="190">
        <v>-4.0000000000000001E-3</v>
      </c>
      <c r="BJ87" s="189">
        <f>AVERAGE(BF87:BI87)</f>
        <v>-4.0000000000000001E-3</v>
      </c>
      <c r="BK87" s="190">
        <v>-4.0000000000000001E-3</v>
      </c>
      <c r="BL87" s="190">
        <f>BK87</f>
        <v>-4.0000000000000001E-3</v>
      </c>
      <c r="BM87" s="190">
        <f>BL87</f>
        <v>-4.0000000000000001E-3</v>
      </c>
      <c r="BN87" s="190">
        <v>-5.0000000000000001E-3</v>
      </c>
      <c r="BO87" s="189">
        <f>AVERAGE(BK87:BN87)</f>
        <v>-4.2500000000000003E-3</v>
      </c>
    </row>
    <row r="88" spans="1:67">
      <c r="B88" s="187" t="s">
        <v>446</v>
      </c>
      <c r="C88" s="182"/>
      <c r="D88" s="182"/>
      <c r="E88" s="182"/>
      <c r="F88" s="182"/>
      <c r="G88" s="183"/>
      <c r="H88" s="182"/>
      <c r="I88" s="182"/>
      <c r="J88" s="182"/>
      <c r="K88" s="188"/>
      <c r="L88" s="183"/>
      <c r="M88" s="188">
        <f>IFERROR(M83/Q83,"--")</f>
        <v>0.17219477769936486</v>
      </c>
      <c r="N88" s="188">
        <f>IFERROR(N83/Q83,"--")</f>
        <v>0.24488355681016233</v>
      </c>
      <c r="O88" s="188">
        <f>IFERROR(O83/Q83,"--")</f>
        <v>0.26676076217360623</v>
      </c>
      <c r="P88" s="188">
        <f>IFERROR(P83/Q83,"--")</f>
        <v>0.31616090331686664</v>
      </c>
      <c r="Q88" s="189"/>
      <c r="R88" s="188">
        <f>IFERROR(R83/V83,"--")</f>
        <v>0.18760958503798947</v>
      </c>
      <c r="S88" s="188">
        <f>IFERROR(S83/V83,"--")</f>
        <v>0.22735242548217416</v>
      </c>
      <c r="T88" s="188">
        <f>IFERROR(T83/V83,"--")</f>
        <v>0.25014611338398596</v>
      </c>
      <c r="U88" s="188">
        <f>IFERROR(U83/V83,"--")</f>
        <v>0.33489187609585036</v>
      </c>
      <c r="V88" s="189"/>
      <c r="W88" s="188">
        <f>IFERROR(W83/AA83,"--")</f>
        <v>0.21554770318021202</v>
      </c>
      <c r="X88" s="188">
        <f>IFERROR(X83/AA83,"--")</f>
        <v>0.26266195524146052</v>
      </c>
      <c r="Y88" s="188">
        <f>IFERROR(Y83/AA83,"--")</f>
        <v>0.23203769140164901</v>
      </c>
      <c r="Z88" s="188">
        <f>IFERROR(Z83/AA83,"--")</f>
        <v>0.28975265017667845</v>
      </c>
      <c r="AA88" s="189"/>
      <c r="AB88" s="188">
        <f>IFERROR(AB83/AF83,"--")</f>
        <v>0.21115065243179121</v>
      </c>
      <c r="AC88" s="188">
        <f>IFERROR(AC83/AF83,"--")</f>
        <v>0.27224199288256229</v>
      </c>
      <c r="AD88" s="188">
        <f>IFERROR(AD83/AF83,"--")</f>
        <v>0.20759193357058126</v>
      </c>
      <c r="AE88" s="188">
        <f>IFERROR(AE83/AF83,"--")</f>
        <v>0.30901542111506525</v>
      </c>
      <c r="AF88" s="189"/>
      <c r="AG88" s="188">
        <f>IFERROR(AG83/AK83,"--")</f>
        <v>0.18071476736345246</v>
      </c>
      <c r="AH88" s="188">
        <f>IFERROR(AH83/AK83,"--")</f>
        <v>0.25084288604180716</v>
      </c>
      <c r="AI88" s="188">
        <f>IFERROR(AI83/AK83,"--")</f>
        <v>0.24477410654079568</v>
      </c>
      <c r="AJ88" s="188">
        <f>IFERROR(AJ83/AK83,"--")</f>
        <v>0.32366824005394473</v>
      </c>
      <c r="AK88" s="189"/>
      <c r="AL88" s="188">
        <f>IFERROR(AL83/AP83,"--")</f>
        <v>0.2198019801980198</v>
      </c>
      <c r="AM88" s="188">
        <f>IFERROR(AM83/AP83,"--")</f>
        <v>0.2495049504950495</v>
      </c>
      <c r="AN88" s="188">
        <f>IFERROR(AN83/AP83,"--")</f>
        <v>0.20462046204620463</v>
      </c>
      <c r="AO88" s="188">
        <f>IFERROR(AO83/AP83,"--")</f>
        <v>0.32607260726072607</v>
      </c>
      <c r="AP88" s="189"/>
      <c r="AQ88" s="188">
        <f>IFERROR(AQ83/AU83,"--")</f>
        <v>0.20845319984589084</v>
      </c>
      <c r="AR88" s="188">
        <f>IFERROR(AR83/AU83,"--")</f>
        <v>0.23900662393677791</v>
      </c>
      <c r="AS88" s="188">
        <f>IFERROR(AS83/AU83,"--")</f>
        <v>0.28631515156137721</v>
      </c>
      <c r="AT88" s="279">
        <f>IFERROR(AT83/AU83,"--")</f>
        <v>0.26622502465595405</v>
      </c>
      <c r="AU88" s="1175"/>
      <c r="AV88" s="279">
        <f>IFERROR(AV83/AZ83,"--")</f>
        <v>0.20761385976842389</v>
      </c>
      <c r="AW88" s="279">
        <f>IFERROR(AW83/AZ83,"--")</f>
        <v>0.23916443571069018</v>
      </c>
      <c r="AX88" s="279">
        <f>IFERROR(AX83/AZ83,"--")</f>
        <v>0.28845568640458391</v>
      </c>
      <c r="AY88" s="279">
        <f>IFERROR(AY83/AZ83,"--")</f>
        <v>0.26476601811630202</v>
      </c>
      <c r="AZ88" s="1175"/>
      <c r="BA88" s="279">
        <f>IFERROR(BA83/BE83,"--")</f>
        <v>0.20647384124743201</v>
      </c>
      <c r="BB88" s="279">
        <f>IFERROR(BB83/BE83,"--")</f>
        <v>0.23926042671403805</v>
      </c>
      <c r="BC88" s="279">
        <f>IFERROR(BC83/BE83,"--")</f>
        <v>0.29090345336177564</v>
      </c>
      <c r="BD88" s="279">
        <f>IFERROR(BD83/BE83,"--")</f>
        <v>0.26336227867675432</v>
      </c>
      <c r="BE88" s="1175"/>
      <c r="BF88" s="279">
        <f>IFERROR(BF83/BJ83,"--")</f>
        <v>0.20477076565918501</v>
      </c>
      <c r="BG88" s="279">
        <f>IFERROR(BG83/BJ83,"--")</f>
        <v>0.23929464980002868</v>
      </c>
      <c r="BH88" s="279">
        <f>IFERROR(BH83/BJ83,"--")</f>
        <v>0.29413265455143123</v>
      </c>
      <c r="BI88" s="279">
        <f>IFERROR(BI83/BJ83,"--")</f>
        <v>0.26180192998935509</v>
      </c>
      <c r="BJ88" s="189"/>
      <c r="BK88" s="279">
        <f>IFERROR(BK83/BO83,"--")</f>
        <v>0.20392260247384678</v>
      </c>
      <c r="BL88" s="279">
        <f>IFERROR(BL83/BO83,"--")</f>
        <v>0.24106459188550655</v>
      </c>
      <c r="BM88" s="279">
        <f>IFERROR(BM83/BO83,"--")</f>
        <v>0.30052271336900599</v>
      </c>
      <c r="BN88" s="279">
        <f>IFERROR(BN83/BO83,"--")</f>
        <v>0.25449009227164066</v>
      </c>
      <c r="BO88" s="189"/>
    </row>
    <row r="89" spans="1:67">
      <c r="B89" s="191"/>
      <c r="C89" s="182"/>
      <c r="D89" s="182"/>
      <c r="E89" s="182"/>
      <c r="F89" s="182"/>
      <c r="G89" s="183"/>
      <c r="H89" s="182"/>
      <c r="I89" s="182"/>
      <c r="J89" s="182"/>
      <c r="K89" s="182"/>
      <c r="L89" s="183"/>
      <c r="M89" s="182"/>
      <c r="N89" s="182"/>
      <c r="O89" s="182"/>
      <c r="P89" s="182"/>
      <c r="Q89" s="183"/>
      <c r="R89" s="354"/>
      <c r="S89" s="354"/>
      <c r="T89" s="354"/>
      <c r="U89" s="354"/>
      <c r="V89" s="183"/>
      <c r="W89" s="354"/>
      <c r="X89" s="354"/>
      <c r="Y89" s="354"/>
      <c r="Z89" s="354"/>
      <c r="AA89" s="183"/>
      <c r="AB89" s="354"/>
      <c r="AC89" s="354"/>
      <c r="AD89" s="354"/>
      <c r="AE89" s="354"/>
      <c r="AF89" s="183"/>
      <c r="AG89" s="354"/>
      <c r="AH89" s="354"/>
      <c r="AI89" s="354"/>
      <c r="AJ89" s="354"/>
      <c r="AK89" s="183"/>
      <c r="AL89" s="354"/>
      <c r="AM89" s="354"/>
      <c r="AN89" s="354"/>
      <c r="AO89" s="354"/>
      <c r="AP89" s="183"/>
      <c r="AQ89" s="354"/>
      <c r="AR89" s="354"/>
      <c r="AS89" s="354"/>
      <c r="AT89" s="354"/>
      <c r="AU89" s="183"/>
      <c r="AV89" s="354"/>
      <c r="AW89" s="354"/>
      <c r="AX89" s="354"/>
      <c r="AY89" s="354"/>
      <c r="AZ89" s="183"/>
      <c r="BA89" s="354"/>
      <c r="BB89" s="354"/>
      <c r="BC89" s="354"/>
      <c r="BD89" s="354"/>
      <c r="BE89" s="183"/>
      <c r="BF89" s="354"/>
      <c r="BG89" s="354"/>
      <c r="BH89" s="354"/>
      <c r="BI89" s="354"/>
      <c r="BJ89" s="183"/>
      <c r="BK89" s="354"/>
      <c r="BL89" s="354"/>
      <c r="BM89" s="354"/>
      <c r="BN89" s="354"/>
      <c r="BO89" s="183"/>
    </row>
    <row r="90" spans="1:67" s="2" customFormat="1">
      <c r="A90" s="128"/>
      <c r="B90" s="258" t="s">
        <v>173</v>
      </c>
      <c r="C90" s="259"/>
      <c r="D90" s="259"/>
      <c r="E90" s="259"/>
      <c r="F90" s="259"/>
      <c r="G90" s="258"/>
      <c r="H90" s="259"/>
      <c r="I90" s="259"/>
      <c r="J90" s="259"/>
      <c r="K90" s="259"/>
      <c r="L90" s="249"/>
      <c r="M90" s="248"/>
      <c r="N90" s="248"/>
      <c r="O90" s="248"/>
      <c r="P90" s="248"/>
      <c r="Q90" s="249"/>
      <c r="R90" s="248">
        <f>(R93*1000)/R82</f>
        <v>59.119760479041908</v>
      </c>
      <c r="S90" s="248">
        <f>(S93*1000)/S82</f>
        <v>64.618752041816407</v>
      </c>
      <c r="T90" s="248">
        <f>(T93*1000)/T82</f>
        <v>70.83490971625109</v>
      </c>
      <c r="U90" s="248">
        <f>(U93*1000)/U82</f>
        <v>71.979074347611999</v>
      </c>
      <c r="V90" s="249">
        <f>U90</f>
        <v>71.979074347611999</v>
      </c>
      <c r="W90" s="248">
        <f>(W93*1000)/W82</f>
        <v>74.030487804878021</v>
      </c>
      <c r="X90" s="248">
        <f>(X93*1000)/X82</f>
        <v>80.450143619203928</v>
      </c>
      <c r="Y90" s="248">
        <f>(Y93*1000)/Y82</f>
        <v>84.677866362946105</v>
      </c>
      <c r="Z90" s="248">
        <f>(Z93*1000)/Z82</f>
        <v>86.895312500000017</v>
      </c>
      <c r="AA90" s="249">
        <f>Z90</f>
        <v>86.895312500000017</v>
      </c>
      <c r="AB90" s="248">
        <f>(AB93*1000)/AB82</f>
        <v>92.72612818835843</v>
      </c>
      <c r="AC90" s="248">
        <f>(AC93*1000)/AC82</f>
        <v>93.245201520912559</v>
      </c>
      <c r="AD90" s="248">
        <f>(AD93*1000)/AD82</f>
        <v>98.1624086642599</v>
      </c>
      <c r="AE90" s="248">
        <f>(AE93*1000)/AE82</f>
        <v>98.944069298952428</v>
      </c>
      <c r="AF90" s="249">
        <f>AE90</f>
        <v>98.944069298952428</v>
      </c>
      <c r="AG90" s="248">
        <f>(AG93*1000)/AG82</f>
        <v>99.610002592688616</v>
      </c>
      <c r="AH90" s="248">
        <f>(AH93*1000)/AH82</f>
        <v>102.77149641355429</v>
      </c>
      <c r="AI90" s="248">
        <f>(AI93*1000)/AI82</f>
        <v>102.9033968516984</v>
      </c>
      <c r="AJ90" s="248">
        <f>(AJ93*1000)/AJ82</f>
        <v>110.50891813192965</v>
      </c>
      <c r="AK90" s="249">
        <f>AJ90</f>
        <v>110.50891813192965</v>
      </c>
      <c r="AL90" s="248">
        <f>(AL93*1000)/AL82</f>
        <v>108.31649751673505</v>
      </c>
      <c r="AM90" s="248">
        <f>(AM93*1000)/AM82</f>
        <v>123.61078319502077</v>
      </c>
      <c r="AN90" s="248">
        <f>(AN93*1000)/AN82</f>
        <v>111.30161407035176</v>
      </c>
      <c r="AO90" s="248">
        <f>(AO93*1000)/AO82</f>
        <v>116.03290884718498</v>
      </c>
      <c r="AP90" s="249">
        <f>AO90</f>
        <v>116.03290884718498</v>
      </c>
      <c r="AQ90" s="248">
        <f>(AQ93*1000)/AQ82</f>
        <v>114.81368546977085</v>
      </c>
      <c r="AR90" s="248">
        <f>(AR93*1000)/AR82</f>
        <v>114.27017441860461</v>
      </c>
      <c r="AS90" s="248">
        <f>(AS93*1000)/AS82</f>
        <v>115.84399312829966</v>
      </c>
      <c r="AT90" s="248">
        <f>AS90*(1+AT92)</f>
        <v>116.65490108019775</v>
      </c>
      <c r="AU90" s="249">
        <f>AT90</f>
        <v>116.65490108019775</v>
      </c>
      <c r="AV90" s="248">
        <f>AU90*(1+AV92)</f>
        <v>117.23817558559873</v>
      </c>
      <c r="AW90" s="248">
        <f>AV90*(1+AW92)</f>
        <v>117.8243664635267</v>
      </c>
      <c r="AX90" s="248">
        <f>AW90*(1+AX92)</f>
        <v>118.41348829584432</v>
      </c>
      <c r="AY90" s="248">
        <f>AX90*(1+AY92)</f>
        <v>119.00555573732353</v>
      </c>
      <c r="AZ90" s="249">
        <f>AY90</f>
        <v>119.00555573732353</v>
      </c>
      <c r="BA90" s="248">
        <f>AZ90*(1+BA92)</f>
        <v>119.60058351601013</v>
      </c>
      <c r="BB90" s="248">
        <f>BA90*(1+BB92)</f>
        <v>120.19858643359017</v>
      </c>
      <c r="BC90" s="248">
        <f>BB90*(1+BC92)</f>
        <v>120.79957936575811</v>
      </c>
      <c r="BD90" s="248">
        <f>BC90*(1+BD92)</f>
        <v>121.40357726258688</v>
      </c>
      <c r="BE90" s="249">
        <f>BD90</f>
        <v>121.40357726258688</v>
      </c>
      <c r="BF90" s="248">
        <f>BE90*(1+BF92)</f>
        <v>122.61761303521274</v>
      </c>
      <c r="BG90" s="248">
        <f>BF90*(1+BG92)</f>
        <v>123.84378916556487</v>
      </c>
      <c r="BH90" s="248">
        <f>BG90*(1+BH92)</f>
        <v>125.08222705722052</v>
      </c>
      <c r="BI90" s="248">
        <f>BH90*(1+BI92)</f>
        <v>126.33304932779272</v>
      </c>
      <c r="BJ90" s="249">
        <f>BI90</f>
        <v>126.33304932779272</v>
      </c>
      <c r="BK90" s="248">
        <f>BJ90*(1+BK92)</f>
        <v>127.84904591972624</v>
      </c>
      <c r="BL90" s="248">
        <f>BK90*(1+BL92)</f>
        <v>129.38323447076294</v>
      </c>
      <c r="BM90" s="248">
        <f>BL90*(1+BM92)</f>
        <v>130.9358332844121</v>
      </c>
      <c r="BN90" s="248">
        <f>BM90*(1+BN92)</f>
        <v>132.50706328382503</v>
      </c>
      <c r="BO90" s="249">
        <f>BN90</f>
        <v>132.50706328382503</v>
      </c>
    </row>
    <row r="91" spans="1:67">
      <c r="B91" s="187" t="s">
        <v>32</v>
      </c>
      <c r="C91" s="182"/>
      <c r="D91" s="182"/>
      <c r="E91" s="182"/>
      <c r="F91" s="182"/>
      <c r="G91" s="183"/>
      <c r="H91" s="182"/>
      <c r="I91" s="182"/>
      <c r="J91" s="188"/>
      <c r="K91" s="188"/>
      <c r="L91" s="189"/>
      <c r="M91" s="188"/>
      <c r="N91" s="188"/>
      <c r="O91" s="188"/>
      <c r="P91" s="188"/>
      <c r="Q91" s="189"/>
      <c r="R91" s="188" t="str">
        <f t="shared" ref="R91:AJ91" si="45">IFERROR(R90/M90-1,"--")</f>
        <v>--</v>
      </c>
      <c r="S91" s="188" t="str">
        <f t="shared" si="45"/>
        <v>--</v>
      </c>
      <c r="T91" s="188" t="str">
        <f t="shared" si="45"/>
        <v>--</v>
      </c>
      <c r="U91" s="188" t="str">
        <f t="shared" si="45"/>
        <v>--</v>
      </c>
      <c r="V91" s="189" t="str">
        <f t="shared" si="45"/>
        <v>--</v>
      </c>
      <c r="W91" s="188">
        <f t="shared" si="45"/>
        <v>0.2522122418124817</v>
      </c>
      <c r="X91" s="188">
        <f t="shared" si="45"/>
        <v>0.2449968635597084</v>
      </c>
      <c r="Y91" s="188">
        <f t="shared" si="45"/>
        <v>0.19542562702693944</v>
      </c>
      <c r="Z91" s="188">
        <f t="shared" si="45"/>
        <v>0.20723020249402357</v>
      </c>
      <c r="AA91" s="189">
        <f t="shared" si="45"/>
        <v>0.20723020249402357</v>
      </c>
      <c r="AB91" s="188">
        <f t="shared" si="45"/>
        <v>0.25253974325762196</v>
      </c>
      <c r="AC91" s="188">
        <f t="shared" si="45"/>
        <v>0.15904331957779605</v>
      </c>
      <c r="AD91" s="188">
        <f t="shared" si="45"/>
        <v>0.15924518272007915</v>
      </c>
      <c r="AE91" s="188">
        <f t="shared" si="45"/>
        <v>0.13865830563590431</v>
      </c>
      <c r="AF91" s="189">
        <f t="shared" si="45"/>
        <v>0.13865830563590431</v>
      </c>
      <c r="AG91" s="188">
        <f>IFERROR(AG90/AB90-1,"--")</f>
        <v>7.4238777557353419E-2</v>
      </c>
      <c r="AH91" s="188">
        <f t="shared" si="45"/>
        <v>0.10216391553945248</v>
      </c>
      <c r="AI91" s="188">
        <f t="shared" si="45"/>
        <v>4.8297390538305507E-2</v>
      </c>
      <c r="AJ91" s="188">
        <f t="shared" si="45"/>
        <v>0.11688268852208661</v>
      </c>
      <c r="AK91" s="189">
        <f t="shared" ref="AK91:BJ91" si="46">IFERROR(AK90/AF90-1,"--")</f>
        <v>0.11688268852208661</v>
      </c>
      <c r="AL91" s="188">
        <f t="shared" si="46"/>
        <v>8.7405829710172966E-2</v>
      </c>
      <c r="AM91" s="188">
        <f t="shared" si="46"/>
        <v>0.20277302081511817</v>
      </c>
      <c r="AN91" s="188">
        <f t="shared" si="46"/>
        <v>8.161263355335735E-2</v>
      </c>
      <c r="AO91" s="188">
        <f>IFERROR(AO90/AJ90-1,"--")</f>
        <v>4.9986831910349361E-2</v>
      </c>
      <c r="AP91" s="189">
        <f>IFERROR(AP90/AK90-1,"--")</f>
        <v>4.9986831910349361E-2</v>
      </c>
      <c r="AQ91" s="188">
        <f t="shared" si="46"/>
        <v>5.9983364510396653E-2</v>
      </c>
      <c r="AR91" s="188">
        <f t="shared" si="46"/>
        <v>-7.556467595290195E-2</v>
      </c>
      <c r="AS91" s="188">
        <f t="shared" si="46"/>
        <v>4.0811439222047108E-2</v>
      </c>
      <c r="AT91" s="188">
        <f t="shared" si="46"/>
        <v>5.3604812565022364E-3</v>
      </c>
      <c r="AU91" s="189">
        <f t="shared" si="46"/>
        <v>5.3604812565022364E-3</v>
      </c>
      <c r="AV91" s="188">
        <f t="shared" si="46"/>
        <v>2.1116734524354364E-2</v>
      </c>
      <c r="AW91" s="188">
        <f t="shared" si="46"/>
        <v>3.1103409643027824E-2</v>
      </c>
      <c r="AX91" s="188">
        <f t="shared" si="46"/>
        <v>2.2180650874999541E-2</v>
      </c>
      <c r="AY91" s="188">
        <f t="shared" si="46"/>
        <v>2.0150500624999568E-2</v>
      </c>
      <c r="AZ91" s="189">
        <f t="shared" si="46"/>
        <v>2.0150500624999568E-2</v>
      </c>
      <c r="BA91" s="188">
        <f t="shared" si="46"/>
        <v>2.0150500624999568E-2</v>
      </c>
      <c r="BB91" s="188">
        <f t="shared" si="46"/>
        <v>2.0150500624999568E-2</v>
      </c>
      <c r="BC91" s="188">
        <f t="shared" si="46"/>
        <v>2.0150500624999568E-2</v>
      </c>
      <c r="BD91" s="188">
        <f t="shared" si="46"/>
        <v>2.0150500624999568E-2</v>
      </c>
      <c r="BE91" s="189">
        <f t="shared" si="46"/>
        <v>2.0150500624999568E-2</v>
      </c>
      <c r="BF91" s="188">
        <f t="shared" si="46"/>
        <v>2.5225876249999502E-2</v>
      </c>
      <c r="BG91" s="188">
        <f t="shared" si="46"/>
        <v>3.0326502499999686E-2</v>
      </c>
      <c r="BH91" s="188">
        <f t="shared" si="46"/>
        <v>3.5452504999999856E-2</v>
      </c>
      <c r="BI91" s="188">
        <f t="shared" si="46"/>
        <v>4.0604010000000024E-2</v>
      </c>
      <c r="BJ91" s="189">
        <f t="shared" si="46"/>
        <v>4.0604010000000024E-2</v>
      </c>
      <c r="BK91" s="188">
        <f>IFERROR(BK90/BF90-1,"--")</f>
        <v>4.2664612000000046E-2</v>
      </c>
      <c r="BL91" s="188">
        <f>IFERROR(BL90/BG90-1,"--")</f>
        <v>4.4729294399999953E-2</v>
      </c>
      <c r="BM91" s="188">
        <f>IFERROR(BM90/BH90-1,"--")</f>
        <v>4.6798065279999967E-2</v>
      </c>
      <c r="BN91" s="188">
        <f>IFERROR(BN90/BI90-1,"--")</f>
        <v>4.8870932735999961E-2</v>
      </c>
      <c r="BO91" s="189">
        <f>IFERROR(BO90/BJ90-1,"--")</f>
        <v>4.8870932735999961E-2</v>
      </c>
    </row>
    <row r="92" spans="1:67">
      <c r="B92" s="187" t="s">
        <v>33</v>
      </c>
      <c r="C92" s="182"/>
      <c r="D92" s="182"/>
      <c r="E92" s="182"/>
      <c r="F92" s="182"/>
      <c r="G92" s="183"/>
      <c r="H92" s="182"/>
      <c r="I92" s="182"/>
      <c r="J92" s="188"/>
      <c r="K92" s="188"/>
      <c r="L92" s="189"/>
      <c r="M92" s="188"/>
      <c r="N92" s="188"/>
      <c r="O92" s="188"/>
      <c r="P92" s="188"/>
      <c r="Q92" s="189"/>
      <c r="R92" s="188" t="str">
        <f>IFERROR(R90/P90-1,"--")</f>
        <v>--</v>
      </c>
      <c r="S92" s="188">
        <f>IFERROR(S90/R90-1,"--")</f>
        <v>9.3014442518316809E-2</v>
      </c>
      <c r="T92" s="188">
        <f>IFERROR(T90/S90-1,"--")</f>
        <v>9.6197426877140169E-2</v>
      </c>
      <c r="U92" s="188">
        <f>IFERROR(U90/T90-1,"--")</f>
        <v>1.6152552970621015E-2</v>
      </c>
      <c r="V92" s="189" t="s">
        <v>36</v>
      </c>
      <c r="W92" s="188">
        <f>IFERROR(W90/U90-1,"--")</f>
        <v>2.8500136683601074E-2</v>
      </c>
      <c r="X92" s="188">
        <f>IFERROR(X90/W90-1,"--")</f>
        <v>8.6716378679634998E-2</v>
      </c>
      <c r="Y92" s="188">
        <f>IFERROR(Y90/X90-1,"--")</f>
        <v>5.2550841472121412E-2</v>
      </c>
      <c r="Z92" s="188">
        <f>IFERROR(Z90/Y90-1,"--")</f>
        <v>2.6186844712755342E-2</v>
      </c>
      <c r="AA92" s="189" t="s">
        <v>36</v>
      </c>
      <c r="AB92" s="188">
        <f>IFERROR(AB90/Z90-1,"--")</f>
        <v>6.7101613661363135E-2</v>
      </c>
      <c r="AC92" s="188">
        <f>IFERROR(AC90/AB90-1,"--")</f>
        <v>5.5979187602841485E-3</v>
      </c>
      <c r="AD92" s="188">
        <f>IFERROR(AD90/AB90-1,"--")</f>
        <v>5.8627277792280053E-2</v>
      </c>
      <c r="AE92" s="188">
        <f>IFERROR(AE90/AD90-1,"--")</f>
        <v>7.9629325047025912E-3</v>
      </c>
      <c r="AF92" s="189" t="s">
        <v>36</v>
      </c>
      <c r="AG92" s="188">
        <f>IFERROR(AG90/AE90-1,"--")</f>
        <v>6.7304013111095795E-3</v>
      </c>
      <c r="AH92" s="188">
        <f>IFERROR(AH90/AG90-1,"--")</f>
        <v>3.1738718387481768E-2</v>
      </c>
      <c r="AI92" s="188">
        <f>IFERROR(AI90/AG90-1,"--")</f>
        <v>3.3062886992149654E-2</v>
      </c>
      <c r="AJ92" s="188">
        <f>IFERROR(AJ90/AI90-1,"--")</f>
        <v>7.3909331595652938E-2</v>
      </c>
      <c r="AK92" s="189" t="s">
        <v>36</v>
      </c>
      <c r="AL92" s="188">
        <f>IFERROR(AL90/AJ90-1,"--")</f>
        <v>-1.983930937209244E-2</v>
      </c>
      <c r="AM92" s="188">
        <f>IFERROR(AM90/AL90-1,"--")</f>
        <v>0.14119996518464539</v>
      </c>
      <c r="AN92" s="188">
        <f>IFERROR(AN90/AL90-1,"--")</f>
        <v>2.7559204941569604E-2</v>
      </c>
      <c r="AO92" s="188">
        <f>IFERROR(AO90/AN90-1,"--")</f>
        <v>4.2508770572209809E-2</v>
      </c>
      <c r="AP92" s="189" t="s">
        <v>36</v>
      </c>
      <c r="AQ92" s="188">
        <f>IFERROR(AQ90/AO90-1,"--")</f>
        <v>-1.0507565392675389E-2</v>
      </c>
      <c r="AR92" s="188">
        <f>IFERROR(AR90/AQ90-1,"--")</f>
        <v>-4.7338524927791337E-3</v>
      </c>
      <c r="AS92" s="188">
        <f>IFERROR(AS90/AQ90-1,"--")</f>
        <v>8.9737356162133963E-3</v>
      </c>
      <c r="AT92" s="190">
        <v>7.0000000000000001E-3</v>
      </c>
      <c r="AU92" s="189" t="s">
        <v>36</v>
      </c>
      <c r="AV92" s="190">
        <v>5.0000000000000001E-3</v>
      </c>
      <c r="AW92" s="190">
        <v>5.0000000000000001E-3</v>
      </c>
      <c r="AX92" s="190">
        <v>5.0000000000000001E-3</v>
      </c>
      <c r="AY92" s="190">
        <v>5.0000000000000001E-3</v>
      </c>
      <c r="AZ92" s="189" t="s">
        <v>36</v>
      </c>
      <c r="BA92" s="190">
        <v>5.0000000000000001E-3</v>
      </c>
      <c r="BB92" s="190">
        <v>5.0000000000000001E-3</v>
      </c>
      <c r="BC92" s="190">
        <v>5.0000000000000001E-3</v>
      </c>
      <c r="BD92" s="190">
        <v>5.0000000000000001E-3</v>
      </c>
      <c r="BE92" s="189" t="s">
        <v>36</v>
      </c>
      <c r="BF92" s="190">
        <v>0.01</v>
      </c>
      <c r="BG92" s="190">
        <v>0.01</v>
      </c>
      <c r="BH92" s="190">
        <v>0.01</v>
      </c>
      <c r="BI92" s="190">
        <v>0.01</v>
      </c>
      <c r="BJ92" s="189" t="s">
        <v>36</v>
      </c>
      <c r="BK92" s="190">
        <v>1.2E-2</v>
      </c>
      <c r="BL92" s="190">
        <f>BK92</f>
        <v>1.2E-2</v>
      </c>
      <c r="BM92" s="190">
        <f>BL92</f>
        <v>1.2E-2</v>
      </c>
      <c r="BN92" s="190">
        <f>BM92</f>
        <v>1.2E-2</v>
      </c>
      <c r="BO92" s="189" t="s">
        <v>36</v>
      </c>
    </row>
    <row r="93" spans="1:67" s="59" customFormat="1">
      <c r="A93"/>
      <c r="B93" s="221" t="s">
        <v>178</v>
      </c>
      <c r="C93" s="182"/>
      <c r="D93" s="182"/>
      <c r="E93" s="182"/>
      <c r="F93" s="182"/>
      <c r="G93" s="183"/>
      <c r="H93" s="182"/>
      <c r="I93" s="182"/>
      <c r="J93" s="188"/>
      <c r="K93" s="188"/>
      <c r="L93" s="189"/>
      <c r="M93" s="188"/>
      <c r="N93" s="188"/>
      <c r="O93" s="188"/>
      <c r="P93" s="188"/>
      <c r="Q93" s="189"/>
      <c r="R93" s="222">
        <f>R79/R80*R94</f>
        <v>157.96799999999996</v>
      </c>
      <c r="S93" s="222">
        <f>S79/S80*S94</f>
        <v>197.798</v>
      </c>
      <c r="T93" s="222">
        <f>T79/T80*T94</f>
        <v>247.14300000000003</v>
      </c>
      <c r="U93" s="222">
        <f>U79/U80*U94</f>
        <v>292.37899999999996</v>
      </c>
      <c r="V93" s="223"/>
      <c r="W93" s="222">
        <f>W79/W80*W94</f>
        <v>327.8069999999999</v>
      </c>
      <c r="X93" s="222">
        <f>X79/X80*X94</f>
        <v>392.11399999999992</v>
      </c>
      <c r="Y93" s="222">
        <f>Y79/Y80*Y94</f>
        <v>446.08300000000008</v>
      </c>
      <c r="Z93" s="222">
        <f>Z79/Z80*Z94</f>
        <v>500.51700000000005</v>
      </c>
      <c r="AA93" s="223"/>
      <c r="AB93" s="222">
        <f>AB79/AB80*AB94</f>
        <v>567.11300000000017</v>
      </c>
      <c r="AC93" s="222">
        <f>AC79/AC80*AC94</f>
        <v>613.08720000000005</v>
      </c>
      <c r="AD93" s="222">
        <f>AD79/AD80*AD94</f>
        <v>679.77467999999988</v>
      </c>
      <c r="AE93" s="222">
        <f>AE79/AE80*AE94</f>
        <v>736.73753999999985</v>
      </c>
      <c r="AF93" s="223"/>
      <c r="AG93" s="222">
        <f>AG79/AG80*AG94</f>
        <v>768.39155999999991</v>
      </c>
      <c r="AH93" s="222">
        <f>AH79/AH80*AH94</f>
        <v>831.01031999999998</v>
      </c>
      <c r="AI93" s="222">
        <f>AI79/AI80*AI94</f>
        <v>869.43079999999986</v>
      </c>
      <c r="AJ93" s="222">
        <f>AJ79/AJ80*AJ94</f>
        <v>986.73412999999982</v>
      </c>
      <c r="AK93" s="223"/>
      <c r="AL93" s="222">
        <f>AL79/AL80*AL94</f>
        <v>1003.2274</v>
      </c>
      <c r="AM93" s="222">
        <f>AM79/AM80*AM94</f>
        <v>1191.6079500000003</v>
      </c>
      <c r="AN93" s="222">
        <f>AN79/AN80*AN94</f>
        <v>1107.4510600000001</v>
      </c>
      <c r="AO93" s="222">
        <f>AO79/AO80*AO94</f>
        <v>1211.8477</v>
      </c>
      <c r="AP93" s="223"/>
      <c r="AQ93" s="222">
        <f>AQ79/AQ80*AQ94</f>
        <v>1247.6803199999999</v>
      </c>
      <c r="AR93" s="222">
        <f>AR79/AR80*AR94</f>
        <v>1297.1950199999997</v>
      </c>
      <c r="AS93" s="222">
        <f>AS79/AS80*AS94</f>
        <v>1382.36637</v>
      </c>
      <c r="AT93" s="222">
        <f>AT79/AT80*AT94</f>
        <v>1455.0636990412654</v>
      </c>
      <c r="AU93" s="223"/>
      <c r="AV93" s="222">
        <f>AV79/AV80*AV94</f>
        <v>1516.4701590388768</v>
      </c>
      <c r="AW93" s="222">
        <f>AW79/AW80*AW94</f>
        <v>1586.7216165395191</v>
      </c>
      <c r="AX93" s="222">
        <f>AX79/AX80*AX94</f>
        <v>1670.6182181921056</v>
      </c>
      <c r="AY93" s="222">
        <f>AY79/AY80*AY94</f>
        <v>1749.0443998166388</v>
      </c>
      <c r="AZ93" s="223"/>
      <c r="BA93" s="222">
        <f>BA79/BA80*BA94</f>
        <v>1817.0560512008308</v>
      </c>
      <c r="BB93" s="222">
        <f>BB79/BB80*BB94</f>
        <v>1895.1622381940851</v>
      </c>
      <c r="BC93" s="222">
        <f>BC79/BC80*BC94</f>
        <v>1988.9763267248536</v>
      </c>
      <c r="BD93" s="222">
        <f>BD79/BD80*BD94</f>
        <v>2075.6565590269347</v>
      </c>
      <c r="BE93" s="223"/>
      <c r="BF93" s="222">
        <f>BF79/BF80*BF94</f>
        <v>2159.6451655466358</v>
      </c>
      <c r="BG93" s="222">
        <f>BG79/BG80*BG94</f>
        <v>2255.8733642293514</v>
      </c>
      <c r="BH93" s="222">
        <f>BH79/BH80*BH94</f>
        <v>2371.0841911137368</v>
      </c>
      <c r="BI93" s="222">
        <f>BI79/BI80*BI94</f>
        <v>2478.0875930909369</v>
      </c>
      <c r="BJ93" s="223"/>
      <c r="BK93" s="222">
        <f>BK79/BK80*BK94</f>
        <v>2574.4585425838122</v>
      </c>
      <c r="BL93" s="222">
        <f>BL79/BL80*BL94</f>
        <v>2685.0677323345203</v>
      </c>
      <c r="BM93" s="222">
        <f>BM79/BM80*BM94</f>
        <v>2817.858483383699</v>
      </c>
      <c r="BN93" s="222">
        <f>BN79/BN80*BN94</f>
        <v>2937.8598863584084</v>
      </c>
      <c r="BO93" s="223"/>
    </row>
    <row r="94" spans="1:67">
      <c r="B94" s="192" t="s">
        <v>171</v>
      </c>
      <c r="C94" s="182"/>
      <c r="D94" s="182"/>
      <c r="E94" s="182"/>
      <c r="F94" s="182"/>
      <c r="G94" s="183"/>
      <c r="H94" s="182"/>
      <c r="I94" s="182"/>
      <c r="J94" s="188"/>
      <c r="K94" s="188"/>
      <c r="L94" s="189"/>
      <c r="M94" s="188"/>
      <c r="N94" s="188"/>
      <c r="O94" s="188"/>
      <c r="P94" s="188"/>
      <c r="Q94" s="189"/>
      <c r="R94" s="188">
        <f>1-R80</f>
        <v>0.50747879722436384</v>
      </c>
      <c r="S94" s="188">
        <f>1-S80</f>
        <v>0.52233823987662342</v>
      </c>
      <c r="T94" s="188">
        <f>1-T80</f>
        <v>0.53968659512859829</v>
      </c>
      <c r="U94" s="188">
        <f>1-U80</f>
        <v>0.5279562436573888</v>
      </c>
      <c r="V94" s="189">
        <f>U94</f>
        <v>0.5279562436573888</v>
      </c>
      <c r="W94" s="188">
        <f>1-W80</f>
        <v>0.49234537936669331</v>
      </c>
      <c r="X94" s="188">
        <f>1-X80</f>
        <v>0.49309242543516585</v>
      </c>
      <c r="Y94" s="188">
        <f>1-Y80</f>
        <v>0.46505782428880771</v>
      </c>
      <c r="Z94" s="188">
        <f>1-Z80</f>
        <v>0.43886944756937718</v>
      </c>
      <c r="AA94" s="189">
        <f>Z94</f>
        <v>0.43886944756937718</v>
      </c>
      <c r="AB94" s="188">
        <f>1-AB80</f>
        <v>0.42928210628784336</v>
      </c>
      <c r="AC94" s="188">
        <f>1-AC80</f>
        <v>0.4</v>
      </c>
      <c r="AD94" s="188">
        <f>1-AD80</f>
        <v>0.39</v>
      </c>
      <c r="AE94" s="188">
        <f>1-AE80</f>
        <v>0.38</v>
      </c>
      <c r="AF94" s="189">
        <f>AE94</f>
        <v>0.38</v>
      </c>
      <c r="AG94" s="188">
        <f>1-AG80</f>
        <v>0.36</v>
      </c>
      <c r="AH94" s="188">
        <f>1-AH80</f>
        <v>0.36</v>
      </c>
      <c r="AI94" s="188">
        <f>1-AI80</f>
        <v>0.35</v>
      </c>
      <c r="AJ94" s="188">
        <f>1-AJ80</f>
        <v>0.37</v>
      </c>
      <c r="AK94" s="189">
        <f>AJ94</f>
        <v>0.37</v>
      </c>
      <c r="AL94" s="188">
        <f>1-AL80</f>
        <v>0.35</v>
      </c>
      <c r="AM94" s="188">
        <f>1-AM80</f>
        <v>0.39</v>
      </c>
      <c r="AN94" s="188">
        <f>1-AN80</f>
        <v>0.33999999999999997</v>
      </c>
      <c r="AO94" s="188">
        <f>1-AO80</f>
        <v>0.35</v>
      </c>
      <c r="AP94" s="189">
        <f>AO94</f>
        <v>0.35</v>
      </c>
      <c r="AQ94" s="188">
        <f>1-AQ80</f>
        <v>0.33999999999999997</v>
      </c>
      <c r="AR94" s="188">
        <f>1-AR80</f>
        <v>0.32999999999999996</v>
      </c>
      <c r="AS94" s="188">
        <f>1-AS80</f>
        <v>0.32999999999999996</v>
      </c>
      <c r="AT94" s="188">
        <f>1-AT80</f>
        <v>0.32738509220529677</v>
      </c>
      <c r="AU94" s="189">
        <f>AT94</f>
        <v>0.32738509220529677</v>
      </c>
      <c r="AV94" s="188">
        <f>1-AV80</f>
        <v>0.32201407924676684</v>
      </c>
      <c r="AW94" s="188">
        <f>1-AW80</f>
        <v>0.31912880812363109</v>
      </c>
      <c r="AX94" s="188">
        <f>1-AX80</f>
        <v>0.31796559775310995</v>
      </c>
      <c r="AY94" s="188">
        <f>1-AY80</f>
        <v>0.31527034210955784</v>
      </c>
      <c r="AZ94" s="189">
        <f>AY94</f>
        <v>0.31527034210955784</v>
      </c>
      <c r="BA94" s="188">
        <f>1-BA80</f>
        <v>0.31021934216931879</v>
      </c>
      <c r="BB94" s="188">
        <f>1-BB80</f>
        <v>0.30591449327411768</v>
      </c>
      <c r="BC94" s="188">
        <f>1-BC80</f>
        <v>0.30323215944510373</v>
      </c>
      <c r="BD94" s="188">
        <f>1-BD80</f>
        <v>0.30010730993319779</v>
      </c>
      <c r="BE94" s="189">
        <f>BD94</f>
        <v>0.30010730993319779</v>
      </c>
      <c r="BF94" s="188">
        <f>1-BF80</f>
        <v>0.2968021463137599</v>
      </c>
      <c r="BG94" s="188">
        <f>1-BG80</f>
        <v>0.29451747577745591</v>
      </c>
      <c r="BH94" s="188">
        <f>1-BH80</f>
        <v>0.29240034071384913</v>
      </c>
      <c r="BI94" s="188">
        <f>1-BI80</f>
        <v>0.28884566203535877</v>
      </c>
      <c r="BJ94" s="189">
        <f>BI94</f>
        <v>0.28884566203535877</v>
      </c>
      <c r="BK94" s="188">
        <f>1-BK80</f>
        <v>0.28425304831958431</v>
      </c>
      <c r="BL94" s="188">
        <f>1-BL80</f>
        <v>0.28153889090870321</v>
      </c>
      <c r="BM94" s="188">
        <f>1-BM80</f>
        <v>0.27961514210269345</v>
      </c>
      <c r="BN94" s="188">
        <f>1-BN80</f>
        <v>0.27709285508351111</v>
      </c>
      <c r="BO94" s="189">
        <f>BN94</f>
        <v>0.27709285508351111</v>
      </c>
    </row>
    <row r="95" spans="1:67">
      <c r="B95" s="162"/>
      <c r="G95" s="224"/>
      <c r="J95" s="71"/>
      <c r="K95" s="71"/>
      <c r="L95" s="225"/>
      <c r="M95" s="71"/>
      <c r="N95" s="71"/>
      <c r="O95" s="71"/>
      <c r="P95" s="71"/>
      <c r="Q95" s="225"/>
      <c r="R95" s="71"/>
      <c r="S95" s="71"/>
      <c r="T95" s="71"/>
      <c r="U95" s="71"/>
      <c r="V95" s="225"/>
      <c r="W95" s="71"/>
      <c r="X95" s="71"/>
      <c r="Y95" s="71"/>
      <c r="Z95" s="71"/>
      <c r="AA95" s="225"/>
      <c r="AB95" s="71"/>
      <c r="AC95" s="71"/>
      <c r="AD95" s="71"/>
      <c r="AE95" s="71"/>
      <c r="AF95" s="224"/>
      <c r="AH95" s="71"/>
      <c r="AJ95" s="71"/>
      <c r="AK95" s="224"/>
      <c r="AO95" s="71"/>
      <c r="AP95" s="224"/>
      <c r="AU95" s="1225"/>
      <c r="AZ95" s="224"/>
      <c r="BE95" s="224"/>
      <c r="BJ95" s="224"/>
      <c r="BO95" s="224"/>
    </row>
    <row r="96" spans="1:67">
      <c r="A96" s="57"/>
      <c r="B96" s="204" t="s">
        <v>37</v>
      </c>
      <c r="C96" s="205"/>
      <c r="D96" s="205"/>
      <c r="E96" s="205"/>
      <c r="F96" s="205"/>
      <c r="G96" s="206"/>
      <c r="H96" s="207">
        <f t="shared" ref="H96:AE96" si="47">H15</f>
        <v>13.186</v>
      </c>
      <c r="I96" s="207">
        <f t="shared" si="47"/>
        <v>17.675000000000001</v>
      </c>
      <c r="J96" s="207">
        <f t="shared" si="47"/>
        <v>28.457000000000001</v>
      </c>
      <c r="K96" s="207">
        <f t="shared" si="47"/>
        <v>36.365000000000002</v>
      </c>
      <c r="L96" s="208">
        <f t="shared" si="47"/>
        <v>95.682999999999993</v>
      </c>
      <c r="M96" s="207">
        <f t="shared" si="47"/>
        <v>42.765999999999998</v>
      </c>
      <c r="N96" s="207">
        <f t="shared" si="47"/>
        <v>57.817999999999998</v>
      </c>
      <c r="O96" s="207">
        <f t="shared" si="47"/>
        <v>69.212999999999994</v>
      </c>
      <c r="P96" s="207">
        <f t="shared" si="47"/>
        <v>82.432000000000002</v>
      </c>
      <c r="Q96" s="208">
        <f t="shared" si="47"/>
        <v>252.22899999999998</v>
      </c>
      <c r="R96" s="207">
        <f t="shared" si="47"/>
        <v>101.81699999999999</v>
      </c>
      <c r="S96" s="207">
        <f t="shared" si="47"/>
        <v>125.21599999999999</v>
      </c>
      <c r="T96" s="207">
        <f t="shared" si="47"/>
        <v>148.47300000000001</v>
      </c>
      <c r="U96" s="207">
        <f t="shared" si="47"/>
        <v>178.28800000000001</v>
      </c>
      <c r="V96" s="208">
        <f t="shared" si="47"/>
        <v>553.79399999999998</v>
      </c>
      <c r="W96" s="207">
        <f t="shared" si="47"/>
        <v>213.83</v>
      </c>
      <c r="X96" s="207">
        <f t="shared" si="47"/>
        <v>254.62299999999999</v>
      </c>
      <c r="Y96" s="207">
        <f t="shared" si="47"/>
        <v>312.45800000000003</v>
      </c>
      <c r="Z96" s="207">
        <f t="shared" si="47"/>
        <v>359.55799999999999</v>
      </c>
      <c r="AA96" s="208">
        <f t="shared" si="47"/>
        <v>1140.4690000000001</v>
      </c>
      <c r="AB96" s="207">
        <f t="shared" si="47"/>
        <v>394.43400000000003</v>
      </c>
      <c r="AC96" s="207">
        <f t="shared" si="47"/>
        <v>466.26799999999997</v>
      </c>
      <c r="AD96" s="207">
        <f t="shared" si="47"/>
        <v>522.75199999999995</v>
      </c>
      <c r="AE96" s="207">
        <f t="shared" si="47"/>
        <v>555.32899999999995</v>
      </c>
      <c r="AF96" s="208">
        <f>SUM(AB96:AE96)</f>
        <v>1938.7829999999999</v>
      </c>
      <c r="AG96" s="207">
        <f>(((AG68*AG76)+(AG82*AG90))/1000)-SUM(AC15:AE15)</f>
        <v>590.07199999999989</v>
      </c>
      <c r="AH96" s="207">
        <f>AH15</f>
        <v>640.20899999999995</v>
      </c>
      <c r="AI96" s="207">
        <f>AI15</f>
        <v>698.47799999999995</v>
      </c>
      <c r="AJ96" s="207">
        <f>AJ15</f>
        <v>738.09</v>
      </c>
      <c r="AK96" s="208">
        <f>SUM(AG96:AJ96)</f>
        <v>2666.8490000000002</v>
      </c>
      <c r="AL96" s="207">
        <f>(((AL68*AL76)+(AL82*AL90))/1000)-SUM(AH15:AJ15)</f>
        <v>789.58699999999999</v>
      </c>
      <c r="AM96" s="207">
        <f>AM15</f>
        <v>829.25</v>
      </c>
      <c r="AN96" s="207">
        <f>AN15</f>
        <v>900.28200000000004</v>
      </c>
      <c r="AO96" s="207">
        <f>AO15</f>
        <v>943.303</v>
      </c>
      <c r="AP96" s="208">
        <f>SUM(AL96:AO96)</f>
        <v>3462.422</v>
      </c>
      <c r="AQ96" s="207">
        <f>(((AQ68*AQ76)+(AQ82*AQ90))/1000)-SUM(AM15:AO15)</f>
        <v>996.8130000000001</v>
      </c>
      <c r="AR96" s="207">
        <f>AR15</f>
        <v>1090.4960000000001</v>
      </c>
      <c r="AS96" s="207">
        <f>AS15</f>
        <v>1158.377</v>
      </c>
      <c r="AT96" s="207">
        <f>(((AT68*AT76)+(AT82*AT90))/1000)-SUM(AQ15:AS15)</f>
        <v>1198.8160060010046</v>
      </c>
      <c r="AU96" s="208">
        <f>SUM(AQ96:AT96)</f>
        <v>4444.5020060010047</v>
      </c>
      <c r="AV96" s="207">
        <f>(((AV68*AV76)+(AV82*AV90))/1000)-SUM(AR15:AT15)</f>
        <v>1261.6397369722818</v>
      </c>
      <c r="AW96" s="207">
        <f>(((AW68*AW76)+(AW82*AW90))/1000)-SUM(AV15,AS15:AT15)</f>
        <v>1353.2085649515693</v>
      </c>
      <c r="AX96" s="207">
        <f>(((AX68*AX76)+(AX82*AX90))/1000)-SUM(AV15:AW15,AT15)</f>
        <v>1440.4205050154637</v>
      </c>
      <c r="AY96" s="207">
        <f>(((AY68*AY76)+(AY82*AY90))/1000)-SUM(AV15:AX15)</f>
        <v>1492.4918486089259</v>
      </c>
      <c r="AZ96" s="208">
        <f>SUM(AV96:AY96)</f>
        <v>5547.7606555482407</v>
      </c>
      <c r="BA96" s="207">
        <f>(((BA68*BA76)+(BA82*BA90))/1000)-SUM(AW15:AY15)</f>
        <v>1571.2058312469926</v>
      </c>
      <c r="BB96" s="207">
        <f>(((BB68*BB76)+(BB82*BB90))/1000)-SUM(BA15,AX15:AY15)</f>
        <v>1690.9535749223132</v>
      </c>
      <c r="BC96" s="207">
        <f>(((BC68*BC76)+(BC82*BC90))/1000)-SUM(BA15:BB15,AY15)</f>
        <v>1804.6013336166088</v>
      </c>
      <c r="BD96" s="207">
        <f>(((BD68*BD76)+(BD82*BD90))/1000)-SUM(BA15:BC15)</f>
        <v>1849.6204689522674</v>
      </c>
      <c r="BE96" s="208">
        <f>SUM(BA96:BD96)</f>
        <v>6916.3812087381821</v>
      </c>
      <c r="BF96" s="207">
        <f>(((BF68*BF76)+(BF82*BF90))/1000)-SUM(BB15:BD15)</f>
        <v>1931.2045017284154</v>
      </c>
      <c r="BG96" s="207">
        <f>(((BG68*BG76)+(BG82*BG90))/1000)-SUM(BF15,BC15:BD15)</f>
        <v>2074.1305972902419</v>
      </c>
      <c r="BH96" s="207">
        <f>(((BH68*BH76)+(BH82*BH90))/1000)-SUM(BF15:BG15,BD15)</f>
        <v>2254.0780443877684</v>
      </c>
      <c r="BI96" s="207">
        <f>(((BI68*BI76)+(BI82*BI90))/1000)-SUM(BF15:BH15)</f>
        <v>2319.8661008412655</v>
      </c>
      <c r="BJ96" s="208">
        <f>SUM(BF96:BI96)</f>
        <v>8579.2792442476912</v>
      </c>
      <c r="BK96" s="207">
        <f>(((BK68*BK76)+(BK82*BK90))/1000)-SUM(BG15:BI15)</f>
        <v>2408.8502677953411</v>
      </c>
      <c r="BL96" s="207">
        <f>(((BL68*BL76)+(BL82*BL90))/1000)-SUM(BK15,BH15:BI15)</f>
        <v>2554.3168672968504</v>
      </c>
      <c r="BM96" s="207">
        <f>(((BM68*BM76)+(BM82*BM90))/1000)-SUM(BK15:BL15,BI15)</f>
        <v>2794.5986912702283</v>
      </c>
      <c r="BN96" s="207">
        <f>(((BN68*BN76)+(BN82*BN90))/1000)-SUM(BK15:BM15)</f>
        <v>2844.6724265942903</v>
      </c>
      <c r="BO96" s="208">
        <f>SUM(BK96:BN96)</f>
        <v>10602.43825295671</v>
      </c>
    </row>
    <row r="97" spans="1:67">
      <c r="B97" s="193" t="s">
        <v>78</v>
      </c>
      <c r="C97" s="194"/>
      <c r="D97" s="194"/>
      <c r="E97" s="194"/>
      <c r="F97" s="195"/>
      <c r="G97" s="196"/>
      <c r="H97" s="195"/>
      <c r="I97" s="195">
        <f>I96-H96</f>
        <v>4.4890000000000008</v>
      </c>
      <c r="J97" s="195">
        <f>J96-I96</f>
        <v>10.782</v>
      </c>
      <c r="K97" s="195">
        <f>K96-J96</f>
        <v>7.9080000000000013</v>
      </c>
      <c r="L97" s="197">
        <f>SUM(H97:K97)</f>
        <v>23.179000000000002</v>
      </c>
      <c r="M97" s="198" t="s">
        <v>36</v>
      </c>
      <c r="N97" s="195">
        <f>N96-M96</f>
        <v>15.052</v>
      </c>
      <c r="O97" s="195">
        <f>O96-N96</f>
        <v>11.394999999999996</v>
      </c>
      <c r="P97" s="195">
        <f>P96-O96</f>
        <v>13.219000000000008</v>
      </c>
      <c r="Q97" s="197">
        <f>SUM(M97:P97)</f>
        <v>39.666000000000004</v>
      </c>
      <c r="R97" s="195">
        <f>R96-P96</f>
        <v>19.384999999999991</v>
      </c>
      <c r="S97" s="195">
        <f>S96-R96</f>
        <v>23.399000000000001</v>
      </c>
      <c r="T97" s="195">
        <f>T96-S96</f>
        <v>23.257000000000019</v>
      </c>
      <c r="U97" s="195">
        <f>U96-T96</f>
        <v>29.814999999999998</v>
      </c>
      <c r="V97" s="197">
        <f>SUM(R97:U97)</f>
        <v>95.856000000000009</v>
      </c>
      <c r="W97" s="195">
        <f>W96-U96</f>
        <v>35.542000000000002</v>
      </c>
      <c r="X97" s="195">
        <f>X96-W96</f>
        <v>40.792999999999978</v>
      </c>
      <c r="Y97" s="195">
        <f>Y96-X96</f>
        <v>57.835000000000036</v>
      </c>
      <c r="Z97" s="195">
        <f>Z96-Y96</f>
        <v>47.099999999999966</v>
      </c>
      <c r="AA97" s="197">
        <f>SUM(W97:Z97)</f>
        <v>181.26999999999998</v>
      </c>
      <c r="AB97" s="195">
        <f>AB96-Z96</f>
        <v>34.876000000000033</v>
      </c>
      <c r="AC97" s="195">
        <f>AC96-AB96</f>
        <v>71.833999999999946</v>
      </c>
      <c r="AD97" s="195">
        <f>AD96-AC96</f>
        <v>56.48399999999998</v>
      </c>
      <c r="AE97" s="195">
        <f>AE96-AD96</f>
        <v>32.576999999999998</v>
      </c>
      <c r="AF97" s="197">
        <f>SUM(AB97:AE97)</f>
        <v>195.77099999999996</v>
      </c>
      <c r="AG97" s="195">
        <f>AG96-AE96</f>
        <v>34.742999999999938</v>
      </c>
      <c r="AH97" s="195">
        <f>AH96-AG96</f>
        <v>50.137000000000057</v>
      </c>
      <c r="AI97" s="195">
        <f>AI96-AH96</f>
        <v>58.269000000000005</v>
      </c>
      <c r="AJ97" s="195">
        <f>AJ96-AI96</f>
        <v>39.61200000000008</v>
      </c>
      <c r="AK97" s="197">
        <f>SUM(AG97:AJ97)</f>
        <v>182.76100000000008</v>
      </c>
      <c r="AL97" s="195">
        <f>AL96-AJ96</f>
        <v>51.496999999999957</v>
      </c>
      <c r="AM97" s="195">
        <f>AM96-AL96</f>
        <v>39.663000000000011</v>
      </c>
      <c r="AN97" s="195">
        <f>AN96-AM96</f>
        <v>71.032000000000039</v>
      </c>
      <c r="AO97" s="195">
        <f>AO96-AN96</f>
        <v>43.020999999999958</v>
      </c>
      <c r="AP97" s="197">
        <f>SUM(AL97:AO97)</f>
        <v>205.21299999999997</v>
      </c>
      <c r="AQ97" s="195">
        <f>AQ96-AO96</f>
        <v>53.510000000000105</v>
      </c>
      <c r="AR97" s="195">
        <f>AR96-AQ96</f>
        <v>93.682999999999993</v>
      </c>
      <c r="AS97" s="195">
        <f>AS96-AR96</f>
        <v>67.880999999999858</v>
      </c>
      <c r="AT97" s="195">
        <f>AT96-AS96</f>
        <v>40.4390060010046</v>
      </c>
      <c r="AU97" s="197">
        <f>SUM(AQ97:AT97)</f>
        <v>255.51300600100456</v>
      </c>
      <c r="AV97" s="195">
        <f>AV96-AT96</f>
        <v>62.8237309712772</v>
      </c>
      <c r="AW97" s="195">
        <f>AW96-AV96</f>
        <v>91.568827979287562</v>
      </c>
      <c r="AX97" s="195">
        <f>AX96-AW96</f>
        <v>87.211940063894417</v>
      </c>
      <c r="AY97" s="195">
        <f>AY96-AX96</f>
        <v>52.071343593462188</v>
      </c>
      <c r="AZ97" s="197">
        <f>SUM(AV97:AY97)</f>
        <v>293.67584260792137</v>
      </c>
      <c r="BA97" s="195">
        <f>BA96-AY96</f>
        <v>78.713982638066682</v>
      </c>
      <c r="BB97" s="195">
        <f>BB96-BA96</f>
        <v>119.74774367532063</v>
      </c>
      <c r="BC97" s="195">
        <f>BC96-BB96</f>
        <v>113.64775869429559</v>
      </c>
      <c r="BD97" s="195">
        <f>BD96-BC96</f>
        <v>45.019135335658575</v>
      </c>
      <c r="BE97" s="197">
        <f>SUM(BA97:BD97)</f>
        <v>357.12862034334148</v>
      </c>
      <c r="BF97" s="195">
        <f>BF96-BD96</f>
        <v>81.584032776147978</v>
      </c>
      <c r="BG97" s="195">
        <f>BG96-BF96</f>
        <v>142.92609556182651</v>
      </c>
      <c r="BH97" s="195">
        <f>BH96-BG96</f>
        <v>179.94744709752649</v>
      </c>
      <c r="BI97" s="195">
        <f>BI96-BH96</f>
        <v>65.78805645349712</v>
      </c>
      <c r="BJ97" s="197">
        <f>SUM(BF97:BI97)</f>
        <v>470.2456318889981</v>
      </c>
      <c r="BK97" s="195">
        <f>BK96-BI96</f>
        <v>88.98416695407559</v>
      </c>
      <c r="BL97" s="195">
        <f>BL96-BK96</f>
        <v>145.46659950150934</v>
      </c>
      <c r="BM97" s="195">
        <f>BM96-BL96</f>
        <v>240.28182397337787</v>
      </c>
      <c r="BN97" s="195">
        <f>BN96-BM96</f>
        <v>50.073735324062</v>
      </c>
      <c r="BO97" s="197">
        <f>SUM(BK97:BN97)</f>
        <v>524.80632575302479</v>
      </c>
    </row>
    <row r="98" spans="1:67">
      <c r="B98" s="193" t="s">
        <v>32</v>
      </c>
      <c r="C98" s="194"/>
      <c r="D98" s="194"/>
      <c r="E98" s="194"/>
      <c r="F98" s="199"/>
      <c r="G98" s="196"/>
      <c r="H98" s="199" t="str">
        <f t="shared" ref="H98:AM98" si="48">IFERROR(H96/C96-1,"--")</f>
        <v>--</v>
      </c>
      <c r="I98" s="199" t="str">
        <f t="shared" si="48"/>
        <v>--</v>
      </c>
      <c r="J98" s="199" t="str">
        <f t="shared" si="48"/>
        <v>--</v>
      </c>
      <c r="K98" s="199" t="str">
        <f t="shared" si="48"/>
        <v>--</v>
      </c>
      <c r="L98" s="200" t="str">
        <f t="shared" si="48"/>
        <v>--</v>
      </c>
      <c r="M98" s="199">
        <f t="shared" si="48"/>
        <v>2.2432883361140603</v>
      </c>
      <c r="N98" s="199">
        <f t="shared" si="48"/>
        <v>2.2711739745403108</v>
      </c>
      <c r="O98" s="199">
        <f t="shared" si="48"/>
        <v>1.4321959447587584</v>
      </c>
      <c r="P98" s="199">
        <f t="shared" si="48"/>
        <v>1.2667949951876802</v>
      </c>
      <c r="Q98" s="200">
        <f t="shared" si="48"/>
        <v>1.6360900055391241</v>
      </c>
      <c r="R98" s="199">
        <f t="shared" si="48"/>
        <v>1.3807931534396483</v>
      </c>
      <c r="S98" s="199">
        <f t="shared" si="48"/>
        <v>1.1656923449444809</v>
      </c>
      <c r="T98" s="199">
        <f t="shared" si="48"/>
        <v>1.1451605912184131</v>
      </c>
      <c r="U98" s="199">
        <f t="shared" si="48"/>
        <v>1.1628493788819876</v>
      </c>
      <c r="V98" s="200">
        <f t="shared" si="48"/>
        <v>1.1956000301313487</v>
      </c>
      <c r="W98" s="199">
        <f t="shared" si="48"/>
        <v>1.1001404480587724</v>
      </c>
      <c r="X98" s="199">
        <f t="shared" si="48"/>
        <v>1.0334701635573729</v>
      </c>
      <c r="Y98" s="199">
        <f t="shared" si="48"/>
        <v>1.1044769082594144</v>
      </c>
      <c r="Z98" s="199">
        <f t="shared" si="48"/>
        <v>1.0167257471058062</v>
      </c>
      <c r="AA98" s="200">
        <f t="shared" si="48"/>
        <v>1.0593740632798481</v>
      </c>
      <c r="AB98" s="199">
        <f t="shared" si="48"/>
        <v>0.84461488098021786</v>
      </c>
      <c r="AC98" s="199">
        <f t="shared" si="48"/>
        <v>0.83120927803065703</v>
      </c>
      <c r="AD98" s="199">
        <f t="shared" si="48"/>
        <v>0.67303125540072561</v>
      </c>
      <c r="AE98" s="199">
        <f t="shared" si="48"/>
        <v>0.54447682988558155</v>
      </c>
      <c r="AF98" s="200">
        <f t="shared" si="48"/>
        <v>0.69998746129881639</v>
      </c>
      <c r="AG98" s="201">
        <f t="shared" si="48"/>
        <v>0.49599679540810349</v>
      </c>
      <c r="AH98" s="199">
        <f t="shared" si="48"/>
        <v>0.37304940506318252</v>
      </c>
      <c r="AI98" s="199">
        <f t="shared" si="48"/>
        <v>0.3361555766405484</v>
      </c>
      <c r="AJ98" s="199">
        <f t="shared" si="48"/>
        <v>0.32910400861471323</v>
      </c>
      <c r="AK98" s="200">
        <f t="shared" si="48"/>
        <v>0.37552732822600587</v>
      </c>
      <c r="AL98" s="201">
        <f t="shared" si="48"/>
        <v>0.33811975487737111</v>
      </c>
      <c r="AM98" s="199">
        <f t="shared" si="48"/>
        <v>0.2952801350808878</v>
      </c>
      <c r="AN98" s="199">
        <f t="shared" ref="AN98:BI98" si="49">IFERROR(AN96/AI96-1,"--")</f>
        <v>0.28891962237894409</v>
      </c>
      <c r="AO98" s="199">
        <f>IFERROR(AO96/AJ96-1,"--")</f>
        <v>0.27803248926282698</v>
      </c>
      <c r="AP98" s="200">
        <f>IFERROR(AP96/AK96-1,"--")</f>
        <v>0.29831947740573228</v>
      </c>
      <c r="AQ98" s="201">
        <f t="shared" ref="AQ98:AR98" si="50">IFERROR(AQ96/AL96-1,"--")</f>
        <v>0.26244859654477604</v>
      </c>
      <c r="AR98" s="199">
        <f t="shared" si="50"/>
        <v>0.31503889056376244</v>
      </c>
      <c r="AS98" s="199">
        <f t="shared" si="49"/>
        <v>0.28668239507176629</v>
      </c>
      <c r="AT98" s="202">
        <f t="shared" si="49"/>
        <v>0.27087055378919023</v>
      </c>
      <c r="AU98" s="200">
        <f t="shared" si="49"/>
        <v>0.28363960430040147</v>
      </c>
      <c r="AV98" s="201">
        <f t="shared" si="49"/>
        <v>0.26567343821988842</v>
      </c>
      <c r="AW98" s="202">
        <f t="shared" si="49"/>
        <v>0.2409110761997928</v>
      </c>
      <c r="AX98" s="202">
        <f t="shared" si="49"/>
        <v>0.24348161696534354</v>
      </c>
      <c r="AY98" s="202">
        <f>IFERROR(AY96/AT96-1,"--")</f>
        <v>0.24497157290013294</v>
      </c>
      <c r="AZ98" s="200">
        <f t="shared" si="49"/>
        <v>0.24822998123470463</v>
      </c>
      <c r="BA98" s="201">
        <f t="shared" si="49"/>
        <v>0.24536805967891917</v>
      </c>
      <c r="BB98" s="202">
        <f t="shared" si="49"/>
        <v>0.24958828869283112</v>
      </c>
      <c r="BC98" s="202">
        <f t="shared" si="49"/>
        <v>0.252829522582529</v>
      </c>
      <c r="BD98" s="202">
        <f t="shared" si="49"/>
        <v>0.23928346454702742</v>
      </c>
      <c r="BE98" s="200">
        <f t="shared" si="49"/>
        <v>0.24669783686886393</v>
      </c>
      <c r="BF98" s="201">
        <f t="shared" si="49"/>
        <v>0.22912253972206087</v>
      </c>
      <c r="BG98" s="202">
        <f t="shared" si="49"/>
        <v>0.22660410554768351</v>
      </c>
      <c r="BH98" s="202">
        <f t="shared" si="49"/>
        <v>0.24907258040775204</v>
      </c>
      <c r="BI98" s="202">
        <f t="shared" si="49"/>
        <v>0.25423898566356828</v>
      </c>
      <c r="BJ98" s="200">
        <f t="shared" ref="BJ98:BO98" si="51">IFERROR(BJ96/BE96-1,"--")</f>
        <v>0.24042891583370185</v>
      </c>
      <c r="BK98" s="201">
        <f t="shared" si="51"/>
        <v>0.24733049536671858</v>
      </c>
      <c r="BL98" s="202">
        <f t="shared" si="51"/>
        <v>0.23151207095346371</v>
      </c>
      <c r="BM98" s="202">
        <f t="shared" si="51"/>
        <v>0.23979677555009915</v>
      </c>
      <c r="BN98" s="202">
        <f t="shared" si="51"/>
        <v>0.22622267964634313</v>
      </c>
      <c r="BO98" s="200">
        <f t="shared" si="51"/>
        <v>0.2358192280622553</v>
      </c>
    </row>
    <row r="99" spans="1:67">
      <c r="B99" s="193" t="s">
        <v>33</v>
      </c>
      <c r="C99" s="194"/>
      <c r="D99" s="194"/>
      <c r="E99" s="194"/>
      <c r="F99" s="199"/>
      <c r="G99" s="196"/>
      <c r="H99" s="199" t="str">
        <f>IFERROR(H96/G96-1,"--")</f>
        <v>--</v>
      </c>
      <c r="I99" s="199">
        <f>IFERROR(I96/H96-1,"--")</f>
        <v>0.3404368269376612</v>
      </c>
      <c r="J99" s="199">
        <f>IFERROR(J96/I96-1,"--")</f>
        <v>0.61001414427157008</v>
      </c>
      <c r="K99" s="199">
        <f>IFERROR(K96/J96-1,"--")</f>
        <v>0.2778929613100467</v>
      </c>
      <c r="L99" s="200" t="s">
        <v>36</v>
      </c>
      <c r="M99" s="199">
        <f>IFERROR(M96/K96-1,"--")</f>
        <v>0.17602089921627928</v>
      </c>
      <c r="N99" s="199">
        <f>IFERROR(N96/M96-1,"--")</f>
        <v>0.35196183884394139</v>
      </c>
      <c r="O99" s="199">
        <f>IFERROR(O96/N96-1,"--")</f>
        <v>0.19708395309419213</v>
      </c>
      <c r="P99" s="199">
        <f>IFERROR(P96/O96-1,"--")</f>
        <v>0.19099013191163516</v>
      </c>
      <c r="Q99" s="200" t="s">
        <v>36</v>
      </c>
      <c r="R99" s="199">
        <f>IFERROR(R96/P96-1,"--")</f>
        <v>0.23516352872670798</v>
      </c>
      <c r="S99" s="199">
        <f>IFERROR(S96/R96-1,"--")</f>
        <v>0.22981427462997339</v>
      </c>
      <c r="T99" s="199">
        <f>IFERROR(T96/S96-1,"--")</f>
        <v>0.18573504983388722</v>
      </c>
      <c r="U99" s="199">
        <f>IFERROR(U96/T96-1,"--")</f>
        <v>0.20081092185111094</v>
      </c>
      <c r="V99" s="200" t="s">
        <v>36</v>
      </c>
      <c r="W99" s="199">
        <f>IFERROR(W96/U96-1,"--")</f>
        <v>0.19935161087678366</v>
      </c>
      <c r="X99" s="199">
        <f>IFERROR(X96/W96-1,"--")</f>
        <v>0.1907730440069213</v>
      </c>
      <c r="Y99" s="199">
        <f>IFERROR(Y96/X96-1,"--")</f>
        <v>0.2271397320744788</v>
      </c>
      <c r="Z99" s="199">
        <f>IFERROR(Z96/Y96-1,"--")</f>
        <v>0.15074025949087555</v>
      </c>
      <c r="AA99" s="200" t="s">
        <v>36</v>
      </c>
      <c r="AB99" s="199">
        <f>IFERROR(AB96/Z96-1,"--")</f>
        <v>9.6996868377285494E-2</v>
      </c>
      <c r="AC99" s="199">
        <f>IFERROR(AC96/AB96-1,"--")</f>
        <v>0.18211918850808995</v>
      </c>
      <c r="AD99" s="199">
        <f>IFERROR(AD96/AC96-1,"--")</f>
        <v>0.12114063156811095</v>
      </c>
      <c r="AE99" s="199">
        <f>IFERROR(AE96/AD96-1,"--")</f>
        <v>6.2318269466209664E-2</v>
      </c>
      <c r="AF99" s="200" t="s">
        <v>36</v>
      </c>
      <c r="AG99" s="199">
        <f>IFERROR(AG96/AE96-1,"--")</f>
        <v>6.2562913155984834E-2</v>
      </c>
      <c r="AH99" s="199">
        <f>IFERROR(AH96/AG96-1,"--")</f>
        <v>8.4967597174582243E-2</v>
      </c>
      <c r="AI99" s="199">
        <f>IFERROR(AI96/AH96-1,"--")</f>
        <v>9.1015590221318332E-2</v>
      </c>
      <c r="AJ99" s="199">
        <f>IFERROR(AJ96/AI96-1,"--")</f>
        <v>5.6711879257471454E-2</v>
      </c>
      <c r="AK99" s="200" t="s">
        <v>36</v>
      </c>
      <c r="AL99" s="199">
        <f>IFERROR(AL96/AJ96-1,"--")</f>
        <v>6.977062417862312E-2</v>
      </c>
      <c r="AM99" s="199">
        <f>IFERROR(AM96/AL96-1,"--")</f>
        <v>5.0232589948922657E-2</v>
      </c>
      <c r="AN99" s="199">
        <f>IFERROR(AN96/AM96-1,"--")</f>
        <v>8.5658124811576863E-2</v>
      </c>
      <c r="AO99" s="199">
        <f>IFERROR(AO96/AN96-1,"--")</f>
        <v>4.7786138121166388E-2</v>
      </c>
      <c r="AP99" s="200" t="s">
        <v>36</v>
      </c>
      <c r="AQ99" s="199">
        <f>IFERROR(AQ96/AO96-1,"--")</f>
        <v>5.6726205683645725E-2</v>
      </c>
      <c r="AR99" s="199">
        <f>IFERROR(AR96/AQ96-1,"--")</f>
        <v>9.3982522298565518E-2</v>
      </c>
      <c r="AS99" s="199">
        <f>IFERROR(AS96/AR96-1,"--")</f>
        <v>6.2247821174951534E-2</v>
      </c>
      <c r="AT99" s="199">
        <f>IFERROR(AT96/AS96-1,"--")</f>
        <v>3.4910056053430338E-2</v>
      </c>
      <c r="AU99" s="200" t="s">
        <v>36</v>
      </c>
      <c r="AV99" s="199">
        <f>IFERROR(AV96/AT96-1,"--")</f>
        <v>5.240481496476157E-2</v>
      </c>
      <c r="AW99" s="199">
        <f>IFERROR(AW96/AV96-1,"--")</f>
        <v>7.2579219959445052E-2</v>
      </c>
      <c r="AX99" s="199">
        <f>IFERROR(AX96/AW96-1,"--")</f>
        <v>6.4448261947718022E-2</v>
      </c>
      <c r="AY99" s="199">
        <f>IFERROR(AY96/AX96-1,"--")</f>
        <v>3.6150098816389198E-2</v>
      </c>
      <c r="AZ99" s="200" t="s">
        <v>36</v>
      </c>
      <c r="BA99" s="199">
        <f>IFERROR(BA96/AY96-1,"--")</f>
        <v>5.273997490266491E-2</v>
      </c>
      <c r="BB99" s="199">
        <f>IFERROR(BB96/BA96-1,"--")</f>
        <v>7.6213912457467448E-2</v>
      </c>
      <c r="BC99" s="199">
        <f>IFERROR(BC96/BB96-1,"--")</f>
        <v>6.7209271963316164E-2</v>
      </c>
      <c r="BD99" s="199">
        <f>IFERROR(BD96/BC96-1,"--")</f>
        <v>2.4946859174394875E-2</v>
      </c>
      <c r="BE99" s="200" t="s">
        <v>36</v>
      </c>
      <c r="BF99" s="199">
        <f>IFERROR(BF96/BD96-1,"--")</f>
        <v>4.4108526125017367E-2</v>
      </c>
      <c r="BG99" s="199">
        <f>IFERROR(BG96/BF96-1,"--")</f>
        <v>7.4008783344233331E-2</v>
      </c>
      <c r="BH99" s="199">
        <f>IFERROR(BH96/BG96-1,"--")</f>
        <v>8.6758011926838075E-2</v>
      </c>
      <c r="BI99" s="199">
        <f>IFERROR(BI96/BH96-1,"--")</f>
        <v>2.9186237192317721E-2</v>
      </c>
      <c r="BJ99" s="200" t="s">
        <v>36</v>
      </c>
      <c r="BK99" s="199">
        <f>IFERROR(BK96/BI96-1,"--")</f>
        <v>3.8357458183386761E-2</v>
      </c>
      <c r="BL99" s="199">
        <f>IFERROR(BL96/BK96-1,"--")</f>
        <v>6.0388394183854777E-2</v>
      </c>
      <c r="BM99" s="199">
        <f>IFERROR(BM96/BL96-1,"--")</f>
        <v>9.4068918014725389E-2</v>
      </c>
      <c r="BN99" s="199">
        <f>IFERROR(BN96/BM96-1,"--")</f>
        <v>1.7918041499297432E-2</v>
      </c>
      <c r="BO99" s="200" t="s">
        <v>36</v>
      </c>
    </row>
    <row r="100" spans="1:67">
      <c r="B100" s="203" t="s">
        <v>35</v>
      </c>
      <c r="C100" s="194"/>
      <c r="D100" s="194"/>
      <c r="E100" s="194"/>
      <c r="F100" s="199"/>
      <c r="G100" s="196"/>
      <c r="H100" s="199">
        <f t="shared" ref="H100:AM100" si="52">H96/H$11</f>
        <v>0.98380959486682085</v>
      </c>
      <c r="I100" s="199">
        <f t="shared" si="52"/>
        <v>0.98715442613795024</v>
      </c>
      <c r="J100" s="199">
        <f t="shared" si="52"/>
        <v>0.99222454672245475</v>
      </c>
      <c r="K100" s="199">
        <f t="shared" si="52"/>
        <v>0.99146627406074483</v>
      </c>
      <c r="L100" s="200">
        <f t="shared" si="52"/>
        <v>0.98983096435147822</v>
      </c>
      <c r="M100" s="199">
        <f t="shared" si="52"/>
        <v>0.97851504404530376</v>
      </c>
      <c r="N100" s="199">
        <f t="shared" si="52"/>
        <v>0.95821939375859722</v>
      </c>
      <c r="O100" s="199">
        <f t="shared" si="52"/>
        <v>0.94796745740426225</v>
      </c>
      <c r="P100" s="199">
        <f t="shared" si="52"/>
        <v>0.94001733339415217</v>
      </c>
      <c r="Q100" s="200">
        <f t="shared" si="52"/>
        <v>0.95271352380376806</v>
      </c>
      <c r="R100" s="199">
        <f t="shared" si="52"/>
        <v>0.93568901346321731</v>
      </c>
      <c r="S100" s="199">
        <f t="shared" si="52"/>
        <v>0.94044838334146996</v>
      </c>
      <c r="T100" s="199">
        <f t="shared" si="52"/>
        <v>0.93014208389715824</v>
      </c>
      <c r="U100" s="199">
        <f t="shared" si="52"/>
        <v>0.93606699393589377</v>
      </c>
      <c r="V100" s="200">
        <f t="shared" si="52"/>
        <v>0.93538541573417067</v>
      </c>
      <c r="W100" s="199">
        <f t="shared" si="52"/>
        <v>0.93410625824545457</v>
      </c>
      <c r="X100" s="199">
        <f t="shared" si="52"/>
        <v>0.93543303036760006</v>
      </c>
      <c r="Y100" s="199">
        <f t="shared" si="52"/>
        <v>0.93426942270834012</v>
      </c>
      <c r="Z100" s="199">
        <f t="shared" si="52"/>
        <v>0.93690036323461201</v>
      </c>
      <c r="AA100" s="200">
        <f t="shared" si="52"/>
        <v>0.93532661870031586</v>
      </c>
      <c r="AB100" s="199">
        <f t="shared" si="52"/>
        <v>0.93385672785300122</v>
      </c>
      <c r="AC100" s="199">
        <f t="shared" si="52"/>
        <v>0.93769708475448865</v>
      </c>
      <c r="AD100" s="199">
        <f t="shared" si="52"/>
        <v>0.93846628894777284</v>
      </c>
      <c r="AE100" s="199">
        <f t="shared" si="52"/>
        <v>0.94281440785586712</v>
      </c>
      <c r="AF100" s="200">
        <f t="shared" si="52"/>
        <v>0.9385784391324995</v>
      </c>
      <c r="AG100" s="199">
        <f t="shared" si="52"/>
        <v>0.94623628325253861</v>
      </c>
      <c r="AH100" s="199">
        <f t="shared" si="52"/>
        <v>0.94983961852650822</v>
      </c>
      <c r="AI100" s="199">
        <f t="shared" si="52"/>
        <v>0.95138066913384167</v>
      </c>
      <c r="AJ100" s="199">
        <f t="shared" si="52"/>
        <v>0.95274422711272377</v>
      </c>
      <c r="AK100" s="200">
        <f t="shared" si="52"/>
        <v>0.95024388123381209</v>
      </c>
      <c r="AL100" s="199">
        <f t="shared" si="52"/>
        <v>0.95279163132052391</v>
      </c>
      <c r="AM100" s="199">
        <f t="shared" si="52"/>
        <v>0.95445217265196713</v>
      </c>
      <c r="AN100" s="199">
        <f t="shared" ref="AN100:BJ100" si="53">AN96/AN$11</f>
        <v>0.9556180168857884</v>
      </c>
      <c r="AO100" s="199">
        <f t="shared" si="53"/>
        <v>0.95595022142951247</v>
      </c>
      <c r="AP100" s="200">
        <f t="shared" si="53"/>
        <v>0.95478320624664259</v>
      </c>
      <c r="AQ100" s="199">
        <f t="shared" si="53"/>
        <v>0.95656642426545524</v>
      </c>
      <c r="AR100" s="199">
        <f t="shared" si="53"/>
        <v>0.9524240394281418</v>
      </c>
      <c r="AS100" s="199">
        <f t="shared" ref="AS100" si="54">AS96/AS$11</f>
        <v>0.95504032041975129</v>
      </c>
      <c r="AT100" s="199">
        <f t="shared" si="53"/>
        <v>0.95997203101018058</v>
      </c>
      <c r="AU100" s="200">
        <f t="shared" si="53"/>
        <v>0.95606284961468702</v>
      </c>
      <c r="AV100" s="199">
        <f t="shared" si="53"/>
        <v>0.960875243165078</v>
      </c>
      <c r="AW100" s="199">
        <f t="shared" si="53"/>
        <v>0.95630720324858287</v>
      </c>
      <c r="AX100" s="199">
        <f t="shared" si="53"/>
        <v>0.95880101855557898</v>
      </c>
      <c r="AY100" s="199">
        <f t="shared" si="53"/>
        <v>0.96337831948216535</v>
      </c>
      <c r="AZ100" s="200">
        <f t="shared" si="53"/>
        <v>0.95988862578563561</v>
      </c>
      <c r="BA100" s="199">
        <f t="shared" si="53"/>
        <v>0.96437053505657611</v>
      </c>
      <c r="BB100" s="199">
        <f t="shared" si="53"/>
        <v>0.96032278788515868</v>
      </c>
      <c r="BC100" s="199">
        <f t="shared" si="53"/>
        <v>0.96268953117949718</v>
      </c>
      <c r="BD100" s="199">
        <f t="shared" si="53"/>
        <v>0.96649953472056138</v>
      </c>
      <c r="BE100" s="200">
        <f t="shared" si="53"/>
        <v>0.96350625188453365</v>
      </c>
      <c r="BF100" s="199">
        <f t="shared" si="53"/>
        <v>0.96729008296083752</v>
      </c>
      <c r="BG100" s="199">
        <f t="shared" si="53"/>
        <v>0.96348940047046694</v>
      </c>
      <c r="BH100" s="199">
        <f t="shared" si="53"/>
        <v>0.96627064092180337</v>
      </c>
      <c r="BI100" s="199">
        <f t="shared" si="53"/>
        <v>0.96984739625844629</v>
      </c>
      <c r="BJ100" s="200">
        <f t="shared" si="53"/>
        <v>0.96678941979346189</v>
      </c>
      <c r="BK100" s="199">
        <f>BK96/BK$11</f>
        <v>0.97040312383211558</v>
      </c>
      <c r="BL100" s="199">
        <f>BL96/BL$11</f>
        <v>0.96654150658652227</v>
      </c>
      <c r="BM100" s="199">
        <f>BM96/BM$11</f>
        <v>0.96929786474164736</v>
      </c>
      <c r="BN100" s="199">
        <f>BN96/BN$11</f>
        <v>0.97226741671834926</v>
      </c>
      <c r="BO100" s="200">
        <f>BO96/BO$11</f>
        <v>0.96967719789533202</v>
      </c>
    </row>
    <row r="101" spans="1:67">
      <c r="B101" s="203" t="s">
        <v>177</v>
      </c>
      <c r="C101" s="194"/>
      <c r="D101" s="194"/>
      <c r="E101" s="194"/>
      <c r="F101" s="199"/>
      <c r="G101" s="196"/>
      <c r="H101" s="199">
        <f>H96/L96</f>
        <v>0.13780922420910716</v>
      </c>
      <c r="I101" s="199">
        <f>I96/L96</f>
        <v>0.18472455922159634</v>
      </c>
      <c r="J101" s="199">
        <f>J96/L96</f>
        <v>0.29740915314110139</v>
      </c>
      <c r="K101" s="199">
        <f>K96/L96</f>
        <v>0.38005706342819523</v>
      </c>
      <c r="L101" s="200"/>
      <c r="M101" s="199">
        <f>M96/Q96</f>
        <v>0.16955227194335307</v>
      </c>
      <c r="N101" s="199">
        <f>N96/Q96</f>
        <v>0.22922820135670363</v>
      </c>
      <c r="O101" s="199">
        <f>O96/Q96</f>
        <v>0.2744054014407542</v>
      </c>
      <c r="P101" s="199">
        <f>P96/Q96</f>
        <v>0.32681412525918913</v>
      </c>
      <c r="Q101" s="200"/>
      <c r="R101" s="199">
        <f>R96/V96</f>
        <v>0.18385356287717092</v>
      </c>
      <c r="S101" s="199">
        <f>S96/V96</f>
        <v>0.22610573606792417</v>
      </c>
      <c r="T101" s="199">
        <f>T96/V96</f>
        <v>0.2681014962242278</v>
      </c>
      <c r="U101" s="199">
        <f>U96/V96</f>
        <v>0.32193920483067712</v>
      </c>
      <c r="V101" s="200"/>
      <c r="W101" s="199">
        <f>W96/AA96</f>
        <v>0.18749304014401094</v>
      </c>
      <c r="X101" s="199">
        <f>X96/AA96</f>
        <v>0.22326165814239579</v>
      </c>
      <c r="Y101" s="199">
        <f>Y96/AA96</f>
        <v>0.27397325135536349</v>
      </c>
      <c r="Z101" s="199">
        <f>Z96/AA96</f>
        <v>0.31527205035822981</v>
      </c>
      <c r="AA101" s="200"/>
      <c r="AB101" s="199">
        <f>AB96/AF96</f>
        <v>0.20344411932640222</v>
      </c>
      <c r="AC101" s="199">
        <f>AC96/AF96</f>
        <v>0.24049519724486959</v>
      </c>
      <c r="AD101" s="199">
        <f>AD96/AF96</f>
        <v>0.26962893732821053</v>
      </c>
      <c r="AE101" s="199">
        <f>AE96/AF96</f>
        <v>0.28643174610051769</v>
      </c>
      <c r="AF101" s="200"/>
      <c r="AG101" s="199">
        <f>AG96/AK96</f>
        <v>0.22126187121955532</v>
      </c>
      <c r="AH101" s="199">
        <f>AH96/AK96</f>
        <v>0.24006196076343275</v>
      </c>
      <c r="AI101" s="199">
        <f>AI96/AK96</f>
        <v>0.2619113418120036</v>
      </c>
      <c r="AJ101" s="199">
        <f>AJ96/AK96</f>
        <v>0.27676482620500825</v>
      </c>
      <c r="AK101" s="200"/>
      <c r="AL101" s="199">
        <f>AL96/AP96</f>
        <v>0.22804470396733847</v>
      </c>
      <c r="AM101" s="199">
        <f>AM96/AP96</f>
        <v>0.23949998007175324</v>
      </c>
      <c r="AN101" s="199">
        <f>AN96/AP96</f>
        <v>0.26001509925710964</v>
      </c>
      <c r="AO101" s="199">
        <f>AO96/AP96</f>
        <v>0.27244021670379864</v>
      </c>
      <c r="AP101" s="200"/>
      <c r="AQ101" s="199">
        <f>AQ96/AU96</f>
        <v>0.22428002027090879</v>
      </c>
      <c r="AR101" s="199">
        <f>AR96/AU96</f>
        <v>0.24535842227714219</v>
      </c>
      <c r="AS101" s="199">
        <f>AS96/AU96</f>
        <v>0.26063144947081796</v>
      </c>
      <c r="AT101" s="199">
        <f>AT96/AU96</f>
        <v>0.26973010798113106</v>
      </c>
      <c r="AU101" s="200"/>
      <c r="AV101" s="199">
        <f>AV96/AZ96</f>
        <v>0.22741423347283968</v>
      </c>
      <c r="AW101" s="199">
        <f>AW96/AZ96</f>
        <v>0.24391978114597349</v>
      </c>
      <c r="AX101" s="199">
        <f>AX96/AZ96</f>
        <v>0.25963998709549924</v>
      </c>
      <c r="AY101" s="199">
        <f>AY96/AZ96</f>
        <v>0.26902599828568757</v>
      </c>
      <c r="AZ101" s="200"/>
      <c r="BA101" s="199">
        <f>BA96/BE96</f>
        <v>0.22717166446261308</v>
      </c>
      <c r="BB101" s="199">
        <f>BB96/BE96</f>
        <v>0.24448530581078384</v>
      </c>
      <c r="BC101" s="199">
        <f>BC96/BE96</f>
        <v>0.26091698522005535</v>
      </c>
      <c r="BD101" s="199">
        <f>BD96/BE96</f>
        <v>0.26742604450654772</v>
      </c>
      <c r="BE101" s="200"/>
      <c r="BF101" s="199">
        <f>BF96/BJ96</f>
        <v>0.22510101918214936</v>
      </c>
      <c r="BG101" s="199">
        <f>BG96/BJ96</f>
        <v>0.24176047174136717</v>
      </c>
      <c r="BH101" s="199">
        <f>BH96/BJ96</f>
        <v>0.26273512963214268</v>
      </c>
      <c r="BI101" s="199">
        <f>BI96/BJ96</f>
        <v>0.27040337944434079</v>
      </c>
      <c r="BJ101" s="200"/>
      <c r="BK101" s="199">
        <f>BK96/BO96</f>
        <v>0.22719776435609829</v>
      </c>
      <c r="BL101" s="199">
        <f>BL96/BO96</f>
        <v>0.24091787250772492</v>
      </c>
      <c r="BM101" s="199">
        <f>BM96/BO96</f>
        <v>0.2635807561049362</v>
      </c>
      <c r="BN101" s="199">
        <f>BN96/BO96</f>
        <v>0.26830360703124062</v>
      </c>
      <c r="BO101" s="200"/>
    </row>
    <row r="102" spans="1:67">
      <c r="B102" s="154"/>
      <c r="G102" s="68"/>
      <c r="L102" s="68"/>
      <c r="Q102" s="68"/>
      <c r="S102" s="169"/>
      <c r="V102" s="68"/>
      <c r="AA102" s="68"/>
      <c r="AF102" s="68"/>
      <c r="AK102" s="68"/>
      <c r="AP102" s="68"/>
      <c r="AU102" s="68"/>
      <c r="AZ102" s="68"/>
      <c r="BE102" s="68"/>
      <c r="BJ102" s="68"/>
      <c r="BO102" s="68"/>
    </row>
    <row r="103" spans="1:67" s="260" customFormat="1">
      <c r="A103" s="1229" t="s">
        <v>94</v>
      </c>
      <c r="B103" s="920" t="s">
        <v>51</v>
      </c>
      <c r="C103" s="268"/>
      <c r="D103" s="268"/>
      <c r="E103" s="268"/>
      <c r="F103" s="268"/>
      <c r="G103" s="263"/>
      <c r="H103" s="268"/>
      <c r="I103" s="268"/>
      <c r="J103" s="269">
        <v>82.8</v>
      </c>
      <c r="K103" s="269">
        <v>128</v>
      </c>
      <c r="L103" s="263">
        <f>K103</f>
        <v>128</v>
      </c>
      <c r="M103" s="269">
        <v>137.9</v>
      </c>
      <c r="N103" s="269">
        <v>221.1</v>
      </c>
      <c r="O103" s="269">
        <v>273</v>
      </c>
      <c r="P103" s="269">
        <v>426.3</v>
      </c>
      <c r="Q103" s="263">
        <f>P103</f>
        <v>426.3</v>
      </c>
      <c r="R103" s="269">
        <v>467.8</v>
      </c>
      <c r="S103" s="269">
        <v>688.2</v>
      </c>
      <c r="T103" s="269">
        <v>927.9</v>
      </c>
      <c r="U103" s="269">
        <v>1333</v>
      </c>
      <c r="V103" s="263">
        <f>U103</f>
        <v>1333</v>
      </c>
      <c r="W103" s="269">
        <v>1432</v>
      </c>
      <c r="X103" s="269">
        <v>1529</v>
      </c>
      <c r="Y103" s="269">
        <v>1804</v>
      </c>
      <c r="Z103" s="269">
        <v>2646</v>
      </c>
      <c r="AA103" s="263">
        <f>Z103</f>
        <v>2646</v>
      </c>
      <c r="AB103" s="269">
        <v>2610</v>
      </c>
      <c r="AC103" s="269">
        <v>2716</v>
      </c>
      <c r="AD103" s="269">
        <v>3003</v>
      </c>
      <c r="AE103" s="269">
        <v>3661</v>
      </c>
      <c r="AF103" s="263">
        <f>AE103</f>
        <v>3661</v>
      </c>
      <c r="AG103" s="269">
        <v>3409</v>
      </c>
      <c r="AH103" s="269">
        <v>3540</v>
      </c>
      <c r="AI103" s="269">
        <v>3699</v>
      </c>
      <c r="AJ103" s="270">
        <v>5175</v>
      </c>
      <c r="AK103" s="263">
        <f>AJ103</f>
        <v>5175</v>
      </c>
      <c r="AL103" s="269">
        <v>4988</v>
      </c>
      <c r="AM103" s="269">
        <v>5231</v>
      </c>
      <c r="AN103" s="270">
        <v>5732</v>
      </c>
      <c r="AO103" s="270">
        <v>6867</v>
      </c>
      <c r="AP103" s="263">
        <f>AO103</f>
        <v>6867</v>
      </c>
      <c r="AQ103" s="270">
        <v>6687</v>
      </c>
      <c r="AR103" s="270">
        <v>6932</v>
      </c>
      <c r="AS103" s="269">
        <v>7881</v>
      </c>
      <c r="AT103" s="268"/>
      <c r="AU103" s="263"/>
      <c r="AV103" s="268"/>
      <c r="AW103" s="268"/>
      <c r="AX103" s="268"/>
      <c r="AY103" s="268"/>
      <c r="AZ103" s="263"/>
      <c r="BA103" s="268"/>
      <c r="BB103" s="268"/>
      <c r="BC103" s="268"/>
      <c r="BD103" s="268"/>
      <c r="BE103" s="263"/>
      <c r="BF103" s="268"/>
      <c r="BG103" s="268"/>
      <c r="BH103" s="268"/>
      <c r="BI103" s="268"/>
      <c r="BJ103" s="263"/>
      <c r="BK103" s="268"/>
      <c r="BL103" s="268"/>
      <c r="BM103" s="268"/>
      <c r="BN103" s="268"/>
      <c r="BO103" s="263"/>
    </row>
    <row r="104" spans="1:67">
      <c r="A104" s="108" t="s">
        <v>107</v>
      </c>
      <c r="B104" s="156" t="s">
        <v>78</v>
      </c>
      <c r="G104" s="68"/>
      <c r="K104" s="111">
        <f>K103-J103</f>
        <v>45.2</v>
      </c>
      <c r="L104" s="94"/>
      <c r="M104" s="111">
        <f>M103-K103</f>
        <v>9.9000000000000057</v>
      </c>
      <c r="N104" s="111">
        <f>N103-M103</f>
        <v>83.199999999999989</v>
      </c>
      <c r="O104" s="111">
        <f>O103-N103</f>
        <v>51.900000000000006</v>
      </c>
      <c r="P104" s="111">
        <f>P103-O103</f>
        <v>153.30000000000001</v>
      </c>
      <c r="Q104" s="112">
        <f>Q103-L103</f>
        <v>298.3</v>
      </c>
      <c r="R104" s="111">
        <f>R103-P103</f>
        <v>41.5</v>
      </c>
      <c r="S104" s="111">
        <f>S103-R103</f>
        <v>220.40000000000003</v>
      </c>
      <c r="T104" s="111">
        <f>T103-S103</f>
        <v>239.69999999999993</v>
      </c>
      <c r="U104" s="111">
        <f>U103-T103</f>
        <v>405.1</v>
      </c>
      <c r="V104" s="112">
        <f>V103-Q103</f>
        <v>906.7</v>
      </c>
      <c r="W104" s="111">
        <f>W103-U103</f>
        <v>99</v>
      </c>
      <c r="X104" s="111">
        <f>X103-W103</f>
        <v>97</v>
      </c>
      <c r="Y104" s="111">
        <f>Y103-X103</f>
        <v>275</v>
      </c>
      <c r="Z104" s="111">
        <f>Z103-Y103</f>
        <v>842</v>
      </c>
      <c r="AA104" s="112">
        <f>AA103-V103</f>
        <v>1313</v>
      </c>
      <c r="AB104" s="111">
        <f>AB103-Z103</f>
        <v>-36</v>
      </c>
      <c r="AC104" s="111">
        <f>AC103-AB103</f>
        <v>106</v>
      </c>
      <c r="AD104" s="111">
        <f>AD103-AC103</f>
        <v>287</v>
      </c>
      <c r="AE104" s="111">
        <f>AE103-AD103</f>
        <v>658</v>
      </c>
      <c r="AF104" s="112">
        <f>AF103-AA103</f>
        <v>1015</v>
      </c>
      <c r="AG104" s="111">
        <f>AG103-AE103</f>
        <v>-252</v>
      </c>
      <c r="AH104" s="111">
        <f>AH103-AG103</f>
        <v>131</v>
      </c>
      <c r="AI104" s="111">
        <f>AI103-AH103</f>
        <v>159</v>
      </c>
      <c r="AJ104" s="349">
        <f>AJ103-AI103</f>
        <v>1476</v>
      </c>
      <c r="AK104" s="112">
        <f>AK103-AF103</f>
        <v>1514</v>
      </c>
      <c r="AL104" s="111">
        <f>AL103-AJ103</f>
        <v>-187</v>
      </c>
      <c r="AM104" s="111">
        <f>AM103-AL103</f>
        <v>243</v>
      </c>
      <c r="AN104" s="111">
        <f>AN103-AM103</f>
        <v>501</v>
      </c>
      <c r="AO104" s="349">
        <f>AO103-AN103</f>
        <v>1135</v>
      </c>
      <c r="AP104" s="112">
        <f>AP103-AK103</f>
        <v>1692</v>
      </c>
      <c r="AQ104" s="349">
        <f>AQ103-AO103</f>
        <v>-180</v>
      </c>
      <c r="AR104" s="111">
        <f>AR103-AQ103</f>
        <v>245</v>
      </c>
      <c r="AS104" s="111">
        <f>AS103-AR103</f>
        <v>949</v>
      </c>
      <c r="AT104" s="111"/>
      <c r="AU104" s="112"/>
      <c r="AV104" s="111"/>
      <c r="AW104" s="111"/>
      <c r="AX104" s="111"/>
      <c r="AY104" s="111"/>
      <c r="AZ104" s="112"/>
      <c r="BA104" s="111"/>
      <c r="BB104" s="111"/>
      <c r="BC104" s="111"/>
      <c r="BD104" s="111"/>
      <c r="BE104" s="112"/>
      <c r="BF104" s="111"/>
      <c r="BG104" s="111"/>
      <c r="BH104" s="111"/>
      <c r="BI104" s="111"/>
      <c r="BJ104" s="112"/>
      <c r="BK104" s="111"/>
      <c r="BL104" s="111"/>
      <c r="BM104" s="111"/>
      <c r="BN104" s="111"/>
      <c r="BO104" s="112"/>
    </row>
    <row r="105" spans="1:67">
      <c r="A105" s="108" t="s">
        <v>108</v>
      </c>
      <c r="B105" s="156" t="s">
        <v>32</v>
      </c>
      <c r="G105" s="68"/>
      <c r="J105" s="71" t="str">
        <f t="shared" ref="J105:R105" si="55">IFERROR(J103/E103-1,"--")</f>
        <v>--</v>
      </c>
      <c r="K105" s="71" t="str">
        <f t="shared" si="55"/>
        <v>--</v>
      </c>
      <c r="L105" s="72" t="str">
        <f t="shared" si="55"/>
        <v>--</v>
      </c>
      <c r="M105" s="71" t="str">
        <f t="shared" si="55"/>
        <v>--</v>
      </c>
      <c r="N105" s="71" t="str">
        <f t="shared" si="55"/>
        <v>--</v>
      </c>
      <c r="O105" s="71">
        <f t="shared" si="55"/>
        <v>2.2971014492753623</v>
      </c>
      <c r="P105" s="71">
        <f t="shared" si="55"/>
        <v>2.3304687500000001</v>
      </c>
      <c r="Q105" s="72">
        <f t="shared" si="55"/>
        <v>2.3304687500000001</v>
      </c>
      <c r="R105" s="71">
        <f t="shared" si="55"/>
        <v>2.3923132704858592</v>
      </c>
      <c r="S105" s="71">
        <f t="shared" ref="S105:AF105" si="56">IFERROR(S103/N103-1,"--")</f>
        <v>2.1126187245590233</v>
      </c>
      <c r="T105" s="71">
        <f t="shared" si="56"/>
        <v>2.3989010989010988</v>
      </c>
      <c r="U105" s="71">
        <f t="shared" si="56"/>
        <v>2.126905934787708</v>
      </c>
      <c r="V105" s="72">
        <f t="shared" si="56"/>
        <v>2.126905934787708</v>
      </c>
      <c r="W105" s="71">
        <f>IFERROR(W103/R103-1,"--")</f>
        <v>2.0611372381359554</v>
      </c>
      <c r="X105" s="71">
        <f t="shared" si="56"/>
        <v>1.221737866899157</v>
      </c>
      <c r="Y105" s="71">
        <f t="shared" si="56"/>
        <v>0.94417501885979105</v>
      </c>
      <c r="Z105" s="71">
        <f t="shared" si="56"/>
        <v>0.98499624906226546</v>
      </c>
      <c r="AA105" s="72">
        <f t="shared" si="56"/>
        <v>0.98499624906226546</v>
      </c>
      <c r="AB105" s="71">
        <f>IFERROR(AB103/W103-1,"--")</f>
        <v>0.82262569832402233</v>
      </c>
      <c r="AC105" s="71">
        <f t="shared" si="56"/>
        <v>0.77632439502943096</v>
      </c>
      <c r="AD105" s="71">
        <f t="shared" si="56"/>
        <v>0.66463414634146334</v>
      </c>
      <c r="AE105" s="71">
        <f t="shared" si="56"/>
        <v>0.38359788359788349</v>
      </c>
      <c r="AF105" s="72">
        <f t="shared" si="56"/>
        <v>0.38359788359788349</v>
      </c>
      <c r="AG105" s="71">
        <f t="shared" ref="AG105:AN105" si="57">IFERROR(AG103/AB103-1,"--")</f>
        <v>0.30613026819923372</v>
      </c>
      <c r="AH105" s="71">
        <f t="shared" si="57"/>
        <v>0.3033873343151694</v>
      </c>
      <c r="AI105" s="71">
        <f t="shared" si="57"/>
        <v>0.23176823176823169</v>
      </c>
      <c r="AJ105" s="142">
        <f t="shared" si="57"/>
        <v>0.41354821087134663</v>
      </c>
      <c r="AK105" s="72">
        <f t="shared" si="57"/>
        <v>0.41354821087134663</v>
      </c>
      <c r="AL105" s="71">
        <f t="shared" si="57"/>
        <v>0.46318568495159873</v>
      </c>
      <c r="AM105" s="71">
        <f t="shared" si="57"/>
        <v>0.47768361581920904</v>
      </c>
      <c r="AN105" s="71">
        <f t="shared" si="57"/>
        <v>0.54960800216274674</v>
      </c>
      <c r="AO105" s="142">
        <f>IFERROR(AO103/AJ103-1,"--")</f>
        <v>0.32695652173913037</v>
      </c>
      <c r="AP105" s="72">
        <f>IFERROR(AP103/AK103-1,"--")</f>
        <v>0.32695652173913037</v>
      </c>
      <c r="AQ105" s="142">
        <f t="shared" ref="AQ105:AS105" si="58">IFERROR(AQ103/AL103-1,"--")</f>
        <v>0.34061748195669606</v>
      </c>
      <c r="AR105" s="71">
        <f t="shared" si="58"/>
        <v>0.32517683043395151</v>
      </c>
      <c r="AS105" s="71">
        <f t="shared" si="58"/>
        <v>0.37491277041172366</v>
      </c>
      <c r="AU105" s="68"/>
      <c r="AZ105" s="68"/>
      <c r="BE105" s="68"/>
      <c r="BJ105" s="68"/>
      <c r="BO105" s="68"/>
    </row>
    <row r="106" spans="1:67">
      <c r="A106" s="108" t="s">
        <v>109</v>
      </c>
      <c r="B106" s="156" t="s">
        <v>33</v>
      </c>
      <c r="G106" s="68"/>
      <c r="J106" s="71" t="str">
        <f>IFERROR(J103/I103-1,"--")</f>
        <v>--</v>
      </c>
      <c r="K106" s="71">
        <f>IFERROR(K103/J103-1,"--")</f>
        <v>0.54589371980676327</v>
      </c>
      <c r="L106" s="72" t="s">
        <v>36</v>
      </c>
      <c r="M106" s="71">
        <f>IFERROR(M103/K103-1,"--")</f>
        <v>7.7343750000000044E-2</v>
      </c>
      <c r="N106" s="71">
        <f>IFERROR(N103/M103-1,"--")</f>
        <v>0.60333575054387234</v>
      </c>
      <c r="O106" s="71">
        <f>IFERROR(O103/N103-1,"--")</f>
        <v>0.23473541383989138</v>
      </c>
      <c r="P106" s="71">
        <f>IFERROR(P103/O103-1,"--")</f>
        <v>0.56153846153846154</v>
      </c>
      <c r="Q106" s="72" t="s">
        <v>36</v>
      </c>
      <c r="R106" s="71">
        <f>IFERROR(R103/P103-1,"--")</f>
        <v>9.7349284541402792E-2</v>
      </c>
      <c r="S106" s="71">
        <f>IFERROR(S103/R103-1,"--")</f>
        <v>0.47114151346729383</v>
      </c>
      <c r="T106" s="71">
        <f>IFERROR(T103/S103-1,"--")</f>
        <v>0.34829991281604178</v>
      </c>
      <c r="U106" s="71">
        <f>IFERROR(U103/T103-1,"--")</f>
        <v>0.43657721737256172</v>
      </c>
      <c r="V106" s="72" t="s">
        <v>36</v>
      </c>
      <c r="W106" s="71">
        <f>IFERROR(W103/U103-1,"--")</f>
        <v>7.4268567141785535E-2</v>
      </c>
      <c r="X106" s="71">
        <f>IFERROR(X103/W103-1,"--")</f>
        <v>6.7737430167597701E-2</v>
      </c>
      <c r="Y106" s="71">
        <f>IFERROR(Y103/X103-1,"--")</f>
        <v>0.17985611510791366</v>
      </c>
      <c r="Z106" s="71">
        <f>IFERROR(Z103/Y103-1,"--")</f>
        <v>0.46674057649667411</v>
      </c>
      <c r="AA106" s="72" t="s">
        <v>36</v>
      </c>
      <c r="AB106" s="71">
        <f>IFERROR(AB103/Z103-1,"--")</f>
        <v>-1.3605442176870763E-2</v>
      </c>
      <c r="AC106" s="71">
        <f>IFERROR(AC103/AB103-1,"--")</f>
        <v>4.0613026819923403E-2</v>
      </c>
      <c r="AD106" s="71">
        <f>IFERROR(AD103/AC103-1,"--")</f>
        <v>0.10567010309278357</v>
      </c>
      <c r="AE106" s="71">
        <f>IFERROR(AE103/AD103-1,"--")</f>
        <v>0.21911421911421902</v>
      </c>
      <c r="AF106" s="72" t="s">
        <v>36</v>
      </c>
      <c r="AG106" s="71">
        <f>IFERROR(AG103/AE103-1,"--")</f>
        <v>-6.8833652007648238E-2</v>
      </c>
      <c r="AH106" s="71">
        <f>IFERROR(AH103/AG103-1,"--")</f>
        <v>3.8427691405104047E-2</v>
      </c>
      <c r="AI106" s="71">
        <f>IFERROR(AI103/AH103-1,"--")</f>
        <v>4.4915254237288149E-2</v>
      </c>
      <c r="AJ106" s="142">
        <f>IFERROR(AJ103/AI103-1,"--")</f>
        <v>0.3990267639902676</v>
      </c>
      <c r="AK106" s="72" t="s">
        <v>36</v>
      </c>
      <c r="AL106" s="71">
        <f>IFERROR(AL103/AJ103-1,"--")</f>
        <v>-3.6135265700483088E-2</v>
      </c>
      <c r="AM106" s="71">
        <f>IFERROR(AM103/AL103-1,"--")</f>
        <v>4.8716920609462644E-2</v>
      </c>
      <c r="AN106" s="71">
        <f>IFERROR(AN103/AM103-1,"--")</f>
        <v>9.5775186388835865E-2</v>
      </c>
      <c r="AO106" s="142">
        <f>IFERROR(AO103/AN103-1,"--")</f>
        <v>0.19801116538729935</v>
      </c>
      <c r="AP106" s="72" t="s">
        <v>36</v>
      </c>
      <c r="AQ106" s="142">
        <f>IFERROR(AQ103/AO103-1,"--")</f>
        <v>-2.6212319790301475E-2</v>
      </c>
      <c r="AR106" s="71">
        <f>IFERROR(AR103/AQ103-1,"--")</f>
        <v>3.6638253327351489E-2</v>
      </c>
      <c r="AS106" s="71">
        <f>IFERROR(AS103/AR103-1,"--")</f>
        <v>0.1369013271783035</v>
      </c>
      <c r="AU106" s="68"/>
      <c r="AZ106" s="68"/>
      <c r="BE106" s="68"/>
      <c r="BJ106" s="68"/>
      <c r="BO106" s="68"/>
    </row>
    <row r="107" spans="1:67">
      <c r="A107" s="57"/>
      <c r="B107" s="154"/>
      <c r="G107" s="68"/>
      <c r="L107" s="68"/>
      <c r="Q107" s="68"/>
      <c r="U107" t="s">
        <v>12</v>
      </c>
      <c r="V107" s="68"/>
      <c r="Z107" t="s">
        <v>12</v>
      </c>
      <c r="AA107" s="68"/>
      <c r="AF107" s="68"/>
      <c r="AJ107" s="136"/>
      <c r="AK107" s="68"/>
      <c r="AP107" s="68"/>
      <c r="AQ107" s="136"/>
      <c r="AU107" s="68"/>
      <c r="AZ107" s="68"/>
      <c r="BE107" s="68"/>
      <c r="BJ107" s="68"/>
      <c r="BO107" s="68"/>
    </row>
    <row r="108" spans="1:67">
      <c r="A108" s="57" t="s">
        <v>189</v>
      </c>
      <c r="B108" s="160" t="s">
        <v>147</v>
      </c>
      <c r="C108" s="64"/>
      <c r="D108" s="64"/>
      <c r="E108" s="64"/>
      <c r="F108" s="64"/>
      <c r="G108" s="93"/>
      <c r="H108" s="64"/>
      <c r="I108" s="64"/>
      <c r="J108" s="75"/>
      <c r="K108" s="75"/>
      <c r="L108" s="103"/>
      <c r="M108" s="102"/>
      <c r="N108" s="102"/>
      <c r="O108" s="102"/>
      <c r="P108" s="102"/>
      <c r="Q108" s="103"/>
      <c r="R108" s="102"/>
      <c r="S108" s="102"/>
      <c r="T108" s="102"/>
      <c r="U108" s="104">
        <f>U103*U112</f>
        <v>733.15000000000009</v>
      </c>
      <c r="V108" s="133">
        <f>U108</f>
        <v>733.15000000000009</v>
      </c>
      <c r="W108" s="104">
        <f>W103*W112</f>
        <v>787.6</v>
      </c>
      <c r="X108" s="104">
        <f>X103*X112</f>
        <v>856.24000000000012</v>
      </c>
      <c r="Y108" s="104">
        <f>Y103*Y112</f>
        <v>992.2</v>
      </c>
      <c r="Z108" s="104">
        <f>Z103*Z112</f>
        <v>1375.92</v>
      </c>
      <c r="AA108" s="133">
        <f>Z108</f>
        <v>1375.92</v>
      </c>
      <c r="AB108" s="104">
        <f>AB103*AB112</f>
        <v>1383.3000000000002</v>
      </c>
      <c r="AC108" s="104">
        <f>AC103*AC112</f>
        <v>1548.12</v>
      </c>
      <c r="AD108" s="104">
        <f>AD103*AD112</f>
        <v>1651.65</v>
      </c>
      <c r="AE108" s="104">
        <f>AE103*AE112</f>
        <v>2013.5500000000002</v>
      </c>
      <c r="AF108" s="133">
        <f>AE108</f>
        <v>2013.5500000000002</v>
      </c>
      <c r="AG108" s="104">
        <f>AG103*AG112</f>
        <v>1943.1299999999999</v>
      </c>
      <c r="AH108" s="104">
        <f>AH103*AH112</f>
        <v>2017.7999999999997</v>
      </c>
      <c r="AI108" s="104">
        <f>AI103*AI112</f>
        <v>2108.4299999999998</v>
      </c>
      <c r="AJ108" s="350">
        <f>AJ103*AJ112</f>
        <v>2587.5</v>
      </c>
      <c r="AK108" s="133">
        <f>AJ108</f>
        <v>2587.5</v>
      </c>
      <c r="AL108" s="104">
        <f>AL103*AL112</f>
        <v>2543.88</v>
      </c>
      <c r="AM108" s="104">
        <f>AM103*AM112</f>
        <v>2615.5</v>
      </c>
      <c r="AN108" s="104">
        <f>AN103*AN112</f>
        <v>2866</v>
      </c>
      <c r="AO108" s="350">
        <f>AO103*AO112</f>
        <v>3296.16</v>
      </c>
      <c r="AP108" s="133">
        <f>AO108</f>
        <v>3296.16</v>
      </c>
      <c r="AQ108" s="350">
        <f>AQ103*AQ112</f>
        <v>3343.5</v>
      </c>
      <c r="AR108" s="104">
        <f>AR103*AR112</f>
        <v>3466</v>
      </c>
      <c r="AS108" s="104">
        <f>AS103*AS112</f>
        <v>3782.8799999999997</v>
      </c>
      <c r="AT108" s="64"/>
      <c r="AU108" s="93"/>
      <c r="AV108" s="64"/>
      <c r="AW108" s="64"/>
      <c r="AX108" s="64"/>
      <c r="AY108" s="64"/>
      <c r="AZ108" s="93"/>
      <c r="BA108" s="64"/>
      <c r="BB108" s="64"/>
      <c r="BC108" s="64"/>
      <c r="BD108" s="64"/>
      <c r="BE108" s="93"/>
      <c r="BF108" s="64"/>
      <c r="BG108" s="64"/>
      <c r="BH108" s="64"/>
      <c r="BI108" s="64"/>
      <c r="BJ108" s="93"/>
      <c r="BK108" s="64"/>
      <c r="BL108" s="64"/>
      <c r="BM108" s="64"/>
      <c r="BN108" s="64"/>
      <c r="BO108" s="93"/>
    </row>
    <row r="109" spans="1:67">
      <c r="A109" s="57"/>
      <c r="B109" s="156" t="s">
        <v>78</v>
      </c>
      <c r="G109" s="68"/>
      <c r="L109" s="68"/>
      <c r="Q109" s="68"/>
      <c r="U109" s="111"/>
      <c r="V109" s="112"/>
      <c r="W109" s="111">
        <f>W108-U108</f>
        <v>54.449999999999932</v>
      </c>
      <c r="X109" s="111">
        <f>X108-W108</f>
        <v>68.6400000000001</v>
      </c>
      <c r="Y109" s="111">
        <f>Y108-X108</f>
        <v>135.95999999999992</v>
      </c>
      <c r="Z109" s="111">
        <f>Z108-Y108</f>
        <v>383.72</v>
      </c>
      <c r="AA109" s="112"/>
      <c r="AB109" s="111">
        <f>AB108-Z108</f>
        <v>7.3800000000001091</v>
      </c>
      <c r="AC109" s="111">
        <f>AC108-AB108</f>
        <v>164.81999999999971</v>
      </c>
      <c r="AD109" s="111">
        <f>AD108-AC108</f>
        <v>103.5300000000002</v>
      </c>
      <c r="AE109" s="111">
        <f>AE108-AD108</f>
        <v>361.90000000000009</v>
      </c>
      <c r="AF109" s="112"/>
      <c r="AG109" s="111">
        <f>AG108-AE108</f>
        <v>-70.4200000000003</v>
      </c>
      <c r="AH109" s="111">
        <f>AH108-AG108</f>
        <v>74.669999999999845</v>
      </c>
      <c r="AI109" s="111">
        <f>AI108-AH108</f>
        <v>90.630000000000109</v>
      </c>
      <c r="AJ109" s="349">
        <f>AJ108-AI108</f>
        <v>479.07000000000016</v>
      </c>
      <c r="AK109" s="112"/>
      <c r="AL109" s="111">
        <f>AL108-AJ108</f>
        <v>-43.619999999999891</v>
      </c>
      <c r="AM109" s="111">
        <f>AM108-AL108</f>
        <v>71.619999999999891</v>
      </c>
      <c r="AN109" s="111">
        <f>AN108-AM108</f>
        <v>250.5</v>
      </c>
      <c r="AO109" s="349">
        <f>AO108-AN108</f>
        <v>430.15999999999985</v>
      </c>
      <c r="AP109" s="112"/>
      <c r="AQ109" s="349">
        <f>AQ108-AO108</f>
        <v>47.340000000000146</v>
      </c>
      <c r="AR109" s="111">
        <f>AR108-AQ108</f>
        <v>122.5</v>
      </c>
      <c r="AS109" s="111">
        <f>AS108-AR108</f>
        <v>316.87999999999965</v>
      </c>
      <c r="AU109" s="68"/>
      <c r="AZ109" s="68"/>
      <c r="BE109" s="68"/>
      <c r="BJ109" s="68"/>
      <c r="BO109" s="68"/>
    </row>
    <row r="110" spans="1:67" s="88" customFormat="1">
      <c r="A110" s="1430" t="s">
        <v>190</v>
      </c>
      <c r="B110" s="1395" t="s">
        <v>32</v>
      </c>
      <c r="G110" s="1396"/>
      <c r="L110" s="1396"/>
      <c r="Q110" s="1396"/>
      <c r="U110" s="117" t="str">
        <f t="shared" ref="U110:AN110" si="59">IFERROR(U108/P108-1,"--")</f>
        <v>--</v>
      </c>
      <c r="V110" s="243" t="str">
        <f t="shared" si="59"/>
        <v>--</v>
      </c>
      <c r="W110" s="117" t="str">
        <f t="shared" si="59"/>
        <v>--</v>
      </c>
      <c r="X110" s="117" t="str">
        <f t="shared" si="59"/>
        <v>--</v>
      </c>
      <c r="Y110" s="117" t="str">
        <f t="shared" si="59"/>
        <v>--</v>
      </c>
      <c r="Z110" s="117">
        <f t="shared" si="59"/>
        <v>0.87672372638614182</v>
      </c>
      <c r="AA110" s="243">
        <f t="shared" si="59"/>
        <v>0.87672372638614182</v>
      </c>
      <c r="AB110" s="117">
        <f t="shared" si="59"/>
        <v>0.75634840020314908</v>
      </c>
      <c r="AC110" s="117">
        <f t="shared" si="59"/>
        <v>0.80804447351209907</v>
      </c>
      <c r="AD110" s="117">
        <f t="shared" si="59"/>
        <v>0.66463414634146334</v>
      </c>
      <c r="AE110" s="117">
        <f t="shared" si="59"/>
        <v>0.46342083842083848</v>
      </c>
      <c r="AF110" s="243">
        <f t="shared" si="59"/>
        <v>0.46342083842083848</v>
      </c>
      <c r="AG110" s="117">
        <f t="shared" si="59"/>
        <v>0.4047061374972889</v>
      </c>
      <c r="AH110" s="117">
        <f t="shared" si="59"/>
        <v>0.30338733431516918</v>
      </c>
      <c r="AI110" s="117">
        <f t="shared" si="59"/>
        <v>0.27655980383253098</v>
      </c>
      <c r="AJ110" s="1397">
        <f t="shared" si="59"/>
        <v>0.28504382806486039</v>
      </c>
      <c r="AK110" s="243">
        <f t="shared" si="59"/>
        <v>0.28504382806486039</v>
      </c>
      <c r="AL110" s="117">
        <f t="shared" si="59"/>
        <v>0.30916613916722002</v>
      </c>
      <c r="AM110" s="117">
        <f t="shared" si="59"/>
        <v>0.29621369808702558</v>
      </c>
      <c r="AN110" s="117">
        <f t="shared" si="59"/>
        <v>0.35930526505504101</v>
      </c>
      <c r="AO110" s="1397">
        <f>IFERROR(AO108/AJ108-1,"--")</f>
        <v>0.27387826086956513</v>
      </c>
      <c r="AP110" s="243">
        <f>IFERROR(AP108/AK108-1,"--")</f>
        <v>0.27387826086956513</v>
      </c>
      <c r="AQ110" s="1397">
        <f t="shared" ref="AQ110:AS110" si="60">IFERROR(AQ108/AL108-1,"--")</f>
        <v>0.31433086466342752</v>
      </c>
      <c r="AR110" s="117">
        <f t="shared" si="60"/>
        <v>0.32517683043395151</v>
      </c>
      <c r="AS110" s="117">
        <f t="shared" si="60"/>
        <v>0.31991625959525449</v>
      </c>
      <c r="AU110" s="1396"/>
      <c r="AZ110" s="1396"/>
      <c r="BE110" s="1396"/>
      <c r="BJ110" s="1396"/>
      <c r="BO110" s="1396"/>
    </row>
    <row r="111" spans="1:67">
      <c r="A111" s="57" t="s">
        <v>191</v>
      </c>
      <c r="B111" s="156" t="s">
        <v>33</v>
      </c>
      <c r="G111" s="68"/>
      <c r="L111" s="68"/>
      <c r="Q111" s="68"/>
      <c r="U111" s="71" t="str">
        <f>IFERROR(U108/T108-1,"--")</f>
        <v>--</v>
      </c>
      <c r="V111" s="72" t="s">
        <v>36</v>
      </c>
      <c r="W111" s="71">
        <f>IFERROR(W108/U108-1,"--")</f>
        <v>7.4268567141785313E-2</v>
      </c>
      <c r="X111" s="71">
        <f>IFERROR(X108/W108-1,"--")</f>
        <v>8.7150837988826835E-2</v>
      </c>
      <c r="Y111" s="71">
        <f>IFERROR(Y108/X108-1,"--")</f>
        <v>0.158787255909558</v>
      </c>
      <c r="Z111" s="71">
        <f>IFERROR(Z108/Y108-1,"--")</f>
        <v>0.38673654505140087</v>
      </c>
      <c r="AA111" s="72" t="s">
        <v>36</v>
      </c>
      <c r="AB111" s="71">
        <f>IFERROR(AB108/Z108-1,"--")</f>
        <v>5.3636839351125509E-3</v>
      </c>
      <c r="AC111" s="71">
        <f>IFERROR(AC108/AB108-1,"--")</f>
        <v>0.11914985903274755</v>
      </c>
      <c r="AD111" s="71">
        <f>IFERROR(AD108/AC108-1,"--")</f>
        <v>6.6874660879001846E-2</v>
      </c>
      <c r="AE111" s="71">
        <f>IFERROR(AE108/AD108-1,"--")</f>
        <v>0.21911421911421924</v>
      </c>
      <c r="AF111" s="72" t="s">
        <v>36</v>
      </c>
      <c r="AG111" s="71">
        <f>IFERROR(AG108/AE108-1,"--")</f>
        <v>-3.4973057535199192E-2</v>
      </c>
      <c r="AH111" s="71">
        <f>IFERROR(AH108/AG108-1,"--")</f>
        <v>3.8427691405104047E-2</v>
      </c>
      <c r="AI111" s="71">
        <f>IFERROR(AI108/AH108-1,"--")</f>
        <v>4.4915254237288149E-2</v>
      </c>
      <c r="AJ111" s="142">
        <f>IFERROR(AJ108/AI108-1,"--")</f>
        <v>0.22721645964058568</v>
      </c>
      <c r="AK111" s="72" t="s">
        <v>36</v>
      </c>
      <c r="AL111" s="71">
        <f>IFERROR(AL108/AJ108-1,"--")</f>
        <v>-1.6857971014492712E-2</v>
      </c>
      <c r="AM111" s="71">
        <f>IFERROR(AM108/AL108-1,"--")</f>
        <v>2.8153843734767259E-2</v>
      </c>
      <c r="AN111" s="71">
        <f>IFERROR(AN108/AM108-1,"--")</f>
        <v>9.5775186388835865E-2</v>
      </c>
      <c r="AO111" s="142">
        <f>IFERROR(AO108/AN108-1,"--")</f>
        <v>0.15009071877180724</v>
      </c>
      <c r="AP111" s="72" t="s">
        <v>36</v>
      </c>
      <c r="AQ111" s="142">
        <f>IFERROR(AQ108/AO108-1,"--")</f>
        <v>1.4362166885102612E-2</v>
      </c>
      <c r="AR111" s="71">
        <f>IFERROR(AR108/AQ108-1,"--")</f>
        <v>3.6638253327351489E-2</v>
      </c>
      <c r="AS111" s="71">
        <f>IFERROR(AS108/AR108-1,"--")</f>
        <v>9.1425274091171183E-2</v>
      </c>
      <c r="AU111" s="68"/>
      <c r="AZ111" s="68"/>
      <c r="BE111" s="68"/>
      <c r="BJ111" s="68"/>
      <c r="BO111" s="68"/>
    </row>
    <row r="112" spans="1:67">
      <c r="A112" s="57"/>
      <c r="B112" s="156" t="s">
        <v>156</v>
      </c>
      <c r="G112" s="68"/>
      <c r="L112" s="68"/>
      <c r="Q112" s="68"/>
      <c r="U112" s="89">
        <v>0.55000000000000004</v>
      </c>
      <c r="V112" s="68"/>
      <c r="W112" s="89">
        <v>0.55000000000000004</v>
      </c>
      <c r="X112" s="89">
        <v>0.56000000000000005</v>
      </c>
      <c r="Y112" s="89">
        <v>0.55000000000000004</v>
      </c>
      <c r="Z112" s="89">
        <v>0.52</v>
      </c>
      <c r="AA112" s="68"/>
      <c r="AB112" s="89">
        <v>0.53</v>
      </c>
      <c r="AC112" s="89">
        <v>0.56999999999999995</v>
      </c>
      <c r="AD112" s="89">
        <v>0.55000000000000004</v>
      </c>
      <c r="AE112" s="89">
        <v>0.55000000000000004</v>
      </c>
      <c r="AF112" s="68"/>
      <c r="AG112" s="89">
        <v>0.56999999999999995</v>
      </c>
      <c r="AH112" s="89">
        <v>0.56999999999999995</v>
      </c>
      <c r="AI112" s="89">
        <v>0.56999999999999995</v>
      </c>
      <c r="AJ112" s="145">
        <v>0.5</v>
      </c>
      <c r="AK112" s="68"/>
      <c r="AL112" s="89">
        <v>0.51</v>
      </c>
      <c r="AM112" s="89">
        <v>0.5</v>
      </c>
      <c r="AN112" s="89">
        <v>0.5</v>
      </c>
      <c r="AO112" s="89">
        <v>0.48</v>
      </c>
      <c r="AP112" s="68"/>
      <c r="AQ112" s="145">
        <v>0.5</v>
      </c>
      <c r="AR112" s="145">
        <v>0.5</v>
      </c>
      <c r="AS112" s="89">
        <v>0.48</v>
      </c>
      <c r="AU112" s="68"/>
      <c r="AZ112" s="68"/>
      <c r="BE112" s="68"/>
      <c r="BJ112" s="68"/>
      <c r="BO112" s="68"/>
    </row>
    <row r="113" spans="1:67">
      <c r="B113" s="154"/>
      <c r="G113" s="68"/>
      <c r="L113" s="68"/>
      <c r="Q113" s="68"/>
      <c r="V113" s="68"/>
      <c r="AA113" s="68"/>
      <c r="AD113" s="88"/>
      <c r="AE113" s="88"/>
      <c r="AF113" s="68"/>
      <c r="AG113" s="88"/>
      <c r="AH113" s="88"/>
      <c r="AI113" s="88"/>
      <c r="AJ113" s="88"/>
      <c r="AK113" s="68"/>
      <c r="AL113" s="88"/>
      <c r="AM113" s="88"/>
      <c r="AP113" s="68"/>
      <c r="AQ113" s="1389"/>
      <c r="AR113" s="109"/>
      <c r="AS113" s="109"/>
      <c r="AU113" s="68"/>
      <c r="AZ113" s="68"/>
      <c r="BE113" s="68"/>
      <c r="BJ113" s="68"/>
      <c r="BO113" s="68"/>
    </row>
    <row r="114" spans="1:67">
      <c r="A114" s="108" t="s">
        <v>95</v>
      </c>
      <c r="B114" s="160" t="s">
        <v>50</v>
      </c>
      <c r="C114" s="64"/>
      <c r="D114" s="64"/>
      <c r="E114" s="64"/>
      <c r="F114" s="64"/>
      <c r="G114" s="93"/>
      <c r="H114" s="64"/>
      <c r="I114" s="64"/>
      <c r="J114" s="105">
        <v>1.65</v>
      </c>
      <c r="K114" s="105">
        <v>1.8</v>
      </c>
      <c r="L114" s="106">
        <f>K114</f>
        <v>1.8</v>
      </c>
      <c r="M114" s="105">
        <v>1.87</v>
      </c>
      <c r="N114" s="105">
        <v>2.23</v>
      </c>
      <c r="O114" s="105">
        <v>1.89</v>
      </c>
      <c r="P114" s="105">
        <v>1.69</v>
      </c>
      <c r="Q114" s="106">
        <f>P114</f>
        <v>1.69</v>
      </c>
      <c r="R114" s="105">
        <v>1.71</v>
      </c>
      <c r="S114" s="105">
        <v>1.61</v>
      </c>
      <c r="T114" s="105">
        <v>1.64</v>
      </c>
      <c r="U114" s="105">
        <v>1.65</v>
      </c>
      <c r="V114" s="106">
        <f>U114</f>
        <v>1.65</v>
      </c>
      <c r="W114" s="105">
        <v>1.66</v>
      </c>
      <c r="X114" s="105">
        <v>1.69</v>
      </c>
      <c r="Y114" s="105">
        <v>1.72</v>
      </c>
      <c r="Z114" s="105">
        <v>1.78</v>
      </c>
      <c r="AA114" s="106">
        <f>Z114</f>
        <v>1.78</v>
      </c>
      <c r="AB114" s="105">
        <v>1.75</v>
      </c>
      <c r="AC114" s="143">
        <v>1.72</v>
      </c>
      <c r="AD114" s="143">
        <v>1.65</v>
      </c>
      <c r="AE114" s="143">
        <v>1.58</v>
      </c>
      <c r="AF114" s="106">
        <f>AE114</f>
        <v>1.58</v>
      </c>
      <c r="AG114" s="105">
        <v>1.51</v>
      </c>
      <c r="AH114" s="105">
        <v>1.42</v>
      </c>
      <c r="AI114" s="105">
        <v>1.35</v>
      </c>
      <c r="AJ114" s="143">
        <v>1.31</v>
      </c>
      <c r="AK114" s="106">
        <f>AJ114</f>
        <v>1.31</v>
      </c>
      <c r="AL114" s="105">
        <v>1.28</v>
      </c>
      <c r="AM114" s="105">
        <v>1.27</v>
      </c>
      <c r="AN114" s="105">
        <v>1.27</v>
      </c>
      <c r="AO114" s="105">
        <v>1.26</v>
      </c>
      <c r="AP114" s="106">
        <f>AO114</f>
        <v>1.26</v>
      </c>
      <c r="AQ114" s="143">
        <v>1.24</v>
      </c>
      <c r="AR114" s="143">
        <v>1.25</v>
      </c>
      <c r="AS114" s="105">
        <v>1.25</v>
      </c>
      <c r="AT114" s="64"/>
      <c r="AU114" s="93"/>
      <c r="AV114" s="64"/>
      <c r="AW114" s="64"/>
      <c r="AX114" s="64"/>
      <c r="AY114" s="64"/>
      <c r="AZ114" s="93"/>
      <c r="BA114" s="64"/>
      <c r="BB114" s="64"/>
      <c r="BC114" s="64"/>
      <c r="BD114" s="64"/>
      <c r="BE114" s="93"/>
      <c r="BF114" s="64"/>
      <c r="BG114" s="64"/>
      <c r="BH114" s="64"/>
      <c r="BI114" s="64"/>
      <c r="BJ114" s="93"/>
      <c r="BK114" s="64"/>
      <c r="BL114" s="64"/>
      <c r="BM114" s="64"/>
      <c r="BN114" s="64"/>
      <c r="BO114" s="93"/>
    </row>
    <row r="115" spans="1:67">
      <c r="B115" s="154"/>
      <c r="G115" s="68"/>
      <c r="L115" s="68"/>
      <c r="Q115" s="68"/>
      <c r="V115" s="68"/>
      <c r="AA115" s="68"/>
      <c r="AB115" s="88"/>
      <c r="AC115" s="88">
        <f>AC114-AB114</f>
        <v>-3.0000000000000027E-2</v>
      </c>
      <c r="AD115" s="88">
        <f>AD114-AC114</f>
        <v>-7.0000000000000062E-2</v>
      </c>
      <c r="AE115" s="88">
        <f>AE114-AD114</f>
        <v>-6.999999999999984E-2</v>
      </c>
      <c r="AF115" s="68"/>
      <c r="AG115" s="88">
        <f>AG114-AE114</f>
        <v>-7.0000000000000062E-2</v>
      </c>
      <c r="AH115" s="88">
        <f>AH114-AG114</f>
        <v>-9.000000000000008E-2</v>
      </c>
      <c r="AI115" s="88">
        <f>AI114-AH114</f>
        <v>-6.999999999999984E-2</v>
      </c>
      <c r="AJ115" s="88">
        <f>AJ114-AI114</f>
        <v>-4.0000000000000036E-2</v>
      </c>
      <c r="AK115" s="68"/>
      <c r="AL115" s="88">
        <f>AL114-AJ114</f>
        <v>-3.0000000000000027E-2</v>
      </c>
      <c r="AM115" s="88">
        <f>AM114-AL114</f>
        <v>-1.0000000000000009E-2</v>
      </c>
      <c r="AN115" s="228">
        <f>AN114-AM114</f>
        <v>0</v>
      </c>
      <c r="AO115" s="88">
        <f>AO114-AN114</f>
        <v>-1.0000000000000009E-2</v>
      </c>
      <c r="AP115" s="68"/>
      <c r="AQ115" s="88">
        <f>AQ114-AO114</f>
        <v>-2.0000000000000018E-2</v>
      </c>
      <c r="AR115" s="88">
        <f>AR114-AQ114</f>
        <v>1.0000000000000009E-2</v>
      </c>
      <c r="AS115" s="88">
        <f>AS114-AR114</f>
        <v>0</v>
      </c>
      <c r="AU115" s="68"/>
      <c r="AZ115" s="68"/>
      <c r="BE115" s="68"/>
      <c r="BJ115" s="68"/>
      <c r="BO115" s="68"/>
    </row>
    <row r="116" spans="1:67">
      <c r="B116" s="165" t="s">
        <v>192</v>
      </c>
      <c r="G116" s="68"/>
      <c r="L116" s="68"/>
      <c r="Q116" s="68"/>
      <c r="V116" s="68"/>
      <c r="AA116" s="68"/>
      <c r="AB116" s="88"/>
      <c r="AC116" s="88"/>
      <c r="AD116" s="88"/>
      <c r="AE116" s="88"/>
      <c r="AF116" s="68"/>
      <c r="AG116" s="88"/>
      <c r="AH116" s="88"/>
      <c r="AI116" s="88"/>
      <c r="AJ116" s="88"/>
      <c r="AK116" s="68"/>
      <c r="AN116" s="136"/>
      <c r="AP116" s="68"/>
      <c r="AR116" s="109"/>
      <c r="AS116" s="109"/>
      <c r="AU116" s="68"/>
      <c r="AZ116" s="68"/>
      <c r="BE116" s="68"/>
      <c r="BJ116" s="68"/>
      <c r="BO116" s="68"/>
    </row>
    <row r="117" spans="1:67" s="260" customFormat="1" hidden="1" outlineLevel="1">
      <c r="A117" s="266"/>
      <c r="B117" s="267" t="s">
        <v>195</v>
      </c>
      <c r="C117" s="268"/>
      <c r="D117" s="268"/>
      <c r="E117" s="268"/>
      <c r="F117" s="268"/>
      <c r="G117" s="263"/>
      <c r="H117" s="268"/>
      <c r="I117" s="268"/>
      <c r="J117" s="269"/>
      <c r="K117" s="269"/>
      <c r="L117" s="263"/>
      <c r="M117" s="269"/>
      <c r="N117" s="269"/>
      <c r="O117" s="269"/>
      <c r="P117" s="269"/>
      <c r="Q117" s="263"/>
      <c r="R117" s="269"/>
      <c r="S117" s="269"/>
      <c r="T117" s="269"/>
      <c r="U117" s="269"/>
      <c r="V117" s="263"/>
      <c r="W117" s="269"/>
      <c r="X117" s="269"/>
      <c r="Y117" s="269"/>
      <c r="Z117" s="269"/>
      <c r="AA117" s="263"/>
      <c r="AB117" s="269"/>
      <c r="AC117" s="270"/>
      <c r="AD117" s="270">
        <v>801</v>
      </c>
      <c r="AE117" s="270">
        <v>861</v>
      </c>
      <c r="AF117" s="263">
        <f>AE117</f>
        <v>861</v>
      </c>
      <c r="AG117" s="269">
        <v>907</v>
      </c>
      <c r="AH117" s="270">
        <v>925</v>
      </c>
      <c r="AI117" s="270">
        <v>925</v>
      </c>
      <c r="AJ117" s="269">
        <v>939</v>
      </c>
      <c r="AK117" s="263">
        <f>AJ117</f>
        <v>939</v>
      </c>
      <c r="AL117" s="269">
        <v>963</v>
      </c>
      <c r="AM117" s="269">
        <v>1002</v>
      </c>
      <c r="AN117" s="270">
        <v>1080</v>
      </c>
      <c r="AO117" s="269">
        <v>1084</v>
      </c>
      <c r="AP117" s="263">
        <f>AO117</f>
        <v>1084</v>
      </c>
      <c r="AQ117" s="270">
        <v>1123</v>
      </c>
      <c r="AR117" s="270">
        <v>1189</v>
      </c>
      <c r="AS117" s="269">
        <v>1258</v>
      </c>
      <c r="AT117" s="268"/>
      <c r="AU117" s="263"/>
      <c r="AV117" s="268"/>
      <c r="AW117" s="268"/>
      <c r="AX117" s="268"/>
      <c r="AY117" s="268"/>
      <c r="AZ117" s="263"/>
      <c r="BA117" s="268"/>
      <c r="BB117" s="268"/>
      <c r="BC117" s="268"/>
      <c r="BD117" s="268"/>
      <c r="BE117" s="263"/>
      <c r="BF117" s="268"/>
      <c r="BG117" s="268"/>
      <c r="BH117" s="268"/>
      <c r="BI117" s="268"/>
      <c r="BJ117" s="263"/>
      <c r="BK117" s="268"/>
      <c r="BL117" s="268"/>
      <c r="BM117" s="268"/>
      <c r="BN117" s="268"/>
      <c r="BO117" s="263"/>
    </row>
    <row r="118" spans="1:67" s="150" customFormat="1" hidden="1" outlineLevel="1">
      <c r="B118" s="271" t="s">
        <v>32</v>
      </c>
      <c r="G118" s="134"/>
      <c r="L118" s="134"/>
      <c r="Q118" s="134"/>
      <c r="V118" s="134"/>
      <c r="AA118" s="134"/>
      <c r="AB118" s="169" t="str">
        <f t="shared" ref="AB118:AN118" si="61">IFERROR(AB117/W117-1,"--")</f>
        <v>--</v>
      </c>
      <c r="AC118" s="169" t="str">
        <f t="shared" si="61"/>
        <v>--</v>
      </c>
      <c r="AD118" s="169" t="str">
        <f t="shared" si="61"/>
        <v>--</v>
      </c>
      <c r="AE118" s="169" t="str">
        <f t="shared" si="61"/>
        <v>--</v>
      </c>
      <c r="AF118" s="272" t="str">
        <f t="shared" si="61"/>
        <v>--</v>
      </c>
      <c r="AG118" s="169" t="str">
        <f t="shared" si="61"/>
        <v>--</v>
      </c>
      <c r="AH118" s="169" t="str">
        <f t="shared" si="61"/>
        <v>--</v>
      </c>
      <c r="AI118" s="169">
        <f t="shared" si="61"/>
        <v>0.1548064918851435</v>
      </c>
      <c r="AJ118" s="169">
        <f t="shared" si="61"/>
        <v>9.0592334494773441E-2</v>
      </c>
      <c r="AK118" s="272">
        <f t="shared" si="61"/>
        <v>9.0592334494773441E-2</v>
      </c>
      <c r="AL118" s="169">
        <f t="shared" si="61"/>
        <v>6.1742006615215006E-2</v>
      </c>
      <c r="AM118" s="957">
        <f t="shared" si="61"/>
        <v>8.3243243243243281E-2</v>
      </c>
      <c r="AN118" s="361">
        <f t="shared" si="61"/>
        <v>0.16756756756756763</v>
      </c>
      <c r="AO118" s="169">
        <f>IFERROR(AO117/AJ117-1,"--")</f>
        <v>0.15441959531416405</v>
      </c>
      <c r="AP118" s="272">
        <f>IFERROR(AP117/AK117-1,"--")</f>
        <v>0.15441959531416405</v>
      </c>
      <c r="AQ118" s="361">
        <f t="shared" ref="AQ118:AS118" si="62">IFERROR(AQ117/AL117-1,"--")</f>
        <v>0.16614745586708213</v>
      </c>
      <c r="AR118" s="361">
        <f t="shared" si="62"/>
        <v>0.18662674650698596</v>
      </c>
      <c r="AS118" s="957">
        <f t="shared" si="62"/>
        <v>0.16481481481481475</v>
      </c>
      <c r="AU118" s="134"/>
      <c r="AZ118" s="134"/>
      <c r="BE118" s="134"/>
      <c r="BJ118" s="134"/>
      <c r="BO118" s="134"/>
    </row>
    <row r="119" spans="1:67" hidden="1" outlineLevel="1">
      <c r="B119" s="159" t="s">
        <v>33</v>
      </c>
      <c r="G119" s="68"/>
      <c r="L119" s="68"/>
      <c r="Q119" s="68"/>
      <c r="V119" s="68"/>
      <c r="AA119" s="68"/>
      <c r="AB119" s="169" t="str">
        <f>IFERROR(AB117/Z117-1,"--")</f>
        <v>--</v>
      </c>
      <c r="AC119" s="169" t="str">
        <f>IFERROR(AC117/AB117-1,"--")</f>
        <v>--</v>
      </c>
      <c r="AD119" s="169" t="str">
        <f>IFERROR(AD117/AC117-1,"--")</f>
        <v>--</v>
      </c>
      <c r="AE119" s="169">
        <f>IFERROR(AE117/AD117-1,"--")</f>
        <v>7.4906367041198463E-2</v>
      </c>
      <c r="AF119" s="68"/>
      <c r="AG119" s="169">
        <f>IFERROR(AG117/AE117-1,"--")</f>
        <v>5.3426248548199773E-2</v>
      </c>
      <c r="AH119" s="169">
        <f>IFERROR(AH117/AG117-1,"--")</f>
        <v>1.9845644983461863E-2</v>
      </c>
      <c r="AI119" s="169">
        <f>IFERROR(AI117/AH117-1,"--")</f>
        <v>0</v>
      </c>
      <c r="AJ119" s="169">
        <f>IFERROR(AJ117/AI117-1,"--")</f>
        <v>1.5135135135135203E-2</v>
      </c>
      <c r="AK119" s="68"/>
      <c r="AL119" s="169">
        <f>IFERROR(AL117/AJ117-1,"--")</f>
        <v>2.5559105431310014E-2</v>
      </c>
      <c r="AM119" s="957">
        <f>IFERROR(AM117/AL117-1,"--")</f>
        <v>4.049844236760114E-2</v>
      </c>
      <c r="AN119" s="361">
        <f>IFERROR(AN117/AM117-1,"--")</f>
        <v>7.7844311377245567E-2</v>
      </c>
      <c r="AO119" s="169">
        <f>IFERROR(AO117/AN117-1,"--")</f>
        <v>3.7037037037037646E-3</v>
      </c>
      <c r="AP119" s="68"/>
      <c r="AQ119" s="361">
        <f>IFERROR(AQ117/AO117-1,"--")</f>
        <v>3.5977859778597798E-2</v>
      </c>
      <c r="AR119" s="361">
        <f>IFERROR(AR117/AQ117-1,"--")</f>
        <v>5.8771148708815613E-2</v>
      </c>
      <c r="AS119" s="957">
        <f>IFERROR(AS117/AR117-1,"--")</f>
        <v>5.8031959629941232E-2</v>
      </c>
      <c r="AU119" s="68"/>
      <c r="AZ119" s="68"/>
      <c r="BE119" s="68"/>
      <c r="BJ119" s="68"/>
      <c r="BO119" s="68"/>
    </row>
    <row r="120" spans="1:67" s="260" customFormat="1" hidden="1" outlineLevel="1">
      <c r="B120" s="261" t="s">
        <v>193</v>
      </c>
      <c r="G120" s="262"/>
      <c r="L120" s="262"/>
      <c r="Q120" s="262"/>
      <c r="V120" s="262"/>
      <c r="AA120" s="262"/>
      <c r="AB120" s="260">
        <f t="shared" ref="AB120:AN120" si="63">IFERROR(AB117-W117,"--")</f>
        <v>0</v>
      </c>
      <c r="AC120" s="260">
        <f t="shared" si="63"/>
        <v>0</v>
      </c>
      <c r="AD120" s="260">
        <f t="shared" si="63"/>
        <v>801</v>
      </c>
      <c r="AE120" s="260">
        <f t="shared" si="63"/>
        <v>861</v>
      </c>
      <c r="AF120" s="262">
        <f t="shared" si="63"/>
        <v>861</v>
      </c>
      <c r="AG120" s="260">
        <f t="shared" si="63"/>
        <v>907</v>
      </c>
      <c r="AH120" s="260">
        <f t="shared" si="63"/>
        <v>925</v>
      </c>
      <c r="AI120" s="260">
        <f t="shared" si="63"/>
        <v>124</v>
      </c>
      <c r="AJ120" s="260">
        <f t="shared" si="63"/>
        <v>78</v>
      </c>
      <c r="AK120" s="262">
        <f t="shared" si="63"/>
        <v>78</v>
      </c>
      <c r="AL120" s="260">
        <f t="shared" si="63"/>
        <v>56</v>
      </c>
      <c r="AM120" s="260">
        <f t="shared" si="63"/>
        <v>77</v>
      </c>
      <c r="AN120" s="1219">
        <f t="shared" si="63"/>
        <v>155</v>
      </c>
      <c r="AO120" s="260">
        <f>IFERROR(AO117-AJ117,"--")</f>
        <v>145</v>
      </c>
      <c r="AP120" s="262">
        <f>IFERROR(AP117-AK117,"--")</f>
        <v>145</v>
      </c>
      <c r="AQ120" s="1219">
        <f t="shared" ref="AQ120:AS120" si="64">IFERROR(AQ117-AL117,"--")</f>
        <v>160</v>
      </c>
      <c r="AR120" s="1219">
        <f t="shared" si="64"/>
        <v>187</v>
      </c>
      <c r="AS120" s="260">
        <f t="shared" si="64"/>
        <v>178</v>
      </c>
      <c r="AU120" s="262"/>
      <c r="AZ120" s="262"/>
      <c r="BE120" s="262"/>
      <c r="BJ120" s="262"/>
      <c r="BO120" s="262"/>
    </row>
    <row r="121" spans="1:67" s="260" customFormat="1" hidden="1" outlineLevel="1">
      <c r="B121" s="261" t="s">
        <v>194</v>
      </c>
      <c r="G121" s="262"/>
      <c r="L121" s="262"/>
      <c r="Q121" s="262"/>
      <c r="V121" s="262"/>
      <c r="AA121" s="262"/>
      <c r="AB121" s="260">
        <f>IFERROR(AB117-Z117,"--")</f>
        <v>0</v>
      </c>
      <c r="AC121" s="260">
        <f>IFERROR(AC117-AB117,"--")</f>
        <v>0</v>
      </c>
      <c r="AD121" s="260">
        <f>IFERROR(AD117-AC117,"--")</f>
        <v>801</v>
      </c>
      <c r="AE121" s="260">
        <f>IFERROR(AE117-AD117,"--")</f>
        <v>60</v>
      </c>
      <c r="AF121" s="262"/>
      <c r="AG121" s="260">
        <f>IFERROR(AG117-AE117,"--")</f>
        <v>46</v>
      </c>
      <c r="AH121" s="260">
        <f>IFERROR(AH117-AG117,"--")</f>
        <v>18</v>
      </c>
      <c r="AI121" s="260">
        <f>IFERROR(AI117-AH117,"--")</f>
        <v>0</v>
      </c>
      <c r="AJ121" s="260">
        <f>IFERROR(AJ117-AI117,"--")</f>
        <v>14</v>
      </c>
      <c r="AK121" s="262"/>
      <c r="AL121" s="260">
        <f>IFERROR(AL117-AJ117,"--")</f>
        <v>24</v>
      </c>
      <c r="AM121" s="260">
        <f>IFERROR(AM117-AL117,"--")</f>
        <v>39</v>
      </c>
      <c r="AN121" s="1219">
        <f>IFERROR(AN117-AM117,"--")</f>
        <v>78</v>
      </c>
      <c r="AO121" s="260">
        <f>IFERROR(AO117-AN117,"--")</f>
        <v>4</v>
      </c>
      <c r="AP121" s="262"/>
      <c r="AQ121" s="1219">
        <f>IFERROR(AQ117-AO117,"--")</f>
        <v>39</v>
      </c>
      <c r="AR121" s="1219">
        <f>IFERROR(AR117-AQ117,"--")</f>
        <v>66</v>
      </c>
      <c r="AS121" s="260">
        <f>IFERROR(AS117-AR117,"--")</f>
        <v>69</v>
      </c>
      <c r="AU121" s="262"/>
      <c r="AZ121" s="262"/>
      <c r="BE121" s="262"/>
      <c r="BJ121" s="262"/>
      <c r="BO121" s="262"/>
    </row>
    <row r="122" spans="1:67" s="150" customFormat="1" hidden="1" outlineLevel="1">
      <c r="B122" s="271" t="s">
        <v>196</v>
      </c>
      <c r="G122" s="134"/>
      <c r="L122" s="134"/>
      <c r="Q122" s="134"/>
      <c r="V122" s="134"/>
      <c r="AA122" s="134"/>
      <c r="AB122" s="169" t="str">
        <f t="shared" ref="AB122:AN122" si="65">IFERROR(AB117/AB$145,"--")</f>
        <v>--</v>
      </c>
      <c r="AC122" s="169" t="str">
        <f t="shared" si="65"/>
        <v>--</v>
      </c>
      <c r="AD122" s="169">
        <f t="shared" si="65"/>
        <v>0.14440237966468361</v>
      </c>
      <c r="AE122" s="169">
        <f t="shared" si="65"/>
        <v>0.14632902787219579</v>
      </c>
      <c r="AF122" s="272">
        <f t="shared" si="65"/>
        <v>0.14632902787219579</v>
      </c>
      <c r="AG122" s="169">
        <f t="shared" si="65"/>
        <v>0.14374009508716323</v>
      </c>
      <c r="AH122" s="169">
        <f t="shared" si="65"/>
        <v>0.13890974620813937</v>
      </c>
      <c r="AI122" s="169">
        <f t="shared" si="65"/>
        <v>0.13637033760872772</v>
      </c>
      <c r="AJ122" s="169">
        <f t="shared" si="65"/>
        <v>0.13406624785836666</v>
      </c>
      <c r="AK122" s="272">
        <f t="shared" si="65"/>
        <v>0.13406624785836666</v>
      </c>
      <c r="AL122" s="169">
        <f t="shared" si="65"/>
        <v>0.13199013157894737</v>
      </c>
      <c r="AM122" s="957">
        <f t="shared" si="65"/>
        <v>0.13132372214941021</v>
      </c>
      <c r="AN122" s="361">
        <f t="shared" si="65"/>
        <v>0.13805445481273168</v>
      </c>
      <c r="AO122" s="169">
        <f>IFERROR(AO117/AO$145,"--")</f>
        <v>0.13837120245085524</v>
      </c>
      <c r="AP122" s="272">
        <f>IFERROR(AP117/AP$145,"--")</f>
        <v>0.13837120245085524</v>
      </c>
      <c r="AQ122" s="361">
        <f t="shared" ref="AQ122:AS122" si="66">IFERROR(AQ117/AQ$145,"--")</f>
        <v>0.1362864077669903</v>
      </c>
      <c r="AR122" s="361">
        <f t="shared" si="66"/>
        <v>0.13559128749002167</v>
      </c>
      <c r="AS122" s="957">
        <f t="shared" si="66"/>
        <v>0.13942147844397651</v>
      </c>
      <c r="AU122" s="134"/>
      <c r="AZ122" s="134"/>
      <c r="BE122" s="134"/>
      <c r="BJ122" s="134"/>
      <c r="BO122" s="134"/>
    </row>
    <row r="123" spans="1:67" hidden="1" outlineLevel="1">
      <c r="B123" s="165"/>
      <c r="G123" s="68"/>
      <c r="L123" s="68"/>
      <c r="Q123" s="68"/>
      <c r="V123" s="68"/>
      <c r="AA123" s="68"/>
      <c r="AB123" s="88"/>
      <c r="AC123" s="88"/>
      <c r="AD123" s="88"/>
      <c r="AE123" s="88"/>
      <c r="AF123" s="68"/>
      <c r="AG123" s="88"/>
      <c r="AH123" s="88"/>
      <c r="AI123" s="88"/>
      <c r="AJ123" s="88"/>
      <c r="AK123" s="68"/>
      <c r="AN123" s="136"/>
      <c r="AO123" s="88"/>
      <c r="AP123" s="68"/>
      <c r="AQ123" s="136"/>
      <c r="AR123" s="1220"/>
      <c r="AS123" s="109"/>
      <c r="AU123" s="68"/>
      <c r="AZ123" s="68"/>
      <c r="BE123" s="68"/>
      <c r="BJ123" s="68"/>
      <c r="BO123" s="68"/>
    </row>
    <row r="124" spans="1:67" s="260" customFormat="1" hidden="1" outlineLevel="1">
      <c r="A124" s="266"/>
      <c r="B124" s="267" t="s">
        <v>3</v>
      </c>
      <c r="C124" s="268"/>
      <c r="D124" s="268"/>
      <c r="E124" s="268"/>
      <c r="F124" s="268"/>
      <c r="G124" s="263"/>
      <c r="H124" s="268"/>
      <c r="I124" s="268"/>
      <c r="J124" s="269"/>
      <c r="K124" s="269"/>
      <c r="L124" s="263"/>
      <c r="M124" s="269"/>
      <c r="N124" s="269"/>
      <c r="O124" s="269"/>
      <c r="P124" s="269"/>
      <c r="Q124" s="263"/>
      <c r="R124" s="269"/>
      <c r="S124" s="269"/>
      <c r="T124" s="269"/>
      <c r="U124" s="269"/>
      <c r="V124" s="263"/>
      <c r="W124" s="269"/>
      <c r="X124" s="269"/>
      <c r="Y124" s="269"/>
      <c r="Z124" s="269"/>
      <c r="AA124" s="263"/>
      <c r="AB124" s="269"/>
      <c r="AC124" s="270"/>
      <c r="AD124" s="270">
        <v>2625</v>
      </c>
      <c r="AE124" s="270">
        <v>2738</v>
      </c>
      <c r="AF124" s="263">
        <f>AE124</f>
        <v>2738</v>
      </c>
      <c r="AG124" s="269">
        <v>2866</v>
      </c>
      <c r="AH124" s="270">
        <v>2979</v>
      </c>
      <c r="AI124" s="270">
        <v>2978</v>
      </c>
      <c r="AJ124" s="269">
        <v>3008</v>
      </c>
      <c r="AK124" s="263">
        <f>AJ124</f>
        <v>3008</v>
      </c>
      <c r="AL124" s="269">
        <v>3130</v>
      </c>
      <c r="AM124" s="269">
        <v>3235</v>
      </c>
      <c r="AN124" s="270">
        <v>3283</v>
      </c>
      <c r="AO124" s="269">
        <v>3310</v>
      </c>
      <c r="AP124" s="263">
        <f>AO124</f>
        <v>3310</v>
      </c>
      <c r="AQ124" s="270">
        <v>3683</v>
      </c>
      <c r="AR124" s="270">
        <v>4047</v>
      </c>
      <c r="AS124" s="269">
        <v>4141</v>
      </c>
      <c r="AT124" s="268"/>
      <c r="AU124" s="263"/>
      <c r="AV124" s="268"/>
      <c r="AW124" s="268"/>
      <c r="AX124" s="268"/>
      <c r="AY124" s="268"/>
      <c r="AZ124" s="263"/>
      <c r="BA124" s="268"/>
      <c r="BB124" s="268"/>
      <c r="BC124" s="268"/>
      <c r="BD124" s="268"/>
      <c r="BE124" s="263"/>
      <c r="BF124" s="268"/>
      <c r="BG124" s="268"/>
      <c r="BH124" s="268"/>
      <c r="BI124" s="268"/>
      <c r="BJ124" s="263"/>
      <c r="BK124" s="268"/>
      <c r="BL124" s="268"/>
      <c r="BM124" s="268"/>
      <c r="BN124" s="268"/>
      <c r="BO124" s="263"/>
    </row>
    <row r="125" spans="1:67" s="150" customFormat="1" hidden="1" outlineLevel="1">
      <c r="B125" s="271" t="s">
        <v>32</v>
      </c>
      <c r="G125" s="134"/>
      <c r="L125" s="134"/>
      <c r="Q125" s="134"/>
      <c r="V125" s="134"/>
      <c r="AA125" s="134"/>
      <c r="AB125" s="169" t="str">
        <f t="shared" ref="AB125:AN125" si="67">IFERROR(AB124/W124-1,"--")</f>
        <v>--</v>
      </c>
      <c r="AC125" s="169" t="str">
        <f t="shared" si="67"/>
        <v>--</v>
      </c>
      <c r="AD125" s="169" t="str">
        <f t="shared" si="67"/>
        <v>--</v>
      </c>
      <c r="AE125" s="169" t="str">
        <f t="shared" si="67"/>
        <v>--</v>
      </c>
      <c r="AF125" s="272" t="str">
        <f t="shared" si="67"/>
        <v>--</v>
      </c>
      <c r="AG125" s="169" t="str">
        <f t="shared" si="67"/>
        <v>--</v>
      </c>
      <c r="AH125" s="169" t="str">
        <f t="shared" si="67"/>
        <v>--</v>
      </c>
      <c r="AI125" s="169">
        <f t="shared" si="67"/>
        <v>0.13447619047619042</v>
      </c>
      <c r="AJ125" s="169">
        <f t="shared" si="67"/>
        <v>9.8612125639152559E-2</v>
      </c>
      <c r="AK125" s="272">
        <f t="shared" si="67"/>
        <v>9.8612125639152559E-2</v>
      </c>
      <c r="AL125" s="169">
        <f t="shared" si="67"/>
        <v>9.2114445219818597E-2</v>
      </c>
      <c r="AM125" s="957">
        <f t="shared" si="67"/>
        <v>8.5934877475662974E-2</v>
      </c>
      <c r="AN125" s="361">
        <f t="shared" si="67"/>
        <v>0.10241773002014765</v>
      </c>
      <c r="AO125" s="169">
        <f>IFERROR(AO124/AJ124-1,"--")</f>
        <v>0.10039893617021267</v>
      </c>
      <c r="AP125" s="272">
        <f>IFERROR(AP124/AK124-1,"--")</f>
        <v>0.10039893617021267</v>
      </c>
      <c r="AQ125" s="361">
        <f t="shared" ref="AQ125:AS125" si="68">IFERROR(AQ124/AL124-1,"--")</f>
        <v>0.17667731629392969</v>
      </c>
      <c r="AR125" s="361">
        <f t="shared" si="68"/>
        <v>0.25100463678516238</v>
      </c>
      <c r="AS125" s="957">
        <f t="shared" si="68"/>
        <v>0.26134632957660675</v>
      </c>
      <c r="AU125" s="134"/>
      <c r="AZ125" s="134"/>
      <c r="BE125" s="134"/>
      <c r="BJ125" s="134"/>
      <c r="BO125" s="134"/>
    </row>
    <row r="126" spans="1:67" hidden="1" outlineLevel="1">
      <c r="B126" s="159" t="s">
        <v>33</v>
      </c>
      <c r="G126" s="68"/>
      <c r="L126" s="68"/>
      <c r="Q126" s="68"/>
      <c r="V126" s="68"/>
      <c r="AA126" s="68"/>
      <c r="AB126" s="169" t="str">
        <f>IFERROR(AB124/Z124-1,"--")</f>
        <v>--</v>
      </c>
      <c r="AC126" s="169" t="str">
        <f>IFERROR(AC124/AB124-1,"--")</f>
        <v>--</v>
      </c>
      <c r="AD126" s="169" t="str">
        <f>IFERROR(AD124/AC124-1,"--")</f>
        <v>--</v>
      </c>
      <c r="AE126" s="169">
        <f>IFERROR(AE124/AD124-1,"--")</f>
        <v>4.3047619047619001E-2</v>
      </c>
      <c r="AF126" s="68"/>
      <c r="AG126" s="169">
        <f>IFERROR(AG124/AE124-1,"--")</f>
        <v>4.6749452154857485E-2</v>
      </c>
      <c r="AH126" s="169">
        <f>IFERROR(AH124/AG124-1,"--")</f>
        <v>3.9427773900907237E-2</v>
      </c>
      <c r="AI126" s="169">
        <f>IFERROR(AI124/AH124-1,"--")</f>
        <v>-3.3568311513931803E-4</v>
      </c>
      <c r="AJ126" s="169">
        <f>IFERROR(AJ124/AI124-1,"--")</f>
        <v>1.0073875083948858E-2</v>
      </c>
      <c r="AK126" s="68"/>
      <c r="AL126" s="169">
        <f>IFERROR(AL124/AJ124-1,"--")</f>
        <v>4.0558510638297962E-2</v>
      </c>
      <c r="AM126" s="957">
        <f>IFERROR(AM124/AL124-1,"--")</f>
        <v>3.3546325878594185E-2</v>
      </c>
      <c r="AN126" s="361">
        <f>IFERROR(AN124/AM124-1,"--")</f>
        <v>1.4837712519319979E-2</v>
      </c>
      <c r="AO126" s="169">
        <f>IFERROR(AO124/AN124-1,"--")</f>
        <v>8.2241851964666157E-3</v>
      </c>
      <c r="AP126" s="68"/>
      <c r="AQ126" s="361">
        <f>IFERROR(AQ124/AO124-1,"--")</f>
        <v>0.11268882175226591</v>
      </c>
      <c r="AR126" s="361">
        <f>IFERROR(AR124/AQ124-1,"--")</f>
        <v>9.8832473527016074E-2</v>
      </c>
      <c r="AS126" s="957">
        <f>IFERROR(AS124/AR124-1,"--")</f>
        <v>2.3227081788979476E-2</v>
      </c>
      <c r="AU126" s="68"/>
      <c r="AZ126" s="68"/>
      <c r="BE126" s="68"/>
      <c r="BJ126" s="68"/>
      <c r="BO126" s="68"/>
    </row>
    <row r="127" spans="1:67" hidden="1" outlineLevel="1">
      <c r="B127" s="159" t="s">
        <v>193</v>
      </c>
      <c r="G127" s="68"/>
      <c r="L127" s="68"/>
      <c r="Q127" s="68"/>
      <c r="V127" s="68"/>
      <c r="AA127" s="68"/>
      <c r="AB127" s="260">
        <f t="shared" ref="AB127:AN127" si="69">IFERROR(AB124-W124,"--")</f>
        <v>0</v>
      </c>
      <c r="AC127" s="260">
        <f t="shared" si="69"/>
        <v>0</v>
      </c>
      <c r="AD127" s="260">
        <f t="shared" si="69"/>
        <v>2625</v>
      </c>
      <c r="AE127" s="260">
        <f t="shared" si="69"/>
        <v>2738</v>
      </c>
      <c r="AF127" s="262">
        <f t="shared" si="69"/>
        <v>2738</v>
      </c>
      <c r="AG127" s="260">
        <f t="shared" si="69"/>
        <v>2866</v>
      </c>
      <c r="AH127" s="260">
        <f t="shared" si="69"/>
        <v>2979</v>
      </c>
      <c r="AI127" s="260">
        <f t="shared" si="69"/>
        <v>353</v>
      </c>
      <c r="AJ127" s="260">
        <f t="shared" si="69"/>
        <v>270</v>
      </c>
      <c r="AK127" s="262">
        <f t="shared" si="69"/>
        <v>270</v>
      </c>
      <c r="AL127" s="260">
        <f t="shared" si="69"/>
        <v>264</v>
      </c>
      <c r="AM127" s="260">
        <f t="shared" si="69"/>
        <v>256</v>
      </c>
      <c r="AN127" s="1219">
        <f t="shared" si="69"/>
        <v>305</v>
      </c>
      <c r="AO127" s="260">
        <f>IFERROR(AO124-AJ124,"--")</f>
        <v>302</v>
      </c>
      <c r="AP127" s="262">
        <f>IFERROR(AP124-AK124,"--")</f>
        <v>302</v>
      </c>
      <c r="AQ127" s="1219">
        <f t="shared" ref="AQ127:AS127" si="70">IFERROR(AQ124-AL124,"--")</f>
        <v>553</v>
      </c>
      <c r="AR127" s="1219">
        <f t="shared" si="70"/>
        <v>812</v>
      </c>
      <c r="AS127" s="260">
        <f t="shared" si="70"/>
        <v>858</v>
      </c>
      <c r="AU127" s="68"/>
      <c r="AZ127" s="68"/>
      <c r="BE127" s="68"/>
      <c r="BJ127" s="68"/>
      <c r="BO127" s="68"/>
    </row>
    <row r="128" spans="1:67" hidden="1" outlineLevel="1">
      <c r="B128" s="159" t="s">
        <v>194</v>
      </c>
      <c r="G128" s="68"/>
      <c r="L128" s="68"/>
      <c r="Q128" s="68"/>
      <c r="V128" s="68"/>
      <c r="AA128" s="68"/>
      <c r="AB128" s="260">
        <f>IFERROR(AB124-Z124,"--")</f>
        <v>0</v>
      </c>
      <c r="AC128" s="260">
        <f>IFERROR(AC124-AB124,"--")</f>
        <v>0</v>
      </c>
      <c r="AD128" s="260">
        <f>IFERROR(AD124-AC124,"--")</f>
        <v>2625</v>
      </c>
      <c r="AE128" s="260">
        <f>IFERROR(AE124-AD124,"--")</f>
        <v>113</v>
      </c>
      <c r="AF128" s="262"/>
      <c r="AG128" s="260">
        <f>IFERROR(AG124-AE124,"--")</f>
        <v>128</v>
      </c>
      <c r="AH128" s="260">
        <f>IFERROR(AH124-AG124,"--")</f>
        <v>113</v>
      </c>
      <c r="AI128" s="260">
        <f>IFERROR(AI124-AH124,"--")</f>
        <v>-1</v>
      </c>
      <c r="AJ128" s="260">
        <f>IFERROR(AJ124-AI124,"--")</f>
        <v>30</v>
      </c>
      <c r="AK128" s="262"/>
      <c r="AL128" s="260">
        <f>IFERROR(AL124-AJ124,"--")</f>
        <v>122</v>
      </c>
      <c r="AM128" s="260">
        <f>IFERROR(AM124-AL124,"--")</f>
        <v>105</v>
      </c>
      <c r="AN128" s="1219">
        <f>IFERROR(AN124-AM124,"--")</f>
        <v>48</v>
      </c>
      <c r="AO128" s="260">
        <f>IFERROR(AO124-AN124,"--")</f>
        <v>27</v>
      </c>
      <c r="AP128" s="262"/>
      <c r="AQ128" s="1219">
        <f>IFERROR(AQ124-AO124,"--")</f>
        <v>373</v>
      </c>
      <c r="AR128" s="1219">
        <f>IFERROR(AR124-AQ124,"--")</f>
        <v>364</v>
      </c>
      <c r="AS128" s="260">
        <f>IFERROR(AS124-AR124,"--")</f>
        <v>94</v>
      </c>
      <c r="AU128" s="68"/>
      <c r="AZ128" s="68"/>
      <c r="BE128" s="68"/>
      <c r="BJ128" s="68"/>
      <c r="BO128" s="68"/>
    </row>
    <row r="129" spans="1:67" hidden="1" outlineLevel="1">
      <c r="B129" s="159" t="s">
        <v>196</v>
      </c>
      <c r="G129" s="68"/>
      <c r="L129" s="68"/>
      <c r="Q129" s="68"/>
      <c r="V129" s="68"/>
      <c r="AA129" s="68"/>
      <c r="AB129" s="169" t="str">
        <f t="shared" ref="AB129:AN129" si="71">IFERROR(AB124/AB$145,"--")</f>
        <v>--</v>
      </c>
      <c r="AC129" s="169" t="str">
        <f t="shared" si="71"/>
        <v>--</v>
      </c>
      <c r="AD129" s="169">
        <f t="shared" si="71"/>
        <v>0.47322877230935639</v>
      </c>
      <c r="AE129" s="169">
        <f t="shared" si="71"/>
        <v>0.46532970768184906</v>
      </c>
      <c r="AF129" s="272">
        <f t="shared" si="71"/>
        <v>0.46532970768184906</v>
      </c>
      <c r="AG129" s="169">
        <f t="shared" si="71"/>
        <v>0.45419968304278924</v>
      </c>
      <c r="AH129" s="169">
        <f t="shared" si="71"/>
        <v>0.44736446913951045</v>
      </c>
      <c r="AI129" s="169">
        <f t="shared" si="71"/>
        <v>0.43903877340409847</v>
      </c>
      <c r="AJ129" s="169">
        <f t="shared" si="71"/>
        <v>0.42946887492861224</v>
      </c>
      <c r="AK129" s="272">
        <f t="shared" si="71"/>
        <v>0.42946887492861224</v>
      </c>
      <c r="AL129" s="169">
        <f t="shared" si="71"/>
        <v>0.42900219298245612</v>
      </c>
      <c r="AM129" s="957">
        <f t="shared" si="71"/>
        <v>0.42398427260812582</v>
      </c>
      <c r="AN129" s="361">
        <f t="shared" si="71"/>
        <v>0.41965997699092422</v>
      </c>
      <c r="AO129" s="169">
        <f>IFERROR(AO124/AO$145,"--")</f>
        <v>0.42251723257595097</v>
      </c>
      <c r="AP129" s="272">
        <f>IFERROR(AP124/AP$145,"--")</f>
        <v>0.42251723257595097</v>
      </c>
      <c r="AQ129" s="361">
        <f t="shared" ref="AQ129:AS129" si="72">IFERROR(AQ124/AQ$145,"--")</f>
        <v>0.44696601941747571</v>
      </c>
      <c r="AR129" s="361">
        <f t="shared" si="72"/>
        <v>0.46151214505644883</v>
      </c>
      <c r="AS129" s="957">
        <f t="shared" si="72"/>
        <v>0.4589382688684473</v>
      </c>
      <c r="AU129" s="68"/>
      <c r="AZ129" s="68"/>
      <c r="BE129" s="68"/>
      <c r="BJ129" s="68"/>
      <c r="BO129" s="68"/>
    </row>
    <row r="130" spans="1:67" hidden="1" outlineLevel="1">
      <c r="B130" s="154"/>
      <c r="G130" s="68"/>
      <c r="L130" s="68"/>
      <c r="Q130" s="68"/>
      <c r="V130" s="68"/>
      <c r="AA130" s="68"/>
      <c r="AB130" s="264"/>
      <c r="AC130" s="264"/>
      <c r="AD130" s="264"/>
      <c r="AE130" s="264"/>
      <c r="AF130" s="265"/>
      <c r="AG130" s="264"/>
      <c r="AH130" s="264"/>
      <c r="AI130" s="264"/>
      <c r="AJ130" s="264"/>
      <c r="AK130" s="265"/>
      <c r="AN130" s="136"/>
      <c r="AO130" s="264"/>
      <c r="AP130" s="68"/>
      <c r="AQ130" s="136"/>
      <c r="AR130" s="1220"/>
      <c r="AS130" s="109"/>
      <c r="AU130" s="68"/>
      <c r="AZ130" s="68"/>
      <c r="BE130" s="68"/>
      <c r="BJ130" s="68"/>
      <c r="BO130" s="68"/>
    </row>
    <row r="131" spans="1:67" s="260" customFormat="1" hidden="1" outlineLevel="1">
      <c r="A131" s="266"/>
      <c r="B131" s="267" t="s">
        <v>10</v>
      </c>
      <c r="C131" s="268"/>
      <c r="D131" s="268"/>
      <c r="E131" s="268"/>
      <c r="F131" s="268"/>
      <c r="G131" s="263"/>
      <c r="H131" s="268"/>
      <c r="I131" s="268"/>
      <c r="J131" s="269"/>
      <c r="K131" s="269"/>
      <c r="L131" s="263"/>
      <c r="M131" s="269"/>
      <c r="N131" s="269"/>
      <c r="O131" s="269"/>
      <c r="P131" s="269"/>
      <c r="Q131" s="263"/>
      <c r="R131" s="269"/>
      <c r="S131" s="269"/>
      <c r="T131" s="269"/>
      <c r="U131" s="269"/>
      <c r="V131" s="263"/>
      <c r="W131" s="269"/>
      <c r="X131" s="269"/>
      <c r="Y131" s="269"/>
      <c r="Z131" s="269"/>
      <c r="AA131" s="263"/>
      <c r="AB131" s="269"/>
      <c r="AC131" s="270"/>
      <c r="AD131" s="270">
        <v>1235</v>
      </c>
      <c r="AE131" s="270">
        <v>1378</v>
      </c>
      <c r="AF131" s="263">
        <f>AE131</f>
        <v>1378</v>
      </c>
      <c r="AG131" s="269">
        <v>1612</v>
      </c>
      <c r="AH131" s="270">
        <v>1805</v>
      </c>
      <c r="AI131" s="270">
        <v>1891</v>
      </c>
      <c r="AJ131" s="269">
        <v>2002</v>
      </c>
      <c r="AK131" s="263">
        <f>AJ131</f>
        <v>2002</v>
      </c>
      <c r="AL131" s="269">
        <v>2108</v>
      </c>
      <c r="AM131" s="269">
        <v>2241</v>
      </c>
      <c r="AN131" s="270">
        <v>2286</v>
      </c>
      <c r="AO131" s="269">
        <v>2257</v>
      </c>
      <c r="AP131" s="263">
        <f>AO131</f>
        <v>2257</v>
      </c>
      <c r="AQ131" s="270">
        <v>2289</v>
      </c>
      <c r="AR131" s="270">
        <v>2333</v>
      </c>
      <c r="AS131" s="269">
        <v>2403</v>
      </c>
      <c r="AT131" s="268"/>
      <c r="AU131" s="263"/>
      <c r="AV131" s="268"/>
      <c r="AW131" s="268"/>
      <c r="AX131" s="268"/>
      <c r="AY131" s="268"/>
      <c r="AZ131" s="263"/>
      <c r="BA131" s="268"/>
      <c r="BB131" s="268"/>
      <c r="BC131" s="268"/>
      <c r="BD131" s="268"/>
      <c r="BE131" s="263"/>
      <c r="BF131" s="268"/>
      <c r="BG131" s="268"/>
      <c r="BH131" s="268"/>
      <c r="BI131" s="268"/>
      <c r="BJ131" s="263"/>
      <c r="BK131" s="268"/>
      <c r="BL131" s="268"/>
      <c r="BM131" s="268"/>
      <c r="BN131" s="268"/>
      <c r="BO131" s="263"/>
    </row>
    <row r="132" spans="1:67" s="150" customFormat="1" hidden="1" outlineLevel="1">
      <c r="B132" s="271" t="s">
        <v>32</v>
      </c>
      <c r="G132" s="134"/>
      <c r="L132" s="134"/>
      <c r="Q132" s="134"/>
      <c r="V132" s="134"/>
      <c r="AA132" s="134"/>
      <c r="AB132" s="169" t="str">
        <f t="shared" ref="AB132:AN132" si="73">IFERROR(AB131/W131-1,"--")</f>
        <v>--</v>
      </c>
      <c r="AC132" s="169" t="str">
        <f t="shared" si="73"/>
        <v>--</v>
      </c>
      <c r="AD132" s="169" t="str">
        <f t="shared" si="73"/>
        <v>--</v>
      </c>
      <c r="AE132" s="169" t="str">
        <f t="shared" si="73"/>
        <v>--</v>
      </c>
      <c r="AF132" s="272" t="str">
        <f t="shared" si="73"/>
        <v>--</v>
      </c>
      <c r="AG132" s="169" t="str">
        <f t="shared" si="73"/>
        <v>--</v>
      </c>
      <c r="AH132" s="169" t="str">
        <f t="shared" si="73"/>
        <v>--</v>
      </c>
      <c r="AI132" s="169">
        <f t="shared" si="73"/>
        <v>0.53117408906882591</v>
      </c>
      <c r="AJ132" s="169">
        <f t="shared" si="73"/>
        <v>0.45283018867924518</v>
      </c>
      <c r="AK132" s="272">
        <f t="shared" si="73"/>
        <v>0.45283018867924518</v>
      </c>
      <c r="AL132" s="169">
        <f t="shared" si="73"/>
        <v>0.30769230769230771</v>
      </c>
      <c r="AM132" s="957">
        <f t="shared" si="73"/>
        <v>0.24155124653739612</v>
      </c>
      <c r="AN132" s="361">
        <f t="shared" si="73"/>
        <v>0.20888418826017974</v>
      </c>
      <c r="AO132" s="169">
        <f>IFERROR(AO131/AJ131-1,"--")</f>
        <v>0.12737262737262744</v>
      </c>
      <c r="AP132" s="272">
        <f>IFERROR(AP131/AK131-1,"--")</f>
        <v>0.12737262737262744</v>
      </c>
      <c r="AQ132" s="361">
        <f t="shared" ref="AQ132:AS132" si="74">IFERROR(AQ131/AL131-1,"--")</f>
        <v>8.5863377609108227E-2</v>
      </c>
      <c r="AR132" s="361">
        <f t="shared" si="74"/>
        <v>4.1053101294065142E-2</v>
      </c>
      <c r="AS132" s="957">
        <f t="shared" si="74"/>
        <v>5.1181102362204633E-2</v>
      </c>
      <c r="AU132" s="134"/>
      <c r="AZ132" s="134"/>
      <c r="BE132" s="134"/>
      <c r="BJ132" s="134"/>
      <c r="BO132" s="134"/>
    </row>
    <row r="133" spans="1:67" hidden="1" outlineLevel="1">
      <c r="B133" s="159" t="s">
        <v>33</v>
      </c>
      <c r="G133" s="68"/>
      <c r="L133" s="68"/>
      <c r="Q133" s="68"/>
      <c r="V133" s="68"/>
      <c r="AA133" s="68"/>
      <c r="AB133" s="169" t="str">
        <f>IFERROR(AB131/Z131-1,"--")</f>
        <v>--</v>
      </c>
      <c r="AC133" s="169" t="str">
        <f>IFERROR(AC131/AB131-1,"--")</f>
        <v>--</v>
      </c>
      <c r="AD133" s="169" t="str">
        <f>IFERROR(AD131/AC131-1,"--")</f>
        <v>--</v>
      </c>
      <c r="AE133" s="169">
        <f>IFERROR(AE131/AD131-1,"--")</f>
        <v>0.11578947368421044</v>
      </c>
      <c r="AF133" s="68"/>
      <c r="AG133" s="169">
        <f>IFERROR(AG131/AE131-1,"--")</f>
        <v>0.16981132075471694</v>
      </c>
      <c r="AH133" s="169">
        <f>IFERROR(AH131/AG131-1,"--")</f>
        <v>0.11972704714640203</v>
      </c>
      <c r="AI133" s="169">
        <f>IFERROR(AI131/AH131-1,"--")</f>
        <v>4.7645429362880964E-2</v>
      </c>
      <c r="AJ133" s="169">
        <f>IFERROR(AJ131/AI131-1,"--")</f>
        <v>5.869910100475928E-2</v>
      </c>
      <c r="AK133" s="68"/>
      <c r="AL133" s="169">
        <f>IFERROR(AL131/AJ131-1,"--")</f>
        <v>5.2947052947053042E-2</v>
      </c>
      <c r="AM133" s="957">
        <f>IFERROR(AM131/AL131-1,"--")</f>
        <v>6.309297912713463E-2</v>
      </c>
      <c r="AN133" s="361">
        <f>IFERROR(AN131/AM131-1,"--")</f>
        <v>2.008032128514059E-2</v>
      </c>
      <c r="AO133" s="169">
        <f>IFERROR(AO131/AN131-1,"--")</f>
        <v>-1.2685914260717412E-2</v>
      </c>
      <c r="AP133" s="68"/>
      <c r="AQ133" s="361">
        <f>IFERROR(AQ131/AO131-1,"--")</f>
        <v>1.4178112538768328E-2</v>
      </c>
      <c r="AR133" s="361">
        <f>IFERROR(AR131/AQ131-1,"--")</f>
        <v>1.9222367846221111E-2</v>
      </c>
      <c r="AS133" s="957">
        <f>IFERROR(AS131/AR131-1,"--")</f>
        <v>3.0004286326618113E-2</v>
      </c>
      <c r="AU133" s="68"/>
      <c r="AZ133" s="68"/>
      <c r="BE133" s="68"/>
      <c r="BJ133" s="68"/>
      <c r="BO133" s="68"/>
    </row>
    <row r="134" spans="1:67" hidden="1" outlineLevel="1">
      <c r="B134" s="159" t="s">
        <v>193</v>
      </c>
      <c r="G134" s="68"/>
      <c r="L134" s="68"/>
      <c r="Q134" s="68"/>
      <c r="V134" s="68"/>
      <c r="AA134" s="68"/>
      <c r="AB134" s="260">
        <f t="shared" ref="AB134:AN134" si="75">IFERROR(AB131-W131,"--")</f>
        <v>0</v>
      </c>
      <c r="AC134" s="260">
        <f t="shared" si="75"/>
        <v>0</v>
      </c>
      <c r="AD134" s="260">
        <f t="shared" si="75"/>
        <v>1235</v>
      </c>
      <c r="AE134" s="260">
        <f t="shared" si="75"/>
        <v>1378</v>
      </c>
      <c r="AF134" s="262">
        <f t="shared" si="75"/>
        <v>1378</v>
      </c>
      <c r="AG134" s="260">
        <f t="shared" si="75"/>
        <v>1612</v>
      </c>
      <c r="AH134" s="260">
        <f t="shared" si="75"/>
        <v>1805</v>
      </c>
      <c r="AI134" s="260">
        <f t="shared" si="75"/>
        <v>656</v>
      </c>
      <c r="AJ134" s="260">
        <f t="shared" si="75"/>
        <v>624</v>
      </c>
      <c r="AK134" s="262">
        <f t="shared" si="75"/>
        <v>624</v>
      </c>
      <c r="AL134" s="260">
        <f t="shared" si="75"/>
        <v>496</v>
      </c>
      <c r="AM134" s="260">
        <f t="shared" si="75"/>
        <v>436</v>
      </c>
      <c r="AN134" s="1219">
        <f t="shared" si="75"/>
        <v>395</v>
      </c>
      <c r="AO134" s="260">
        <f>IFERROR(AO131-AJ131,"--")</f>
        <v>255</v>
      </c>
      <c r="AP134" s="262">
        <f>IFERROR(AP131-AK131,"--")</f>
        <v>255</v>
      </c>
      <c r="AQ134" s="1219">
        <f t="shared" ref="AQ134:AS134" si="76">IFERROR(AQ131-AL131,"--")</f>
        <v>181</v>
      </c>
      <c r="AR134" s="1219">
        <f t="shared" si="76"/>
        <v>92</v>
      </c>
      <c r="AS134" s="260">
        <f t="shared" si="76"/>
        <v>117</v>
      </c>
      <c r="AU134" s="68"/>
      <c r="AZ134" s="68"/>
      <c r="BE134" s="68"/>
      <c r="BJ134" s="68"/>
      <c r="BO134" s="68"/>
    </row>
    <row r="135" spans="1:67" hidden="1" outlineLevel="1">
      <c r="B135" s="159" t="s">
        <v>194</v>
      </c>
      <c r="G135" s="68"/>
      <c r="L135" s="68"/>
      <c r="Q135" s="68"/>
      <c r="V135" s="68"/>
      <c r="AA135" s="68"/>
      <c r="AB135" s="260">
        <f>IFERROR(AB131-Z131,"--")</f>
        <v>0</v>
      </c>
      <c r="AC135" s="260">
        <f>IFERROR(AC131-AB131,"--")</f>
        <v>0</v>
      </c>
      <c r="AD135" s="260">
        <f>IFERROR(AD131-AC131,"--")</f>
        <v>1235</v>
      </c>
      <c r="AE135" s="260">
        <f>IFERROR(AE131-AD131,"--")</f>
        <v>143</v>
      </c>
      <c r="AF135" s="262"/>
      <c r="AG135" s="260">
        <f>IFERROR(AG131-AE131,"--")</f>
        <v>234</v>
      </c>
      <c r="AH135" s="260">
        <f>IFERROR(AH131-AG131,"--")</f>
        <v>193</v>
      </c>
      <c r="AI135" s="260">
        <f>IFERROR(AI131-AH131,"--")</f>
        <v>86</v>
      </c>
      <c r="AJ135" s="260">
        <f>IFERROR(AJ131-AI131,"--")</f>
        <v>111</v>
      </c>
      <c r="AK135" s="262"/>
      <c r="AL135" s="260">
        <f>IFERROR(AL131-AJ131,"--")</f>
        <v>106</v>
      </c>
      <c r="AM135" s="260">
        <f>IFERROR(AM131-AL131,"--")</f>
        <v>133</v>
      </c>
      <c r="AN135" s="1219">
        <f>IFERROR(AN131-AM131,"--")</f>
        <v>45</v>
      </c>
      <c r="AO135" s="260">
        <f>IFERROR(AO131-AN131,"--")</f>
        <v>-29</v>
      </c>
      <c r="AP135" s="262"/>
      <c r="AQ135" s="1219">
        <f>IFERROR(AQ131-AO131,"--")</f>
        <v>32</v>
      </c>
      <c r="AR135" s="1219">
        <f>IFERROR(AR131-AQ131,"--")</f>
        <v>44</v>
      </c>
      <c r="AS135" s="260">
        <f>IFERROR(AS131-AR131,"--")</f>
        <v>70</v>
      </c>
      <c r="AU135" s="68"/>
      <c r="AZ135" s="68"/>
      <c r="BE135" s="68"/>
      <c r="BJ135" s="68"/>
      <c r="BO135" s="68"/>
    </row>
    <row r="136" spans="1:67" hidden="1" outlineLevel="1">
      <c r="B136" s="159" t="s">
        <v>196</v>
      </c>
      <c r="G136" s="68"/>
      <c r="L136" s="68"/>
      <c r="Q136" s="68"/>
      <c r="V136" s="68"/>
      <c r="AA136" s="68"/>
      <c r="AB136" s="169" t="str">
        <f t="shared" ref="AB136:AN136" si="77">IFERROR(AB131/AB$145,"--")</f>
        <v>--</v>
      </c>
      <c r="AC136" s="169" t="str">
        <f t="shared" si="77"/>
        <v>--</v>
      </c>
      <c r="AD136" s="169">
        <f t="shared" si="77"/>
        <v>0.22264287001983055</v>
      </c>
      <c r="AE136" s="169">
        <f t="shared" si="77"/>
        <v>0.23419442556084297</v>
      </c>
      <c r="AF136" s="272">
        <f t="shared" si="77"/>
        <v>0.23419442556084297</v>
      </c>
      <c r="AG136" s="169">
        <f t="shared" si="77"/>
        <v>0.25546751188589539</v>
      </c>
      <c r="AH136" s="169">
        <f t="shared" si="77"/>
        <v>0.27106172097912601</v>
      </c>
      <c r="AI136" s="169">
        <f t="shared" si="77"/>
        <v>0.27878519828984227</v>
      </c>
      <c r="AJ136" s="169">
        <f t="shared" si="77"/>
        <v>0.28583666476299258</v>
      </c>
      <c r="AK136" s="272">
        <f t="shared" si="77"/>
        <v>0.28583666476299258</v>
      </c>
      <c r="AL136" s="169">
        <f t="shared" si="77"/>
        <v>0.28892543859649122</v>
      </c>
      <c r="AM136" s="957">
        <f t="shared" si="77"/>
        <v>0.29370904325032765</v>
      </c>
      <c r="AN136" s="361">
        <f t="shared" si="77"/>
        <v>0.29221526268694875</v>
      </c>
      <c r="AO136" s="169">
        <f>IFERROR(AO131/AO$145,"--")</f>
        <v>0.28810314015828442</v>
      </c>
      <c r="AP136" s="272">
        <f>IFERROR(AP131/AP$145,"--")</f>
        <v>0.28810314015828442</v>
      </c>
      <c r="AQ136" s="361">
        <f t="shared" ref="AQ136:AS136" si="78">IFERROR(AQ131/AQ$145,"--")</f>
        <v>0.27779126213592231</v>
      </c>
      <c r="AR136" s="361">
        <f t="shared" si="78"/>
        <v>0.26605086098756986</v>
      </c>
      <c r="AS136" s="957">
        <f t="shared" si="78"/>
        <v>0.26631940596254017</v>
      </c>
      <c r="AU136" s="68"/>
      <c r="AZ136" s="68"/>
      <c r="BE136" s="68"/>
      <c r="BJ136" s="68"/>
      <c r="BO136" s="68"/>
    </row>
    <row r="137" spans="1:67" hidden="1" outlineLevel="1">
      <c r="B137" s="159"/>
      <c r="G137" s="68"/>
      <c r="L137" s="68"/>
      <c r="Q137" s="68"/>
      <c r="V137" s="68"/>
      <c r="AA137" s="68"/>
      <c r="AB137" s="264"/>
      <c r="AC137" s="264"/>
      <c r="AD137" s="264"/>
      <c r="AE137" s="264"/>
      <c r="AF137" s="265"/>
      <c r="AG137" s="264"/>
      <c r="AH137" s="264"/>
      <c r="AI137" s="264"/>
      <c r="AJ137" s="264"/>
      <c r="AK137" s="265"/>
      <c r="AN137" s="136"/>
      <c r="AO137" s="264"/>
      <c r="AP137" s="68"/>
      <c r="AQ137" s="136"/>
      <c r="AR137" s="1220"/>
      <c r="AS137" s="109"/>
      <c r="AU137" s="68"/>
      <c r="AZ137" s="68"/>
      <c r="BE137" s="68"/>
      <c r="BJ137" s="68"/>
      <c r="BO137" s="68"/>
    </row>
    <row r="138" spans="1:67" s="260" customFormat="1" hidden="1" outlineLevel="1">
      <c r="A138" s="266"/>
      <c r="B138" s="267" t="s">
        <v>11</v>
      </c>
      <c r="C138" s="268"/>
      <c r="D138" s="268"/>
      <c r="E138" s="268"/>
      <c r="F138" s="268"/>
      <c r="G138" s="263"/>
      <c r="H138" s="268"/>
      <c r="I138" s="268"/>
      <c r="J138" s="269"/>
      <c r="K138" s="269"/>
      <c r="L138" s="263"/>
      <c r="M138" s="269"/>
      <c r="N138" s="269"/>
      <c r="O138" s="269"/>
      <c r="P138" s="269"/>
      <c r="Q138" s="263"/>
      <c r="R138" s="269"/>
      <c r="S138" s="269"/>
      <c r="T138" s="269"/>
      <c r="U138" s="269"/>
      <c r="V138" s="263"/>
      <c r="W138" s="269"/>
      <c r="X138" s="269"/>
      <c r="Y138" s="269"/>
      <c r="Z138" s="269"/>
      <c r="AA138" s="263"/>
      <c r="AB138" s="269"/>
      <c r="AC138" s="270"/>
      <c r="AD138" s="270">
        <v>886</v>
      </c>
      <c r="AE138" s="270">
        <v>907</v>
      </c>
      <c r="AF138" s="263">
        <f>AE138</f>
        <v>907</v>
      </c>
      <c r="AG138" s="269">
        <v>925</v>
      </c>
      <c r="AH138" s="270">
        <v>950</v>
      </c>
      <c r="AI138" s="270">
        <v>989</v>
      </c>
      <c r="AJ138" s="269">
        <v>1055</v>
      </c>
      <c r="AK138" s="263">
        <f>AJ138</f>
        <v>1055</v>
      </c>
      <c r="AL138" s="269">
        <v>1095</v>
      </c>
      <c r="AM138" s="269">
        <v>1152</v>
      </c>
      <c r="AN138" s="270">
        <v>1174</v>
      </c>
      <c r="AO138" s="269">
        <v>1183</v>
      </c>
      <c r="AP138" s="263">
        <f>AO138</f>
        <v>1183</v>
      </c>
      <c r="AQ138" s="270">
        <v>1145</v>
      </c>
      <c r="AR138" s="270">
        <v>1200</v>
      </c>
      <c r="AS138" s="269">
        <v>1221</v>
      </c>
      <c r="AT138" s="268"/>
      <c r="AU138" s="263"/>
      <c r="AV138" s="268"/>
      <c r="AW138" s="268"/>
      <c r="AX138" s="268"/>
      <c r="AY138" s="268"/>
      <c r="AZ138" s="263"/>
      <c r="BA138" s="268"/>
      <c r="BB138" s="268"/>
      <c r="BC138" s="268"/>
      <c r="BD138" s="268"/>
      <c r="BE138" s="263"/>
      <c r="BF138" s="268"/>
      <c r="BG138" s="268"/>
      <c r="BH138" s="268"/>
      <c r="BI138" s="268"/>
      <c r="BJ138" s="263"/>
      <c r="BK138" s="268"/>
      <c r="BL138" s="268"/>
      <c r="BM138" s="268"/>
      <c r="BN138" s="268"/>
      <c r="BO138" s="263"/>
    </row>
    <row r="139" spans="1:67" s="150" customFormat="1" hidden="1" outlineLevel="1">
      <c r="B139" s="271" t="s">
        <v>32</v>
      </c>
      <c r="G139" s="134"/>
      <c r="L139" s="134"/>
      <c r="Q139" s="134"/>
      <c r="V139" s="134"/>
      <c r="AA139" s="134"/>
      <c r="AB139" s="169" t="str">
        <f t="shared" ref="AB139:AN139" si="79">IFERROR(AB138/W138-1,"--")</f>
        <v>--</v>
      </c>
      <c r="AC139" s="169" t="str">
        <f t="shared" si="79"/>
        <v>--</v>
      </c>
      <c r="AD139" s="169" t="str">
        <f t="shared" si="79"/>
        <v>--</v>
      </c>
      <c r="AE139" s="169" t="str">
        <f t="shared" si="79"/>
        <v>--</v>
      </c>
      <c r="AF139" s="272" t="str">
        <f t="shared" si="79"/>
        <v>--</v>
      </c>
      <c r="AG139" s="169" t="str">
        <f t="shared" si="79"/>
        <v>--</v>
      </c>
      <c r="AH139" s="169" t="str">
        <f t="shared" si="79"/>
        <v>--</v>
      </c>
      <c r="AI139" s="169">
        <f t="shared" si="79"/>
        <v>0.11625282167042883</v>
      </c>
      <c r="AJ139" s="169">
        <f t="shared" si="79"/>
        <v>0.16317530319735396</v>
      </c>
      <c r="AK139" s="272">
        <f t="shared" si="79"/>
        <v>0.16317530319735396</v>
      </c>
      <c r="AL139" s="169">
        <f t="shared" si="79"/>
        <v>0.18378378378378368</v>
      </c>
      <c r="AM139" s="957">
        <f t="shared" si="79"/>
        <v>0.2126315789473685</v>
      </c>
      <c r="AN139" s="361">
        <f t="shared" si="79"/>
        <v>0.18705763397371089</v>
      </c>
      <c r="AO139" s="169">
        <f>IFERROR(AO138/AJ138-1,"--")</f>
        <v>0.1213270142180094</v>
      </c>
      <c r="AP139" s="272">
        <f>IFERROR(AP138/AK138-1,"--")</f>
        <v>0.1213270142180094</v>
      </c>
      <c r="AQ139" s="361">
        <f t="shared" ref="AQ139:AS139" si="80">IFERROR(AQ138/AL138-1,"--")</f>
        <v>4.5662100456621113E-2</v>
      </c>
      <c r="AR139" s="957">
        <f t="shared" si="80"/>
        <v>4.1666666666666741E-2</v>
      </c>
      <c r="AS139" s="957">
        <f t="shared" si="80"/>
        <v>4.0034071550255623E-2</v>
      </c>
      <c r="AU139" s="134"/>
      <c r="AZ139" s="134"/>
      <c r="BE139" s="134"/>
      <c r="BJ139" s="134"/>
      <c r="BO139" s="134"/>
    </row>
    <row r="140" spans="1:67" hidden="1" outlineLevel="1">
      <c r="B140" s="159" t="s">
        <v>33</v>
      </c>
      <c r="G140" s="68"/>
      <c r="L140" s="68"/>
      <c r="Q140" s="68"/>
      <c r="V140" s="68"/>
      <c r="AA140" s="68"/>
      <c r="AB140" s="169" t="str">
        <f>IFERROR(AB138/Z138-1,"--")</f>
        <v>--</v>
      </c>
      <c r="AC140" s="169" t="str">
        <f>IFERROR(AC138/AB138-1,"--")</f>
        <v>--</v>
      </c>
      <c r="AD140" s="169" t="str">
        <f>IFERROR(AD138/AC138-1,"--")</f>
        <v>--</v>
      </c>
      <c r="AE140" s="169">
        <f>IFERROR(AE138/AD138-1,"--")</f>
        <v>2.3702031602708784E-2</v>
      </c>
      <c r="AF140" s="68"/>
      <c r="AG140" s="169">
        <f>IFERROR(AG138/AE138-1,"--")</f>
        <v>1.9845644983461863E-2</v>
      </c>
      <c r="AH140" s="169">
        <f>IFERROR(AH138/AG138-1,"--")</f>
        <v>2.7027027027026973E-2</v>
      </c>
      <c r="AI140" s="169">
        <f>IFERROR(AI138/AH138-1,"--")</f>
        <v>4.1052631578947452E-2</v>
      </c>
      <c r="AJ140" s="169">
        <f>IFERROR(AJ138/AI138-1,"--")</f>
        <v>6.6734074823053602E-2</v>
      </c>
      <c r="AK140" s="68"/>
      <c r="AL140" s="169">
        <f>IFERROR(AL138/AJ138-1,"--")</f>
        <v>3.7914691943127909E-2</v>
      </c>
      <c r="AM140" s="169">
        <f>IFERROR(AM138/AL138-1,"--")</f>
        <v>5.2054794520547842E-2</v>
      </c>
      <c r="AN140" s="169">
        <f>IFERROR(AN138/AM138-1,"--")</f>
        <v>1.9097222222222321E-2</v>
      </c>
      <c r="AO140" s="169">
        <f>IFERROR(AO138/AN138-1,"--")</f>
        <v>7.6660988074956915E-3</v>
      </c>
      <c r="AP140" s="68"/>
      <c r="AQ140" s="361">
        <f>IFERROR(AQ138/AO138-1,"--")</f>
        <v>-3.2121724429416743E-2</v>
      </c>
      <c r="AR140" s="169">
        <f>IFERROR(AR138/AQ138-1,"--")</f>
        <v>4.8034934497816595E-2</v>
      </c>
      <c r="AS140" s="957">
        <f>IFERROR(AS138/AR138-1,"--")</f>
        <v>1.7500000000000071E-2</v>
      </c>
      <c r="AU140" s="68"/>
      <c r="AZ140" s="68"/>
      <c r="BE140" s="68"/>
      <c r="BJ140" s="68"/>
      <c r="BO140" s="68"/>
    </row>
    <row r="141" spans="1:67" hidden="1" outlineLevel="1">
      <c r="B141" s="159" t="s">
        <v>193</v>
      </c>
      <c r="G141" s="68"/>
      <c r="L141" s="68"/>
      <c r="Q141" s="68"/>
      <c r="V141" s="68"/>
      <c r="AA141" s="68"/>
      <c r="AB141" s="260">
        <f t="shared" ref="AB141:AN141" si="81">IFERROR(AB138-W138,"--")</f>
        <v>0</v>
      </c>
      <c r="AC141" s="260">
        <f t="shared" si="81"/>
        <v>0</v>
      </c>
      <c r="AD141" s="260">
        <f t="shared" si="81"/>
        <v>886</v>
      </c>
      <c r="AE141" s="260">
        <f t="shared" si="81"/>
        <v>907</v>
      </c>
      <c r="AF141" s="262">
        <f t="shared" si="81"/>
        <v>907</v>
      </c>
      <c r="AG141" s="260">
        <f t="shared" si="81"/>
        <v>925</v>
      </c>
      <c r="AH141" s="260">
        <f t="shared" si="81"/>
        <v>950</v>
      </c>
      <c r="AI141" s="260">
        <f t="shared" si="81"/>
        <v>103</v>
      </c>
      <c r="AJ141" s="260">
        <f t="shared" si="81"/>
        <v>148</v>
      </c>
      <c r="AK141" s="262">
        <f t="shared" si="81"/>
        <v>148</v>
      </c>
      <c r="AL141" s="260">
        <f t="shared" si="81"/>
        <v>170</v>
      </c>
      <c r="AM141" s="260">
        <f t="shared" si="81"/>
        <v>202</v>
      </c>
      <c r="AN141" s="260">
        <f t="shared" si="81"/>
        <v>185</v>
      </c>
      <c r="AO141" s="260">
        <f>IFERROR(AO138-AJ138,"--")</f>
        <v>128</v>
      </c>
      <c r="AP141" s="262">
        <f>IFERROR(AP138-AK138,"--")</f>
        <v>128</v>
      </c>
      <c r="AQ141" s="1219">
        <f t="shared" ref="AQ141:AS141" si="82">IFERROR(AQ138-AL138,"--")</f>
        <v>50</v>
      </c>
      <c r="AR141" s="260">
        <f t="shared" si="82"/>
        <v>48</v>
      </c>
      <c r="AS141" s="260">
        <f t="shared" si="82"/>
        <v>47</v>
      </c>
      <c r="AU141" s="68"/>
      <c r="AZ141" s="68"/>
      <c r="BE141" s="68"/>
      <c r="BJ141" s="68"/>
      <c r="BO141" s="68"/>
    </row>
    <row r="142" spans="1:67" hidden="1" outlineLevel="1">
      <c r="B142" s="159" t="s">
        <v>194</v>
      </c>
      <c r="G142" s="68"/>
      <c r="L142" s="68"/>
      <c r="Q142" s="68"/>
      <c r="V142" s="68"/>
      <c r="AA142" s="68"/>
      <c r="AB142" s="260">
        <f>IFERROR(AB138-Z138,"--")</f>
        <v>0</v>
      </c>
      <c r="AC142" s="260">
        <f>IFERROR(AC138-AB138,"--")</f>
        <v>0</v>
      </c>
      <c r="AD142" s="260">
        <f>IFERROR(AD138-AC138,"--")</f>
        <v>886</v>
      </c>
      <c r="AE142" s="260">
        <f>IFERROR(AE138-AD138,"--")</f>
        <v>21</v>
      </c>
      <c r="AF142" s="262"/>
      <c r="AG142" s="260">
        <f>IFERROR(AG138-AE138,"--")</f>
        <v>18</v>
      </c>
      <c r="AH142" s="260">
        <f>IFERROR(AH138-AG138,"--")</f>
        <v>25</v>
      </c>
      <c r="AI142" s="260">
        <f>IFERROR(AI138-AH138,"--")</f>
        <v>39</v>
      </c>
      <c r="AJ142" s="260">
        <f>IFERROR(AJ138-AI138,"--")</f>
        <v>66</v>
      </c>
      <c r="AK142" s="262"/>
      <c r="AL142" s="260">
        <f>IFERROR(AL138-AJ138,"--")</f>
        <v>40</v>
      </c>
      <c r="AM142" s="260">
        <f>IFERROR(AM138-AL138,"--")</f>
        <v>57</v>
      </c>
      <c r="AN142" s="260">
        <f>IFERROR(AN138-AM138,"--")</f>
        <v>22</v>
      </c>
      <c r="AO142" s="260">
        <f>IFERROR(AO138-AN138,"--")</f>
        <v>9</v>
      </c>
      <c r="AP142" s="262"/>
      <c r="AQ142" s="1219">
        <f>IFERROR(AQ138-AO138,"--")</f>
        <v>-38</v>
      </c>
      <c r="AR142" s="260">
        <f>IFERROR(AR138-AQ138,"--")</f>
        <v>55</v>
      </c>
      <c r="AS142" s="260">
        <f>IFERROR(AS138-AR138,"--")</f>
        <v>21</v>
      </c>
      <c r="AU142" s="68"/>
      <c r="AZ142" s="68"/>
      <c r="BE142" s="68"/>
      <c r="BJ142" s="68"/>
      <c r="BO142" s="68"/>
    </row>
    <row r="143" spans="1:67" hidden="1" outlineLevel="1">
      <c r="B143" s="159" t="s">
        <v>196</v>
      </c>
      <c r="G143" s="68"/>
      <c r="L143" s="68"/>
      <c r="Q143" s="68"/>
      <c r="V143" s="68"/>
      <c r="AA143" s="68"/>
      <c r="AB143" s="169" t="str">
        <f t="shared" ref="AB143:AN143" si="83">IFERROR(AB138/AB$145,"--")</f>
        <v>--</v>
      </c>
      <c r="AC143" s="169" t="str">
        <f t="shared" si="83"/>
        <v>--</v>
      </c>
      <c r="AD143" s="169">
        <f t="shared" si="83"/>
        <v>0.15972597800612945</v>
      </c>
      <c r="AE143" s="169">
        <f t="shared" si="83"/>
        <v>0.15414683888511216</v>
      </c>
      <c r="AF143" s="272">
        <f t="shared" si="83"/>
        <v>0.15414683888511216</v>
      </c>
      <c r="AG143" s="169">
        <f t="shared" si="83"/>
        <v>0.14659270998415214</v>
      </c>
      <c r="AH143" s="169">
        <f t="shared" si="83"/>
        <v>0.14266406367322421</v>
      </c>
      <c r="AI143" s="169">
        <f t="shared" si="83"/>
        <v>0.14580569069733157</v>
      </c>
      <c r="AJ143" s="169">
        <f t="shared" si="83"/>
        <v>0.15062821245002855</v>
      </c>
      <c r="AK143" s="272">
        <f t="shared" si="83"/>
        <v>0.15062821245002855</v>
      </c>
      <c r="AL143" s="169">
        <f t="shared" si="83"/>
        <v>0.15008223684210525</v>
      </c>
      <c r="AM143" s="169">
        <f t="shared" si="83"/>
        <v>0.15098296199213632</v>
      </c>
      <c r="AN143" s="169">
        <f t="shared" si="83"/>
        <v>0.15007030550939537</v>
      </c>
      <c r="AO143" s="169">
        <f>IFERROR(AO138/AO$145,"--")</f>
        <v>0.15100842481490936</v>
      </c>
      <c r="AP143" s="272">
        <f>IFERROR(AP138/AP$145,"--")</f>
        <v>0.15100842481490936</v>
      </c>
      <c r="AQ143" s="361">
        <f t="shared" ref="AQ143:AS143" si="84">IFERROR(AQ138/AQ$145,"--")</f>
        <v>0.13895631067961164</v>
      </c>
      <c r="AR143" s="169">
        <f t="shared" si="84"/>
        <v>0.13684570646595964</v>
      </c>
      <c r="AS143" s="169">
        <f t="shared" si="84"/>
        <v>0.13532084672503603</v>
      </c>
      <c r="AU143" s="68"/>
      <c r="AZ143" s="68"/>
      <c r="BE143" s="68"/>
      <c r="BJ143" s="68"/>
      <c r="BO143" s="68"/>
    </row>
    <row r="144" spans="1:67" hidden="1" outlineLevel="1">
      <c r="B144" s="159"/>
      <c r="G144" s="68"/>
      <c r="L144" s="68"/>
      <c r="Q144" s="68"/>
      <c r="V144" s="68"/>
      <c r="AA144" s="68"/>
      <c r="AB144" s="264"/>
      <c r="AC144" s="264"/>
      <c r="AD144" s="264"/>
      <c r="AE144" s="264"/>
      <c r="AF144" s="265"/>
      <c r="AG144" s="264"/>
      <c r="AH144" s="264"/>
      <c r="AI144" s="264"/>
      <c r="AJ144" s="264"/>
      <c r="AK144" s="265"/>
      <c r="AN144" s="264"/>
      <c r="AO144" s="264"/>
      <c r="AP144" s="68"/>
      <c r="AQ144" s="136"/>
      <c r="AS144" s="264"/>
      <c r="AU144" s="68"/>
      <c r="AZ144" s="68"/>
      <c r="BE144" s="68"/>
      <c r="BJ144" s="68"/>
      <c r="BO144" s="68"/>
    </row>
    <row r="145" spans="1:67" s="277" customFormat="1" hidden="1" outlineLevel="1">
      <c r="A145" s="273"/>
      <c r="B145" s="274" t="s">
        <v>197</v>
      </c>
      <c r="C145" s="275"/>
      <c r="D145" s="275"/>
      <c r="E145" s="275"/>
      <c r="F145" s="275"/>
      <c r="G145" s="276"/>
      <c r="H145" s="275"/>
      <c r="I145" s="275"/>
      <c r="J145" s="275"/>
      <c r="K145" s="275"/>
      <c r="L145" s="276"/>
      <c r="M145" s="275"/>
      <c r="N145" s="275"/>
      <c r="O145" s="275"/>
      <c r="P145" s="275"/>
      <c r="Q145" s="276"/>
      <c r="R145" s="275"/>
      <c r="S145" s="275"/>
      <c r="T145" s="275"/>
      <c r="U145" s="275"/>
      <c r="V145" s="276"/>
      <c r="W145" s="275"/>
      <c r="X145" s="275"/>
      <c r="Y145" s="275"/>
      <c r="Z145" s="275"/>
      <c r="AA145" s="276"/>
      <c r="AB145" s="275">
        <f>SUM(AB117,AB124,AB131,AB138)</f>
        <v>0</v>
      </c>
      <c r="AC145" s="275">
        <f>SUM(AC117,AC124,AC131,AC138)</f>
        <v>0</v>
      </c>
      <c r="AD145" s="275">
        <f>SUM(AD117,AD124,AD131,AD138)</f>
        <v>5547</v>
      </c>
      <c r="AE145" s="275">
        <f>SUM(AE117,AE124,AE131,AE138)</f>
        <v>5884</v>
      </c>
      <c r="AF145" s="263">
        <f>AE145</f>
        <v>5884</v>
      </c>
      <c r="AG145" s="275">
        <f>SUM(AG117,AG124,AG131,AG138)</f>
        <v>6310</v>
      </c>
      <c r="AH145" s="275">
        <f>SUM(AH117,AH124,AH131,AH138)</f>
        <v>6659</v>
      </c>
      <c r="AI145" s="275">
        <f>SUM(AI117,AI124,AI131,AI138)</f>
        <v>6783</v>
      </c>
      <c r="AJ145" s="275">
        <f>SUM(AJ117,AJ124,AJ131,AJ138)</f>
        <v>7004</v>
      </c>
      <c r="AK145" s="263">
        <f>AJ145</f>
        <v>7004</v>
      </c>
      <c r="AL145" s="275">
        <f>SUM(AL117,AL124,AL131,AL138)</f>
        <v>7296</v>
      </c>
      <c r="AM145" s="275">
        <f>SUM(AM117,AM124,AM131,AM138)</f>
        <v>7630</v>
      </c>
      <c r="AN145" s="275">
        <f>SUM(AN117,AN124,AN131,AN138)</f>
        <v>7823</v>
      </c>
      <c r="AO145" s="275">
        <f>SUM(AO117,AO124,AO131,AO138)</f>
        <v>7834</v>
      </c>
      <c r="AP145" s="263">
        <f>AO145</f>
        <v>7834</v>
      </c>
      <c r="AQ145" s="1341">
        <f>SUM(AQ117,AQ124,AQ131,AQ138)</f>
        <v>8240</v>
      </c>
      <c r="AR145" s="1341">
        <f>SUM(AR117,AR124,AR131,AR138)</f>
        <v>8769</v>
      </c>
      <c r="AS145" s="275">
        <f>SUM(AS117,AS124,AS131,AS138)</f>
        <v>9023</v>
      </c>
      <c r="AT145" s="275"/>
      <c r="AU145" s="276"/>
      <c r="AV145" s="275"/>
      <c r="AW145" s="275"/>
      <c r="AX145" s="275"/>
      <c r="AY145" s="275"/>
      <c r="AZ145" s="276"/>
      <c r="BA145" s="275"/>
      <c r="BB145" s="275"/>
      <c r="BC145" s="275"/>
      <c r="BD145" s="275"/>
      <c r="BE145" s="276"/>
      <c r="BF145" s="275"/>
      <c r="BG145" s="275"/>
      <c r="BH145" s="275"/>
      <c r="BI145" s="275"/>
      <c r="BJ145" s="276"/>
      <c r="BK145" s="275"/>
      <c r="BL145" s="275"/>
      <c r="BM145" s="275"/>
      <c r="BN145" s="275"/>
      <c r="BO145" s="276"/>
    </row>
    <row r="146" spans="1:67" s="150" customFormat="1" hidden="1" outlineLevel="1">
      <c r="B146" s="271" t="s">
        <v>32</v>
      </c>
      <c r="G146" s="134"/>
      <c r="L146" s="134"/>
      <c r="Q146" s="134"/>
      <c r="V146" s="134"/>
      <c r="AA146" s="134"/>
      <c r="AB146" s="169" t="str">
        <f t="shared" ref="AB146:AN146" si="85">IFERROR(AB145/W145-1,"--")</f>
        <v>--</v>
      </c>
      <c r="AC146" s="169" t="str">
        <f t="shared" si="85"/>
        <v>--</v>
      </c>
      <c r="AD146" s="169" t="str">
        <f t="shared" si="85"/>
        <v>--</v>
      </c>
      <c r="AE146" s="169" t="str">
        <f t="shared" si="85"/>
        <v>--</v>
      </c>
      <c r="AF146" s="272" t="str">
        <f t="shared" si="85"/>
        <v>--</v>
      </c>
      <c r="AG146" s="169" t="str">
        <f t="shared" si="85"/>
        <v>--</v>
      </c>
      <c r="AH146" s="169" t="str">
        <f t="shared" si="85"/>
        <v>--</v>
      </c>
      <c r="AI146" s="169">
        <f t="shared" si="85"/>
        <v>0.22282314764737698</v>
      </c>
      <c r="AJ146" s="169">
        <f t="shared" si="85"/>
        <v>0.19034670292318157</v>
      </c>
      <c r="AK146" s="272">
        <f t="shared" si="85"/>
        <v>0.19034670292318157</v>
      </c>
      <c r="AL146" s="169">
        <f t="shared" si="85"/>
        <v>0.15625990491283681</v>
      </c>
      <c r="AM146" s="169">
        <f t="shared" si="85"/>
        <v>0.14581769034389547</v>
      </c>
      <c r="AN146" s="169">
        <f t="shared" si="85"/>
        <v>0.15332448768981277</v>
      </c>
      <c r="AO146" s="169">
        <f>IFERROR(AO145/AJ145-1,"--")</f>
        <v>0.11850371216447741</v>
      </c>
      <c r="AP146" s="272">
        <f>IFERROR(AP145/AK145-1,"--")</f>
        <v>0.11850371216447741</v>
      </c>
      <c r="AQ146" s="361">
        <f t="shared" ref="AQ146:AS146" si="86">IFERROR(AQ145/AL145-1,"--")</f>
        <v>0.1293859649122806</v>
      </c>
      <c r="AR146" s="169">
        <f t="shared" si="86"/>
        <v>0.14927916120576668</v>
      </c>
      <c r="AS146" s="169">
        <f t="shared" si="86"/>
        <v>0.15339383868081291</v>
      </c>
      <c r="AU146" s="134"/>
      <c r="AZ146" s="134"/>
      <c r="BE146" s="134"/>
      <c r="BJ146" s="134"/>
      <c r="BO146" s="134"/>
    </row>
    <row r="147" spans="1:67" hidden="1" outlineLevel="1">
      <c r="B147" s="159" t="s">
        <v>33</v>
      </c>
      <c r="G147" s="68"/>
      <c r="L147" s="68"/>
      <c r="Q147" s="68"/>
      <c r="V147" s="68"/>
      <c r="AA147" s="68"/>
      <c r="AB147" s="169" t="str">
        <f>IFERROR(AB145/Z145-1,"--")</f>
        <v>--</v>
      </c>
      <c r="AC147" s="169" t="str">
        <f>IFERROR(AC145/AB145-1,"--")</f>
        <v>--</v>
      </c>
      <c r="AD147" s="169" t="str">
        <f>IFERROR(AD145/AC145-1,"--")</f>
        <v>--</v>
      </c>
      <c r="AE147" s="169">
        <f>IFERROR(AE145/AD145-1,"--")</f>
        <v>6.0753560483143954E-2</v>
      </c>
      <c r="AF147" s="68"/>
      <c r="AG147" s="169">
        <f>IFERROR(AG145/AE145-1,"--")</f>
        <v>7.2399728076138592E-2</v>
      </c>
      <c r="AH147" s="169">
        <f>IFERROR(AH145/AG145-1,"--")</f>
        <v>5.5309033280507069E-2</v>
      </c>
      <c r="AI147" s="169">
        <f>IFERROR(AI145/AH145-1,"--")</f>
        <v>1.8621414626820876E-2</v>
      </c>
      <c r="AJ147" s="169">
        <f>IFERROR(AJ145/AI145-1,"--")</f>
        <v>3.2581453634085156E-2</v>
      </c>
      <c r="AK147" s="68"/>
      <c r="AL147" s="169">
        <f>IFERROR(AL145/AJ145-1,"--")</f>
        <v>4.1690462592804067E-2</v>
      </c>
      <c r="AM147" s="169">
        <f>IFERROR(AM145/AL145-1,"--")</f>
        <v>4.5778508771929793E-2</v>
      </c>
      <c r="AN147" s="169">
        <f>IFERROR(AN145/AM145-1,"--")</f>
        <v>2.5294888597640952E-2</v>
      </c>
      <c r="AO147" s="169">
        <f>IFERROR(AO145/AN145-1,"--")</f>
        <v>1.4061101879074833E-3</v>
      </c>
      <c r="AP147" s="68"/>
      <c r="AQ147" s="361">
        <f>IFERROR(AQ145/AO145-1,"--")</f>
        <v>5.1825376563696679E-2</v>
      </c>
      <c r="AR147" s="169">
        <f>IFERROR(AR145/AQ145-1,"--")</f>
        <v>6.4199029126213558E-2</v>
      </c>
      <c r="AS147" s="169">
        <f>IFERROR(AS145/AR145-1,"--")</f>
        <v>2.8965674535294861E-2</v>
      </c>
      <c r="AU147" s="68"/>
      <c r="AZ147" s="68"/>
      <c r="BE147" s="68"/>
      <c r="BJ147" s="68"/>
      <c r="BO147" s="68"/>
    </row>
    <row r="148" spans="1:67" hidden="1" outlineLevel="1">
      <c r="B148" s="159" t="s">
        <v>193</v>
      </c>
      <c r="G148" s="68"/>
      <c r="L148" s="68"/>
      <c r="Q148" s="68"/>
      <c r="V148" s="68"/>
      <c r="AA148" s="68"/>
      <c r="AB148" s="260">
        <f t="shared" ref="AB148:AN148" si="87">IFERROR(AB145-W145,"--")</f>
        <v>0</v>
      </c>
      <c r="AC148" s="260">
        <f t="shared" si="87"/>
        <v>0</v>
      </c>
      <c r="AD148" s="260">
        <f t="shared" si="87"/>
        <v>5547</v>
      </c>
      <c r="AE148" s="260">
        <f t="shared" si="87"/>
        <v>5884</v>
      </c>
      <c r="AF148" s="262">
        <f t="shared" si="87"/>
        <v>5884</v>
      </c>
      <c r="AG148" s="260">
        <f t="shared" si="87"/>
        <v>6310</v>
      </c>
      <c r="AH148" s="260">
        <f t="shared" si="87"/>
        <v>6659</v>
      </c>
      <c r="AI148" s="260">
        <f t="shared" si="87"/>
        <v>1236</v>
      </c>
      <c r="AJ148" s="260">
        <f t="shared" si="87"/>
        <v>1120</v>
      </c>
      <c r="AK148" s="262">
        <f t="shared" si="87"/>
        <v>1120</v>
      </c>
      <c r="AL148" s="260">
        <f t="shared" si="87"/>
        <v>986</v>
      </c>
      <c r="AM148" s="260">
        <f t="shared" si="87"/>
        <v>971</v>
      </c>
      <c r="AN148" s="260">
        <f t="shared" si="87"/>
        <v>1040</v>
      </c>
      <c r="AO148" s="260">
        <f>IFERROR(AO145-AJ145,"--")</f>
        <v>830</v>
      </c>
      <c r="AP148" s="262">
        <f>IFERROR(AP145-AK145,"--")</f>
        <v>830</v>
      </c>
      <c r="AQ148" s="1219">
        <f t="shared" ref="AQ148:AS148" si="88">IFERROR(AQ145-AL145,"--")</f>
        <v>944</v>
      </c>
      <c r="AR148" s="260">
        <f t="shared" si="88"/>
        <v>1139</v>
      </c>
      <c r="AS148" s="260">
        <f t="shared" si="88"/>
        <v>1200</v>
      </c>
      <c r="AU148" s="68"/>
      <c r="AZ148" s="68"/>
      <c r="BE148" s="68"/>
      <c r="BJ148" s="68"/>
      <c r="BO148" s="68"/>
    </row>
    <row r="149" spans="1:67" hidden="1" outlineLevel="1">
      <c r="B149" s="159" t="s">
        <v>194</v>
      </c>
      <c r="G149" s="68"/>
      <c r="L149" s="68"/>
      <c r="Q149" s="68"/>
      <c r="V149" s="68"/>
      <c r="AA149" s="68"/>
      <c r="AB149" s="260">
        <f>IFERROR(AB145-Z145,"--")</f>
        <v>0</v>
      </c>
      <c r="AC149" s="260">
        <f>IFERROR(AC145-AB145,"--")</f>
        <v>0</v>
      </c>
      <c r="AD149" s="260">
        <f>IFERROR(AD145-AC145,"--")</f>
        <v>5547</v>
      </c>
      <c r="AE149" s="260">
        <f>IFERROR(AE145-AD145,"--")</f>
        <v>337</v>
      </c>
      <c r="AF149" s="262"/>
      <c r="AG149" s="260">
        <f>IFERROR(AG145-AE145,"--")</f>
        <v>426</v>
      </c>
      <c r="AH149" s="260">
        <f>IFERROR(AH145-AG145,"--")</f>
        <v>349</v>
      </c>
      <c r="AI149" s="260">
        <f>IFERROR(AI145-AH145,"--")</f>
        <v>124</v>
      </c>
      <c r="AJ149" s="260">
        <f>IFERROR(AJ145-AI145,"--")</f>
        <v>221</v>
      </c>
      <c r="AK149" s="262"/>
      <c r="AL149" s="260">
        <f>IFERROR(AL145-AJ145,"--")</f>
        <v>292</v>
      </c>
      <c r="AM149" s="260">
        <f>IFERROR(AM145-AL145,"--")</f>
        <v>334</v>
      </c>
      <c r="AN149" s="260">
        <f>IFERROR(AN145-AM145,"--")</f>
        <v>193</v>
      </c>
      <c r="AO149" s="260">
        <f>IFERROR(AO145-AN145,"--")</f>
        <v>11</v>
      </c>
      <c r="AP149" s="262"/>
      <c r="AQ149" s="1219">
        <f>IFERROR(AQ145-AO145,"--")</f>
        <v>406</v>
      </c>
      <c r="AR149" s="260">
        <f>IFERROR(AR145-AQ145,"--")</f>
        <v>529</v>
      </c>
      <c r="AS149" s="260">
        <f>IFERROR(AS145-AR145,"--")</f>
        <v>254</v>
      </c>
      <c r="AU149" s="68"/>
      <c r="AZ149" s="68"/>
      <c r="BE149" s="68"/>
      <c r="BJ149" s="68"/>
      <c r="BO149" s="68"/>
    </row>
    <row r="150" spans="1:67" collapsed="1">
      <c r="B150" s="154"/>
      <c r="G150" s="68"/>
      <c r="L150" s="68"/>
      <c r="Q150" s="68"/>
      <c r="V150" s="68"/>
      <c r="AA150" s="68"/>
      <c r="AB150" s="88"/>
      <c r="AC150" s="88"/>
      <c r="AD150" s="88"/>
      <c r="AE150" s="88"/>
      <c r="AF150" s="68"/>
      <c r="AG150" s="88"/>
      <c r="AH150" s="88"/>
      <c r="AI150" s="88"/>
      <c r="AJ150" s="88"/>
      <c r="AK150" s="68"/>
      <c r="AN150" s="88"/>
      <c r="AP150" s="68"/>
      <c r="AS150" s="88"/>
      <c r="AU150" s="68"/>
      <c r="AZ150" s="68"/>
      <c r="BE150" s="68"/>
      <c r="BJ150" s="68"/>
      <c r="BO150" s="68"/>
    </row>
    <row r="151" spans="1:67">
      <c r="B151" s="163" t="s">
        <v>53</v>
      </c>
      <c r="G151" s="68"/>
      <c r="L151" s="68"/>
      <c r="Q151" s="68"/>
      <c r="V151" s="68"/>
      <c r="AA151" s="68"/>
      <c r="AF151" s="68"/>
      <c r="AK151" s="68"/>
      <c r="AP151" s="68"/>
      <c r="AU151" s="68"/>
      <c r="AZ151" s="68"/>
      <c r="BE151" s="68"/>
      <c r="BJ151" s="68"/>
      <c r="BO151" s="68"/>
    </row>
    <row r="152" spans="1:67">
      <c r="B152" s="154" t="s">
        <v>54</v>
      </c>
      <c r="G152" s="68"/>
      <c r="L152" s="83">
        <v>90.221999999999994</v>
      </c>
      <c r="O152" s="84">
        <f>O$11*O155</f>
        <v>64.980680000000007</v>
      </c>
      <c r="P152" s="84">
        <f>P$11*P155</f>
        <v>77.168960000000013</v>
      </c>
      <c r="Q152" s="83">
        <v>233.828</v>
      </c>
      <c r="R152" s="85">
        <v>92.576999999999998</v>
      </c>
      <c r="S152" s="119">
        <f>206.465-R152</f>
        <v>113.88800000000001</v>
      </c>
      <c r="T152" s="84">
        <f>T$11*T155</f>
        <v>137.27664000000001</v>
      </c>
      <c r="U152" s="84">
        <f>U$11*U155</f>
        <v>161.89525</v>
      </c>
      <c r="V152" s="86">
        <f>SUM(R152:U152)</f>
        <v>505.63688999999999</v>
      </c>
      <c r="W152" s="132">
        <f>W155*W$11</f>
        <v>192.28776000000002</v>
      </c>
      <c r="X152" s="132">
        <f>X155*X$11</f>
        <v>223.20235999999997</v>
      </c>
      <c r="Y152" s="84">
        <f>Y$11*Y155</f>
        <v>274.24162000000001</v>
      </c>
      <c r="Z152" s="84">
        <f>Z$11*Z155</f>
        <v>314.69468000000001</v>
      </c>
      <c r="AA152" s="86">
        <f>SUM(W152:Z152)</f>
        <v>1004.42642</v>
      </c>
      <c r="AB152" s="132">
        <f>AB155*AB$11</f>
        <v>346.34422000000001</v>
      </c>
      <c r="AC152" s="144">
        <f>AC155*AC$11</f>
        <v>402.77088000000003</v>
      </c>
      <c r="AD152" s="144">
        <f>AD155*AD$11</f>
        <v>451.19267999999994</v>
      </c>
      <c r="AE152" s="84">
        <f>AE$11*AE155</f>
        <v>477.09971999999999</v>
      </c>
      <c r="AF152" s="86">
        <f>SUM(AB152:AE152)</f>
        <v>1677.4074999999998</v>
      </c>
      <c r="AG152" s="132">
        <f>AG155*AG$11</f>
        <v>498.87920000000008</v>
      </c>
      <c r="AH152" s="144">
        <f>AH155*AH$11</f>
        <v>532.47421999999995</v>
      </c>
      <c r="AI152" s="144">
        <f>AI155*AI$11</f>
        <v>587.33839999999998</v>
      </c>
      <c r="AJ152" s="84">
        <f>AJ$11*AJ155</f>
        <v>619.75920000000008</v>
      </c>
      <c r="AK152" s="86">
        <f>SUM(AG152:AJ152)</f>
        <v>2238.45102</v>
      </c>
      <c r="AL152" s="132">
        <f>AL155*AL$11</f>
        <v>654.68011000000001</v>
      </c>
      <c r="AM152" s="144">
        <f>AM155*AM$11</f>
        <v>686.37017000000003</v>
      </c>
      <c r="AN152" s="144">
        <f>AN155*AN$11</f>
        <v>744.25426000000004</v>
      </c>
      <c r="AO152" s="84">
        <f>AO$11*AO155</f>
        <v>779.54830000000004</v>
      </c>
      <c r="AP152" s="86">
        <f>SUM(AL152:AO152)</f>
        <v>2864.85284</v>
      </c>
      <c r="AQ152" s="132">
        <f>AQ155*AQ$11</f>
        <v>812.81772000000012</v>
      </c>
      <c r="AR152" s="132">
        <f>AR155*AR$11</f>
        <v>893.07582000000002</v>
      </c>
      <c r="AS152" s="144">
        <f>AS155*AS$11</f>
        <v>946.06901999999991</v>
      </c>
      <c r="AU152" s="68"/>
      <c r="AZ152" s="68"/>
      <c r="BE152" s="68"/>
      <c r="BJ152" s="68"/>
      <c r="BO152" s="68"/>
    </row>
    <row r="153" spans="1:67">
      <c r="B153" s="156" t="s">
        <v>32</v>
      </c>
      <c r="G153" s="68"/>
      <c r="L153" s="72" t="str">
        <f>IFERROR(L152/G152-1,"--")</f>
        <v>--</v>
      </c>
      <c r="O153" s="71" t="str">
        <f t="shared" ref="O153:AN153" si="89">IFERROR(O152/J152-1,"--")</f>
        <v>--</v>
      </c>
      <c r="P153" s="71" t="str">
        <f t="shared" si="89"/>
        <v>--</v>
      </c>
      <c r="Q153" s="72">
        <f t="shared" si="89"/>
        <v>1.5916960386601939</v>
      </c>
      <c r="R153" s="71" t="str">
        <f t="shared" si="89"/>
        <v>--</v>
      </c>
      <c r="S153" s="71" t="str">
        <f t="shared" si="89"/>
        <v>--</v>
      </c>
      <c r="T153" s="71">
        <f t="shared" si="89"/>
        <v>1.1125762303503133</v>
      </c>
      <c r="U153" s="71">
        <f t="shared" si="89"/>
        <v>1.0979322515166716</v>
      </c>
      <c r="V153" s="72">
        <f t="shared" si="89"/>
        <v>1.162430889371675</v>
      </c>
      <c r="W153" s="71">
        <f t="shared" si="89"/>
        <v>1.0770575844972297</v>
      </c>
      <c r="X153" s="71">
        <f t="shared" si="89"/>
        <v>0.95984089631919045</v>
      </c>
      <c r="Y153" s="71">
        <f t="shared" si="89"/>
        <v>0.99772969385031551</v>
      </c>
      <c r="Z153" s="71">
        <f t="shared" si="89"/>
        <v>0.94381663452139586</v>
      </c>
      <c r="AA153" s="72">
        <f t="shared" si="89"/>
        <v>0.98645795009141835</v>
      </c>
      <c r="AB153" s="71">
        <f t="shared" si="89"/>
        <v>0.80117663235559022</v>
      </c>
      <c r="AC153" s="142">
        <f t="shared" si="89"/>
        <v>0.80450995231412459</v>
      </c>
      <c r="AD153" s="142">
        <f t="shared" si="89"/>
        <v>0.64523780161450306</v>
      </c>
      <c r="AE153" s="71">
        <f t="shared" si="89"/>
        <v>0.51607176835655433</v>
      </c>
      <c r="AF153" s="72">
        <f t="shared" si="89"/>
        <v>0.67001531082784527</v>
      </c>
      <c r="AG153" s="71">
        <f t="shared" si="89"/>
        <v>0.44041439467359988</v>
      </c>
      <c r="AH153" s="142">
        <f t="shared" si="89"/>
        <v>0.32202760040646417</v>
      </c>
      <c r="AI153" s="142">
        <f t="shared" si="89"/>
        <v>0.30174629606136349</v>
      </c>
      <c r="AJ153" s="71">
        <f t="shared" si="89"/>
        <v>0.29901396714296991</v>
      </c>
      <c r="AK153" s="72">
        <f t="shared" si="89"/>
        <v>0.33447061611445061</v>
      </c>
      <c r="AL153" s="71">
        <f t="shared" si="89"/>
        <v>0.31230187588498359</v>
      </c>
      <c r="AM153" s="142">
        <f t="shared" si="89"/>
        <v>0.28902047126337882</v>
      </c>
      <c r="AN153" s="142">
        <f t="shared" si="89"/>
        <v>0.26716431277096819</v>
      </c>
      <c r="AO153" s="71">
        <f>IFERROR(AO152/AJ152-1,"--")</f>
        <v>0.2578244905440692</v>
      </c>
      <c r="AP153" s="72">
        <f>IFERROR(AP152/AK152-1,"--")</f>
        <v>0.27983717955106302</v>
      </c>
      <c r="AQ153" s="71">
        <f t="shared" ref="AQ153:AS153" si="90">IFERROR(AQ152/AL152-1,"--")</f>
        <v>0.2415494339670714</v>
      </c>
      <c r="AR153" s="142">
        <f t="shared" si="90"/>
        <v>0.30115768288706368</v>
      </c>
      <c r="AS153" s="142">
        <f t="shared" si="90"/>
        <v>0.27116372837422498</v>
      </c>
      <c r="AU153" s="68"/>
      <c r="AZ153" s="68"/>
      <c r="BE153" s="68"/>
      <c r="BJ153" s="68"/>
      <c r="BO153" s="68"/>
    </row>
    <row r="154" spans="1:67">
      <c r="B154" s="156" t="s">
        <v>33</v>
      </c>
      <c r="G154" s="68"/>
      <c r="L154" s="72" t="s">
        <v>36</v>
      </c>
      <c r="O154" s="71" t="str">
        <f>IFERROR(O152/N152-1,"--")</f>
        <v>--</v>
      </c>
      <c r="P154" s="71">
        <f>IFERROR(P152/O152-1,"--")</f>
        <v>0.18756775090688493</v>
      </c>
      <c r="Q154" s="72" t="s">
        <v>36</v>
      </c>
      <c r="R154" s="71">
        <f>IFERROR(R152/P152-1,"--")</f>
        <v>0.19966629069511854</v>
      </c>
      <c r="S154" s="71">
        <f>IFERROR(S152/R152-1,"--")</f>
        <v>0.23019756526999147</v>
      </c>
      <c r="T154" s="71">
        <f>IFERROR(T152/S152-1,"--")</f>
        <v>0.20536527114357983</v>
      </c>
      <c r="U154" s="71">
        <f>IFERROR(U152/T152-1,"--")</f>
        <v>0.17933575588679895</v>
      </c>
      <c r="V154" s="72" t="s">
        <v>36</v>
      </c>
      <c r="W154" s="71">
        <f>IFERROR(W152/U152-1,"--")</f>
        <v>0.18772947322419897</v>
      </c>
      <c r="X154" s="71">
        <f>IFERROR(X152/W152-1,"--")</f>
        <v>0.16077258375676085</v>
      </c>
      <c r="Y154" s="71">
        <f>IFERROR(Y152/X152-1,"--")</f>
        <v>0.22866810189641384</v>
      </c>
      <c r="Z154" s="71">
        <f>IFERROR(Z152/Y152-1,"--")</f>
        <v>0.1475088281640109</v>
      </c>
      <c r="AA154" s="72" t="s">
        <v>36</v>
      </c>
      <c r="AB154" s="71">
        <f>IFERROR(AB152/Z152-1,"--")</f>
        <v>0.10057221177046904</v>
      </c>
      <c r="AC154" s="142">
        <f>IFERROR(AC152/AB152-1,"--")</f>
        <v>0.16292074976738458</v>
      </c>
      <c r="AD154" s="142">
        <f>IFERROR(AD152/AC152-1,"--")</f>
        <v>0.1202217002381103</v>
      </c>
      <c r="AE154" s="71">
        <f>IFERROR(AE152/AD152-1,"--")</f>
        <v>5.7419016638301956E-2</v>
      </c>
      <c r="AF154" s="72" t="s">
        <v>36</v>
      </c>
      <c r="AG154" s="71">
        <f>IFERROR(AG152/AE152-1,"--")</f>
        <v>4.5649743831331691E-2</v>
      </c>
      <c r="AH154" s="142">
        <f>IFERROR(AH152/AG152-1,"--")</f>
        <v>6.7340991566695596E-2</v>
      </c>
      <c r="AI154" s="142">
        <f>IFERROR(AI152/AH152-1,"--")</f>
        <v>0.10303631225564325</v>
      </c>
      <c r="AJ154" s="71">
        <f>IFERROR(AJ152/AI152-1,"--")</f>
        <v>5.5199523817955898E-2</v>
      </c>
      <c r="AK154" s="72" t="s">
        <v>36</v>
      </c>
      <c r="AL154" s="71">
        <f>IFERROR(AL152/AJ152-1,"--")</f>
        <v>5.634593242020447E-2</v>
      </c>
      <c r="AM154" s="142">
        <f>IFERROR(AM152/AL152-1,"--")</f>
        <v>4.8405411308432678E-2</v>
      </c>
      <c r="AN154" s="142">
        <f>IFERROR(AN152/AM152-1,"--")</f>
        <v>8.4333632972423578E-2</v>
      </c>
      <c r="AO154" s="71">
        <f>IFERROR(AO152/AN152-1,"--")</f>
        <v>4.7422019458780218E-2</v>
      </c>
      <c r="AP154" s="72" t="s">
        <v>36</v>
      </c>
      <c r="AQ154" s="71">
        <f>IFERROR(AQ152/AO152-1,"--")</f>
        <v>4.2677817397587914E-2</v>
      </c>
      <c r="AR154" s="142">
        <f>IFERROR(AR152/AQ152-1,"--")</f>
        <v>9.8740588480280556E-2</v>
      </c>
      <c r="AS154" s="142">
        <f>IFERROR(AS152/AR152-1,"--")</f>
        <v>5.9337851068456793E-2</v>
      </c>
      <c r="AU154" s="68"/>
      <c r="AZ154" s="68"/>
      <c r="BE154" s="68"/>
      <c r="BJ154" s="68"/>
      <c r="BO154" s="68"/>
    </row>
    <row r="155" spans="1:67">
      <c r="B155" s="157" t="s">
        <v>35</v>
      </c>
      <c r="G155" s="68"/>
      <c r="L155" s="72">
        <f>L152/L$11</f>
        <v>0.93333747129290545</v>
      </c>
      <c r="O155" s="89">
        <v>0.89</v>
      </c>
      <c r="P155" s="89">
        <v>0.88</v>
      </c>
      <c r="Q155" s="72">
        <f>Q152/Q$11</f>
        <v>0.88320969374650615</v>
      </c>
      <c r="R155" s="71">
        <f>R152/R$11</f>
        <v>0.8507742498736387</v>
      </c>
      <c r="S155" s="71">
        <f>S152/S$11</f>
        <v>0.85536820759322563</v>
      </c>
      <c r="T155" s="89">
        <v>0.86</v>
      </c>
      <c r="U155" s="89">
        <v>0.85</v>
      </c>
      <c r="V155" s="72">
        <f>V152/V$11</f>
        <v>0.85404567865159808</v>
      </c>
      <c r="W155" s="74">
        <v>0.84</v>
      </c>
      <c r="X155" s="74">
        <v>0.82</v>
      </c>
      <c r="Y155" s="89">
        <v>0.82</v>
      </c>
      <c r="Z155" s="89">
        <v>0.82</v>
      </c>
      <c r="AA155" s="72">
        <f>AA152/AA$11</f>
        <v>0.82375475979782287</v>
      </c>
      <c r="AB155" s="89">
        <v>0.82</v>
      </c>
      <c r="AC155" s="145">
        <v>0.81</v>
      </c>
      <c r="AD155" s="145">
        <v>0.81</v>
      </c>
      <c r="AE155" s="145">
        <v>0.81</v>
      </c>
      <c r="AF155" s="72">
        <f>AF152/AF$11</f>
        <v>0.81204472761477076</v>
      </c>
      <c r="AG155" s="89">
        <v>0.8</v>
      </c>
      <c r="AH155" s="89">
        <v>0.79</v>
      </c>
      <c r="AI155" s="89">
        <v>0.8</v>
      </c>
      <c r="AJ155" s="89">
        <v>0.8</v>
      </c>
      <c r="AK155" s="72">
        <f>AK152/AK$11</f>
        <v>0.79759835866094608</v>
      </c>
      <c r="AL155" s="89">
        <v>0.79</v>
      </c>
      <c r="AM155" s="89">
        <v>0.79</v>
      </c>
      <c r="AN155" s="89">
        <v>0.79</v>
      </c>
      <c r="AO155" s="89">
        <v>0.79</v>
      </c>
      <c r="AP155" s="72">
        <f>AP152/AP$11</f>
        <v>0.78999999999999992</v>
      </c>
      <c r="AQ155" s="145">
        <v>0.78</v>
      </c>
      <c r="AR155" s="145">
        <v>0.78</v>
      </c>
      <c r="AS155" s="89">
        <v>0.78</v>
      </c>
      <c r="AU155" s="68"/>
      <c r="AZ155" s="68"/>
      <c r="BE155" s="68"/>
      <c r="BJ155" s="68"/>
      <c r="BO155" s="68"/>
    </row>
    <row r="156" spans="1:67">
      <c r="B156" s="154"/>
      <c r="G156" s="68"/>
      <c r="L156" s="68"/>
      <c r="Q156" s="68"/>
      <c r="V156" s="68"/>
      <c r="AA156" s="68"/>
      <c r="AF156" s="68"/>
      <c r="AK156" s="68"/>
      <c r="AP156" s="68"/>
      <c r="AR156" s="109"/>
      <c r="AS156" s="109"/>
      <c r="AU156" s="68"/>
      <c r="AZ156" s="68"/>
      <c r="BE156" s="68"/>
      <c r="BJ156" s="68"/>
      <c r="BO156" s="68"/>
    </row>
    <row r="157" spans="1:67">
      <c r="B157" s="154" t="s">
        <v>55</v>
      </c>
      <c r="G157" s="68"/>
      <c r="L157" s="83">
        <v>6.444</v>
      </c>
      <c r="O157" s="84">
        <f>O$11*O160</f>
        <v>8.0313199999999991</v>
      </c>
      <c r="P157" s="84">
        <f>P$11*P160</f>
        <v>10.52304</v>
      </c>
      <c r="Q157" s="83">
        <v>30.92</v>
      </c>
      <c r="R157" s="85">
        <v>16.238</v>
      </c>
      <c r="S157" s="119">
        <f>35.495-R157</f>
        <v>19.256999999999998</v>
      </c>
      <c r="T157" s="84">
        <f>T$11*T160</f>
        <v>22.347360000000005</v>
      </c>
      <c r="U157" s="84">
        <f>U$11*U160</f>
        <v>28.569750000000006</v>
      </c>
      <c r="V157" s="86">
        <f>SUM(R157:U157)</f>
        <v>86.412110000000013</v>
      </c>
      <c r="W157" s="132">
        <f>W160*W$11</f>
        <v>36.62624000000001</v>
      </c>
      <c r="X157" s="132">
        <f>X160*X$11</f>
        <v>48.995640000000009</v>
      </c>
      <c r="Y157" s="84">
        <f>Y$11*Y160</f>
        <v>60.199380000000019</v>
      </c>
      <c r="Z157" s="84">
        <f>Z$11*Z160</f>
        <v>69.079320000000024</v>
      </c>
      <c r="AA157" s="86">
        <f>SUM(W157:Z157)</f>
        <v>214.90058000000008</v>
      </c>
      <c r="AB157" s="132">
        <f>AB160*AB$11</f>
        <v>76.026780000000031</v>
      </c>
      <c r="AC157" s="132">
        <f>AC160*AC$11</f>
        <v>94.477119999999971</v>
      </c>
      <c r="AD157" s="132">
        <f>AD160*AD$11</f>
        <v>105.83531999999995</v>
      </c>
      <c r="AE157" s="84">
        <f>AE$11*AE160</f>
        <v>111.91227999999995</v>
      </c>
      <c r="AF157" s="86">
        <f>SUM(AB157:AE157)</f>
        <v>388.25149999999991</v>
      </c>
      <c r="AG157" s="132">
        <f>AG160*AG$11</f>
        <v>124.71979999999998</v>
      </c>
      <c r="AH157" s="132">
        <f>AH160*AH$11</f>
        <v>141.54377999999997</v>
      </c>
      <c r="AI157" s="132">
        <f>AI160*AI$11</f>
        <v>146.83459999999997</v>
      </c>
      <c r="AJ157" s="84">
        <f>AJ$11*AJ160</f>
        <v>154.93979999999999</v>
      </c>
      <c r="AK157" s="86">
        <f>SUM(AG157:AJ157)</f>
        <v>568.03797999999983</v>
      </c>
      <c r="AL157" s="132">
        <f>AL160*AL$11</f>
        <v>174.02888999999996</v>
      </c>
      <c r="AM157" s="132">
        <f>AM160*AM$11</f>
        <v>182.45282999999998</v>
      </c>
      <c r="AN157" s="132">
        <f>AN160*AN$11</f>
        <v>197.83973999999998</v>
      </c>
      <c r="AO157" s="84">
        <f>AO$11*AO160</f>
        <v>207.22169999999997</v>
      </c>
      <c r="AP157" s="86">
        <f>SUM(AL157:AO157)</f>
        <v>761.54315999999983</v>
      </c>
      <c r="AQ157" s="132">
        <f>AQ160*AQ$11</f>
        <v>229.25627999999998</v>
      </c>
      <c r="AR157" s="132">
        <f>AR160*AR$11</f>
        <v>251.89317999999997</v>
      </c>
      <c r="AS157" s="132">
        <f>AS160*AS$11</f>
        <v>266.83997999999997</v>
      </c>
      <c r="AU157" s="68"/>
      <c r="AZ157" s="68"/>
      <c r="BE157" s="68"/>
      <c r="BJ157" s="68"/>
      <c r="BO157" s="68"/>
    </row>
    <row r="158" spans="1:67">
      <c r="B158" s="156" t="s">
        <v>32</v>
      </c>
      <c r="G158" s="68"/>
      <c r="L158" s="72" t="str">
        <f>IFERROR(L157/G157-1,"--")</f>
        <v>--</v>
      </c>
      <c r="O158" s="71" t="str">
        <f t="shared" ref="O158:AN158" si="91">IFERROR(O157/J157-1,"--")</f>
        <v>--</v>
      </c>
      <c r="P158" s="71" t="str">
        <f t="shared" si="91"/>
        <v>--</v>
      </c>
      <c r="Q158" s="72">
        <f t="shared" si="91"/>
        <v>3.7982619490999383</v>
      </c>
      <c r="R158" s="71" t="str">
        <f t="shared" si="91"/>
        <v>--</v>
      </c>
      <c r="S158" s="71" t="str">
        <f t="shared" si="91"/>
        <v>--</v>
      </c>
      <c r="T158" s="71">
        <f t="shared" si="91"/>
        <v>1.7825264091083417</v>
      </c>
      <c r="U158" s="71">
        <f t="shared" si="91"/>
        <v>1.7149711490215762</v>
      </c>
      <c r="V158" s="72">
        <f t="shared" si="91"/>
        <v>1.7946995472186291</v>
      </c>
      <c r="W158" s="71">
        <f t="shared" si="91"/>
        <v>1.2555881266165789</v>
      </c>
      <c r="X158" s="71">
        <f t="shared" si="91"/>
        <v>1.5443028509113574</v>
      </c>
      <c r="Y158" s="71">
        <f t="shared" si="91"/>
        <v>1.6938027579096593</v>
      </c>
      <c r="Z158" s="71">
        <f t="shared" si="91"/>
        <v>1.4179182526973464</v>
      </c>
      <c r="AA158" s="72">
        <f t="shared" si="91"/>
        <v>1.4869266587750265</v>
      </c>
      <c r="AB158" s="71">
        <f t="shared" si="91"/>
        <v>1.075746240946382</v>
      </c>
      <c r="AC158" s="71">
        <f t="shared" si="91"/>
        <v>0.92827606701330878</v>
      </c>
      <c r="AD158" s="71">
        <f t="shared" si="91"/>
        <v>0.7580799004906682</v>
      </c>
      <c r="AE158" s="71">
        <f t="shared" si="91"/>
        <v>0.62005474286660478</v>
      </c>
      <c r="AF158" s="72">
        <f t="shared" si="91"/>
        <v>0.80665636174643995</v>
      </c>
      <c r="AG158" s="71">
        <f t="shared" si="91"/>
        <v>0.64047194948937625</v>
      </c>
      <c r="AH158" s="71">
        <f t="shared" si="91"/>
        <v>0.4981805118530287</v>
      </c>
      <c r="AI158" s="71">
        <f t="shared" si="91"/>
        <v>0.3873874997496114</v>
      </c>
      <c r="AJ158" s="71">
        <f t="shared" si="91"/>
        <v>0.38447541234974447</v>
      </c>
      <c r="AK158" s="72">
        <f t="shared" si="91"/>
        <v>0.46306705833718609</v>
      </c>
      <c r="AL158" s="71">
        <f t="shared" si="91"/>
        <v>0.39535895663719778</v>
      </c>
      <c r="AM158" s="71">
        <f t="shared" si="91"/>
        <v>0.28902047126337882</v>
      </c>
      <c r="AN158" s="71">
        <f t="shared" si="91"/>
        <v>0.34736458573115625</v>
      </c>
      <c r="AO158" s="71">
        <f>IFERROR(AO157/AJ157-1,"--")</f>
        <v>0.33743363551521299</v>
      </c>
      <c r="AP158" s="72">
        <f>IFERROR(AP157/AK157-1,"--")</f>
        <v>0.34065535547464632</v>
      </c>
      <c r="AQ158" s="71">
        <f t="shared" ref="AQ158:AS158" si="92">IFERROR(AQ157/AL157-1,"--")</f>
        <v>0.31734610270743002</v>
      </c>
      <c r="AR158" s="71">
        <f t="shared" si="92"/>
        <v>0.38059343886307495</v>
      </c>
      <c r="AS158" s="71">
        <f t="shared" si="92"/>
        <v>0.34876835159609487</v>
      </c>
      <c r="AU158" s="68"/>
      <c r="AZ158" s="68"/>
      <c r="BE158" s="68"/>
      <c r="BJ158" s="68"/>
      <c r="BO158" s="68"/>
    </row>
    <row r="159" spans="1:67">
      <c r="B159" s="156" t="s">
        <v>33</v>
      </c>
      <c r="G159" s="68"/>
      <c r="L159" s="72" t="s">
        <v>36</v>
      </c>
      <c r="O159" s="71" t="str">
        <f>IFERROR(O157/N157-1,"--")</f>
        <v>--</v>
      </c>
      <c r="P159" s="71">
        <f>IFERROR(P157/O157-1,"--")</f>
        <v>0.31025036980222453</v>
      </c>
      <c r="Q159" s="72" t="s">
        <v>36</v>
      </c>
      <c r="R159" s="71">
        <f>IFERROR(R157/P157-1,"--")</f>
        <v>0.54309020967325039</v>
      </c>
      <c r="S159" s="71">
        <f>IFERROR(S157/R157-1,"--")</f>
        <v>0.18592191156546356</v>
      </c>
      <c r="T159" s="71">
        <f>IFERROR(T157/S157-1,"--")</f>
        <v>0.16047982551799378</v>
      </c>
      <c r="U159" s="71">
        <f>IFERROR(U157/T157-1,"--")</f>
        <v>0.27843960091930309</v>
      </c>
      <c r="V159" s="72" t="s">
        <v>36</v>
      </c>
      <c r="W159" s="71">
        <f>IFERROR(W157/U157-1,"--")</f>
        <v>0.2819937171308815</v>
      </c>
      <c r="X159" s="71">
        <f>IFERROR(X157/W157-1,"--")</f>
        <v>0.33771962396358446</v>
      </c>
      <c r="Y159" s="71">
        <f>IFERROR(Y157/X157-1,"--")</f>
        <v>0.22866810189641384</v>
      </c>
      <c r="Z159" s="71">
        <f>IFERROR(Z157/Y157-1,"--")</f>
        <v>0.14750882816401112</v>
      </c>
      <c r="AA159" s="72" t="s">
        <v>36</v>
      </c>
      <c r="AB159" s="71">
        <f>IFERROR(AB157/Z157-1,"--")</f>
        <v>0.10057221177046904</v>
      </c>
      <c r="AC159" s="71">
        <f>IFERROR(AC157/AB157-1,"--")</f>
        <v>0.24268211806418649</v>
      </c>
      <c r="AD159" s="71">
        <f>IFERROR(AD157/AC157-1,"--")</f>
        <v>0.12022170023811052</v>
      </c>
      <c r="AE159" s="71">
        <f>IFERROR(AE157/AD157-1,"--")</f>
        <v>5.7419016638301956E-2</v>
      </c>
      <c r="AF159" s="72" t="s">
        <v>36</v>
      </c>
      <c r="AG159" s="71">
        <f>IFERROR(AG157/AE157-1,"--")</f>
        <v>0.11444249013602459</v>
      </c>
      <c r="AH159" s="71">
        <f>IFERROR(AH157/AG157-1,"--")</f>
        <v>0.1348942188810438</v>
      </c>
      <c r="AI159" s="71">
        <f>IFERROR(AI157/AH157-1,"--")</f>
        <v>3.7379388907092803E-2</v>
      </c>
      <c r="AJ159" s="71">
        <f>IFERROR(AJ157/AI157-1,"--")</f>
        <v>5.5199523817955898E-2</v>
      </c>
      <c r="AK159" s="72" t="s">
        <v>36</v>
      </c>
      <c r="AL159" s="71">
        <f>IFERROR(AL157/AJ157-1,"--")</f>
        <v>0.12320326991515396</v>
      </c>
      <c r="AM159" s="71">
        <f>IFERROR(AM157/AL157-1,"--")</f>
        <v>4.84054113084329E-2</v>
      </c>
      <c r="AN159" s="71">
        <f>IFERROR(AN157/AM157-1,"--")</f>
        <v>8.4333632972423578E-2</v>
      </c>
      <c r="AO159" s="71">
        <f>IFERROR(AO157/AN157-1,"--")</f>
        <v>4.7422019458779996E-2</v>
      </c>
      <c r="AP159" s="72" t="s">
        <v>36</v>
      </c>
      <c r="AQ159" s="71">
        <f>IFERROR(AQ157/AO157-1,"--")</f>
        <v>0.1063333618052551</v>
      </c>
      <c r="AR159" s="71">
        <f>IFERROR(AR157/AQ157-1,"--")</f>
        <v>9.8740588480280778E-2</v>
      </c>
      <c r="AS159" s="71">
        <f>IFERROR(AS157/AR157-1,"--")</f>
        <v>5.9337851068456793E-2</v>
      </c>
      <c r="AU159" s="68"/>
      <c r="AZ159" s="68"/>
      <c r="BE159" s="68"/>
      <c r="BJ159" s="68"/>
      <c r="BO159" s="68"/>
    </row>
    <row r="160" spans="1:67">
      <c r="B160" s="157" t="s">
        <v>35</v>
      </c>
      <c r="G160" s="68"/>
      <c r="L160" s="72">
        <f>L157/L$11</f>
        <v>6.6662528707094534E-2</v>
      </c>
      <c r="O160" s="88">
        <f>1-O155</f>
        <v>0.10999999999999999</v>
      </c>
      <c r="P160" s="88">
        <f>1-P155</f>
        <v>0.12</v>
      </c>
      <c r="Q160" s="72">
        <f>Q157/Q$11</f>
        <v>0.1167903062534939</v>
      </c>
      <c r="R160" s="71">
        <f>R157/R$11</f>
        <v>0.14922575012636125</v>
      </c>
      <c r="S160" s="71">
        <f>S157/S$11</f>
        <v>0.14463179240677457</v>
      </c>
      <c r="T160" s="88">
        <f>1-T155</f>
        <v>0.14000000000000001</v>
      </c>
      <c r="U160" s="88">
        <f>1-U155</f>
        <v>0.15000000000000002</v>
      </c>
      <c r="V160" s="72">
        <f>V157/V$11</f>
        <v>0.14595432134840194</v>
      </c>
      <c r="W160" s="71">
        <f>1-W155</f>
        <v>0.16000000000000003</v>
      </c>
      <c r="X160" s="71">
        <f>1-X155</f>
        <v>0.18000000000000005</v>
      </c>
      <c r="Y160" s="88">
        <f>1-Y155</f>
        <v>0.18000000000000005</v>
      </c>
      <c r="Z160" s="88">
        <f>1-Z155</f>
        <v>0.18000000000000005</v>
      </c>
      <c r="AA160" s="72">
        <f>AA157/AA$11</f>
        <v>0.17624524020217716</v>
      </c>
      <c r="AB160" s="71">
        <f>1-AB155</f>
        <v>0.18000000000000005</v>
      </c>
      <c r="AC160" s="71">
        <f>1-AC155</f>
        <v>0.18999999999999995</v>
      </c>
      <c r="AD160" s="71">
        <f>1-AD155</f>
        <v>0.18999999999999995</v>
      </c>
      <c r="AE160" s="88">
        <f>1-AE155</f>
        <v>0.18999999999999995</v>
      </c>
      <c r="AF160" s="72">
        <f>AF157/AF$11</f>
        <v>0.18795527238522908</v>
      </c>
      <c r="AG160" s="71">
        <f>1-AG155</f>
        <v>0.19999999999999996</v>
      </c>
      <c r="AH160" s="71">
        <f>1-AH155</f>
        <v>0.20999999999999996</v>
      </c>
      <c r="AI160" s="71">
        <f>1-AI155</f>
        <v>0.19999999999999996</v>
      </c>
      <c r="AJ160" s="88">
        <f>1-AJ155</f>
        <v>0.19999999999999996</v>
      </c>
      <c r="AK160" s="72">
        <f>AK157/AK$11</f>
        <v>0.20240164133905383</v>
      </c>
      <c r="AL160" s="71">
        <f>1-AL155</f>
        <v>0.20999999999999996</v>
      </c>
      <c r="AM160" s="71">
        <f>1-AM155</f>
        <v>0.20999999999999996</v>
      </c>
      <c r="AN160" s="71">
        <f>1-AN155</f>
        <v>0.20999999999999996</v>
      </c>
      <c r="AO160" s="88">
        <f>1-AO155</f>
        <v>0.20999999999999996</v>
      </c>
      <c r="AP160" s="72">
        <f>AP157/AP$11</f>
        <v>0.20999999999999994</v>
      </c>
      <c r="AQ160" s="71">
        <f>1-AQ155</f>
        <v>0.21999999999999997</v>
      </c>
      <c r="AR160" s="71">
        <f>1-AR155</f>
        <v>0.21999999999999997</v>
      </c>
      <c r="AS160" s="71">
        <f>1-AS155</f>
        <v>0.21999999999999997</v>
      </c>
      <c r="AU160" s="68"/>
      <c r="AZ160" s="68"/>
      <c r="BE160" s="68"/>
      <c r="BJ160" s="68"/>
      <c r="BO160" s="68"/>
    </row>
    <row r="161" spans="1:67">
      <c r="B161" s="154"/>
      <c r="G161" s="68"/>
      <c r="L161" s="68"/>
      <c r="Q161" s="68"/>
      <c r="V161" s="68"/>
      <c r="AA161" s="68"/>
      <c r="AF161" s="68"/>
      <c r="AK161" s="68"/>
      <c r="AP161" s="68"/>
      <c r="AR161" s="109"/>
      <c r="AS161" s="109"/>
      <c r="AU161" s="68"/>
      <c r="AZ161" s="68"/>
      <c r="BE161" s="68"/>
      <c r="BJ161" s="68"/>
      <c r="BO161" s="68"/>
    </row>
    <row r="162" spans="1:67">
      <c r="B162" s="160" t="s">
        <v>160</v>
      </c>
      <c r="C162" s="64"/>
      <c r="D162" s="64"/>
      <c r="E162" s="64"/>
      <c r="F162" s="64"/>
      <c r="G162" s="93"/>
      <c r="H162" s="64"/>
      <c r="I162" s="64"/>
      <c r="J162" s="64"/>
      <c r="K162" s="64"/>
      <c r="L162" s="93"/>
      <c r="M162" s="64"/>
      <c r="N162" s="64"/>
      <c r="O162" s="64"/>
      <c r="P162" s="64"/>
      <c r="Q162" s="93"/>
      <c r="R162" s="102">
        <v>299</v>
      </c>
      <c r="S162" s="102">
        <v>333</v>
      </c>
      <c r="T162" s="102">
        <v>366</v>
      </c>
      <c r="U162" s="102">
        <v>403</v>
      </c>
      <c r="V162" s="93">
        <f>U162</f>
        <v>403</v>
      </c>
      <c r="W162" s="102">
        <v>415</v>
      </c>
      <c r="X162" s="102">
        <v>443</v>
      </c>
      <c r="Y162" s="102">
        <v>462</v>
      </c>
      <c r="Z162" s="102">
        <v>492</v>
      </c>
      <c r="AA162" s="93">
        <f>Z162</f>
        <v>492</v>
      </c>
      <c r="AB162" s="102">
        <v>513</v>
      </c>
      <c r="AC162" s="102">
        <v>548</v>
      </c>
      <c r="AD162" s="102">
        <v>586</v>
      </c>
      <c r="AE162" s="102">
        <v>642</v>
      </c>
      <c r="AF162" s="93">
        <f>AE162</f>
        <v>642</v>
      </c>
      <c r="AG162" s="75">
        <v>657</v>
      </c>
      <c r="AH162" s="257">
        <v>675</v>
      </c>
      <c r="AI162" s="75">
        <v>678</v>
      </c>
      <c r="AJ162" s="233">
        <v>710</v>
      </c>
      <c r="AK162" s="93">
        <f>AJ162</f>
        <v>710</v>
      </c>
      <c r="AL162" s="75">
        <v>727</v>
      </c>
      <c r="AM162" s="257">
        <v>734</v>
      </c>
      <c r="AN162" s="257">
        <v>749</v>
      </c>
      <c r="AO162" s="257">
        <v>751</v>
      </c>
      <c r="AP162" s="93">
        <f>AO162</f>
        <v>751</v>
      </c>
      <c r="AQ162" s="257">
        <v>754</v>
      </c>
      <c r="AR162" s="257">
        <v>751</v>
      </c>
      <c r="AS162" s="75">
        <v>766</v>
      </c>
      <c r="AT162" s="64"/>
      <c r="AU162" s="93"/>
      <c r="AV162" s="64"/>
      <c r="AW162" s="64"/>
      <c r="AX162" s="64"/>
      <c r="AY162" s="64"/>
      <c r="AZ162" s="93"/>
      <c r="BA162" s="64"/>
      <c r="BB162" s="64"/>
      <c r="BC162" s="64"/>
      <c r="BD162" s="64"/>
      <c r="BE162" s="93"/>
      <c r="BF162" s="64"/>
      <c r="BG162" s="64"/>
      <c r="BH162" s="64"/>
      <c r="BI162" s="64"/>
      <c r="BJ162" s="93"/>
      <c r="BK162" s="64"/>
      <c r="BL162" s="64"/>
      <c r="BM162" s="64"/>
      <c r="BN162" s="64"/>
      <c r="BO162" s="93"/>
    </row>
    <row r="163" spans="1:67" s="92" customFormat="1">
      <c r="B163" s="159" t="s">
        <v>172</v>
      </c>
      <c r="G163" s="149"/>
      <c r="L163" s="149"/>
      <c r="Q163" s="149"/>
      <c r="R163" s="113"/>
      <c r="S163" s="113">
        <f>S162-R162</f>
        <v>34</v>
      </c>
      <c r="T163" s="113">
        <f>T162-S162</f>
        <v>33</v>
      </c>
      <c r="U163" s="113">
        <f>U162-T162</f>
        <v>37</v>
      </c>
      <c r="V163" s="100"/>
      <c r="W163" s="113">
        <f>W162-U162</f>
        <v>12</v>
      </c>
      <c r="X163" s="113">
        <f>X162-W162</f>
        <v>28</v>
      </c>
      <c r="Y163" s="113">
        <f>Y162-X162</f>
        <v>19</v>
      </c>
      <c r="Z163" s="113">
        <f>Z162-Y162</f>
        <v>30</v>
      </c>
      <c r="AA163" s="100"/>
      <c r="AB163" s="113">
        <f>AB162-Z162</f>
        <v>21</v>
      </c>
      <c r="AC163" s="113">
        <f>AC162-AB162</f>
        <v>35</v>
      </c>
      <c r="AD163" s="113">
        <f>AD162-AC162</f>
        <v>38</v>
      </c>
      <c r="AE163" s="113">
        <f>AE162-AD162</f>
        <v>56</v>
      </c>
      <c r="AF163" s="100"/>
      <c r="AG163" s="113">
        <f>AG162-AE162</f>
        <v>15</v>
      </c>
      <c r="AH163" s="113">
        <f>AH162-AG162</f>
        <v>18</v>
      </c>
      <c r="AI163" s="113">
        <f>AI162-AH162</f>
        <v>3</v>
      </c>
      <c r="AJ163" s="113">
        <f>AJ162-AI162</f>
        <v>32</v>
      </c>
      <c r="AK163" s="100"/>
      <c r="AL163" s="113">
        <f>AL162-AJ162</f>
        <v>17</v>
      </c>
      <c r="AM163" s="113">
        <f>AM162-AL162</f>
        <v>7</v>
      </c>
      <c r="AN163" s="113">
        <f>AN162-AM162</f>
        <v>15</v>
      </c>
      <c r="AO163" s="113">
        <f>AO162-AN162</f>
        <v>2</v>
      </c>
      <c r="AP163" s="100"/>
      <c r="AQ163" s="113">
        <f>AQ162-AO162</f>
        <v>3</v>
      </c>
      <c r="AR163" s="113">
        <f>AR162-AQ162</f>
        <v>-3</v>
      </c>
      <c r="AS163" s="113">
        <f>AS162-AR162</f>
        <v>15</v>
      </c>
      <c r="AU163" s="149"/>
      <c r="AZ163" s="149"/>
      <c r="BE163" s="149"/>
      <c r="BJ163" s="149"/>
      <c r="BO163" s="149"/>
    </row>
    <row r="164" spans="1:67">
      <c r="A164" s="108" t="s">
        <v>104</v>
      </c>
      <c r="B164" s="156" t="s">
        <v>32</v>
      </c>
      <c r="G164" s="68"/>
      <c r="J164" s="71" t="str">
        <f t="shared" ref="J164:AN164" si="93">IFERROR(J162/E162-1,"--")</f>
        <v>--</v>
      </c>
      <c r="K164" s="71" t="str">
        <f t="shared" si="93"/>
        <v>--</v>
      </c>
      <c r="L164" s="72" t="str">
        <f t="shared" si="93"/>
        <v>--</v>
      </c>
      <c r="M164" s="71" t="str">
        <f t="shared" si="93"/>
        <v>--</v>
      </c>
      <c r="N164" s="71" t="str">
        <f t="shared" si="93"/>
        <v>--</v>
      </c>
      <c r="O164" s="71" t="str">
        <f t="shared" si="93"/>
        <v>--</v>
      </c>
      <c r="P164" s="71" t="str">
        <f t="shared" si="93"/>
        <v>--</v>
      </c>
      <c r="Q164" s="72" t="str">
        <f t="shared" si="93"/>
        <v>--</v>
      </c>
      <c r="R164" s="71" t="str">
        <f t="shared" si="93"/>
        <v>--</v>
      </c>
      <c r="S164" s="71" t="str">
        <f t="shared" si="93"/>
        <v>--</v>
      </c>
      <c r="T164" s="71" t="str">
        <f t="shared" si="93"/>
        <v>--</v>
      </c>
      <c r="U164" s="71" t="str">
        <f t="shared" si="93"/>
        <v>--</v>
      </c>
      <c r="V164" s="72" t="str">
        <f t="shared" si="93"/>
        <v>--</v>
      </c>
      <c r="W164" s="71">
        <f t="shared" si="93"/>
        <v>0.38795986622073575</v>
      </c>
      <c r="X164" s="71">
        <f t="shared" si="93"/>
        <v>0.33033033033033044</v>
      </c>
      <c r="Y164" s="71">
        <f t="shared" si="93"/>
        <v>0.26229508196721318</v>
      </c>
      <c r="Z164" s="71">
        <f t="shared" si="93"/>
        <v>0.22084367245657566</v>
      </c>
      <c r="AA164" s="72">
        <f t="shared" si="93"/>
        <v>0.22084367245657566</v>
      </c>
      <c r="AB164" s="71">
        <f t="shared" si="93"/>
        <v>0.23614457831325297</v>
      </c>
      <c r="AC164" s="71">
        <f t="shared" si="93"/>
        <v>0.23702031602708806</v>
      </c>
      <c r="AD164" s="71">
        <f t="shared" si="93"/>
        <v>0.26839826839826841</v>
      </c>
      <c r="AE164" s="71">
        <f t="shared" si="93"/>
        <v>0.30487804878048785</v>
      </c>
      <c r="AF164" s="72">
        <f t="shared" si="93"/>
        <v>0.30487804878048785</v>
      </c>
      <c r="AG164" s="71">
        <f t="shared" si="93"/>
        <v>0.2807017543859649</v>
      </c>
      <c r="AH164" s="71">
        <f t="shared" si="93"/>
        <v>0.23175182481751833</v>
      </c>
      <c r="AI164" s="71">
        <f t="shared" si="93"/>
        <v>0.15699658703071662</v>
      </c>
      <c r="AJ164" s="71">
        <f t="shared" si="93"/>
        <v>0.10591900311526481</v>
      </c>
      <c r="AK164" s="72">
        <f t="shared" si="93"/>
        <v>0.10591900311526481</v>
      </c>
      <c r="AL164" s="71">
        <f t="shared" si="93"/>
        <v>0.10654490106544912</v>
      </c>
      <c r="AM164" s="71">
        <f t="shared" si="93"/>
        <v>8.7407407407407378E-2</v>
      </c>
      <c r="AN164" s="71">
        <f t="shared" si="93"/>
        <v>0.10471976401179939</v>
      </c>
      <c r="AO164" s="71">
        <f>IFERROR(AO162/AJ162-1,"--")</f>
        <v>5.774647887323936E-2</v>
      </c>
      <c r="AP164" s="72">
        <f>IFERROR(AP162/AK162-1,"--")</f>
        <v>5.774647887323936E-2</v>
      </c>
      <c r="AQ164" s="71">
        <f t="shared" ref="AQ164:AS164" si="94">IFERROR(AQ162/AL162-1,"--")</f>
        <v>3.7138927097661645E-2</v>
      </c>
      <c r="AR164" s="71">
        <f t="shared" si="94"/>
        <v>2.3160762942779245E-2</v>
      </c>
      <c r="AS164" s="71">
        <f t="shared" si="94"/>
        <v>2.2696929238985364E-2</v>
      </c>
      <c r="AU164" s="68"/>
      <c r="AZ164" s="68"/>
      <c r="BE164" s="68"/>
      <c r="BJ164" s="68"/>
      <c r="BO164" s="68"/>
    </row>
    <row r="165" spans="1:67">
      <c r="A165" s="108" t="s">
        <v>105</v>
      </c>
      <c r="B165" s="156" t="s">
        <v>33</v>
      </c>
      <c r="G165" s="68"/>
      <c r="J165" s="71" t="str">
        <f>IFERROR(J162/I162-1,"--")</f>
        <v>--</v>
      </c>
      <c r="K165" s="71" t="str">
        <f>IFERROR(K162/J162-1,"--")</f>
        <v>--</v>
      </c>
      <c r="L165" s="72" t="s">
        <v>36</v>
      </c>
      <c r="M165" s="71" t="str">
        <f>IFERROR(M162/K162-1,"--")</f>
        <v>--</v>
      </c>
      <c r="N165" s="71" t="str">
        <f>IFERROR(N162/M162-1,"--")</f>
        <v>--</v>
      </c>
      <c r="O165" s="71" t="str">
        <f>IFERROR(O162/N162-1,"--")</f>
        <v>--</v>
      </c>
      <c r="P165" s="71" t="str">
        <f>IFERROR(P162/O162-1,"--")</f>
        <v>--</v>
      </c>
      <c r="Q165" s="72" t="s">
        <v>36</v>
      </c>
      <c r="R165" s="71" t="str">
        <f>IFERROR(R162/P162-1,"--")</f>
        <v>--</v>
      </c>
      <c r="S165" s="71">
        <f>IFERROR(S162/R162-1,"--")</f>
        <v>0.11371237458193972</v>
      </c>
      <c r="T165" s="71">
        <f>IFERROR(T162/S162-1,"--")</f>
        <v>9.9099099099099197E-2</v>
      </c>
      <c r="U165" s="71">
        <f>IFERROR(U162/T162-1,"--")</f>
        <v>0.10109289617486339</v>
      </c>
      <c r="V165" s="72" t="s">
        <v>36</v>
      </c>
      <c r="W165" s="71">
        <f>IFERROR(W162/U162-1,"--")</f>
        <v>2.977667493796532E-2</v>
      </c>
      <c r="X165" s="71">
        <f>IFERROR(X162/W162-1,"--")</f>
        <v>6.7469879518072373E-2</v>
      </c>
      <c r="Y165" s="71">
        <f>IFERROR(Y162/X162-1,"--")</f>
        <v>4.2889390519187387E-2</v>
      </c>
      <c r="Z165" s="71">
        <f>IFERROR(Z162/Y162-1,"--")</f>
        <v>6.4935064935064846E-2</v>
      </c>
      <c r="AA165" s="72" t="s">
        <v>36</v>
      </c>
      <c r="AB165" s="71">
        <f>IFERROR(AB162/Z162-1,"--")</f>
        <v>4.2682926829268331E-2</v>
      </c>
      <c r="AC165" s="71">
        <f>IFERROR(AC162/AB162-1,"--")</f>
        <v>6.8226120857699746E-2</v>
      </c>
      <c r="AD165" s="71">
        <f>IFERROR(AD162/AC162-1,"--")</f>
        <v>6.9343065693430628E-2</v>
      </c>
      <c r="AE165" s="71">
        <f>IFERROR(AE162/AD162-1,"--")</f>
        <v>9.5563139931740704E-2</v>
      </c>
      <c r="AF165" s="72" t="s">
        <v>36</v>
      </c>
      <c r="AG165" s="71">
        <f>IFERROR(AG162/AE162-1,"--")</f>
        <v>2.3364485981308469E-2</v>
      </c>
      <c r="AH165" s="71">
        <f>IFERROR(AH162/AG162-1,"--")</f>
        <v>2.7397260273972712E-2</v>
      </c>
      <c r="AI165" s="71">
        <f>IFERROR(AI162/AH162-1,"--")</f>
        <v>4.4444444444444731E-3</v>
      </c>
      <c r="AJ165" s="71">
        <f>IFERROR(AJ162/AI162-1,"--")</f>
        <v>4.71976401179941E-2</v>
      </c>
      <c r="AK165" s="72" t="s">
        <v>36</v>
      </c>
      <c r="AL165" s="71">
        <f>IFERROR(AL162/AJ162-1,"--")</f>
        <v>2.3943661971830954E-2</v>
      </c>
      <c r="AM165" s="71">
        <f>IFERROR(AM162/AL162-1,"--")</f>
        <v>9.6286107290233236E-3</v>
      </c>
      <c r="AN165" s="71">
        <f>IFERROR(AN162/AM162-1,"--")</f>
        <v>2.043596730245234E-2</v>
      </c>
      <c r="AO165" s="71">
        <f>IFERROR(AO162/AN162-1,"--")</f>
        <v>2.6702269692924219E-3</v>
      </c>
      <c r="AP165" s="72" t="s">
        <v>36</v>
      </c>
      <c r="AQ165" s="71">
        <f>IFERROR(AQ162/AO162-1,"--")</f>
        <v>3.9946737683089761E-3</v>
      </c>
      <c r="AR165" s="71">
        <f>IFERROR(AR162/AQ162-1,"--")</f>
        <v>-3.9787798408488229E-3</v>
      </c>
      <c r="AS165" s="71">
        <f>IFERROR(AS162/AR162-1,"--")</f>
        <v>1.9973368841544659E-2</v>
      </c>
      <c r="AU165" s="68"/>
      <c r="AZ165" s="68"/>
      <c r="BE165" s="68"/>
      <c r="BJ165" s="68"/>
      <c r="BO165" s="68"/>
    </row>
    <row r="166" spans="1:67">
      <c r="B166" s="156" t="s">
        <v>114</v>
      </c>
      <c r="G166" s="68"/>
      <c r="K166" s="71">
        <f>K162/K$55</f>
        <v>0</v>
      </c>
      <c r="L166" s="68"/>
      <c r="M166" s="71">
        <f>M162/M$55</f>
        <v>0</v>
      </c>
      <c r="N166" s="71">
        <f t="shared" ref="N166:AD166" si="95">N162/N$55</f>
        <v>0</v>
      </c>
      <c r="O166" s="71">
        <f t="shared" si="95"/>
        <v>0</v>
      </c>
      <c r="P166" s="71">
        <f t="shared" si="95"/>
        <v>0</v>
      </c>
      <c r="Q166" s="72">
        <f t="shared" si="95"/>
        <v>0</v>
      </c>
      <c r="R166" s="71">
        <f t="shared" si="95"/>
        <v>0.10992647058823529</v>
      </c>
      <c r="S166" s="71">
        <f t="shared" si="95"/>
        <v>0.1068334937439846</v>
      </c>
      <c r="T166" s="71">
        <f t="shared" si="95"/>
        <v>0.10298255486775464</v>
      </c>
      <c r="U166" s="71">
        <f t="shared" si="95"/>
        <v>9.7366513650640252E-2</v>
      </c>
      <c r="V166" s="72">
        <f t="shared" si="95"/>
        <v>9.7366513650640252E-2</v>
      </c>
      <c r="W166" s="71">
        <f t="shared" si="95"/>
        <v>9.1571050308914381E-2</v>
      </c>
      <c r="X166" s="71">
        <f t="shared" si="95"/>
        <v>8.8777555110220438E-2</v>
      </c>
      <c r="Y166" s="71">
        <f t="shared" si="95"/>
        <v>8.5302806499261447E-2</v>
      </c>
      <c r="Z166" s="71">
        <f t="shared" si="95"/>
        <v>8.2772543741588156E-2</v>
      </c>
      <c r="AA166" s="72">
        <f t="shared" si="95"/>
        <v>8.2772543741588156E-2</v>
      </c>
      <c r="AB166" s="71">
        <f t="shared" si="95"/>
        <v>8.1145207212907314E-2</v>
      </c>
      <c r="AC166" s="71">
        <f t="shared" si="95"/>
        <v>8.0316576286091165E-2</v>
      </c>
      <c r="AD166" s="71">
        <f t="shared" si="95"/>
        <v>8.1253466444814196E-2</v>
      </c>
      <c r="AE166" s="71">
        <f t="shared" ref="AE166:AN166" si="96">AE162/AE$55</f>
        <v>8.2561728395061734E-2</v>
      </c>
      <c r="AF166" s="72">
        <f t="shared" si="96"/>
        <v>8.2561728395061734E-2</v>
      </c>
      <c r="AG166" s="71">
        <f t="shared" si="96"/>
        <v>8.1241498701619883E-2</v>
      </c>
      <c r="AH166" s="71">
        <f t="shared" si="96"/>
        <v>7.9533404029692473E-2</v>
      </c>
      <c r="AI166" s="71">
        <f t="shared" si="96"/>
        <v>7.6308384918401806E-2</v>
      </c>
      <c r="AJ166" s="71">
        <f t="shared" si="96"/>
        <v>7.5660699062233591E-2</v>
      </c>
      <c r="AK166" s="72">
        <f t="shared" si="96"/>
        <v>7.5660699062233591E-2</v>
      </c>
      <c r="AL166" s="71">
        <f t="shared" si="96"/>
        <v>7.4632994559080179E-2</v>
      </c>
      <c r="AM166" s="71">
        <f t="shared" si="96"/>
        <v>7.233665122696363E-2</v>
      </c>
      <c r="AN166" s="71">
        <f t="shared" si="96"/>
        <v>7.1401334604385122E-2</v>
      </c>
      <c r="AO166" s="71">
        <f>AO162/AO$55</f>
        <v>6.8130273065408697E-2</v>
      </c>
      <c r="AP166" s="72">
        <f>AP162/AP$55</f>
        <v>6.8130273065408697E-2</v>
      </c>
      <c r="AQ166" s="71">
        <f t="shared" ref="AQ166:AS166" si="97">AQ162/AQ$55</f>
        <v>6.571951538394491E-2</v>
      </c>
      <c r="AR166" s="71">
        <f t="shared" si="97"/>
        <v>6.2552057304680997E-2</v>
      </c>
      <c r="AS166" s="71">
        <f t="shared" si="97"/>
        <v>6.0692496632596467E-2</v>
      </c>
      <c r="AU166" s="68"/>
      <c r="AZ166" s="68"/>
      <c r="BE166" s="68"/>
      <c r="BJ166" s="68"/>
      <c r="BO166" s="68"/>
    </row>
    <row r="167" spans="1:67">
      <c r="B167" s="156" t="s">
        <v>163</v>
      </c>
      <c r="G167" s="68"/>
      <c r="K167" s="71"/>
      <c r="L167" s="68"/>
      <c r="M167" s="71"/>
      <c r="N167" s="71"/>
      <c r="O167" s="71"/>
      <c r="P167" s="71"/>
      <c r="Q167" s="72"/>
      <c r="R167" s="71">
        <f>R162/2000</f>
        <v>0.14949999999999999</v>
      </c>
      <c r="S167" s="71">
        <f>S162/2000</f>
        <v>0.16650000000000001</v>
      </c>
      <c r="T167" s="71">
        <f>T162/2000</f>
        <v>0.183</v>
      </c>
      <c r="U167" s="71">
        <f>U162/2000</f>
        <v>0.20150000000000001</v>
      </c>
      <c r="V167" s="72">
        <f>U167</f>
        <v>0.20150000000000001</v>
      </c>
      <c r="W167" s="71">
        <f>W162/2000</f>
        <v>0.20749999999999999</v>
      </c>
      <c r="X167" s="71">
        <f>X162/2000</f>
        <v>0.2215</v>
      </c>
      <c r="Y167" s="71">
        <f>Y162/2000</f>
        <v>0.23100000000000001</v>
      </c>
      <c r="Z167" s="71">
        <f>Z162/2000</f>
        <v>0.246</v>
      </c>
      <c r="AA167" s="72">
        <f>Z167</f>
        <v>0.246</v>
      </c>
      <c r="AB167" s="71">
        <f>AB162/2000</f>
        <v>0.25650000000000001</v>
      </c>
      <c r="AC167" s="71">
        <f>AC162/2000</f>
        <v>0.27400000000000002</v>
      </c>
      <c r="AD167" s="71">
        <f>AD162/2000</f>
        <v>0.29299999999999998</v>
      </c>
      <c r="AE167" s="71">
        <f>AE162/2000</f>
        <v>0.32100000000000001</v>
      </c>
      <c r="AF167" s="72">
        <f>AE167</f>
        <v>0.32100000000000001</v>
      </c>
      <c r="AG167" s="71">
        <f>AG162/2000</f>
        <v>0.32850000000000001</v>
      </c>
      <c r="AH167" s="71">
        <f>AH162/2000</f>
        <v>0.33750000000000002</v>
      </c>
      <c r="AI167" s="71">
        <f>AI162/2000</f>
        <v>0.33900000000000002</v>
      </c>
      <c r="AJ167" s="71">
        <f>AJ162/2000</f>
        <v>0.35499999999999998</v>
      </c>
      <c r="AK167" s="72">
        <f>AJ167</f>
        <v>0.35499999999999998</v>
      </c>
      <c r="AL167" s="71">
        <f>AL162/2000</f>
        <v>0.36349999999999999</v>
      </c>
      <c r="AM167" s="71">
        <f>AM162/2000</f>
        <v>0.36699999999999999</v>
      </c>
      <c r="AN167" s="71">
        <f>AN162/2000</f>
        <v>0.3745</v>
      </c>
      <c r="AO167" s="71">
        <f>AO162/2000</f>
        <v>0.3755</v>
      </c>
      <c r="AP167" s="72">
        <f>AO167</f>
        <v>0.3755</v>
      </c>
      <c r="AQ167" s="71">
        <f>AQ162/2000</f>
        <v>0.377</v>
      </c>
      <c r="AR167" s="71">
        <f>AR162/2000</f>
        <v>0.3755</v>
      </c>
      <c r="AS167" s="71">
        <f>AS162/2000</f>
        <v>0.38300000000000001</v>
      </c>
      <c r="AU167" s="68"/>
      <c r="AZ167" s="68"/>
      <c r="BE167" s="68"/>
      <c r="BJ167" s="68"/>
      <c r="BO167" s="68"/>
    </row>
    <row r="168" spans="1:67" s="92" customFormat="1">
      <c r="B168" s="159"/>
      <c r="G168" s="149"/>
      <c r="L168" s="149"/>
      <c r="Q168" s="149"/>
      <c r="V168" s="149"/>
      <c r="AA168" s="149"/>
      <c r="AF168" s="149"/>
      <c r="AK168" s="149"/>
      <c r="AP168" s="149"/>
      <c r="AU168" s="149"/>
      <c r="AZ168" s="149"/>
      <c r="BE168" s="149"/>
      <c r="BJ168" s="149"/>
      <c r="BO168" s="149"/>
    </row>
    <row r="169" spans="1:67">
      <c r="B169" s="160" t="s">
        <v>169</v>
      </c>
      <c r="C169" s="64"/>
      <c r="D169" s="64"/>
      <c r="E169" s="64"/>
      <c r="F169" s="64"/>
      <c r="G169" s="93"/>
      <c r="H169" s="64"/>
      <c r="I169" s="64"/>
      <c r="J169" s="64"/>
      <c r="K169" s="64"/>
      <c r="L169" s="93"/>
      <c r="M169" s="64"/>
      <c r="N169" s="64"/>
      <c r="O169" s="64"/>
      <c r="P169" s="64"/>
      <c r="Q169" s="93"/>
      <c r="R169" s="102">
        <v>417</v>
      </c>
      <c r="S169" s="102">
        <v>449</v>
      </c>
      <c r="T169" s="102">
        <v>493</v>
      </c>
      <c r="U169" s="102">
        <v>540</v>
      </c>
      <c r="V169" s="103">
        <f>U169</f>
        <v>540</v>
      </c>
      <c r="W169" s="102">
        <v>630</v>
      </c>
      <c r="X169" s="102">
        <v>685</v>
      </c>
      <c r="Y169" s="102">
        <v>791</v>
      </c>
      <c r="Z169" s="102">
        <v>894</v>
      </c>
      <c r="AA169" s="103">
        <f>Z169</f>
        <v>894</v>
      </c>
      <c r="AB169" s="102">
        <v>1005</v>
      </c>
      <c r="AC169" s="102">
        <v>1200</v>
      </c>
      <c r="AD169" s="102">
        <v>1300</v>
      </c>
      <c r="AE169" s="102">
        <v>1400</v>
      </c>
      <c r="AF169" s="103">
        <f>AE169</f>
        <v>1400</v>
      </c>
      <c r="AG169" s="233">
        <v>1500</v>
      </c>
      <c r="AH169" s="244">
        <v>1600</v>
      </c>
      <c r="AI169" s="257"/>
      <c r="AJ169" s="233"/>
      <c r="AK169" s="103"/>
      <c r="AL169" s="64"/>
      <c r="AM169" s="64"/>
      <c r="AN169" s="64"/>
      <c r="AO169" s="257"/>
      <c r="AP169" s="93"/>
      <c r="AQ169" s="64"/>
      <c r="AR169" s="64"/>
      <c r="AS169" s="64"/>
      <c r="AT169" s="64"/>
      <c r="AU169" s="93"/>
      <c r="AV169" s="64"/>
      <c r="AW169" s="64"/>
      <c r="AX169" s="64"/>
      <c r="AY169" s="64"/>
      <c r="AZ169" s="93"/>
      <c r="BA169" s="64"/>
      <c r="BB169" s="64"/>
      <c r="BC169" s="64"/>
      <c r="BD169" s="64"/>
      <c r="BE169" s="93"/>
      <c r="BF169" s="64"/>
      <c r="BG169" s="64"/>
      <c r="BH169" s="64"/>
      <c r="BI169" s="64"/>
      <c r="BJ169" s="93"/>
      <c r="BK169" s="64"/>
      <c r="BL169" s="64"/>
      <c r="BM169" s="64"/>
      <c r="BN169" s="64"/>
      <c r="BO169" s="93"/>
    </row>
    <row r="170" spans="1:67" s="92" customFormat="1">
      <c r="B170" s="159" t="s">
        <v>32</v>
      </c>
      <c r="G170" s="149"/>
      <c r="L170" s="149"/>
      <c r="Q170" s="149"/>
      <c r="R170" s="71" t="str">
        <f t="shared" ref="R170:AH170" si="98">IFERROR(R169/M169-1,"--")</f>
        <v>--</v>
      </c>
      <c r="S170" s="71" t="str">
        <f t="shared" si="98"/>
        <v>--</v>
      </c>
      <c r="T170" s="71" t="str">
        <f t="shared" si="98"/>
        <v>--</v>
      </c>
      <c r="U170" s="71" t="str">
        <f t="shared" si="98"/>
        <v>--</v>
      </c>
      <c r="V170" s="72" t="str">
        <f t="shared" si="98"/>
        <v>--</v>
      </c>
      <c r="W170" s="71">
        <f t="shared" si="98"/>
        <v>0.51079136690647475</v>
      </c>
      <c r="X170" s="71">
        <f t="shared" si="98"/>
        <v>0.52561247216035634</v>
      </c>
      <c r="Y170" s="71">
        <f t="shared" si="98"/>
        <v>0.60446247464503045</v>
      </c>
      <c r="Z170" s="71">
        <f t="shared" si="98"/>
        <v>0.65555555555555545</v>
      </c>
      <c r="AA170" s="72">
        <f t="shared" si="98"/>
        <v>0.65555555555555545</v>
      </c>
      <c r="AB170" s="71">
        <f t="shared" si="98"/>
        <v>0.59523809523809534</v>
      </c>
      <c r="AC170" s="71">
        <f t="shared" si="98"/>
        <v>0.75182481751824826</v>
      </c>
      <c r="AD170" s="71">
        <f t="shared" si="98"/>
        <v>0.64348925410872315</v>
      </c>
      <c r="AE170" s="71">
        <f t="shared" si="98"/>
        <v>0.56599552572706946</v>
      </c>
      <c r="AF170" s="72">
        <f t="shared" si="98"/>
        <v>0.56599552572706946</v>
      </c>
      <c r="AG170" s="71">
        <f t="shared" si="98"/>
        <v>0.49253731343283591</v>
      </c>
      <c r="AH170" s="71">
        <f t="shared" si="98"/>
        <v>0.33333333333333326</v>
      </c>
      <c r="AI170" s="71"/>
      <c r="AJ170" s="71"/>
      <c r="AK170" s="72"/>
      <c r="AP170" s="149"/>
      <c r="AU170" s="149"/>
      <c r="AZ170" s="149"/>
      <c r="BE170" s="149"/>
      <c r="BJ170" s="149"/>
      <c r="BO170" s="149"/>
    </row>
    <row r="171" spans="1:67" s="92" customFormat="1">
      <c r="B171" s="159" t="s">
        <v>33</v>
      </c>
      <c r="G171" s="149"/>
      <c r="L171" s="149"/>
      <c r="Q171" s="149"/>
      <c r="R171" s="71" t="str">
        <f>IFERROR(R169/P169-1,"--")</f>
        <v>--</v>
      </c>
      <c r="S171" s="71">
        <f>IFERROR(S169/R169-1,"--")</f>
        <v>7.6738609112709799E-2</v>
      </c>
      <c r="T171" s="71">
        <f>IFERROR(T169/S169-1,"--")</f>
        <v>9.7995545657015626E-2</v>
      </c>
      <c r="U171" s="71">
        <f>IFERROR(U169/T169-1,"--")</f>
        <v>9.5334685598377211E-2</v>
      </c>
      <c r="V171" s="72" t="s">
        <v>36</v>
      </c>
      <c r="W171" s="71">
        <f>IFERROR(W169/U169-1,"--")</f>
        <v>0.16666666666666674</v>
      </c>
      <c r="X171" s="71">
        <f>IFERROR(X169/W169-1,"--")</f>
        <v>8.7301587301587213E-2</v>
      </c>
      <c r="Y171" s="71">
        <f>IFERROR(Y169/X169-1,"--")</f>
        <v>0.15474452554744533</v>
      </c>
      <c r="Z171" s="71">
        <f>IFERROR(Z169/Y169-1,"--")</f>
        <v>0.1302149178255374</v>
      </c>
      <c r="AA171" s="72" t="s">
        <v>36</v>
      </c>
      <c r="AB171" s="71">
        <f>IFERROR(AB169/Z169-1,"--")</f>
        <v>0.12416107382550345</v>
      </c>
      <c r="AC171" s="71">
        <f>IFERROR(AC169/AB169-1,"--")</f>
        <v>0.19402985074626855</v>
      </c>
      <c r="AD171" s="71">
        <f>IFERROR(AD169/AC169-1,"--")</f>
        <v>8.3333333333333259E-2</v>
      </c>
      <c r="AE171" s="71">
        <f>IFERROR(AE169/AD169-1,"--")</f>
        <v>7.6923076923076872E-2</v>
      </c>
      <c r="AF171" s="72" t="s">
        <v>36</v>
      </c>
      <c r="AG171" s="71">
        <f>IFERROR(AG169/AE169-1,"--")</f>
        <v>7.1428571428571397E-2</v>
      </c>
      <c r="AH171" s="71">
        <f>IFERROR(AH169/AG169-1,"--")</f>
        <v>6.6666666666666652E-2</v>
      </c>
      <c r="AI171" s="71"/>
      <c r="AJ171" s="71"/>
      <c r="AK171" s="72"/>
      <c r="AP171" s="149"/>
      <c r="AU171" s="149"/>
      <c r="AZ171" s="149"/>
      <c r="BE171" s="149"/>
      <c r="BJ171" s="149"/>
      <c r="BO171" s="149"/>
    </row>
    <row r="172" spans="1:67">
      <c r="B172" s="161" t="s">
        <v>170</v>
      </c>
      <c r="G172" s="68"/>
      <c r="J172" s="71"/>
      <c r="K172" s="71"/>
      <c r="L172" s="72"/>
      <c r="M172" s="71"/>
      <c r="N172" s="71"/>
      <c r="O172" s="71"/>
      <c r="P172" s="71"/>
      <c r="Q172" s="72"/>
      <c r="R172" s="118">
        <f>R169*R162/1000</f>
        <v>124.68300000000001</v>
      </c>
      <c r="S172" s="118">
        <f>S169*S162/1000</f>
        <v>149.517</v>
      </c>
      <c r="T172" s="118">
        <f>T169*T162/1000</f>
        <v>180.43799999999999</v>
      </c>
      <c r="U172" s="118">
        <f>U169*U162/1000</f>
        <v>217.62</v>
      </c>
      <c r="V172" s="152">
        <f>U172</f>
        <v>217.62</v>
      </c>
      <c r="W172" s="118">
        <f>W169*W162/1000</f>
        <v>261.45</v>
      </c>
      <c r="X172" s="118">
        <f>X169*X162/1000</f>
        <v>303.45499999999998</v>
      </c>
      <c r="Y172" s="118">
        <f>Y169*Y162/1000</f>
        <v>365.44200000000001</v>
      </c>
      <c r="Z172" s="118">
        <f>Z169*Z162/1000</f>
        <v>439.84800000000001</v>
      </c>
      <c r="AA172" s="152">
        <f>Z172</f>
        <v>439.84800000000001</v>
      </c>
      <c r="AB172" s="118">
        <f>AB169*AB162/1000</f>
        <v>515.56500000000005</v>
      </c>
      <c r="AC172" s="118">
        <f>AC169*AC162/1000</f>
        <v>657.6</v>
      </c>
      <c r="AD172" s="118">
        <f>AD169*AD162/1000</f>
        <v>761.8</v>
      </c>
      <c r="AE172" s="118">
        <f>AE169*AE162/1000</f>
        <v>898.8</v>
      </c>
      <c r="AF172" s="152">
        <f>AE172</f>
        <v>898.8</v>
      </c>
      <c r="AG172" s="118">
        <f>AG169*AG162/1000</f>
        <v>985.5</v>
      </c>
      <c r="AH172" s="118">
        <f>AH169*AH162/1000</f>
        <v>1080</v>
      </c>
      <c r="AI172" s="118"/>
      <c r="AJ172" s="118"/>
      <c r="AK172" s="152"/>
      <c r="AP172" s="68"/>
      <c r="AU172" s="68"/>
      <c r="AZ172" s="68"/>
      <c r="BE172" s="68"/>
      <c r="BJ172" s="68"/>
      <c r="BO172" s="68"/>
    </row>
    <row r="173" spans="1:67">
      <c r="B173" s="162" t="s">
        <v>171</v>
      </c>
      <c r="G173" s="68"/>
      <c r="J173" s="71"/>
      <c r="K173" s="71"/>
      <c r="L173" s="72"/>
      <c r="M173" s="71"/>
      <c r="N173" s="71"/>
      <c r="O173" s="71"/>
      <c r="P173" s="71"/>
      <c r="Q173" s="72"/>
      <c r="R173" s="71">
        <f>R172/SUM(R15,N15:P15)</f>
        <v>0.4005493446414804</v>
      </c>
      <c r="S173" s="71">
        <f>S172/SUM(R15:S15,O15:P15)</f>
        <v>0.39483941501750824</v>
      </c>
      <c r="T173" s="71">
        <f>T172/SUM(R15:T15,P15)</f>
        <v>0.3940227716415759</v>
      </c>
      <c r="U173" s="71">
        <f>U172/SUM(R15:U15)</f>
        <v>0.39296200392203601</v>
      </c>
      <c r="V173" s="72">
        <f>U173</f>
        <v>0.39296200392203601</v>
      </c>
      <c r="W173" s="71">
        <f>W172/SUM(W15,S15:U15)</f>
        <v>0.39268136261709474</v>
      </c>
      <c r="X173" s="71">
        <f>X172/SUM(W15:X15,T15:U15)</f>
        <v>0.38160168206294154</v>
      </c>
      <c r="Y173" s="71">
        <f>Y172/SUM(W15:Y15,U15)</f>
        <v>0.38098663572418234</v>
      </c>
      <c r="Z173" s="71">
        <f>Z172/SUM(W15:Z15)</f>
        <v>0.38567291175823282</v>
      </c>
      <c r="AA173" s="72">
        <f>Z173</f>
        <v>0.38567291175823282</v>
      </c>
      <c r="AB173" s="71">
        <f>AB172/SUM(AB15,X15:Z15)</f>
        <v>0.39026230950144314</v>
      </c>
      <c r="AC173" s="71">
        <f>AC172/SUM(AB15:AC15,Y15:Z15)</f>
        <v>0.42904174153366764</v>
      </c>
      <c r="AD173" s="71">
        <f>AD172/SUM(AB15:AD15,Z15)</f>
        <v>0.43705952684204125</v>
      </c>
      <c r="AE173" s="71">
        <f>AE172/SUM(AB15:AE15)</f>
        <v>0.46358978802681888</v>
      </c>
      <c r="AF173" s="72">
        <f>AE173</f>
        <v>0.46358978802681888</v>
      </c>
      <c r="AG173" s="71">
        <f>AG172/SUM(AG15,AC15:AE15)</f>
        <v>0.46171772110563009</v>
      </c>
      <c r="AH173" s="71">
        <f>AH172/SUM(AG15:AH15,AD15:AE15)</f>
        <v>0.46786422580167236</v>
      </c>
      <c r="AI173" s="71"/>
      <c r="AJ173" s="71"/>
      <c r="AK173" s="72"/>
      <c r="AP173" s="68"/>
      <c r="AU173" s="68"/>
      <c r="AZ173" s="68"/>
      <c r="BE173" s="68"/>
      <c r="BJ173" s="68"/>
      <c r="BO173" s="68"/>
    </row>
    <row r="174" spans="1:67">
      <c r="B174" s="154"/>
      <c r="G174" s="68"/>
      <c r="L174" s="82"/>
      <c r="Q174" s="68"/>
      <c r="V174" s="68"/>
      <c r="AA174" s="68"/>
      <c r="AF174" s="68"/>
      <c r="AK174" s="68"/>
      <c r="AO174" s="136"/>
      <c r="AP174" s="68"/>
      <c r="AU174" s="68"/>
      <c r="AZ174" s="68"/>
      <c r="BE174" s="68"/>
      <c r="BJ174" s="68"/>
      <c r="BO174" s="68"/>
    </row>
    <row r="175" spans="1:67">
      <c r="B175" s="160" t="s">
        <v>167</v>
      </c>
      <c r="C175" s="64"/>
      <c r="D175" s="64"/>
      <c r="E175" s="64"/>
      <c r="F175" s="64"/>
      <c r="G175" s="93"/>
      <c r="H175" s="64"/>
      <c r="I175" s="64"/>
      <c r="J175" s="64"/>
      <c r="K175" s="64"/>
      <c r="L175" s="93"/>
      <c r="M175" s="64"/>
      <c r="N175" s="64"/>
      <c r="O175" s="64"/>
      <c r="P175" s="64"/>
      <c r="Q175" s="93"/>
      <c r="R175" s="102">
        <v>19</v>
      </c>
      <c r="S175" s="102">
        <v>41</v>
      </c>
      <c r="T175" s="102">
        <v>68</v>
      </c>
      <c r="U175" s="102">
        <v>84</v>
      </c>
      <c r="V175" s="103">
        <f>SUM(R175:U175)</f>
        <v>212</v>
      </c>
      <c r="W175" s="102">
        <v>48</v>
      </c>
      <c r="X175" s="102">
        <v>78</v>
      </c>
      <c r="Y175" s="102">
        <v>84</v>
      </c>
      <c r="Z175" s="102">
        <v>153</v>
      </c>
      <c r="AA175" s="103">
        <f>SUM(W175:Z175)</f>
        <v>363</v>
      </c>
      <c r="AB175" s="102">
        <v>71</v>
      </c>
      <c r="AC175" s="64"/>
      <c r="AD175" s="64"/>
      <c r="AE175" s="64"/>
      <c r="AF175" s="93"/>
      <c r="AG175" s="64"/>
      <c r="AH175" s="64"/>
      <c r="AI175" s="64"/>
      <c r="AJ175" s="64"/>
      <c r="AK175" s="93"/>
      <c r="AL175" s="64"/>
      <c r="AM175" s="64"/>
      <c r="AN175" s="64"/>
      <c r="AO175" s="257"/>
      <c r="AP175" s="93"/>
      <c r="AQ175" s="64"/>
      <c r="AR175" s="64"/>
      <c r="AS175" s="64"/>
      <c r="AT175" s="64"/>
      <c r="AU175" s="93"/>
      <c r="AV175" s="64"/>
      <c r="AW175" s="64"/>
      <c r="AX175" s="64"/>
      <c r="AY175" s="64"/>
      <c r="AZ175" s="93"/>
      <c r="BA175" s="64"/>
      <c r="BB175" s="64"/>
      <c r="BC175" s="64"/>
      <c r="BD175" s="64"/>
      <c r="BE175" s="93"/>
      <c r="BF175" s="64"/>
      <c r="BG175" s="64"/>
      <c r="BH175" s="64"/>
      <c r="BI175" s="64"/>
      <c r="BJ175" s="93"/>
      <c r="BK175" s="64"/>
      <c r="BL175" s="64"/>
      <c r="BM175" s="64"/>
      <c r="BN175" s="64"/>
      <c r="BO175" s="93"/>
    </row>
    <row r="176" spans="1:67">
      <c r="B176" s="159" t="s">
        <v>161</v>
      </c>
      <c r="G176" s="68"/>
      <c r="L176" s="82"/>
      <c r="Q176" s="68"/>
      <c r="V176" s="68"/>
      <c r="W176" s="150">
        <f t="shared" ref="W176:AB176" si="99">W175/R175-1</f>
        <v>1.5263157894736841</v>
      </c>
      <c r="X176" s="150">
        <f t="shared" si="99"/>
        <v>0.90243902439024382</v>
      </c>
      <c r="Y176" s="150">
        <f t="shared" si="99"/>
        <v>0.23529411764705888</v>
      </c>
      <c r="Z176" s="150">
        <f t="shared" si="99"/>
        <v>0.8214285714285714</v>
      </c>
      <c r="AA176" s="134">
        <f t="shared" si="99"/>
        <v>0.71226415094339623</v>
      </c>
      <c r="AB176" s="151">
        <f t="shared" si="99"/>
        <v>0.47916666666666674</v>
      </c>
      <c r="AF176" s="68"/>
      <c r="AK176" s="68"/>
      <c r="AO176" s="136"/>
      <c r="AP176" s="68"/>
      <c r="AU176" s="68"/>
      <c r="AZ176" s="68"/>
      <c r="BE176" s="68"/>
      <c r="BJ176" s="68"/>
      <c r="BO176" s="68"/>
    </row>
    <row r="177" spans="1:67">
      <c r="B177" s="159" t="s">
        <v>162</v>
      </c>
      <c r="G177" s="68"/>
      <c r="L177" s="82"/>
      <c r="Q177" s="68"/>
      <c r="S177" s="150">
        <f>S175/R175-1</f>
        <v>1.1578947368421053</v>
      </c>
      <c r="T177" s="150">
        <f>T175/S175-1</f>
        <v>0.65853658536585358</v>
      </c>
      <c r="U177" s="150">
        <f>U175/T175-1</f>
        <v>0.23529411764705888</v>
      </c>
      <c r="V177" s="68"/>
      <c r="W177" s="150">
        <f>W175/U175-1</f>
        <v>-0.4285714285714286</v>
      </c>
      <c r="X177" s="150">
        <f>X175/W175-1</f>
        <v>0.625</v>
      </c>
      <c r="Y177" s="150">
        <f>Y175/X175-1</f>
        <v>7.6923076923076872E-2</v>
      </c>
      <c r="Z177" s="150">
        <f>Z175/Y175-1</f>
        <v>0.8214285714285714</v>
      </c>
      <c r="AA177" s="68"/>
      <c r="AB177" s="150">
        <f>AB175/Z175-1</f>
        <v>-0.53594771241830064</v>
      </c>
      <c r="AF177" s="68"/>
      <c r="AK177" s="68"/>
      <c r="AN177" s="136"/>
      <c r="AO177" s="136"/>
      <c r="AP177" s="68"/>
      <c r="AU177" s="68"/>
      <c r="AZ177" s="68"/>
      <c r="BE177" s="68"/>
      <c r="BJ177" s="68"/>
      <c r="BO177" s="68"/>
    </row>
    <row r="178" spans="1:67">
      <c r="B178" s="159"/>
      <c r="G178" s="68"/>
      <c r="L178" s="82"/>
      <c r="Q178" s="68"/>
      <c r="S178" s="150"/>
      <c r="T178" s="150"/>
      <c r="U178" s="150"/>
      <c r="V178" s="68"/>
      <c r="W178" s="150"/>
      <c r="X178" s="150"/>
      <c r="Y178" s="150"/>
      <c r="Z178" s="150"/>
      <c r="AA178" s="68"/>
      <c r="AB178" s="150"/>
      <c r="AF178" s="68"/>
      <c r="AK178" s="68"/>
      <c r="AN178" s="136"/>
      <c r="AO178" s="136"/>
      <c r="AP178" s="68"/>
      <c r="AU178" s="68"/>
      <c r="AZ178" s="68"/>
      <c r="BE178" s="68"/>
      <c r="BJ178" s="68"/>
      <c r="BO178" s="68"/>
    </row>
    <row r="179" spans="1:67">
      <c r="B179" s="165" t="s">
        <v>252</v>
      </c>
      <c r="G179" s="68"/>
      <c r="L179" s="82"/>
      <c r="Q179" s="68"/>
      <c r="S179" s="150"/>
      <c r="T179" s="150"/>
      <c r="U179" s="150"/>
      <c r="V179" s="68"/>
      <c r="W179" s="150"/>
      <c r="X179" s="150"/>
      <c r="Y179" s="150"/>
      <c r="Z179" s="150"/>
      <c r="AA179" s="68"/>
      <c r="AB179" s="150"/>
      <c r="AF179" s="68"/>
      <c r="AK179" s="68"/>
      <c r="AN179" s="136"/>
      <c r="AO179" s="136"/>
      <c r="AP179" s="68"/>
      <c r="AU179" s="68"/>
      <c r="AZ179" s="68"/>
      <c r="BE179" s="68"/>
      <c r="BJ179" s="68"/>
      <c r="BO179" s="68"/>
    </row>
    <row r="180" spans="1:67">
      <c r="B180" s="154" t="s">
        <v>456</v>
      </c>
      <c r="G180" s="68"/>
      <c r="L180" s="82"/>
      <c r="Q180" s="68"/>
      <c r="S180" s="150"/>
      <c r="T180" s="150"/>
      <c r="U180" s="150"/>
      <c r="V180" s="68"/>
      <c r="W180" s="150"/>
      <c r="X180" s="150"/>
      <c r="Y180" s="150"/>
      <c r="Z180" s="150"/>
      <c r="AA180" s="68"/>
      <c r="AB180" s="150"/>
      <c r="AF180" s="68"/>
      <c r="AK180" s="68"/>
      <c r="AM180" s="977">
        <v>15000</v>
      </c>
      <c r="AN180" s="1220"/>
      <c r="AO180" s="1220"/>
      <c r="AP180" s="68"/>
      <c r="AU180" s="68"/>
      <c r="AZ180" s="68"/>
      <c r="BE180" s="68"/>
      <c r="BJ180" s="68"/>
      <c r="BO180" s="68"/>
    </row>
    <row r="181" spans="1:67">
      <c r="B181" s="158" t="s">
        <v>161</v>
      </c>
      <c r="G181" s="68"/>
      <c r="L181" s="82"/>
      <c r="Q181" s="68"/>
      <c r="S181" s="150"/>
      <c r="T181" s="150"/>
      <c r="U181" s="150"/>
      <c r="V181" s="68"/>
      <c r="W181" s="150"/>
      <c r="X181" s="150"/>
      <c r="Y181" s="150"/>
      <c r="Z181" s="150"/>
      <c r="AA181" s="68"/>
      <c r="AB181" s="150"/>
      <c r="AF181" s="68"/>
      <c r="AK181" s="68"/>
      <c r="AM181" s="89">
        <v>0.28000000000000003</v>
      </c>
      <c r="AN181" s="1220"/>
      <c r="AO181" s="1220"/>
      <c r="AP181" s="68"/>
      <c r="AU181" s="68"/>
      <c r="AZ181" s="68"/>
      <c r="BE181" s="68"/>
      <c r="BJ181" s="68"/>
      <c r="BO181" s="68"/>
    </row>
    <row r="182" spans="1:67">
      <c r="B182" s="154" t="s">
        <v>457</v>
      </c>
      <c r="G182" s="68"/>
      <c r="L182" s="82"/>
      <c r="Q182" s="68"/>
      <c r="S182" s="150"/>
      <c r="T182" s="150"/>
      <c r="U182" s="150"/>
      <c r="V182" s="68"/>
      <c r="W182" s="150"/>
      <c r="X182" s="150"/>
      <c r="Y182" s="150"/>
      <c r="Z182" s="150"/>
      <c r="AA182" s="68"/>
      <c r="AB182" s="150"/>
      <c r="AF182" s="68"/>
      <c r="AK182" s="68"/>
      <c r="AM182" s="977">
        <v>400</v>
      </c>
      <c r="AN182" s="1220"/>
      <c r="AO182" s="1220"/>
      <c r="AP182" s="68"/>
      <c r="AU182" s="68"/>
      <c r="AZ182" s="68"/>
      <c r="BE182" s="68"/>
      <c r="BJ182" s="68"/>
      <c r="BO182" s="68"/>
    </row>
    <row r="183" spans="1:67">
      <c r="B183" s="158" t="s">
        <v>458</v>
      </c>
      <c r="G183" s="68"/>
      <c r="L183" s="82"/>
      <c r="Q183" s="68"/>
      <c r="S183" s="150"/>
      <c r="T183" s="150"/>
      <c r="U183" s="150"/>
      <c r="V183" s="68"/>
      <c r="W183" s="150"/>
      <c r="X183" s="150"/>
      <c r="Y183" s="150"/>
      <c r="Z183" s="150"/>
      <c r="AA183" s="68"/>
      <c r="AB183" s="150"/>
      <c r="AF183" s="68"/>
      <c r="AG183" s="88"/>
      <c r="AK183" s="68"/>
      <c r="AM183" s="980">
        <f>AM182/AM55</f>
        <v>3.9420518379816694E-2</v>
      </c>
      <c r="AN183" s="136"/>
      <c r="AO183" s="1220"/>
      <c r="AP183" s="68"/>
      <c r="AU183" s="68"/>
      <c r="AZ183" s="68"/>
      <c r="BE183" s="68"/>
      <c r="BJ183" s="68"/>
      <c r="BO183" s="68"/>
    </row>
    <row r="184" spans="1:67">
      <c r="B184" s="154" t="s">
        <v>459</v>
      </c>
      <c r="G184" s="68"/>
      <c r="L184" s="82"/>
      <c r="Q184" s="68"/>
      <c r="S184" s="150"/>
      <c r="T184" s="150"/>
      <c r="U184" s="150"/>
      <c r="V184" s="68"/>
      <c r="W184" s="150"/>
      <c r="X184" s="150"/>
      <c r="Y184" s="150"/>
      <c r="Z184" s="150"/>
      <c r="AA184" s="68"/>
      <c r="AB184" s="150"/>
      <c r="AF184" s="68"/>
      <c r="AG184" s="88"/>
      <c r="AK184" s="68"/>
      <c r="AM184" s="977">
        <v>2500</v>
      </c>
      <c r="AN184" s="1373">
        <f>AN47</f>
        <v>3200</v>
      </c>
      <c r="AO184" s="1">
        <f>AO47</f>
        <v>4000</v>
      </c>
      <c r="AP184" s="68">
        <f>AO184</f>
        <v>4000</v>
      </c>
      <c r="AQ184">
        <f>AQ47</f>
        <v>5200</v>
      </c>
      <c r="AS184">
        <v>7300</v>
      </c>
      <c r="AU184" s="68"/>
      <c r="AZ184" s="68"/>
      <c r="BE184" s="68"/>
      <c r="BJ184" s="68"/>
      <c r="BO184" s="68"/>
    </row>
    <row r="185" spans="1:67">
      <c r="B185" s="158" t="s">
        <v>458</v>
      </c>
      <c r="G185" s="68"/>
      <c r="L185" s="82"/>
      <c r="Q185" s="68"/>
      <c r="S185" s="150"/>
      <c r="T185" s="150"/>
      <c r="U185" s="150"/>
      <c r="V185" s="68"/>
      <c r="W185" s="150"/>
      <c r="X185" s="150"/>
      <c r="Y185" s="150"/>
      <c r="Z185" s="150"/>
      <c r="AA185" s="68"/>
      <c r="AB185" s="150"/>
      <c r="AF185" s="68"/>
      <c r="AG185" s="88"/>
      <c r="AK185" s="68"/>
      <c r="AM185" s="980">
        <f>AM184/AM55</f>
        <v>0.24637823987385435</v>
      </c>
      <c r="AN185" s="980">
        <f>AN184/AN55</f>
        <v>0.30505243088655865</v>
      </c>
      <c r="AO185" s="980">
        <f>AO184/AO55</f>
        <v>0.36287761952281594</v>
      </c>
      <c r="AP185" s="134">
        <f>AP184/AP55</f>
        <v>0.36287761952281594</v>
      </c>
      <c r="AQ185" s="150">
        <f>AQ184/AQ55</f>
        <v>0.45323803713065458</v>
      </c>
      <c r="AR185" s="150"/>
      <c r="AS185" s="150">
        <f>AS184/AS55</f>
        <v>0.57840107756913084</v>
      </c>
      <c r="AU185" s="68"/>
      <c r="AZ185" s="68"/>
      <c r="BE185" s="68"/>
      <c r="BJ185" s="68"/>
      <c r="BO185" s="68"/>
    </row>
    <row r="186" spans="1:67">
      <c r="B186" s="154" t="s">
        <v>460</v>
      </c>
      <c r="G186" s="68"/>
      <c r="L186" s="82"/>
      <c r="Q186" s="68"/>
      <c r="S186" s="150"/>
      <c r="T186" s="150"/>
      <c r="U186" s="150"/>
      <c r="V186" s="68"/>
      <c r="W186" s="150"/>
      <c r="X186" s="150"/>
      <c r="Y186" s="150"/>
      <c r="Z186" s="150"/>
      <c r="AA186" s="68"/>
      <c r="AB186" s="150"/>
      <c r="AF186" s="68"/>
      <c r="AG186" s="88"/>
      <c r="AK186" s="68"/>
      <c r="AM186" s="979">
        <v>1600</v>
      </c>
      <c r="AN186" s="1220"/>
      <c r="AO186" s="1220"/>
      <c r="AP186" s="68"/>
      <c r="AU186" s="68"/>
      <c r="AZ186" s="68"/>
      <c r="BE186" s="68"/>
      <c r="BJ186" s="68"/>
      <c r="BO186" s="68"/>
    </row>
    <row r="187" spans="1:67">
      <c r="B187" s="158" t="s">
        <v>458</v>
      </c>
      <c r="G187" s="68"/>
      <c r="L187" s="82"/>
      <c r="Q187" s="68"/>
      <c r="S187" s="150"/>
      <c r="T187" s="150"/>
      <c r="U187" s="150"/>
      <c r="V187" s="68"/>
      <c r="W187" s="150"/>
      <c r="X187" s="150"/>
      <c r="Y187" s="150"/>
      <c r="Z187" s="150"/>
      <c r="AA187" s="68"/>
      <c r="AB187" s="150"/>
      <c r="AF187" s="68"/>
      <c r="AG187" s="88"/>
      <c r="AK187" s="68"/>
      <c r="AM187" s="980">
        <f>AM186/AM55</f>
        <v>0.15768207351926677</v>
      </c>
      <c r="AN187" s="136"/>
      <c r="AO187" s="1220"/>
      <c r="AP187" s="68"/>
      <c r="AU187" s="68"/>
      <c r="AZ187" s="68"/>
      <c r="BE187" s="68"/>
      <c r="BJ187" s="68"/>
      <c r="BO187" s="68"/>
    </row>
    <row r="188" spans="1:67">
      <c r="B188" s="154" t="s">
        <v>461</v>
      </c>
      <c r="G188" s="68"/>
      <c r="L188" s="82"/>
      <c r="Q188" s="68"/>
      <c r="S188" s="150"/>
      <c r="T188" s="150"/>
      <c r="U188" s="150"/>
      <c r="V188" s="68"/>
      <c r="W188" s="150"/>
      <c r="X188" s="150"/>
      <c r="Y188" s="150"/>
      <c r="Z188" s="150"/>
      <c r="AA188" s="68"/>
      <c r="AB188" s="150"/>
      <c r="AF188" s="68"/>
      <c r="AG188" s="88"/>
      <c r="AK188" s="68"/>
      <c r="AM188" s="978">
        <v>0.11</v>
      </c>
      <c r="AN188" s="1220"/>
      <c r="AO188" s="1220"/>
      <c r="AP188" s="68"/>
      <c r="AU188" s="68"/>
      <c r="AZ188" s="68"/>
      <c r="BE188" s="68"/>
      <c r="BJ188" s="68"/>
      <c r="BO188" s="68"/>
    </row>
    <row r="189" spans="1:67">
      <c r="B189" s="154"/>
      <c r="G189" s="68"/>
      <c r="L189" s="82"/>
      <c r="Q189" s="68"/>
      <c r="V189" s="68"/>
      <c r="AA189" s="68"/>
      <c r="AF189" s="68"/>
      <c r="AK189" s="68"/>
      <c r="AO189" s="136"/>
      <c r="AP189" s="68"/>
      <c r="AU189" s="68"/>
      <c r="AZ189" s="68"/>
      <c r="BE189" s="68"/>
      <c r="BJ189" s="68"/>
      <c r="BO189" s="68"/>
    </row>
    <row r="190" spans="1:67" s="58" customFormat="1">
      <c r="A190" s="107"/>
      <c r="B190" s="78" t="s">
        <v>416</v>
      </c>
      <c r="C190" s="368"/>
      <c r="D190" s="368"/>
      <c r="E190" s="368"/>
      <c r="F190" s="368"/>
      <c r="G190" s="369"/>
      <c r="H190" s="368"/>
      <c r="I190" s="368"/>
      <c r="J190" s="368"/>
      <c r="K190" s="368"/>
      <c r="L190" s="369"/>
      <c r="M190" s="368"/>
      <c r="N190" s="368"/>
      <c r="O190" s="368"/>
      <c r="P190" s="368"/>
      <c r="Q190" s="369"/>
      <c r="R190" s="368"/>
      <c r="S190" s="368"/>
      <c r="T190" s="368"/>
      <c r="U190" s="368"/>
      <c r="V190" s="369"/>
      <c r="W190" s="368"/>
      <c r="X190" s="368"/>
      <c r="Y190" s="368"/>
      <c r="Z190" s="368"/>
      <c r="AA190" s="369"/>
      <c r="AB190" s="368"/>
      <c r="AC190" s="368"/>
      <c r="AD190" s="368"/>
      <c r="AE190" s="368"/>
      <c r="AF190" s="369"/>
      <c r="AG190" s="368"/>
      <c r="AH190" s="368"/>
      <c r="AI190" s="368"/>
      <c r="AJ190" s="368"/>
      <c r="AK190" s="369"/>
      <c r="AL190" s="368"/>
      <c r="AM190" s="368"/>
      <c r="AN190" s="368"/>
      <c r="AO190" s="368"/>
      <c r="AP190" s="369"/>
      <c r="AQ190" s="368"/>
      <c r="AR190" s="368"/>
      <c r="AS190" s="368"/>
      <c r="AT190" s="368"/>
      <c r="AU190" s="369"/>
      <c r="AV190" s="368"/>
      <c r="AW190" s="368"/>
      <c r="AX190" s="368"/>
      <c r="AY190" s="368"/>
      <c r="AZ190" s="369"/>
      <c r="BA190" s="368"/>
      <c r="BB190" s="368"/>
      <c r="BC190" s="368"/>
      <c r="BD190" s="368"/>
      <c r="BE190" s="369"/>
      <c r="BF190" s="368"/>
      <c r="BG190" s="368"/>
      <c r="BH190" s="368"/>
      <c r="BI190" s="368"/>
      <c r="BJ190" s="369"/>
      <c r="BK190" s="368"/>
      <c r="BL190" s="368"/>
      <c r="BM190" s="368"/>
      <c r="BN190" s="368"/>
      <c r="BO190" s="369"/>
    </row>
    <row r="191" spans="1:67" s="818" customFormat="1" hidden="1" outlineLevel="1">
      <c r="A191" s="814"/>
      <c r="B191" s="815" t="s">
        <v>117</v>
      </c>
      <c r="C191" s="816"/>
      <c r="D191" s="816"/>
      <c r="E191" s="816"/>
      <c r="F191" s="816"/>
      <c r="G191" s="817"/>
      <c r="H191" s="816"/>
      <c r="I191" s="816"/>
      <c r="J191" s="816"/>
      <c r="K191" s="816"/>
      <c r="L191" s="817"/>
      <c r="M191" s="816">
        <f>'IS (GAAP)'!M43</f>
        <v>64.052000000000007</v>
      </c>
      <c r="N191" s="816">
        <f>'IS (GAAP)'!N43</f>
        <v>73.412999999999997</v>
      </c>
      <c r="O191" s="816">
        <f>'IS (GAAP)'!O43</f>
        <v>75.668000000000006</v>
      </c>
      <c r="P191" s="816">
        <f>'IS (GAAP)'!P43</f>
        <v>80.444000000000003</v>
      </c>
      <c r="Q191" s="817">
        <f>SUM(M191:P191)</f>
        <v>293.577</v>
      </c>
      <c r="R191" s="816">
        <f>'IS (GAAP)'!R43</f>
        <v>97.876999999999995</v>
      </c>
      <c r="S191" s="816">
        <f>'IS (GAAP)'!S43</f>
        <v>92.662999999999997</v>
      </c>
      <c r="T191" s="816">
        <f>'IS (GAAP)'!T43</f>
        <v>134.727</v>
      </c>
      <c r="U191" s="816">
        <f>'IS (GAAP)'!U43</f>
        <v>154.05000000000001</v>
      </c>
      <c r="V191" s="817">
        <f>SUM(R191:U191)</f>
        <v>479.31700000000001</v>
      </c>
      <c r="W191" s="816">
        <f>'IS (GAAP)'!W43</f>
        <v>166.804</v>
      </c>
      <c r="X191" s="816">
        <f>'IS (GAAP)'!X43</f>
        <v>182.90299999999999</v>
      </c>
      <c r="Y191" s="816">
        <f>'IS (GAAP)'!Y43</f>
        <v>190.971</v>
      </c>
      <c r="Z191" s="816">
        <f>'IS (GAAP)'!Z43</f>
        <v>203.28700000000001</v>
      </c>
      <c r="AA191" s="817">
        <f>SUM(W191:Z191)</f>
        <v>743.96500000000003</v>
      </c>
      <c r="AB191" s="816">
        <f>'IS (GAAP)'!AB43</f>
        <v>243.91200000000001</v>
      </c>
      <c r="AC191" s="816">
        <f>'IS (GAAP)'!AC43</f>
        <v>274.64499999999998</v>
      </c>
      <c r="AD191" s="816">
        <f>'IS (GAAP)'!AD43</f>
        <v>284.47699999999998</v>
      </c>
      <c r="AE191" s="816">
        <f>'IS (GAAP)'!AE43</f>
        <v>303.47300000000001</v>
      </c>
      <c r="AF191" s="817">
        <f>SUM(AB191:AE191)</f>
        <v>1106.5070000000001</v>
      </c>
      <c r="AG191" s="816">
        <f>'IS (GAAP)'!AG43</f>
        <v>331.55799999999999</v>
      </c>
      <c r="AH191" s="816">
        <f>'IS (GAAP)'!AH43</f>
        <v>343.28800000000001</v>
      </c>
      <c r="AI191" s="816">
        <f>'IS (GAAP)'!AI43</f>
        <v>355.07900000000001</v>
      </c>
      <c r="AJ191" s="816">
        <f>'IS (GAAP)'!AJ43</f>
        <v>361.822</v>
      </c>
      <c r="AK191" s="817">
        <f>SUM(AG191:AJ191)</f>
        <v>1391.7469999999998</v>
      </c>
      <c r="AL191" s="816">
        <f>'IS (GAAP)'!AL43</f>
        <v>400.822</v>
      </c>
      <c r="AM191" s="816">
        <f>'IS (GAAP)'!AM43</f>
        <v>400.625</v>
      </c>
      <c r="AN191" s="816">
        <f>'IS (GAAP)'!AN43</f>
        <v>437.96199999999999</v>
      </c>
      <c r="AO191" s="816">
        <f>'IS (GAAP)'!AO43</f>
        <v>432.68299999999999</v>
      </c>
      <c r="AP191" s="817">
        <f>SUM(AL191:AO191)</f>
        <v>1672.0920000000001</v>
      </c>
      <c r="AQ191" s="816">
        <f>'IS (GAAP)'!AQ43</f>
        <v>458.55399999999997</v>
      </c>
      <c r="AR191" s="816">
        <f>'IS (GAAP)'!AR43</f>
        <v>501.95699999999999</v>
      </c>
      <c r="AS191" s="816">
        <f>'IS (GAAP)'!AS43</f>
        <v>550.36400000000003</v>
      </c>
      <c r="AT191" s="816">
        <f>'IS (GAAP)'!AT43</f>
        <v>691.49717180318851</v>
      </c>
      <c r="AU191" s="817">
        <f>SUM(AQ191:AT191)</f>
        <v>2202.3721718031884</v>
      </c>
      <c r="AV191" s="816">
        <f>'IS (GAAP)'!AV43</f>
        <v>715.31949596231084</v>
      </c>
      <c r="AW191" s="816">
        <f>'IS (GAAP)'!AW43</f>
        <v>767.52508657841963</v>
      </c>
      <c r="AX191" s="816">
        <f>'IS (GAAP)'!AX43</f>
        <v>830.49270583098883</v>
      </c>
      <c r="AY191" s="816">
        <f>'IS (GAAP)'!AY43</f>
        <v>845.64053287469631</v>
      </c>
      <c r="AZ191" s="817">
        <f>SUM(AV191:AY191)</f>
        <v>3158.9778212464157</v>
      </c>
      <c r="BA191" s="816">
        <f>'IS (GAAP)'!BA43</f>
        <v>864.20520947342197</v>
      </c>
      <c r="BB191" s="816">
        <f>'IS (GAAP)'!BB43</f>
        <v>930.13867647752272</v>
      </c>
      <c r="BC191" s="816">
        <f>'IS (GAAP)'!BC43</f>
        <v>1009.9885997063607</v>
      </c>
      <c r="BD191" s="816">
        <f>'IS (GAAP)'!BD43</f>
        <v>1017.9720366920727</v>
      </c>
      <c r="BE191" s="817">
        <f>SUM(BA191:BD191)</f>
        <v>3822.3045223493782</v>
      </c>
      <c r="BF191" s="816">
        <f>'IS (GAAP)'!BF43</f>
        <v>1021.4487537234789</v>
      </c>
      <c r="BG191" s="816">
        <f>'IS (GAAP)'!BG43</f>
        <v>1097.0383741979829</v>
      </c>
      <c r="BH191" s="816">
        <f>'IS (GAAP)'!BH43</f>
        <v>1213.6785936613967</v>
      </c>
      <c r="BI191" s="816">
        <f>'IS (GAAP)'!BI43</f>
        <v>1228.1753488546399</v>
      </c>
      <c r="BJ191" s="817">
        <f>SUM(BF191:BI191)</f>
        <v>4560.3410704374983</v>
      </c>
      <c r="BK191" s="816">
        <f>'IS (GAAP)'!BK43</f>
        <v>1231.2718211693673</v>
      </c>
      <c r="BL191" s="816">
        <f>'IS (GAAP)'!BL43</f>
        <v>1305.554278996693</v>
      </c>
      <c r="BM191" s="816">
        <f>'IS (GAAP)'!BM43</f>
        <v>1455.0855269876236</v>
      </c>
      <c r="BN191" s="816">
        <f>'IS (GAAP)'!BN43</f>
        <v>1456.6892978941103</v>
      </c>
      <c r="BO191" s="817">
        <f>SUM(BK191:BN191)</f>
        <v>5448.6009250477946</v>
      </c>
    </row>
    <row r="192" spans="1:67" s="819" customFormat="1" hidden="1" outlineLevel="1">
      <c r="B192" s="820" t="s">
        <v>417</v>
      </c>
      <c r="C192" s="821"/>
      <c r="D192" s="821"/>
      <c r="E192" s="821"/>
      <c r="F192" s="821"/>
      <c r="G192" s="822"/>
      <c r="H192" s="821"/>
      <c r="I192" s="821"/>
      <c r="J192" s="821"/>
      <c r="K192" s="821"/>
      <c r="L192" s="822"/>
      <c r="M192" s="821">
        <f>SUM(I191:K191,M191)</f>
        <v>64.052000000000007</v>
      </c>
      <c r="N192" s="821">
        <f>SUM(J191:K191,M191:N191)</f>
        <v>137.465</v>
      </c>
      <c r="O192" s="821">
        <f>SUM(K191,M191:O191)</f>
        <v>213.13300000000001</v>
      </c>
      <c r="P192" s="821">
        <f>SUM(M191:P191)</f>
        <v>293.577</v>
      </c>
      <c r="Q192" s="822"/>
      <c r="R192" s="821">
        <f>SUM(N191:P191,R191)</f>
        <v>327.40200000000004</v>
      </c>
      <c r="S192" s="821">
        <f>SUM(O191:P191,R191:S191)</f>
        <v>346.65200000000004</v>
      </c>
      <c r="T192" s="821">
        <f>SUM(P191,R191:T191)</f>
        <v>405.71100000000001</v>
      </c>
      <c r="U192" s="821">
        <f>SUM(R191:U191)</f>
        <v>479.31700000000001</v>
      </c>
      <c r="V192" s="822"/>
      <c r="W192" s="821">
        <f>SUM(S191:U191,W191)</f>
        <v>548.24400000000003</v>
      </c>
      <c r="X192" s="821">
        <f>SUM(T191:U191,W191:X191)</f>
        <v>638.48400000000004</v>
      </c>
      <c r="Y192" s="821">
        <f>SUM(U191,W191:Y191)</f>
        <v>694.72800000000007</v>
      </c>
      <c r="Z192" s="821">
        <f>SUM(W191:Z191)</f>
        <v>743.96500000000003</v>
      </c>
      <c r="AA192" s="822">
        <f>Z192</f>
        <v>743.96500000000003</v>
      </c>
      <c r="AB192" s="821">
        <f>SUM(X191:Z191,AB191)</f>
        <v>821.07300000000009</v>
      </c>
      <c r="AC192" s="821">
        <f>SUM(Y191:Z191,AB191:AC191)</f>
        <v>912.81500000000005</v>
      </c>
      <c r="AD192" s="821">
        <f>SUM(Z191,AB191:AD191)</f>
        <v>1006.321</v>
      </c>
      <c r="AE192" s="821">
        <f>SUM(AB191:AE191)</f>
        <v>1106.5070000000001</v>
      </c>
      <c r="AF192" s="822">
        <f>AE192</f>
        <v>1106.5070000000001</v>
      </c>
      <c r="AG192" s="821">
        <f>SUM(AC191:AE191,AG191)</f>
        <v>1194.153</v>
      </c>
      <c r="AH192" s="821">
        <f>SUM(AD191:AE191,AG191:AH191)</f>
        <v>1262.796</v>
      </c>
      <c r="AI192" s="821">
        <f>SUM(AE191,AG191:AI191)</f>
        <v>1333.3979999999999</v>
      </c>
      <c r="AJ192" s="821">
        <f>SUM(AG191:AJ191)</f>
        <v>1391.7469999999998</v>
      </c>
      <c r="AK192" s="822">
        <f>AJ192</f>
        <v>1391.7469999999998</v>
      </c>
      <c r="AL192" s="821">
        <f>SUM(AH191:AJ191,AL191)</f>
        <v>1461.011</v>
      </c>
      <c r="AM192" s="821">
        <f>SUM(AI191:AJ191,AL191:AM191)</f>
        <v>1518.348</v>
      </c>
      <c r="AN192" s="821">
        <f>SUM(AJ191,AL191:AN191)</f>
        <v>1601.231</v>
      </c>
      <c r="AO192" s="821">
        <f>SUM(AL191:AO191)</f>
        <v>1672.0920000000001</v>
      </c>
      <c r="AP192" s="822">
        <f>AO192</f>
        <v>1672.0920000000001</v>
      </c>
      <c r="AQ192" s="821">
        <f>SUM(AM191:AO191,AQ191)</f>
        <v>1729.8240000000001</v>
      </c>
      <c r="AR192" s="821">
        <f>SUM(AN191:AO191,AQ191:AR191)</f>
        <v>1831.1559999999999</v>
      </c>
      <c r="AS192" s="821">
        <f>SUM(AO191,AQ191:AS191)</f>
        <v>1943.558</v>
      </c>
      <c r="AT192" s="821">
        <f>SUM(AQ191:AT191)</f>
        <v>2202.3721718031884</v>
      </c>
      <c r="AU192" s="822">
        <f>AT192</f>
        <v>2202.3721718031884</v>
      </c>
      <c r="AV192" s="821">
        <f>SUM(AR191:AT191,AV191)</f>
        <v>2459.1376677654989</v>
      </c>
      <c r="AW192" s="821">
        <f>SUM(AS191:AT191,AV191:AW191)</f>
        <v>2724.7057543439187</v>
      </c>
      <c r="AX192" s="821">
        <f>SUM(AT191,AV191:AX191)</f>
        <v>3004.8344601749077</v>
      </c>
      <c r="AY192" s="821">
        <f>SUM(AV191:AY191)</f>
        <v>3158.9778212464157</v>
      </c>
      <c r="AZ192" s="822">
        <f>AY192</f>
        <v>3158.9778212464157</v>
      </c>
      <c r="BA192" s="821">
        <f>SUM(AW191:AY191,BA191)</f>
        <v>3307.8635347575264</v>
      </c>
      <c r="BB192" s="821">
        <f>SUM(AX191:AY191,BA191:BB191)</f>
        <v>3470.4771246566297</v>
      </c>
      <c r="BC192" s="821">
        <f>SUM(AY191,BA191:BC191)</f>
        <v>3649.9730185320018</v>
      </c>
      <c r="BD192" s="821">
        <f>SUM(BA191:BD191)</f>
        <v>3822.3045223493782</v>
      </c>
      <c r="BE192" s="822">
        <f>BD192</f>
        <v>3822.3045223493782</v>
      </c>
      <c r="BF192" s="821">
        <f>SUM(BB191:BD191,BF191)</f>
        <v>3979.5480665994351</v>
      </c>
      <c r="BG192" s="821">
        <f>SUM(BC191:BD191,BF191:BG191)</f>
        <v>4146.4477643198952</v>
      </c>
      <c r="BH192" s="821">
        <f>SUM(BD191,BF191:BH191)</f>
        <v>4350.137758274931</v>
      </c>
      <c r="BI192" s="821">
        <f>SUM(BF191:BI191)</f>
        <v>4560.3410704374983</v>
      </c>
      <c r="BJ192" s="822">
        <f>BI192</f>
        <v>4560.3410704374983</v>
      </c>
      <c r="BK192" s="821">
        <f>SUM(BG191:BI191,BK191)</f>
        <v>4770.1641378833865</v>
      </c>
      <c r="BL192" s="821">
        <f>SUM(BH191:BI191,BK191:BL191)</f>
        <v>4978.6800426820973</v>
      </c>
      <c r="BM192" s="821">
        <f>SUM(BI191,BK191:BM191)</f>
        <v>5220.0869760083242</v>
      </c>
      <c r="BN192" s="821">
        <f>SUM(BK191:BN191)</f>
        <v>5448.6009250477946</v>
      </c>
      <c r="BO192" s="822">
        <f>BN192</f>
        <v>5448.6009250477946</v>
      </c>
    </row>
    <row r="193" spans="1:67" s="819" customFormat="1" hidden="1" outlineLevel="1">
      <c r="B193" s="820" t="s">
        <v>418</v>
      </c>
      <c r="C193" s="821"/>
      <c r="D193" s="821"/>
      <c r="E193" s="821"/>
      <c r="F193" s="821"/>
      <c r="G193" s="822"/>
      <c r="H193" s="821"/>
      <c r="I193" s="821"/>
      <c r="J193" s="821"/>
      <c r="K193" s="821"/>
      <c r="L193" s="822"/>
      <c r="M193" s="821">
        <f>M15*4</f>
        <v>171.06399999999999</v>
      </c>
      <c r="N193" s="821">
        <f>N15*4</f>
        <v>231.27199999999999</v>
      </c>
      <c r="O193" s="821">
        <f>O15*4</f>
        <v>276.85199999999998</v>
      </c>
      <c r="P193" s="821">
        <f>P15*4</f>
        <v>329.72800000000001</v>
      </c>
      <c r="Q193" s="822"/>
      <c r="R193" s="821">
        <f>R15*4</f>
        <v>407.26799999999997</v>
      </c>
      <c r="S193" s="821">
        <f>S15*4</f>
        <v>500.86399999999998</v>
      </c>
      <c r="T193" s="821">
        <f>T15*4</f>
        <v>593.89200000000005</v>
      </c>
      <c r="U193" s="821">
        <f>U15*4</f>
        <v>713.15200000000004</v>
      </c>
      <c r="V193" s="822"/>
      <c r="W193" s="821">
        <f>W15*4</f>
        <v>855.32</v>
      </c>
      <c r="X193" s="821">
        <f>X15*4</f>
        <v>1018.492</v>
      </c>
      <c r="Y193" s="821">
        <f>Y15*4</f>
        <v>1249.8320000000001</v>
      </c>
      <c r="Z193" s="821">
        <f>Z15*4</f>
        <v>1438.232</v>
      </c>
      <c r="AA193" s="822">
        <f>Z193</f>
        <v>1438.232</v>
      </c>
      <c r="AB193" s="821">
        <f>AB15*4</f>
        <v>1577.7360000000001</v>
      </c>
      <c r="AC193" s="821">
        <f>AC15*4</f>
        <v>1865.0719999999999</v>
      </c>
      <c r="AD193" s="821">
        <f>AD15*4</f>
        <v>2091.0079999999998</v>
      </c>
      <c r="AE193" s="821">
        <f>AE15*4</f>
        <v>2221.3159999999998</v>
      </c>
      <c r="AF193" s="822">
        <f>AE193</f>
        <v>2221.3159999999998</v>
      </c>
      <c r="AG193" s="821">
        <f>AG15*4</f>
        <v>2360.288</v>
      </c>
      <c r="AH193" s="821">
        <f>AH15*4</f>
        <v>2560.8359999999998</v>
      </c>
      <c r="AI193" s="821">
        <f>AI15*4</f>
        <v>2793.9119999999998</v>
      </c>
      <c r="AJ193" s="821">
        <f>AJ15*4</f>
        <v>2952.36</v>
      </c>
      <c r="AK193" s="822">
        <f>AJ193</f>
        <v>2952.36</v>
      </c>
      <c r="AL193" s="821">
        <f>AL15*4</f>
        <v>3158.348</v>
      </c>
      <c r="AM193" s="821">
        <f>AM15*4</f>
        <v>3317</v>
      </c>
      <c r="AN193" s="821">
        <f>AN15*4</f>
        <v>3601.1280000000002</v>
      </c>
      <c r="AO193" s="821">
        <f>AO15*4</f>
        <v>3773.212</v>
      </c>
      <c r="AP193" s="822">
        <f>AO193</f>
        <v>3773.212</v>
      </c>
      <c r="AQ193" s="821">
        <f>AQ15*4</f>
        <v>3987.252</v>
      </c>
      <c r="AR193" s="821">
        <f>AR15*4</f>
        <v>4361.9840000000004</v>
      </c>
      <c r="AS193" s="821">
        <f>AS15*4</f>
        <v>4633.5079999999998</v>
      </c>
      <c r="AT193" s="821">
        <f>AT15*4</f>
        <v>4795.2640240040182</v>
      </c>
      <c r="AU193" s="822">
        <f>AT193</f>
        <v>4795.2640240040182</v>
      </c>
      <c r="AV193" s="821">
        <f>AV15*4</f>
        <v>5046.558947889127</v>
      </c>
      <c r="AW193" s="821">
        <f>AW15*4</f>
        <v>5412.8342598062773</v>
      </c>
      <c r="AX193" s="821">
        <f>AX15*4</f>
        <v>5761.6820200618549</v>
      </c>
      <c r="AY193" s="821">
        <f>AY15*4</f>
        <v>5969.9673944357037</v>
      </c>
      <c r="AZ193" s="822">
        <f>AY193</f>
        <v>5969.9673944357037</v>
      </c>
      <c r="BA193" s="821">
        <f>BA15*4</f>
        <v>6284.8233249879704</v>
      </c>
      <c r="BB193" s="821">
        <f>BB15*4</f>
        <v>6763.8142996892529</v>
      </c>
      <c r="BC193" s="821">
        <f>BC15*4</f>
        <v>7218.4053344664353</v>
      </c>
      <c r="BD193" s="821">
        <f>BD15*4</f>
        <v>7398.4818758090696</v>
      </c>
      <c r="BE193" s="822">
        <f>BD193</f>
        <v>7398.4818758090696</v>
      </c>
      <c r="BF193" s="821">
        <f>BF15*4</f>
        <v>7724.8180069136615</v>
      </c>
      <c r="BG193" s="821">
        <f>BG15*4</f>
        <v>8296.5223891609676</v>
      </c>
      <c r="BH193" s="821">
        <f>BH15*4</f>
        <v>9016.3121775510735</v>
      </c>
      <c r="BI193" s="821">
        <f>BI15*4</f>
        <v>9279.464403365062</v>
      </c>
      <c r="BJ193" s="822">
        <f>BI193</f>
        <v>9279.464403365062</v>
      </c>
      <c r="BK193" s="821">
        <f>BK15*4</f>
        <v>9635.4010711813644</v>
      </c>
      <c r="BL193" s="821">
        <f>BL15*4</f>
        <v>10217.267469187402</v>
      </c>
      <c r="BM193" s="821">
        <f>BM15*4</f>
        <v>11178.394765080913</v>
      </c>
      <c r="BN193" s="821">
        <f>BN15*4</f>
        <v>11378.689706377161</v>
      </c>
      <c r="BO193" s="822">
        <f>BN193</f>
        <v>11378.689706377161</v>
      </c>
    </row>
    <row r="194" spans="1:67" s="560" customFormat="1" hidden="1" outlineLevel="1">
      <c r="B194" s="799" t="s">
        <v>419</v>
      </c>
      <c r="C194" s="801"/>
      <c r="D194" s="801"/>
      <c r="E194" s="801"/>
      <c r="F194" s="801"/>
      <c r="G194" s="802"/>
      <c r="H194" s="391"/>
      <c r="I194" s="391"/>
      <c r="J194" s="391"/>
      <c r="K194" s="391"/>
      <c r="L194" s="800"/>
      <c r="M194" s="391"/>
      <c r="N194" s="391"/>
      <c r="O194" s="391"/>
      <c r="P194" s="391"/>
      <c r="Q194" s="800"/>
      <c r="R194" s="391">
        <f>IFERROR(R192/(R193-M193),"--")</f>
        <v>1.3860984572657535</v>
      </c>
      <c r="S194" s="391">
        <f>IFERROR(S192/(S193-N193),"--")</f>
        <v>1.2858393424137218</v>
      </c>
      <c r="T194" s="391">
        <f>IFERROR(T192/(T193-O193),"--")</f>
        <v>1.2796839515518543</v>
      </c>
      <c r="U194" s="391">
        <f>IFERROR(U192/(U193-P193),"--")</f>
        <v>1.2500964989150392</v>
      </c>
      <c r="V194" s="800"/>
      <c r="W194" s="391">
        <f t="shared" ref="W194:BJ194" si="100">IFERROR(W192/(W193-R193),"--")</f>
        <v>1.2236169016096345</v>
      </c>
      <c r="X194" s="391">
        <f t="shared" si="100"/>
        <v>1.2334804145061706</v>
      </c>
      <c r="Y194" s="391">
        <f t="shared" si="100"/>
        <v>1.0591334573284141</v>
      </c>
      <c r="Z194" s="391">
        <f t="shared" si="100"/>
        <v>1.0260454018866885</v>
      </c>
      <c r="AA194" s="800">
        <f t="shared" si="100"/>
        <v>0.51727746288498655</v>
      </c>
      <c r="AB194" s="391">
        <f t="shared" si="100"/>
        <v>1.1365653584638213</v>
      </c>
      <c r="AC194" s="391">
        <f t="shared" si="100"/>
        <v>1.0782383236079285</v>
      </c>
      <c r="AD194" s="391">
        <f t="shared" si="100"/>
        <v>1.1963263336091381</v>
      </c>
      <c r="AE194" s="391">
        <f t="shared" si="100"/>
        <v>1.4130118863365875</v>
      </c>
      <c r="AF194" s="800">
        <f t="shared" si="100"/>
        <v>1.4130118863365875</v>
      </c>
      <c r="AG194" s="391">
        <f t="shared" si="100"/>
        <v>1.525972714912236</v>
      </c>
      <c r="AH194" s="391">
        <f t="shared" si="100"/>
        <v>1.8149774923681021</v>
      </c>
      <c r="AI194" s="391">
        <f t="shared" si="100"/>
        <v>1.8969845099757576</v>
      </c>
      <c r="AJ194" s="391">
        <f t="shared" si="100"/>
        <v>1.9037800734292316</v>
      </c>
      <c r="AK194" s="800">
        <f t="shared" si="100"/>
        <v>1.9037800734292316</v>
      </c>
      <c r="AL194" s="391">
        <f t="shared" si="100"/>
        <v>1.8307032052727865</v>
      </c>
      <c r="AM194" s="391">
        <f t="shared" si="100"/>
        <v>2.0079612359223655</v>
      </c>
      <c r="AN194" s="391">
        <f t="shared" si="100"/>
        <v>1.9836462607282306</v>
      </c>
      <c r="AO194" s="391">
        <f>IFERROR(AO192/(AO193-AJ193),"--")</f>
        <v>2.0370200718278086</v>
      </c>
      <c r="AP194" s="800">
        <f>IFERROR(AP192/(AP193-AK193),"--")</f>
        <v>2.0370200718278086</v>
      </c>
      <c r="AQ194" s="391">
        <f t="shared" si="100"/>
        <v>2.0868809898371827</v>
      </c>
      <c r="AR194" s="391">
        <f t="shared" si="100"/>
        <v>1.7523292222656033</v>
      </c>
      <c r="AS194" s="391">
        <f t="shared" si="100"/>
        <v>1.8825994304422797</v>
      </c>
      <c r="AT194" s="391">
        <f t="shared" si="100"/>
        <v>2.1548532952120349</v>
      </c>
      <c r="AU194" s="800">
        <f t="shared" si="100"/>
        <v>2.1548532952120349</v>
      </c>
      <c r="AV194" s="391">
        <f t="shared" si="100"/>
        <v>2.3214590187157782</v>
      </c>
      <c r="AW194" s="391">
        <f t="shared" si="100"/>
        <v>2.5928582392378292</v>
      </c>
      <c r="AX194" s="391">
        <f t="shared" si="100"/>
        <v>2.6634494384209981</v>
      </c>
      <c r="AY194" s="391">
        <f t="shared" si="100"/>
        <v>2.6891706457652709</v>
      </c>
      <c r="AZ194" s="800">
        <f t="shared" si="100"/>
        <v>2.6891706457652709</v>
      </c>
      <c r="BA194" s="391">
        <f t="shared" si="100"/>
        <v>2.6713709898588798</v>
      </c>
      <c r="BB194" s="391">
        <f t="shared" si="100"/>
        <v>2.5688589188610429</v>
      </c>
      <c r="BC194" s="391">
        <f t="shared" si="100"/>
        <v>2.5056048615682984</v>
      </c>
      <c r="BD194" s="391">
        <f t="shared" si="100"/>
        <v>2.675719827967467</v>
      </c>
      <c r="BE194" s="800">
        <f t="shared" si="100"/>
        <v>2.675719827967467</v>
      </c>
      <c r="BF194" s="391">
        <f t="shared" si="100"/>
        <v>2.763585252466088</v>
      </c>
      <c r="BG194" s="391">
        <f t="shared" si="100"/>
        <v>2.7053082010867899</v>
      </c>
      <c r="BH194" s="391">
        <f t="shared" si="100"/>
        <v>2.4195568168657022</v>
      </c>
      <c r="BI194" s="391">
        <f t="shared" si="100"/>
        <v>2.4244462687076966</v>
      </c>
      <c r="BJ194" s="800">
        <f t="shared" si="100"/>
        <v>2.4244462687076966</v>
      </c>
      <c r="BK194" s="391">
        <f>IFERROR(BK192/(BK193-BF193),"--")</f>
        <v>2.4967059674590577</v>
      </c>
      <c r="BL194" s="391">
        <f>IFERROR(BL192/(BL193-BG193),"--")</f>
        <v>2.5920566422138531</v>
      </c>
      <c r="BM194" s="391">
        <f>IFERROR(BM192/(BM193-BH193),"--")</f>
        <v>2.4143790834429817</v>
      </c>
      <c r="BN194" s="391">
        <f>IFERROR(BN192/(BN193-BI193),"--")</f>
        <v>2.5955293684912251</v>
      </c>
      <c r="BO194" s="800">
        <f>IFERROR(BO192/(BO193-BJ193),"--")</f>
        <v>2.5955293684912251</v>
      </c>
    </row>
    <row r="195" spans="1:67" s="58" customFormat="1" hidden="1" outlineLevel="1">
      <c r="B195" s="81"/>
      <c r="C195" s="368"/>
      <c r="D195" s="368"/>
      <c r="E195" s="368"/>
      <c r="F195" s="368"/>
      <c r="G195" s="369"/>
      <c r="H195" s="368"/>
      <c r="I195" s="368"/>
      <c r="J195" s="368"/>
      <c r="K195" s="368"/>
      <c r="L195" s="369"/>
      <c r="M195" s="368"/>
      <c r="N195" s="368"/>
      <c r="O195" s="368"/>
      <c r="P195" s="368"/>
      <c r="Q195" s="369"/>
      <c r="R195" s="368"/>
      <c r="S195" s="368"/>
      <c r="T195" s="368"/>
      <c r="U195" s="368"/>
      <c r="V195" s="369"/>
      <c r="W195" s="368"/>
      <c r="X195" s="368"/>
      <c r="Y195" s="368"/>
      <c r="Z195" s="368"/>
      <c r="AA195" s="369"/>
      <c r="AB195" s="368"/>
      <c r="AC195" s="368"/>
      <c r="AD195" s="368"/>
      <c r="AE195" s="368"/>
      <c r="AF195" s="369"/>
      <c r="AG195" s="368"/>
      <c r="AH195" s="368"/>
      <c r="AI195" s="368"/>
      <c r="AJ195" s="368"/>
      <c r="AK195" s="369"/>
      <c r="AL195" s="368"/>
      <c r="AM195" s="368"/>
      <c r="AN195" s="368"/>
      <c r="AO195" s="368"/>
      <c r="AP195" s="369"/>
      <c r="AQ195" s="368"/>
      <c r="AR195" s="368"/>
      <c r="AS195" s="368"/>
      <c r="AT195" s="368"/>
      <c r="AU195" s="369"/>
      <c r="AV195" s="368"/>
      <c r="AW195" s="368"/>
      <c r="AX195" s="368"/>
      <c r="AY195" s="368"/>
      <c r="AZ195" s="369"/>
      <c r="BA195" s="368"/>
      <c r="BB195" s="368"/>
      <c r="BC195" s="368"/>
      <c r="BD195" s="368"/>
      <c r="BE195" s="369"/>
      <c r="BF195" s="368"/>
      <c r="BG195" s="368"/>
      <c r="BH195" s="368"/>
      <c r="BI195" s="368"/>
      <c r="BJ195" s="369"/>
      <c r="BK195" s="368"/>
      <c r="BL195" s="368"/>
      <c r="BM195" s="368"/>
      <c r="BN195" s="368"/>
      <c r="BO195" s="369"/>
    </row>
    <row r="196" spans="1:67" s="818" customFormat="1" hidden="1" outlineLevel="1">
      <c r="A196" s="814"/>
      <c r="B196" s="815" t="s">
        <v>420</v>
      </c>
      <c r="C196" s="816"/>
      <c r="D196" s="816"/>
      <c r="E196" s="816"/>
      <c r="F196" s="816"/>
      <c r="G196" s="817"/>
      <c r="H196" s="816"/>
      <c r="I196" s="816"/>
      <c r="J196" s="816"/>
      <c r="K196" s="816"/>
      <c r="L196" s="817"/>
      <c r="M196" s="816">
        <f>'IS (Non-GAAP)'!M43</f>
        <v>58.436000000000007</v>
      </c>
      <c r="N196" s="816">
        <f>'IS (Non-GAAP)'!N43</f>
        <v>68.317999999999998</v>
      </c>
      <c r="O196" s="816">
        <f>'IS (Non-GAAP)'!O43</f>
        <v>70.839000000000013</v>
      </c>
      <c r="P196" s="816">
        <f>'IS (Non-GAAP)'!P43</f>
        <v>75.004000000000005</v>
      </c>
      <c r="Q196" s="817">
        <f>SUM(M196:P196)</f>
        <v>272.59700000000004</v>
      </c>
      <c r="R196" s="816">
        <f>'IS (Non-GAAP)'!R43</f>
        <v>91.474999999999994</v>
      </c>
      <c r="S196" s="816">
        <f>'IS (Non-GAAP)'!S43</f>
        <v>87.290999999999997</v>
      </c>
      <c r="T196" s="816">
        <f>'IS (Non-GAAP)'!T43</f>
        <v>94.39</v>
      </c>
      <c r="U196" s="816">
        <f>'IS (Non-GAAP)'!U43</f>
        <v>101.61200000000001</v>
      </c>
      <c r="V196" s="817">
        <f>SUM(R196:U196)</f>
        <v>374.76800000000003</v>
      </c>
      <c r="W196" s="816">
        <f>'IS (Non-GAAP)'!W43</f>
        <v>112.559</v>
      </c>
      <c r="X196" s="816">
        <f>'IS (Non-GAAP)'!X43</f>
        <v>125.27699999999999</v>
      </c>
      <c r="Y196" s="816">
        <f>'IS (Non-GAAP)'!Y43</f>
        <v>136.87299999999999</v>
      </c>
      <c r="Z196" s="816">
        <f>'IS (Non-GAAP)'!Z43</f>
        <v>153.49600000000001</v>
      </c>
      <c r="AA196" s="817">
        <f>SUM(W196:Z196)</f>
        <v>528.20499999999993</v>
      </c>
      <c r="AB196" s="816">
        <f>'IS (Non-GAAP)'!AB43</f>
        <v>183.74200000000002</v>
      </c>
      <c r="AC196" s="816">
        <f>'IS (Non-GAAP)'!AC43</f>
        <v>204.91699999999997</v>
      </c>
      <c r="AD196" s="816">
        <f>'IS (Non-GAAP)'!AD43</f>
        <v>209.50899999999996</v>
      </c>
      <c r="AE196" s="816">
        <f>'IS (Non-GAAP)'!AE43</f>
        <v>225.07600000000002</v>
      </c>
      <c r="AF196" s="817">
        <f>SUM(AB196:AE196)</f>
        <v>823.24399999999991</v>
      </c>
      <c r="AG196" s="816">
        <f>'IS (Non-GAAP)'!AG43</f>
        <v>244.62599999999998</v>
      </c>
      <c r="AH196" s="816">
        <f>'IS (Non-GAAP)'!AH43</f>
        <v>250.91300000000001</v>
      </c>
      <c r="AI196" s="816">
        <f>'IS (Non-GAAP)'!AI43</f>
        <v>269.09300000000002</v>
      </c>
      <c r="AJ196" s="816">
        <f>'IS (Non-GAAP)'!AJ43</f>
        <v>276.90100000000001</v>
      </c>
      <c r="AK196" s="817">
        <f>SUM(AG196:AJ196)</f>
        <v>1041.5330000000001</v>
      </c>
      <c r="AL196" s="816">
        <f>'IS (Non-GAAP)'!AL43</f>
        <v>312.57100000000003</v>
      </c>
      <c r="AM196" s="816">
        <f>'IS (Non-GAAP)'!AM43</f>
        <v>309.084</v>
      </c>
      <c r="AN196" s="816">
        <f>'IS (Non-GAAP)'!AN43</f>
        <v>340.60599999999999</v>
      </c>
      <c r="AO196" s="816">
        <f>'IS (Non-GAAP)'!AO43</f>
        <v>328.94399999999996</v>
      </c>
      <c r="AP196" s="817">
        <f>SUM(AL196:AO196)</f>
        <v>1291.2049999999999</v>
      </c>
      <c r="AQ196" s="816">
        <f>'IS (Non-GAAP)'!AQ43</f>
        <v>357.88299999999998</v>
      </c>
      <c r="AR196" s="816">
        <f>'IS (Non-GAAP)'!AR43</f>
        <v>392.10299999999995</v>
      </c>
      <c r="AS196" s="816">
        <f>'IS (Non-GAAP)'!AS43</f>
        <v>429.57100000000003</v>
      </c>
      <c r="AT196" s="816">
        <f>'IS (Non-GAAP)'!AT43</f>
        <v>435.02588579582482</v>
      </c>
      <c r="AU196" s="817">
        <f>SUM(AQ196:AT196)</f>
        <v>1614.5828857958245</v>
      </c>
      <c r="AV196" s="816">
        <f>'IS (Non-GAAP)'!AV43</f>
        <v>447.64927365363536</v>
      </c>
      <c r="AW196" s="816">
        <f>'IS (Non-GAAP)'!AW43</f>
        <v>481.05163025802773</v>
      </c>
      <c r="AX196" s="816">
        <f>'IS (Non-GAAP)'!AX43</f>
        <v>528.31270977222312</v>
      </c>
      <c r="AY196" s="816">
        <f>'IS (Non-GAAP)'!AY43</f>
        <v>535.80683612915107</v>
      </c>
      <c r="AZ196" s="817">
        <f>SUM(AV196:AY196)</f>
        <v>1992.8204498130372</v>
      </c>
      <c r="BA196" s="816">
        <f>'IS (Non-GAAP)'!BA43</f>
        <v>543.24811670372878</v>
      </c>
      <c r="BB196" s="816">
        <f>'IS (Non-GAAP)'!BB43</f>
        <v>585.39678363649557</v>
      </c>
      <c r="BC196" s="816">
        <f>'IS (Non-GAAP)'!BC43</f>
        <v>645.15319913398298</v>
      </c>
      <c r="BD196" s="816">
        <f>'IS (Non-GAAP)'!BD43</f>
        <v>647.51919082554889</v>
      </c>
      <c r="BE196" s="817">
        <f>SUM(BA196:BD196)</f>
        <v>2421.3172902997562</v>
      </c>
      <c r="BF196" s="816">
        <f>'IS (Non-GAAP)'!BF43</f>
        <v>640.74676923273751</v>
      </c>
      <c r="BG196" s="816">
        <f>'IS (Non-GAAP)'!BG43</f>
        <v>688.7810486945375</v>
      </c>
      <c r="BH196" s="816">
        <f>'IS (Non-GAAP)'!BH43</f>
        <v>773.69711700984897</v>
      </c>
      <c r="BI196" s="816">
        <f>'IS (Non-GAAP)'!BI43</f>
        <v>779.4404502624933</v>
      </c>
      <c r="BJ196" s="817">
        <f>SUM(BF196:BI196)</f>
        <v>2882.6653851996175</v>
      </c>
      <c r="BK196" s="816">
        <f>'IS (Non-GAAP)'!BK43</f>
        <v>768.11241756010213</v>
      </c>
      <c r="BL196" s="816">
        <f>'IS (Non-GAAP)'!BL43</f>
        <v>815.17213279180442</v>
      </c>
      <c r="BM196" s="816">
        <f>'IS (Non-GAAP)'!BM43</f>
        <v>923.07557888816586</v>
      </c>
      <c r="BN196" s="816">
        <f>'IS (Non-GAAP)'!BN43</f>
        <v>919.74175914107843</v>
      </c>
      <c r="BO196" s="817">
        <f>SUM(BK196:BN196)</f>
        <v>3426.1018883811512</v>
      </c>
    </row>
    <row r="197" spans="1:67" s="819" customFormat="1" hidden="1" outlineLevel="1">
      <c r="B197" s="820" t="s">
        <v>417</v>
      </c>
      <c r="C197" s="821"/>
      <c r="D197" s="821"/>
      <c r="E197" s="821"/>
      <c r="F197" s="821"/>
      <c r="G197" s="822"/>
      <c r="H197" s="821"/>
      <c r="I197" s="821"/>
      <c r="J197" s="821"/>
      <c r="K197" s="821"/>
      <c r="L197" s="822"/>
      <c r="M197" s="821">
        <f>SUM(I196:K196,M196)</f>
        <v>58.436000000000007</v>
      </c>
      <c r="N197" s="821">
        <f>SUM(J196:K196,M196:N196)</f>
        <v>126.754</v>
      </c>
      <c r="O197" s="821">
        <f>SUM(K196,M196:O196)</f>
        <v>197.59300000000002</v>
      </c>
      <c r="P197" s="821">
        <f>SUM(M196:P196)</f>
        <v>272.59700000000004</v>
      </c>
      <c r="Q197" s="822"/>
      <c r="R197" s="821">
        <f>SUM(N196:P196,R196)</f>
        <v>305.63599999999997</v>
      </c>
      <c r="S197" s="821">
        <f>SUM(O196:P196,R196:S196)</f>
        <v>324.60900000000004</v>
      </c>
      <c r="T197" s="821">
        <f>SUM(P196,R196:T196)</f>
        <v>348.15999999999997</v>
      </c>
      <c r="U197" s="821">
        <f>SUM(R196:U196)</f>
        <v>374.76800000000003</v>
      </c>
      <c r="V197" s="822"/>
      <c r="W197" s="821">
        <f>SUM(S196:U196,W196)</f>
        <v>395.85199999999998</v>
      </c>
      <c r="X197" s="821">
        <f>SUM(T196:U196,W196:X196)</f>
        <v>433.83800000000002</v>
      </c>
      <c r="Y197" s="821">
        <f>SUM(U196,W196:Y196)</f>
        <v>476.32099999999997</v>
      </c>
      <c r="Z197" s="821">
        <f>SUM(W196:Z196)</f>
        <v>528.20499999999993</v>
      </c>
      <c r="AA197" s="822">
        <f>Z197</f>
        <v>528.20499999999993</v>
      </c>
      <c r="AB197" s="821">
        <f>SUM(X196:Z196,AB196)</f>
        <v>599.38799999999992</v>
      </c>
      <c r="AC197" s="821">
        <f>SUM(Y196:Z196,AB196:AC196)</f>
        <v>679.02800000000002</v>
      </c>
      <c r="AD197" s="821">
        <f>SUM(Z196,AB196:AD196)</f>
        <v>751.66399999999999</v>
      </c>
      <c r="AE197" s="821">
        <f>SUM(AB196:AE196)</f>
        <v>823.24399999999991</v>
      </c>
      <c r="AF197" s="822">
        <f>AE197</f>
        <v>823.24399999999991</v>
      </c>
      <c r="AG197" s="821">
        <f>SUM(AC196:AE196,AG196)</f>
        <v>884.12799999999993</v>
      </c>
      <c r="AH197" s="821">
        <f>SUM(AD196:AE196,AG196:AH196)</f>
        <v>930.12400000000002</v>
      </c>
      <c r="AI197" s="821">
        <f>SUM(AE196,AG196:AI196)</f>
        <v>989.70800000000008</v>
      </c>
      <c r="AJ197" s="821">
        <f>SUM(AG196:AJ196)</f>
        <v>1041.5330000000001</v>
      </c>
      <c r="AK197" s="822">
        <f>AJ197</f>
        <v>1041.5330000000001</v>
      </c>
      <c r="AL197" s="821">
        <f>SUM(AH196:AJ196,AL196)</f>
        <v>1109.4780000000001</v>
      </c>
      <c r="AM197" s="821">
        <f>SUM(AI196:AJ196,AL196:AM196)</f>
        <v>1167.6490000000001</v>
      </c>
      <c r="AN197" s="821">
        <f>SUM(AJ196,AL196:AN196)</f>
        <v>1239.162</v>
      </c>
      <c r="AO197" s="821">
        <f>SUM(AL196:AO196)</f>
        <v>1291.2049999999999</v>
      </c>
      <c r="AP197" s="822">
        <f>AO197</f>
        <v>1291.2049999999999</v>
      </c>
      <c r="AQ197" s="821">
        <f>SUM(AM196:AO196,AQ196)</f>
        <v>1336.5170000000001</v>
      </c>
      <c r="AR197" s="821">
        <f>SUM(AN196:AO196,AQ196:AR196)</f>
        <v>1419.5360000000001</v>
      </c>
      <c r="AS197" s="821">
        <f>SUM(AO196,AQ196:AS196)</f>
        <v>1508.5009999999997</v>
      </c>
      <c r="AT197" s="821">
        <f>SUM(AQ196:AT196)</f>
        <v>1614.5828857958245</v>
      </c>
      <c r="AU197" s="822">
        <f>AT197</f>
        <v>1614.5828857958245</v>
      </c>
      <c r="AV197" s="821">
        <f>SUM(AR196:AT196,AV196)</f>
        <v>1704.3491594494601</v>
      </c>
      <c r="AW197" s="821">
        <f>SUM(AS196:AT196,AV196:AW196)</f>
        <v>1793.2977897074879</v>
      </c>
      <c r="AX197" s="821">
        <f>SUM(AT196,AV196:AX196)</f>
        <v>1892.0394994797109</v>
      </c>
      <c r="AY197" s="821">
        <f>SUM(AV196:AY196)</f>
        <v>1992.8204498130372</v>
      </c>
      <c r="AZ197" s="822">
        <f>AY197</f>
        <v>1992.8204498130372</v>
      </c>
      <c r="BA197" s="821">
        <f>SUM(AW196:AY196,BA196)</f>
        <v>2088.419292863131</v>
      </c>
      <c r="BB197" s="821">
        <f>SUM(AX196:AY196,BA196:BB196)</f>
        <v>2192.7644462415988</v>
      </c>
      <c r="BC197" s="821">
        <f>SUM(AY196,BA196:BC196)</f>
        <v>2309.6049356033582</v>
      </c>
      <c r="BD197" s="821">
        <f>SUM(BA196:BD196)</f>
        <v>2421.3172902997562</v>
      </c>
      <c r="BE197" s="822">
        <f>BD197</f>
        <v>2421.3172902997562</v>
      </c>
      <c r="BF197" s="821">
        <f>SUM(BB196:BD196,BF196)</f>
        <v>2518.8159428287645</v>
      </c>
      <c r="BG197" s="821">
        <f>SUM(BC196:BD196,BF196:BG196)</f>
        <v>2622.2002078868068</v>
      </c>
      <c r="BH197" s="821">
        <f>SUM(BD196,BF196:BH196)</f>
        <v>2750.7441257626729</v>
      </c>
      <c r="BI197" s="821">
        <f>SUM(BF196:BI196)</f>
        <v>2882.6653851996175</v>
      </c>
      <c r="BJ197" s="822">
        <f>BI197</f>
        <v>2882.6653851996175</v>
      </c>
      <c r="BK197" s="821">
        <f>SUM(BG196:BI196,BK196)</f>
        <v>3010.0310335269819</v>
      </c>
      <c r="BL197" s="821">
        <f>SUM(BH196:BI196,BK196:BL196)</f>
        <v>3136.4221176242486</v>
      </c>
      <c r="BM197" s="821">
        <f>SUM(BI196,BK196:BM196)</f>
        <v>3285.8005795025656</v>
      </c>
      <c r="BN197" s="821">
        <f>SUM(BK196:BN196)</f>
        <v>3426.1018883811512</v>
      </c>
      <c r="BO197" s="822">
        <f>BN197</f>
        <v>3426.1018883811512</v>
      </c>
    </row>
    <row r="198" spans="1:67" s="819" customFormat="1" hidden="1" outlineLevel="1">
      <c r="B198" s="820" t="s">
        <v>418</v>
      </c>
      <c r="C198" s="821"/>
      <c r="D198" s="821"/>
      <c r="E198" s="821"/>
      <c r="F198" s="821"/>
      <c r="G198" s="822"/>
      <c r="H198" s="821"/>
      <c r="I198" s="821"/>
      <c r="J198" s="821"/>
      <c r="K198" s="821"/>
      <c r="L198" s="822"/>
      <c r="M198" s="821">
        <f>M15*4</f>
        <v>171.06399999999999</v>
      </c>
      <c r="N198" s="821">
        <f>N15*4</f>
        <v>231.27199999999999</v>
      </c>
      <c r="O198" s="821">
        <f>O15*4</f>
        <v>276.85199999999998</v>
      </c>
      <c r="P198" s="821">
        <f>P15*4</f>
        <v>329.72800000000001</v>
      </c>
      <c r="Q198" s="822"/>
      <c r="R198" s="821">
        <f>R15*4</f>
        <v>407.26799999999997</v>
      </c>
      <c r="S198" s="821">
        <f>S15*4</f>
        <v>500.86399999999998</v>
      </c>
      <c r="T198" s="821">
        <f>T15*4</f>
        <v>593.89200000000005</v>
      </c>
      <c r="U198" s="821">
        <f>U15*4</f>
        <v>713.15200000000004</v>
      </c>
      <c r="V198" s="822"/>
      <c r="W198" s="821">
        <f>W15*4</f>
        <v>855.32</v>
      </c>
      <c r="X198" s="821">
        <f>X15*4</f>
        <v>1018.492</v>
      </c>
      <c r="Y198" s="821">
        <f>Y15*4</f>
        <v>1249.8320000000001</v>
      </c>
      <c r="Z198" s="821">
        <f>Z15*4</f>
        <v>1438.232</v>
      </c>
      <c r="AA198" s="822">
        <f>Z198</f>
        <v>1438.232</v>
      </c>
      <c r="AB198" s="821">
        <f>AB15*4</f>
        <v>1577.7360000000001</v>
      </c>
      <c r="AC198" s="821">
        <f>AC15*4</f>
        <v>1865.0719999999999</v>
      </c>
      <c r="AD198" s="821">
        <f>AD15*4</f>
        <v>2091.0079999999998</v>
      </c>
      <c r="AE198" s="821">
        <f>AE15*4</f>
        <v>2221.3159999999998</v>
      </c>
      <c r="AF198" s="822">
        <f>AE198</f>
        <v>2221.3159999999998</v>
      </c>
      <c r="AG198" s="821">
        <f>AG15*4</f>
        <v>2360.288</v>
      </c>
      <c r="AH198" s="821">
        <f>AH15*4</f>
        <v>2560.8359999999998</v>
      </c>
      <c r="AI198" s="821">
        <f>AI15*4</f>
        <v>2793.9119999999998</v>
      </c>
      <c r="AJ198" s="821">
        <f>AJ15*4</f>
        <v>2952.36</v>
      </c>
      <c r="AK198" s="822">
        <f>AJ198</f>
        <v>2952.36</v>
      </c>
      <c r="AL198" s="821">
        <f>AL15*4</f>
        <v>3158.348</v>
      </c>
      <c r="AM198" s="821">
        <f>AM15*4</f>
        <v>3317</v>
      </c>
      <c r="AN198" s="821">
        <f>AN15*4</f>
        <v>3601.1280000000002</v>
      </c>
      <c r="AO198" s="821">
        <f>AO15*4</f>
        <v>3773.212</v>
      </c>
      <c r="AP198" s="822">
        <f>AO198</f>
        <v>3773.212</v>
      </c>
      <c r="AQ198" s="821">
        <f>AQ15*4</f>
        <v>3987.252</v>
      </c>
      <c r="AR198" s="821">
        <f>AR15*4</f>
        <v>4361.9840000000004</v>
      </c>
      <c r="AS198" s="821">
        <f>AS15*4</f>
        <v>4633.5079999999998</v>
      </c>
      <c r="AT198" s="821">
        <f>AT15*4</f>
        <v>4795.2640240040182</v>
      </c>
      <c r="AU198" s="822">
        <f>AT198</f>
        <v>4795.2640240040182</v>
      </c>
      <c r="AV198" s="821">
        <f>AV15*4</f>
        <v>5046.558947889127</v>
      </c>
      <c r="AW198" s="821">
        <f>AW15*4</f>
        <v>5412.8342598062773</v>
      </c>
      <c r="AX198" s="821">
        <f>AX15*4</f>
        <v>5761.6820200618549</v>
      </c>
      <c r="AY198" s="821">
        <f>AY15*4</f>
        <v>5969.9673944357037</v>
      </c>
      <c r="AZ198" s="822">
        <f>AY198</f>
        <v>5969.9673944357037</v>
      </c>
      <c r="BA198" s="821">
        <f>BA15*4</f>
        <v>6284.8233249879704</v>
      </c>
      <c r="BB198" s="821">
        <f>BB15*4</f>
        <v>6763.8142996892529</v>
      </c>
      <c r="BC198" s="821">
        <f>BC15*4</f>
        <v>7218.4053344664353</v>
      </c>
      <c r="BD198" s="821">
        <f>BD15*4</f>
        <v>7398.4818758090696</v>
      </c>
      <c r="BE198" s="822">
        <f>BD198</f>
        <v>7398.4818758090696</v>
      </c>
      <c r="BF198" s="821">
        <f>BF15*4</f>
        <v>7724.8180069136615</v>
      </c>
      <c r="BG198" s="821">
        <f>BG15*4</f>
        <v>8296.5223891609676</v>
      </c>
      <c r="BH198" s="821">
        <f>BH15*4</f>
        <v>9016.3121775510735</v>
      </c>
      <c r="BI198" s="821">
        <f>BI15*4</f>
        <v>9279.464403365062</v>
      </c>
      <c r="BJ198" s="822">
        <f>BI198</f>
        <v>9279.464403365062</v>
      </c>
      <c r="BK198" s="821">
        <f>BK15*4</f>
        <v>9635.4010711813644</v>
      </c>
      <c r="BL198" s="821">
        <f>BL15*4</f>
        <v>10217.267469187402</v>
      </c>
      <c r="BM198" s="821">
        <f>BM15*4</f>
        <v>11178.394765080913</v>
      </c>
      <c r="BN198" s="821">
        <f>BN15*4</f>
        <v>11378.689706377161</v>
      </c>
      <c r="BO198" s="822">
        <f>BN198</f>
        <v>11378.689706377161</v>
      </c>
    </row>
    <row r="199" spans="1:67" s="650" customFormat="1" hidden="1" outlineLevel="1">
      <c r="B199" s="524" t="s">
        <v>421</v>
      </c>
      <c r="C199" s="391"/>
      <c r="D199" s="391"/>
      <c r="E199" s="391"/>
      <c r="F199" s="391"/>
      <c r="G199" s="800"/>
      <c r="H199" s="391"/>
      <c r="I199" s="391"/>
      <c r="J199" s="391"/>
      <c r="K199" s="391"/>
      <c r="L199" s="800"/>
      <c r="M199" s="391"/>
      <c r="N199" s="391"/>
      <c r="O199" s="391"/>
      <c r="P199" s="391"/>
      <c r="Q199" s="800"/>
      <c r="R199" s="391">
        <f>IFERROR(R197/(R198-M198),"--")</f>
        <v>1.293949298064385</v>
      </c>
      <c r="S199" s="391">
        <f>IFERROR(S197/(S198-N198),"--")</f>
        <v>1.204075046737292</v>
      </c>
      <c r="T199" s="391">
        <f>IFERROR(T197/(T198-O198),"--")</f>
        <v>1.0981579611405496</v>
      </c>
      <c r="U199" s="391">
        <f>IFERROR(U197/(U198-P198),"--")</f>
        <v>0.97742447003839095</v>
      </c>
      <c r="V199" s="800"/>
      <c r="W199" s="391">
        <f t="shared" ref="W199:BJ199" si="101">IFERROR(W197/(W198-R198),"--")</f>
        <v>0.88349566568166171</v>
      </c>
      <c r="X199" s="391">
        <f t="shared" si="101"/>
        <v>0.83812699467571317</v>
      </c>
      <c r="Y199" s="391">
        <f t="shared" si="101"/>
        <v>0.72616550294234217</v>
      </c>
      <c r="Z199" s="391">
        <f t="shared" si="101"/>
        <v>0.72847823688420588</v>
      </c>
      <c r="AA199" s="800">
        <f t="shared" si="101"/>
        <v>0.36725994137246282</v>
      </c>
      <c r="AB199" s="391">
        <f t="shared" si="101"/>
        <v>0.82969923146774138</v>
      </c>
      <c r="AC199" s="391">
        <f t="shared" si="101"/>
        <v>0.80208367785678858</v>
      </c>
      <c r="AD199" s="391">
        <f t="shared" si="101"/>
        <v>0.89358707333542597</v>
      </c>
      <c r="AE199" s="391">
        <f t="shared" si="101"/>
        <v>1.0512844088245963</v>
      </c>
      <c r="AF199" s="800">
        <f t="shared" si="101"/>
        <v>1.0512844088245963</v>
      </c>
      <c r="AG199" s="391">
        <f t="shared" si="101"/>
        <v>1.1298009589139124</v>
      </c>
      <c r="AH199" s="391">
        <f t="shared" si="101"/>
        <v>1.3368383532347177</v>
      </c>
      <c r="AI199" s="391">
        <f t="shared" si="101"/>
        <v>1.4080272697267338</v>
      </c>
      <c r="AJ199" s="391">
        <f t="shared" si="101"/>
        <v>1.424719989494476</v>
      </c>
      <c r="AK199" s="800">
        <f t="shared" si="101"/>
        <v>1.424719989494476</v>
      </c>
      <c r="AL199" s="391">
        <f t="shared" si="101"/>
        <v>1.3902187805428166</v>
      </c>
      <c r="AM199" s="391">
        <f t="shared" si="101"/>
        <v>1.5441742796536198</v>
      </c>
      <c r="AN199" s="391">
        <f t="shared" si="101"/>
        <v>1.5351058452756134</v>
      </c>
      <c r="AO199" s="391">
        <f>IFERROR(AO197/(AO198-AJ198),"--")</f>
        <v>1.5730058524557413</v>
      </c>
      <c r="AP199" s="800">
        <f>IFERROR(AP197/(AP198-AK198),"--")</f>
        <v>1.5730058524557413</v>
      </c>
      <c r="AQ199" s="391">
        <f t="shared" si="101"/>
        <v>1.612390578402324</v>
      </c>
      <c r="AR199" s="391">
        <f t="shared" si="101"/>
        <v>1.3584284544069569</v>
      </c>
      <c r="AS199" s="391">
        <f t="shared" si="101"/>
        <v>1.4611877409481007</v>
      </c>
      <c r="AT199" s="391">
        <f t="shared" si="101"/>
        <v>1.5797462828462407</v>
      </c>
      <c r="AU199" s="800">
        <f t="shared" si="101"/>
        <v>1.5797462828462407</v>
      </c>
      <c r="AV199" s="391">
        <f t="shared" si="101"/>
        <v>1.6089285195813203</v>
      </c>
      <c r="AW199" s="391">
        <f t="shared" si="101"/>
        <v>1.7065207654210224</v>
      </c>
      <c r="AX199" s="391">
        <f t="shared" si="101"/>
        <v>1.6770812532768435</v>
      </c>
      <c r="AY199" s="391">
        <f t="shared" si="101"/>
        <v>1.6964456729878166</v>
      </c>
      <c r="AZ199" s="800">
        <f t="shared" si="101"/>
        <v>1.6964456729878166</v>
      </c>
      <c r="BA199" s="391">
        <f t="shared" si="101"/>
        <v>1.6865697919503539</v>
      </c>
      <c r="BB199" s="391">
        <f t="shared" si="101"/>
        <v>1.6230916679061669</v>
      </c>
      <c r="BC199" s="391">
        <f t="shared" si="101"/>
        <v>1.5854794886339716</v>
      </c>
      <c r="BD199" s="391">
        <f t="shared" si="101"/>
        <v>1.6949896706485714</v>
      </c>
      <c r="BE199" s="800">
        <f t="shared" si="101"/>
        <v>1.6949896706485714</v>
      </c>
      <c r="BF199" s="391">
        <f t="shared" si="101"/>
        <v>1.749184198000215</v>
      </c>
      <c r="BG199" s="391">
        <f t="shared" si="101"/>
        <v>1.7108281908987721</v>
      </c>
      <c r="BH199" s="391">
        <f t="shared" si="101"/>
        <v>1.5299703298549483</v>
      </c>
      <c r="BI199" s="391">
        <f t="shared" si="101"/>
        <v>1.5325317183807852</v>
      </c>
      <c r="BJ199" s="800">
        <f t="shared" si="101"/>
        <v>1.5325317183807852</v>
      </c>
      <c r="BK199" s="391">
        <f>IFERROR(BK197/(BK198-BF198),"--")</f>
        <v>1.5754515413757635</v>
      </c>
      <c r="BL199" s="391">
        <f>IFERROR(BL197/(BL198-BG198),"--")</f>
        <v>1.6329195114122503</v>
      </c>
      <c r="BM199" s="391">
        <f>IFERROR(BM197/(BM198-BH198),"--")</f>
        <v>1.5197386993697424</v>
      </c>
      <c r="BN199" s="391">
        <f>IFERROR(BN197/(BN198-BI198),"--")</f>
        <v>1.6320791691416672</v>
      </c>
      <c r="BO199" s="800">
        <f>IFERROR(BO197/(BO198-BJ198),"--")</f>
        <v>1.6320791691416672</v>
      </c>
    </row>
    <row r="200" spans="1:67" s="58" customFormat="1" collapsed="1">
      <c r="B200" s="81"/>
      <c r="C200" s="368"/>
      <c r="D200" s="368"/>
      <c r="E200" s="368"/>
      <c r="F200" s="368"/>
      <c r="G200" s="369"/>
      <c r="H200" s="368"/>
      <c r="I200" s="368"/>
      <c r="J200" s="368"/>
      <c r="K200" s="368"/>
      <c r="L200" s="369"/>
      <c r="M200" s="803"/>
      <c r="N200" s="803"/>
      <c r="O200" s="803"/>
      <c r="P200" s="803"/>
      <c r="Q200" s="369"/>
      <c r="R200" s="803"/>
      <c r="S200" s="803"/>
      <c r="T200" s="803"/>
      <c r="U200" s="803"/>
      <c r="V200" s="369"/>
      <c r="W200" s="803"/>
      <c r="X200" s="803"/>
      <c r="Y200" s="803"/>
      <c r="Z200" s="803"/>
      <c r="AA200" s="369"/>
      <c r="AB200" s="803"/>
      <c r="AC200" s="803"/>
      <c r="AD200" s="803"/>
      <c r="AE200" s="803"/>
      <c r="AF200" s="369"/>
      <c r="AG200" s="803"/>
      <c r="AH200" s="803"/>
      <c r="AI200" s="803"/>
      <c r="AJ200" s="803"/>
      <c r="AK200" s="369"/>
      <c r="AL200" s="803"/>
      <c r="AM200" s="803"/>
      <c r="AN200" s="803"/>
      <c r="AO200" s="803"/>
      <c r="AP200" s="369"/>
      <c r="AQ200" s="803"/>
      <c r="AR200" s="803"/>
      <c r="AS200" s="803"/>
      <c r="AT200" s="803"/>
      <c r="AU200" s="369"/>
      <c r="AV200" s="803"/>
      <c r="AW200" s="803"/>
      <c r="AX200" s="803"/>
      <c r="AY200" s="803"/>
      <c r="AZ200" s="369"/>
      <c r="BA200" s="803"/>
      <c r="BB200" s="803"/>
      <c r="BC200" s="803"/>
      <c r="BD200" s="803"/>
      <c r="BE200" s="369"/>
      <c r="BF200" s="803"/>
      <c r="BG200" s="803"/>
      <c r="BH200" s="803"/>
      <c r="BI200" s="803"/>
      <c r="BJ200" s="369"/>
      <c r="BK200" s="803"/>
      <c r="BL200" s="803"/>
      <c r="BM200" s="803"/>
      <c r="BN200" s="803"/>
      <c r="BO200" s="369"/>
    </row>
    <row r="201" spans="1:67" s="58" customFormat="1">
      <c r="B201" s="81" t="s">
        <v>422</v>
      </c>
      <c r="C201" s="368"/>
      <c r="D201" s="368"/>
      <c r="E201" s="368"/>
      <c r="F201" s="368"/>
      <c r="G201" s="369"/>
      <c r="H201" s="368"/>
      <c r="I201" s="368"/>
      <c r="J201" s="368"/>
      <c r="K201" s="368"/>
      <c r="L201" s="369"/>
      <c r="M201" s="803"/>
      <c r="N201" s="803"/>
      <c r="O201" s="803"/>
      <c r="P201" s="803"/>
      <c r="Q201" s="369"/>
      <c r="R201" s="803"/>
      <c r="S201" s="803"/>
      <c r="T201" s="803"/>
      <c r="U201" s="803"/>
      <c r="V201" s="369"/>
      <c r="W201" s="803"/>
      <c r="X201" s="803"/>
      <c r="Y201" s="803"/>
      <c r="Z201" s="803"/>
      <c r="AA201" s="369"/>
      <c r="AB201" s="803"/>
      <c r="AC201" s="803"/>
      <c r="AD201" s="803"/>
      <c r="AE201" s="803"/>
      <c r="AF201" s="369"/>
      <c r="AG201" s="803"/>
      <c r="AH201" s="803"/>
      <c r="AI201" s="803"/>
      <c r="AJ201" s="803"/>
      <c r="AK201" s="369"/>
      <c r="AL201" s="803"/>
      <c r="AM201" s="803"/>
      <c r="AN201" s="803"/>
      <c r="AO201" s="803"/>
      <c r="AP201" s="369"/>
      <c r="AQ201" s="803"/>
      <c r="AR201" s="803"/>
      <c r="AS201" s="803"/>
      <c r="AT201" s="803"/>
      <c r="AU201" s="369"/>
      <c r="AV201" s="803"/>
      <c r="AW201" s="803"/>
      <c r="AX201" s="803"/>
      <c r="AY201" s="803"/>
      <c r="AZ201" s="369"/>
      <c r="BE201" s="369"/>
      <c r="BJ201" s="369"/>
      <c r="BO201" s="369"/>
    </row>
    <row r="202" spans="1:67" s="58" customFormat="1" hidden="1" outlineLevel="1">
      <c r="B202" s="79" t="s">
        <v>423</v>
      </c>
      <c r="C202" s="722"/>
      <c r="D202" s="722"/>
      <c r="E202" s="722"/>
      <c r="F202" s="722"/>
      <c r="G202" s="723"/>
      <c r="H202" s="468"/>
      <c r="I202" s="468"/>
      <c r="J202" s="468"/>
      <c r="K202" s="468"/>
      <c r="L202" s="763"/>
      <c r="M202" s="468"/>
      <c r="N202" s="468"/>
      <c r="O202" s="468"/>
      <c r="P202" s="468"/>
      <c r="Q202" s="763"/>
      <c r="R202" s="805">
        <f>'IS (Non-GAAP)'!R11</f>
        <v>1.4897608969225491</v>
      </c>
      <c r="S202" s="805">
        <f>'IS (Non-GAAP)'!S11</f>
        <v>1.2066159531977658</v>
      </c>
      <c r="T202" s="805">
        <f>'IS (Non-GAAP)'!T11</f>
        <v>1.1862707500136969</v>
      </c>
      <c r="U202" s="805">
        <f>'IS (Non-GAAP)'!U11</f>
        <v>1.1719769192172604</v>
      </c>
      <c r="V202" s="788">
        <f>'IS (Non-GAAP)'!V11</f>
        <v>1.2362737395561063</v>
      </c>
      <c r="W202" s="805">
        <f>'IS (Non-GAAP)'!W11</f>
        <v>1.1036989385654552</v>
      </c>
      <c r="X202" s="805">
        <f>'IS (Non-GAAP)'!X11</f>
        <v>1.0443726764054229</v>
      </c>
      <c r="Y202" s="805">
        <f>'IS (Non-GAAP)'!Y11</f>
        <v>1.0951799228186236</v>
      </c>
      <c r="Z202" s="805">
        <f>'IS (Non-GAAP)'!Z11</f>
        <v>1.0149318772477884</v>
      </c>
      <c r="AA202" s="788">
        <f>'IS (Non-GAAP)'!AA11</f>
        <v>1.0595035208234456</v>
      </c>
      <c r="AB202" s="805">
        <f>'IS (Non-GAAP)'!AB11</f>
        <v>0.84510776973011703</v>
      </c>
      <c r="AC202" s="805">
        <f>'IS (Non-GAAP)'!AC11</f>
        <v>0.8267878529599777</v>
      </c>
      <c r="AD202" s="805">
        <f>'IS (Non-GAAP)'!AD11</f>
        <v>0.6655493794122127</v>
      </c>
      <c r="AE202" s="805">
        <f>'IS (Non-GAAP)'!AE11</f>
        <v>0.53478870376836363</v>
      </c>
      <c r="AF202" s="788">
        <f>'IS (Non-GAAP)'!AF11</f>
        <v>0.69409764566847088</v>
      </c>
      <c r="AG202" s="805">
        <f>'IS (Non-GAAP)'!AG11</f>
        <v>0.47642475454043964</v>
      </c>
      <c r="AH202" s="805">
        <f>'IS (Non-GAAP)'!AH11</f>
        <v>0.35549665358131133</v>
      </c>
      <c r="AI202" s="805">
        <f>'IS (Non-GAAP)'!AI11</f>
        <v>0.31801812476213076</v>
      </c>
      <c r="AJ202" s="805">
        <f>'IS (Non-GAAP)'!AJ11</f>
        <v>0.31525164173225706</v>
      </c>
      <c r="AK202" s="788">
        <f>'IS (Non-GAAP)'!AK11</f>
        <v>0.35864099544019634</v>
      </c>
      <c r="AL202" s="805">
        <f>'IS (Non-GAAP)'!AL11</f>
        <v>0.32891329203542652</v>
      </c>
      <c r="AM202" s="805">
        <f>'IS (Non-GAAP)'!AM11</f>
        <v>0.28902047126337882</v>
      </c>
      <c r="AN202" s="805">
        <f>'IS (Non-GAAP)'!AN11</f>
        <v>0.2832043673630058</v>
      </c>
      <c r="AO202" s="805">
        <f>'IS (Non-GAAP)'!AO11</f>
        <v>0.27374631953829787</v>
      </c>
      <c r="AP202" s="788">
        <f>'IS (Non-GAAP)'!AP11</f>
        <v>0.29214687818124352</v>
      </c>
      <c r="AQ202" s="805">
        <f>'IS (Non-GAAP)'!AQ11</f>
        <v>0.25746673440254675</v>
      </c>
      <c r="AR202" s="805">
        <f>'IS (Non-GAAP)'!AR11</f>
        <v>0.31783919164202623</v>
      </c>
      <c r="AS202" s="805">
        <f>'IS (Non-GAAP)'!AS11</f>
        <v>0.28746069925081774</v>
      </c>
      <c r="AT202" s="805">
        <f>'IS (Non-GAAP)'!AT11</f>
        <v>0.26554623265908428</v>
      </c>
      <c r="AU202" s="788">
        <f>'IS (Non-GAAP)'!AU11</f>
        <v>0.28192151546632105</v>
      </c>
      <c r="AV202" s="805">
        <f>'IS (Non-GAAP)'!AV11</f>
        <v>0.25999782354447154</v>
      </c>
      <c r="AW202" s="805">
        <f>'IS (Non-GAAP)'!AW11</f>
        <v>0.23587225501438835</v>
      </c>
      <c r="AX202" s="805">
        <f>'IS (Non-GAAP)'!AX11</f>
        <v>0.23860431822623451</v>
      </c>
      <c r="AY202" s="805">
        <f>'IS (Non-GAAP)'!AY11</f>
        <v>0.24056963419032473</v>
      </c>
      <c r="AZ202" s="788">
        <f>'IS (Non-GAAP)'!AZ11</f>
        <v>0.24325497852106892</v>
      </c>
      <c r="BA202" s="805">
        <f>'IS (Non-GAAP)'!BA11</f>
        <v>0.24085431239746469</v>
      </c>
      <c r="BB202" s="805">
        <f>'IS (Non-GAAP)'!BB11</f>
        <v>0.2443631419011254</v>
      </c>
      <c r="BC202" s="805">
        <f>'IS (Non-GAAP)'!BC11</f>
        <v>0.24776907136082427</v>
      </c>
      <c r="BD202" s="805">
        <f>'IS (Non-GAAP)'!BD11</f>
        <v>0.23528132042250416</v>
      </c>
      <c r="BE202" s="788">
        <f>'IS (Non-GAAP)'!BE11</f>
        <v>0.24201692626421023</v>
      </c>
      <c r="BF202" s="805">
        <f>'IS (Non-GAAP)'!BF11</f>
        <v>0.22541270934321345</v>
      </c>
      <c r="BG202" s="805">
        <f>'IS (Non-GAAP)'!BG11</f>
        <v>0.22257273790012944</v>
      </c>
      <c r="BH202" s="805">
        <f>'IS (Non-GAAP)'!BH11</f>
        <v>0.24444337426496943</v>
      </c>
      <c r="BI202" s="805">
        <f>'IS (Non-GAAP)'!BI11</f>
        <v>0.24990941951159629</v>
      </c>
      <c r="BJ202" s="788">
        <f>'IS (Non-GAAP)'!BJ11</f>
        <v>0.23621648205402535</v>
      </c>
      <c r="BK202" s="805">
        <f>'IS (Non-GAAP)'!BK11</f>
        <v>0.24332907501191348</v>
      </c>
      <c r="BL202" s="805">
        <f>'IS (Non-GAAP)'!BL11</f>
        <v>0.22762325138582051</v>
      </c>
      <c r="BM202" s="805">
        <f>'IS (Non-GAAP)'!BM11</f>
        <v>0.23592475388655054</v>
      </c>
      <c r="BN202" s="805">
        <f>'IS (Non-GAAP)'!BN11</f>
        <v>0.22317055229730864</v>
      </c>
      <c r="BO202" s="788">
        <f>'IS (Non-GAAP)'!BO11</f>
        <v>0.23213885720026717</v>
      </c>
    </row>
    <row r="203" spans="1:67" s="798" customFormat="1" hidden="1" outlineLevel="1">
      <c r="B203" s="804" t="s">
        <v>424</v>
      </c>
      <c r="C203" s="579"/>
      <c r="D203" s="579"/>
      <c r="E203" s="579"/>
      <c r="F203" s="579"/>
      <c r="G203" s="788"/>
      <c r="H203" s="805"/>
      <c r="I203" s="805"/>
      <c r="J203" s="805"/>
      <c r="K203" s="805"/>
      <c r="L203" s="788"/>
      <c r="M203" s="805"/>
      <c r="N203" s="805"/>
      <c r="O203" s="805"/>
      <c r="P203" s="805"/>
      <c r="Q203" s="788"/>
      <c r="R203" s="805">
        <f>CF!R82</f>
        <v>-9.9379681110141213E-2</v>
      </c>
      <c r="S203" s="805">
        <f>CF!S82</f>
        <v>-0.33332832626084374</v>
      </c>
      <c r="T203" s="805">
        <f>CF!T82</f>
        <v>-0.23723249636646099</v>
      </c>
      <c r="U203" s="805">
        <f>CF!U82</f>
        <v>3.8411256661328726E-2</v>
      </c>
      <c r="V203" s="788">
        <f>CF!V82</f>
        <v>-0.14483091771120304</v>
      </c>
      <c r="W203" s="805">
        <f>CF!W82</f>
        <v>5.6545252802362639E-2</v>
      </c>
      <c r="X203" s="805">
        <f>CF!X82</f>
        <v>-4.390921314631268E-2</v>
      </c>
      <c r="Y203" s="805">
        <f>CF!Y82</f>
        <v>2.8309926115518313E-2</v>
      </c>
      <c r="Z203" s="805">
        <f>CF!Z82</f>
        <v>0.18429075445444446</v>
      </c>
      <c r="AA203" s="788">
        <f>CF!AA82</f>
        <v>6.6582631238379902E-2</v>
      </c>
      <c r="AB203" s="805">
        <f>CF!AB82</f>
        <v>0.40816249221655831</v>
      </c>
      <c r="AC203" s="805">
        <f>CF!AC82</f>
        <v>0.10829405045369724</v>
      </c>
      <c r="AD203" s="805">
        <f>CF!AD82</f>
        <v>0.11667815621476824</v>
      </c>
      <c r="AE203" s="805">
        <f>CF!AE82</f>
        <v>0.34848356230433336</v>
      </c>
      <c r="AF203" s="788">
        <f>CF!AF82</f>
        <v>0.24035864583651029</v>
      </c>
      <c r="AG203" s="805">
        <f>CF!AG82</f>
        <v>0.45403055489184552</v>
      </c>
      <c r="AH203" s="805">
        <f>CF!AH82</f>
        <v>0.10239934245079496</v>
      </c>
      <c r="AI203" s="805">
        <f>CF!AI82</f>
        <v>0.13930231702882026</v>
      </c>
      <c r="AJ203" s="805">
        <f>CF!AJ82</f>
        <v>0.4188452547376465</v>
      </c>
      <c r="AK203" s="788">
        <f>CF!AK82</f>
        <v>0.27753645212933314</v>
      </c>
      <c r="AL203" s="805">
        <f>CF!AL82</f>
        <v>0.40007409114659059</v>
      </c>
      <c r="AM203" s="805">
        <f>CF!AM82</f>
        <v>6.7712295830105587E-2</v>
      </c>
      <c r="AN203" s="805">
        <f>CF!AN82</f>
        <v>8.3042668778274861E-2</v>
      </c>
      <c r="AO203" s="805">
        <f>CF!AO82</f>
        <v>0.42101300201668085</v>
      </c>
      <c r="AP203" s="788">
        <f>CF!AP82</f>
        <v>0.24378253229928554</v>
      </c>
      <c r="AQ203" s="805">
        <f>CF!AQ82</f>
        <v>0.17597982484929076</v>
      </c>
      <c r="AR203" s="805">
        <f>CF!AR82</f>
        <v>5.0858145504376111E-2</v>
      </c>
      <c r="AS203" s="805">
        <f>CF!AS82</f>
        <v>9.36706710890923E-2</v>
      </c>
      <c r="AT203" s="805">
        <f>CF!AT82</f>
        <v>0.6033865060108986</v>
      </c>
      <c r="AU203" s="788">
        <f>CF!AU82</f>
        <v>0.23850254515451905</v>
      </c>
      <c r="AV203" s="805">
        <f>CF!AV82</f>
        <v>0.37581662479149169</v>
      </c>
      <c r="AW203" s="805">
        <f>CF!AW82</f>
        <v>4.4574567300293709E-2</v>
      </c>
      <c r="AX203" s="805">
        <f>CF!AX82</f>
        <v>8.6692035299172771E-2</v>
      </c>
      <c r="AY203" s="805">
        <f>CF!AY82</f>
        <v>0.51221326500487097</v>
      </c>
      <c r="AZ203" s="788">
        <f>CF!AZ82</f>
        <v>0.25612541253152887</v>
      </c>
      <c r="BA203" s="805">
        <f>CF!BA82</f>
        <v>0.35555563560890596</v>
      </c>
      <c r="BB203" s="805">
        <f>CF!BB82</f>
        <v>7.6189496981347485E-2</v>
      </c>
      <c r="BC203" s="805">
        <f>CF!BC82</f>
        <v>0.11249342641122426</v>
      </c>
      <c r="BD203" s="805">
        <f>CF!BD82</f>
        <v>0.5132264561377563</v>
      </c>
      <c r="BE203" s="788">
        <f>CF!BE82</f>
        <v>0.26559013725629765</v>
      </c>
      <c r="BF203" s="805">
        <f>CF!BF82</f>
        <v>0.34429156224252233</v>
      </c>
      <c r="BG203" s="805">
        <f>CF!BG82</f>
        <v>9.0748645624305013E-2</v>
      </c>
      <c r="BH203" s="805">
        <f>CF!BH82</f>
        <v>0.14573950923708659</v>
      </c>
      <c r="BI203" s="805">
        <f>CF!BI82</f>
        <v>0.51062887442839022</v>
      </c>
      <c r="BJ203" s="788">
        <f>CF!BJ82</f>
        <v>0.2754267077027292</v>
      </c>
      <c r="BK203" s="805">
        <f>CF!BK82</f>
        <v>0.326131479409147</v>
      </c>
      <c r="BL203" s="805">
        <f>CF!BL82</f>
        <v>0.11673449814841086</v>
      </c>
      <c r="BM203" s="805">
        <f>CF!BM82</f>
        <v>0.17555261803825833</v>
      </c>
      <c r="BN203" s="805">
        <f>CF!BN82</f>
        <v>0.51259581002005927</v>
      </c>
      <c r="BO203" s="788">
        <f>CF!BO82</f>
        <v>0.28571088792102306</v>
      </c>
    </row>
    <row r="204" spans="1:67" s="798" customFormat="1" hidden="1" outlineLevel="1">
      <c r="B204" s="806" t="s">
        <v>425</v>
      </c>
      <c r="C204" s="579"/>
      <c r="D204" s="579"/>
      <c r="E204" s="579"/>
      <c r="F204" s="579"/>
      <c r="G204" s="788"/>
      <c r="H204" s="805"/>
      <c r="I204" s="805"/>
      <c r="J204" s="805"/>
      <c r="K204" s="805"/>
      <c r="L204" s="788"/>
      <c r="M204" s="805"/>
      <c r="N204" s="805"/>
      <c r="O204" s="805"/>
      <c r="P204" s="805"/>
      <c r="Q204" s="788"/>
      <c r="R204" s="810">
        <f>SUM(R202:R203)</f>
        <v>1.3903812158124078</v>
      </c>
      <c r="S204" s="810">
        <f t="shared" ref="S204:AK204" si="102">SUM(S202:S203)</f>
        <v>0.87328762693692208</v>
      </c>
      <c r="T204" s="810">
        <f t="shared" si="102"/>
        <v>0.94903825364723593</v>
      </c>
      <c r="U204" s="810">
        <f t="shared" si="102"/>
        <v>1.2103881758785893</v>
      </c>
      <c r="V204" s="811">
        <f t="shared" si="102"/>
        <v>1.0914428218449033</v>
      </c>
      <c r="W204" s="810">
        <f t="shared" si="102"/>
        <v>1.1602441913678179</v>
      </c>
      <c r="X204" s="810">
        <f t="shared" si="102"/>
        <v>1.0004634632591103</v>
      </c>
      <c r="Y204" s="810">
        <f t="shared" si="102"/>
        <v>1.1234898489341421</v>
      </c>
      <c r="Z204" s="810">
        <f t="shared" si="102"/>
        <v>1.199222631702233</v>
      </c>
      <c r="AA204" s="811">
        <f t="shared" si="102"/>
        <v>1.1260861520618255</v>
      </c>
      <c r="AB204" s="810">
        <f t="shared" si="102"/>
        <v>1.2532702619466753</v>
      </c>
      <c r="AC204" s="810">
        <f t="shared" si="102"/>
        <v>0.93508190341367492</v>
      </c>
      <c r="AD204" s="810">
        <f t="shared" si="102"/>
        <v>0.782227535626981</v>
      </c>
      <c r="AE204" s="810">
        <f t="shared" si="102"/>
        <v>0.88327226607269704</v>
      </c>
      <c r="AF204" s="811">
        <f t="shared" si="102"/>
        <v>0.93445629150498122</v>
      </c>
      <c r="AG204" s="810">
        <f t="shared" si="102"/>
        <v>0.93045530943228516</v>
      </c>
      <c r="AH204" s="810">
        <f t="shared" si="102"/>
        <v>0.45789599603210629</v>
      </c>
      <c r="AI204" s="810">
        <f t="shared" si="102"/>
        <v>0.45732044179095099</v>
      </c>
      <c r="AJ204" s="810">
        <f t="shared" si="102"/>
        <v>0.7340968964699035</v>
      </c>
      <c r="AK204" s="811">
        <f t="shared" si="102"/>
        <v>0.63617744756952943</v>
      </c>
      <c r="AL204" s="810">
        <f t="shared" ref="AL204:BJ204" si="103">SUM(AL202:AL203)</f>
        <v>0.72898738318201706</v>
      </c>
      <c r="AM204" s="810">
        <f t="shared" si="103"/>
        <v>0.35673276709348439</v>
      </c>
      <c r="AN204" s="810">
        <f t="shared" si="103"/>
        <v>0.36624703614128068</v>
      </c>
      <c r="AO204" s="810">
        <f t="shared" si="103"/>
        <v>0.69475932155497877</v>
      </c>
      <c r="AP204" s="811">
        <f t="shared" si="103"/>
        <v>0.535929410480529</v>
      </c>
      <c r="AQ204" s="810">
        <f t="shared" ref="AQ204:AS204" si="104">SUM(AQ202:AQ203)</f>
        <v>0.4334465592518375</v>
      </c>
      <c r="AR204" s="810">
        <f t="shared" si="104"/>
        <v>0.36869733714640235</v>
      </c>
      <c r="AS204" s="810">
        <f t="shared" si="104"/>
        <v>0.38113137033991007</v>
      </c>
      <c r="AT204" s="810">
        <f t="shared" si="103"/>
        <v>0.86893273866998288</v>
      </c>
      <c r="AU204" s="811">
        <f t="shared" si="103"/>
        <v>0.52042406062084012</v>
      </c>
      <c r="AV204" s="810">
        <f t="shared" si="103"/>
        <v>0.63581444833596323</v>
      </c>
      <c r="AW204" s="810">
        <f t="shared" si="103"/>
        <v>0.28044682231468204</v>
      </c>
      <c r="AX204" s="810">
        <f t="shared" si="103"/>
        <v>0.32529635352540731</v>
      </c>
      <c r="AY204" s="810">
        <f t="shared" si="103"/>
        <v>0.7527828991951957</v>
      </c>
      <c r="AZ204" s="811">
        <f t="shared" si="103"/>
        <v>0.49938039105259779</v>
      </c>
      <c r="BA204" s="810">
        <f t="shared" si="103"/>
        <v>0.5964099480063707</v>
      </c>
      <c r="BB204" s="810">
        <f t="shared" si="103"/>
        <v>0.32055263888247287</v>
      </c>
      <c r="BC204" s="810">
        <f t="shared" si="103"/>
        <v>0.36026249777204855</v>
      </c>
      <c r="BD204" s="810">
        <f t="shared" si="103"/>
        <v>0.74850777656026046</v>
      </c>
      <c r="BE204" s="811">
        <f t="shared" si="103"/>
        <v>0.50760706352050788</v>
      </c>
      <c r="BF204" s="810">
        <f t="shared" si="103"/>
        <v>0.56970427158573578</v>
      </c>
      <c r="BG204" s="810">
        <f t="shared" si="103"/>
        <v>0.31332138352443445</v>
      </c>
      <c r="BH204" s="810">
        <f t="shared" si="103"/>
        <v>0.39018288350205599</v>
      </c>
      <c r="BI204" s="810">
        <f t="shared" si="103"/>
        <v>0.76053829393998651</v>
      </c>
      <c r="BJ204" s="811">
        <f t="shared" si="103"/>
        <v>0.5116431897567546</v>
      </c>
      <c r="BK204" s="810">
        <f>SUM(BK202:BK203)</f>
        <v>0.56946055442106047</v>
      </c>
      <c r="BL204" s="810">
        <f>SUM(BL202:BL203)</f>
        <v>0.34435774953423137</v>
      </c>
      <c r="BM204" s="810">
        <f>SUM(BM202:BM203)</f>
        <v>0.41147737192480888</v>
      </c>
      <c r="BN204" s="810">
        <f>SUM(BN202:BN203)</f>
        <v>0.73576636231736792</v>
      </c>
      <c r="BO204" s="811">
        <f>SUM(BO202:BO203)</f>
        <v>0.51784974512129023</v>
      </c>
    </row>
    <row r="205" spans="1:67" s="798" customFormat="1" collapsed="1">
      <c r="B205" s="804"/>
      <c r="C205" s="579"/>
      <c r="D205" s="579"/>
      <c r="E205" s="579"/>
      <c r="F205" s="579"/>
      <c r="G205" s="788"/>
      <c r="H205" s="805"/>
      <c r="I205" s="805"/>
      <c r="J205" s="805"/>
      <c r="K205" s="805"/>
      <c r="L205" s="788"/>
      <c r="M205" s="805"/>
      <c r="N205" s="805"/>
      <c r="O205" s="805"/>
      <c r="P205" s="805"/>
      <c r="Q205" s="788"/>
      <c r="R205" s="805"/>
      <c r="S205" s="805"/>
      <c r="T205" s="805"/>
      <c r="U205" s="805"/>
      <c r="V205" s="788"/>
      <c r="W205" s="805"/>
      <c r="X205" s="805"/>
      <c r="Y205" s="805"/>
      <c r="Z205" s="805"/>
      <c r="AA205" s="788"/>
      <c r="AB205" s="805"/>
      <c r="AC205" s="805"/>
      <c r="AD205" s="805"/>
      <c r="AE205" s="805"/>
      <c r="AF205" s="788"/>
      <c r="AG205" s="805"/>
      <c r="AH205" s="805"/>
      <c r="AI205" s="805"/>
      <c r="AJ205" s="805"/>
      <c r="AK205" s="788"/>
      <c r="AL205" s="805"/>
      <c r="AM205" s="805"/>
      <c r="AN205" s="805"/>
      <c r="AO205" s="805"/>
      <c r="AP205" s="788"/>
      <c r="AQ205" s="805"/>
      <c r="AR205" s="805"/>
      <c r="AS205" s="805"/>
      <c r="AT205" s="805"/>
      <c r="AU205" s="788"/>
      <c r="AV205" s="805"/>
      <c r="AW205" s="805"/>
      <c r="AX205" s="805"/>
      <c r="AY205" s="805"/>
      <c r="AZ205" s="788"/>
      <c r="BE205" s="788"/>
      <c r="BJ205" s="788"/>
      <c r="BO205" s="788"/>
    </row>
    <row r="206" spans="1:67" s="809" customFormat="1">
      <c r="A206" s="107"/>
      <c r="B206" s="812" t="s">
        <v>115</v>
      </c>
      <c r="C206" s="807"/>
      <c r="D206" s="807"/>
      <c r="E206" s="807"/>
      <c r="F206" s="807"/>
      <c r="G206" s="808"/>
      <c r="H206" s="807"/>
      <c r="I206" s="807"/>
      <c r="J206" s="807"/>
      <c r="K206" s="807"/>
      <c r="L206" s="808"/>
      <c r="M206" s="807"/>
      <c r="N206" s="807"/>
      <c r="O206" s="807"/>
      <c r="P206" s="807"/>
      <c r="Q206" s="808"/>
      <c r="R206" s="807"/>
      <c r="S206" s="807"/>
      <c r="T206" s="807"/>
      <c r="U206" s="807"/>
      <c r="V206" s="808"/>
      <c r="W206" s="807"/>
      <c r="X206" s="807"/>
      <c r="Y206" s="807"/>
      <c r="Z206" s="807"/>
      <c r="AA206" s="808"/>
      <c r="AB206" s="807"/>
      <c r="AC206" s="807"/>
      <c r="AD206" s="807"/>
      <c r="AE206" s="807"/>
      <c r="AF206" s="808"/>
      <c r="AG206" s="807"/>
      <c r="AH206" s="807"/>
      <c r="AI206" s="807"/>
      <c r="AJ206" s="807"/>
      <c r="AK206" s="808"/>
      <c r="AL206" s="807"/>
      <c r="AM206" s="807"/>
      <c r="AN206" s="807"/>
      <c r="AO206" s="807"/>
      <c r="AP206" s="808"/>
      <c r="AQ206" s="807"/>
      <c r="AR206" s="807"/>
      <c r="AS206" s="807"/>
      <c r="AT206" s="807"/>
      <c r="AU206" s="808"/>
      <c r="AV206" s="807"/>
      <c r="AW206" s="807"/>
      <c r="AX206" s="807"/>
      <c r="AY206" s="807"/>
      <c r="AZ206" s="808"/>
      <c r="BE206" s="808"/>
      <c r="BJ206" s="808"/>
      <c r="BO206" s="808"/>
    </row>
    <row r="207" spans="1:67">
      <c r="B207" s="164" t="s">
        <v>116</v>
      </c>
      <c r="G207" s="68"/>
      <c r="L207" s="68"/>
      <c r="Q207" s="68"/>
      <c r="V207" s="68"/>
      <c r="AA207" s="68"/>
      <c r="AF207" s="68"/>
      <c r="AK207" s="68"/>
      <c r="AP207" s="68"/>
      <c r="AU207" s="68"/>
      <c r="AZ207" s="68"/>
      <c r="BE207" s="68"/>
      <c r="BJ207" s="68"/>
      <c r="BO207" s="68"/>
    </row>
    <row r="208" spans="1:67">
      <c r="B208" s="154" t="s">
        <v>117</v>
      </c>
      <c r="G208" s="68"/>
      <c r="H208" s="95">
        <f>'IS (GAAP)'!H43</f>
        <v>23.148</v>
      </c>
      <c r="I208" s="95">
        <f>'IS (GAAP)'!I43</f>
        <v>24.056000000000001</v>
      </c>
      <c r="J208" s="95">
        <f>'IS (GAAP)'!J43</f>
        <v>32.256999999999998</v>
      </c>
      <c r="K208" s="95">
        <f>'IS (GAAP)'!K43</f>
        <v>46.180999999999997</v>
      </c>
      <c r="L208" s="94">
        <f>'IS (GAAP)'!L43</f>
        <v>125.642</v>
      </c>
      <c r="M208" s="95">
        <f>'IS (GAAP)'!M43</f>
        <v>64.052000000000007</v>
      </c>
      <c r="N208" s="95">
        <f>'IS (GAAP)'!N43</f>
        <v>73.412999999999997</v>
      </c>
      <c r="O208" s="95">
        <f>'IS (GAAP)'!O43</f>
        <v>75.668000000000006</v>
      </c>
      <c r="P208" s="95">
        <f>'IS (GAAP)'!P43</f>
        <v>80.444000000000003</v>
      </c>
      <c r="Q208" s="94">
        <f>'IS (GAAP)'!Q43</f>
        <v>293.577</v>
      </c>
      <c r="R208" s="95">
        <f>'IS (GAAP)'!R43</f>
        <v>97.876999999999995</v>
      </c>
      <c r="S208" s="95">
        <f>'IS (GAAP)'!S43</f>
        <v>92.662999999999997</v>
      </c>
      <c r="T208" s="95">
        <f>'IS (GAAP)'!T43</f>
        <v>134.727</v>
      </c>
      <c r="U208" s="95">
        <f>'IS (GAAP)'!U43</f>
        <v>154.05000000000001</v>
      </c>
      <c r="V208" s="94">
        <f>'IS (GAAP)'!V43</f>
        <v>479.31700000000001</v>
      </c>
      <c r="W208" s="95">
        <f>'IS (GAAP)'!W43</f>
        <v>166.804</v>
      </c>
      <c r="X208" s="95">
        <f>'IS (GAAP)'!X43</f>
        <v>182.90299999999999</v>
      </c>
      <c r="Y208" s="95">
        <f>'IS (GAAP)'!Y43</f>
        <v>190.971</v>
      </c>
      <c r="Z208" s="95">
        <f>'IS (GAAP)'!Z43</f>
        <v>203.28700000000001</v>
      </c>
      <c r="AA208" s="94">
        <f>'IS (GAAP)'!AA43</f>
        <v>743.96500000000003</v>
      </c>
      <c r="AB208" s="95">
        <f>'IS (GAAP)'!AB43</f>
        <v>243.91200000000001</v>
      </c>
      <c r="AC208" s="95">
        <f>'IS (GAAP)'!AC43</f>
        <v>274.64499999999998</v>
      </c>
      <c r="AD208" s="95">
        <f>'IS (GAAP)'!AD43</f>
        <v>284.47699999999998</v>
      </c>
      <c r="AE208" s="95">
        <f>'IS (GAAP)'!AE43</f>
        <v>303.47300000000001</v>
      </c>
      <c r="AF208" s="94">
        <f>'IS (GAAP)'!AF43</f>
        <v>1106.5070000000001</v>
      </c>
      <c r="AG208" s="95">
        <f>'IS (GAAP)'!AG43</f>
        <v>331.55799999999999</v>
      </c>
      <c r="AH208" s="95">
        <f>'IS (GAAP)'!AH43</f>
        <v>343.28800000000001</v>
      </c>
      <c r="AI208" s="95">
        <f>'IS (GAAP)'!AI43</f>
        <v>355.07900000000001</v>
      </c>
      <c r="AJ208" s="95">
        <f>'IS (GAAP)'!AJ43</f>
        <v>361.822</v>
      </c>
      <c r="AK208" s="94">
        <f>'IS (GAAP)'!AK43</f>
        <v>1391.7469999999998</v>
      </c>
      <c r="AL208" s="95">
        <f>'IS (GAAP)'!AL43</f>
        <v>400.822</v>
      </c>
      <c r="AM208" s="95">
        <f>'IS (GAAP)'!AM43</f>
        <v>400.625</v>
      </c>
      <c r="AN208" s="95">
        <f>'IS (GAAP)'!AN43</f>
        <v>437.96199999999999</v>
      </c>
      <c r="AO208" s="95">
        <f>'IS (GAAP)'!AO43</f>
        <v>432.68299999999999</v>
      </c>
      <c r="AP208" s="94">
        <f>'IS (GAAP)'!AP43</f>
        <v>1672.0920000000001</v>
      </c>
      <c r="AQ208" s="95">
        <f>'IS (GAAP)'!AQ43</f>
        <v>458.55399999999997</v>
      </c>
      <c r="AR208" s="95">
        <f>'IS (GAAP)'!AR43</f>
        <v>501.95699999999999</v>
      </c>
      <c r="AS208" s="95">
        <f>'IS (GAAP)'!AS43</f>
        <v>550.36400000000003</v>
      </c>
      <c r="AT208" s="95">
        <f>'IS (GAAP)'!AT43</f>
        <v>691.49717180318851</v>
      </c>
      <c r="AU208" s="94">
        <f>'IS (GAAP)'!AU43</f>
        <v>2202.3721718031884</v>
      </c>
      <c r="AV208" s="95">
        <f>'IS (GAAP)'!AV43</f>
        <v>715.31949596231084</v>
      </c>
      <c r="AW208" s="95">
        <f>'IS (GAAP)'!AW43</f>
        <v>767.52508657841963</v>
      </c>
      <c r="AX208" s="95">
        <f>'IS (GAAP)'!AX43</f>
        <v>830.49270583098883</v>
      </c>
      <c r="AY208" s="95">
        <f>'IS (GAAP)'!AY43</f>
        <v>845.64053287469631</v>
      </c>
      <c r="AZ208" s="94">
        <f>'IS (GAAP)'!AZ43</f>
        <v>3158.9778212464157</v>
      </c>
      <c r="BA208" s="95">
        <f>'IS (GAAP)'!BA43</f>
        <v>864.20520947342197</v>
      </c>
      <c r="BB208" s="95">
        <f>'IS (GAAP)'!BB43</f>
        <v>930.13867647752272</v>
      </c>
      <c r="BC208" s="95">
        <f>'IS (GAAP)'!BC43</f>
        <v>1009.9885997063607</v>
      </c>
      <c r="BD208" s="95">
        <f>'IS (GAAP)'!BD43</f>
        <v>1017.9720366920727</v>
      </c>
      <c r="BE208" s="94">
        <f>'IS (GAAP)'!BE43</f>
        <v>3822.3045223493782</v>
      </c>
      <c r="BF208" s="95">
        <f>'IS (GAAP)'!BF43</f>
        <v>1021.4487537234789</v>
      </c>
      <c r="BG208" s="95">
        <f>'IS (GAAP)'!BG43</f>
        <v>1097.0383741979829</v>
      </c>
      <c r="BH208" s="95">
        <f>'IS (GAAP)'!BH43</f>
        <v>1213.6785936613967</v>
      </c>
      <c r="BI208" s="95">
        <f>'IS (GAAP)'!BI43</f>
        <v>1228.1753488546399</v>
      </c>
      <c r="BJ208" s="94">
        <f>'IS (GAAP)'!BJ43</f>
        <v>4560.3410704374983</v>
      </c>
      <c r="BK208" s="95">
        <f>'IS (GAAP)'!BK43</f>
        <v>1231.2718211693673</v>
      </c>
      <c r="BL208" s="95">
        <f>'IS (GAAP)'!BL43</f>
        <v>1305.554278996693</v>
      </c>
      <c r="BM208" s="95">
        <f>'IS (GAAP)'!BM43</f>
        <v>1455.0855269876236</v>
      </c>
      <c r="BN208" s="95">
        <f>'IS (GAAP)'!BN43</f>
        <v>1456.6892978941103</v>
      </c>
      <c r="BO208" s="94">
        <f>'IS (GAAP)'!BO43</f>
        <v>5448.6009250477946</v>
      </c>
    </row>
    <row r="209" spans="2:67">
      <c r="B209" s="154" t="s">
        <v>118</v>
      </c>
      <c r="G209" s="68"/>
      <c r="K209" s="84">
        <f>SUM(H208:K208)</f>
        <v>125.642</v>
      </c>
      <c r="L209" s="82">
        <f>SUM(H208:K208)</f>
        <v>125.642</v>
      </c>
      <c r="M209" s="84">
        <f>SUM(M208,I208:K208)</f>
        <v>166.54599999999999</v>
      </c>
      <c r="N209" s="84">
        <f>SUM(M208:N208,J208:K208)</f>
        <v>215.90300000000002</v>
      </c>
      <c r="O209" s="84">
        <f>SUM(M208:O208,K208)</f>
        <v>259.31400000000002</v>
      </c>
      <c r="P209" s="84">
        <f>SUM(M208:P208)</f>
        <v>293.577</v>
      </c>
      <c r="Q209" s="82">
        <f>SUM(M208:P208)</f>
        <v>293.577</v>
      </c>
      <c r="R209" s="84">
        <f>SUM(R208,N208:P208)</f>
        <v>327.40199999999999</v>
      </c>
      <c r="S209" s="84">
        <f>SUM(R208:S208,O208:P208)</f>
        <v>346.65199999999999</v>
      </c>
      <c r="T209" s="84">
        <f>SUM(R208:T208,P208)</f>
        <v>405.71100000000001</v>
      </c>
      <c r="U209" s="84">
        <f>SUM(R208:U208)</f>
        <v>479.31700000000001</v>
      </c>
      <c r="V209" s="82">
        <f>SUM(R208:U208)</f>
        <v>479.31700000000001</v>
      </c>
      <c r="W209" s="84">
        <f>SUM(W208,S208:U208)</f>
        <v>548.24399999999991</v>
      </c>
      <c r="X209" s="84">
        <f>SUM(W208:X208,T208:U208)</f>
        <v>638.48399999999992</v>
      </c>
      <c r="Y209" s="84">
        <f>SUM(W208:Y208,U208)</f>
        <v>694.72800000000007</v>
      </c>
      <c r="Z209" s="84">
        <f>SUM(W208:Z208)</f>
        <v>743.96500000000003</v>
      </c>
      <c r="AA209" s="82">
        <f>SUM(W208:Z208)</f>
        <v>743.96500000000003</v>
      </c>
      <c r="AB209" s="84">
        <f>SUM(AB208,X208:Z208)</f>
        <v>821.07300000000009</v>
      </c>
      <c r="AC209" s="84">
        <f>SUM(AB208:AC208,Y208:Z208)</f>
        <v>912.81500000000005</v>
      </c>
      <c r="AD209" s="84">
        <f>SUM(AB208:AD208,Z208)</f>
        <v>1006.321</v>
      </c>
      <c r="AE209" s="84">
        <f>SUM(AB208:AE208)</f>
        <v>1106.5070000000001</v>
      </c>
      <c r="AF209" s="82">
        <f>SUM(AB208:AE208)</f>
        <v>1106.5070000000001</v>
      </c>
      <c r="AG209" s="84">
        <f>SUM(AG208,AC208:AE208)</f>
        <v>1194.153</v>
      </c>
      <c r="AH209" s="84">
        <f>SUM(AG208:AH208,AD208:AE208)</f>
        <v>1262.796</v>
      </c>
      <c r="AI209" s="84">
        <f>SUM(AG208:AI208,AE208)</f>
        <v>1333.3979999999999</v>
      </c>
      <c r="AJ209" s="84">
        <f>SUM(AG208:AJ208)</f>
        <v>1391.7469999999998</v>
      </c>
      <c r="AK209" s="82">
        <f>SUM(AG208:AJ208)</f>
        <v>1391.7469999999998</v>
      </c>
      <c r="AL209" s="84">
        <f>SUM(AL208,AH208:AJ208)</f>
        <v>1461.011</v>
      </c>
      <c r="AM209" s="84">
        <f>SUM(AL208:AM208,AI208:AJ208)</f>
        <v>1518.348</v>
      </c>
      <c r="AN209" s="84">
        <f>SUM(AL208:AN208,AJ208)</f>
        <v>1601.2310000000002</v>
      </c>
      <c r="AO209" s="84">
        <f>SUM(AL208:AO208)</f>
        <v>1672.0920000000001</v>
      </c>
      <c r="AP209" s="82">
        <f>SUM(AL208:AO208)</f>
        <v>1672.0920000000001</v>
      </c>
      <c r="AQ209" s="84">
        <f>SUM(AQ208,AM208:AO208)</f>
        <v>1729.8240000000001</v>
      </c>
      <c r="AR209" s="84">
        <f>SUM(AQ208:AR208,AN208:AO208)</f>
        <v>1831.1559999999999</v>
      </c>
      <c r="AS209" s="84">
        <f>SUM(AQ208:AS208,AO208)</f>
        <v>1943.558</v>
      </c>
      <c r="AT209" s="84">
        <f>SUM(AQ208:AT208)</f>
        <v>2202.3721718031884</v>
      </c>
      <c r="AU209" s="82">
        <f>SUM(AQ208:AT208)</f>
        <v>2202.3721718031884</v>
      </c>
      <c r="AV209" s="84">
        <f>SUM(AV208,AR208:AT208)</f>
        <v>2459.1376677654994</v>
      </c>
      <c r="AW209" s="84">
        <f>SUM(AV208:AW208,AS208:AT208)</f>
        <v>2724.7057543439191</v>
      </c>
      <c r="AX209" s="84">
        <f>SUM(AV208:AX208,AT208)</f>
        <v>3004.8344601749077</v>
      </c>
      <c r="AY209" s="84">
        <f>SUM(AV208:AY208)</f>
        <v>3158.9778212464157</v>
      </c>
      <c r="AZ209" s="82">
        <f>SUM(AV208:AY208)</f>
        <v>3158.9778212464157</v>
      </c>
      <c r="BA209" s="84">
        <f>SUM(BA208,AW208:AY208)</f>
        <v>3307.8635347575268</v>
      </c>
      <c r="BB209" s="84">
        <f>SUM(BA208:BB208,AX208:AY208)</f>
        <v>3470.4771246566302</v>
      </c>
      <c r="BC209" s="84">
        <f>SUM(BA208:BC208,AY208)</f>
        <v>3649.9730185320018</v>
      </c>
      <c r="BD209" s="84">
        <f>SUM(BA208:BD208)</f>
        <v>3822.3045223493782</v>
      </c>
      <c r="BE209" s="82">
        <f>SUM(BA208:BD208)</f>
        <v>3822.3045223493782</v>
      </c>
      <c r="BF209" s="84">
        <f>SUM(BF208,BB208:BD208)</f>
        <v>3979.5480665994351</v>
      </c>
      <c r="BG209" s="84">
        <f>SUM(BF208:BG208,BC208:BD208)</f>
        <v>4146.4477643198952</v>
      </c>
      <c r="BH209" s="84">
        <f>SUM(BF208:BH208,BD208)</f>
        <v>4350.137758274931</v>
      </c>
      <c r="BI209" s="84">
        <f>SUM(BF208:BI208)</f>
        <v>4560.3410704374983</v>
      </c>
      <c r="BJ209" s="82">
        <f>SUM(BF208:BI208)</f>
        <v>4560.3410704374983</v>
      </c>
      <c r="BK209" s="84">
        <f>SUM(BK208,BG208:BI208)</f>
        <v>4770.1641378833874</v>
      </c>
      <c r="BL209" s="84">
        <f>SUM(BK208:BL208,BH208:BI208)</f>
        <v>4978.6800426820973</v>
      </c>
      <c r="BM209" s="84">
        <f>SUM(BK208:BM208,BI208)</f>
        <v>5220.0869760083242</v>
      </c>
      <c r="BN209" s="84">
        <f>SUM(BK208:BN208)</f>
        <v>5448.6009250477946</v>
      </c>
      <c r="BO209" s="82">
        <f>SUM(BK208:BN208)</f>
        <v>5448.6009250477946</v>
      </c>
    </row>
    <row r="210" spans="2:67">
      <c r="B210" s="154" t="s">
        <v>119</v>
      </c>
      <c r="G210" s="68"/>
      <c r="L210" s="68"/>
      <c r="M210" s="101">
        <f>(M15-H15)*4</f>
        <v>118.32</v>
      </c>
      <c r="N210" s="101">
        <f>(N15-I15)*4</f>
        <v>160.572</v>
      </c>
      <c r="O210" s="101">
        <f>(O15-J15)*4</f>
        <v>163.02399999999997</v>
      </c>
      <c r="P210" s="101">
        <f>(P15-K15)*4</f>
        <v>184.268</v>
      </c>
      <c r="Q210" s="114">
        <f>P210</f>
        <v>184.268</v>
      </c>
      <c r="R210" s="101">
        <f>(R15-M15)*4</f>
        <v>236.20399999999998</v>
      </c>
      <c r="S210" s="101">
        <f>(S15-N15)*4</f>
        <v>269.59199999999998</v>
      </c>
      <c r="T210" s="101">
        <f>(T15-O15)*4</f>
        <v>317.04000000000008</v>
      </c>
      <c r="U210" s="101">
        <f>(U15-P15)*4</f>
        <v>383.42400000000004</v>
      </c>
      <c r="V210" s="114">
        <f>U210</f>
        <v>383.42400000000004</v>
      </c>
      <c r="W210" s="101">
        <f>(W15-R15)*4</f>
        <v>448.05200000000008</v>
      </c>
      <c r="X210" s="101">
        <f>(X15-S15)*4</f>
        <v>517.62799999999993</v>
      </c>
      <c r="Y210" s="101">
        <f>(Y15-T15)*4</f>
        <v>655.94</v>
      </c>
      <c r="Z210" s="101">
        <f>(Z15-U15)*4</f>
        <v>725.07999999999993</v>
      </c>
      <c r="AA210" s="114">
        <f>Z210</f>
        <v>725.07999999999993</v>
      </c>
      <c r="AB210" s="101">
        <f>(AB15-W15)*4</f>
        <v>722.41600000000005</v>
      </c>
      <c r="AC210" s="101">
        <f>(AC15-X15)*4</f>
        <v>846.57999999999993</v>
      </c>
      <c r="AD210" s="101">
        <f>(AD15-Y15)*4</f>
        <v>841.1759999999997</v>
      </c>
      <c r="AE210" s="101">
        <f>(AE15-Z15)*4</f>
        <v>783.08399999999983</v>
      </c>
      <c r="AF210" s="114">
        <f>AE210</f>
        <v>783.08399999999983</v>
      </c>
      <c r="AG210" s="101">
        <f>(AG15-AB15)*4</f>
        <v>782.55199999999991</v>
      </c>
      <c r="AH210" s="101">
        <f>(AH15-AC15)*4</f>
        <v>695.7639999999999</v>
      </c>
      <c r="AI210" s="101">
        <f>(AI15-AD15)*4</f>
        <v>702.904</v>
      </c>
      <c r="AJ210" s="101">
        <f>(AJ15-AE15)*4</f>
        <v>731.04400000000032</v>
      </c>
      <c r="AK210" s="114">
        <f>AJ210</f>
        <v>731.04400000000032</v>
      </c>
      <c r="AL210" s="101">
        <f>(AL15-AG15)*4</f>
        <v>798.06</v>
      </c>
      <c r="AM210" s="101">
        <f>(AM15-AH15)*4</f>
        <v>756.16400000000021</v>
      </c>
      <c r="AN210" s="101">
        <f>(AN15-AI15)*4</f>
        <v>807.21600000000035</v>
      </c>
      <c r="AO210" s="101">
        <f>(AO15-AJ15)*4</f>
        <v>820.85199999999986</v>
      </c>
      <c r="AP210" s="114">
        <f>AO210</f>
        <v>820.85199999999986</v>
      </c>
      <c r="AQ210" s="101">
        <f>(AQ15-AL15)*4</f>
        <v>828.904</v>
      </c>
      <c r="AR210" s="101">
        <f>(AR15-AM15)*4</f>
        <v>1044.9840000000004</v>
      </c>
      <c r="AS210" s="101">
        <f>(AS15-AN15)*4</f>
        <v>1032.3799999999997</v>
      </c>
      <c r="AT210" s="101">
        <f>(AT15-AO15)*4</f>
        <v>1022.0520240040182</v>
      </c>
      <c r="AU210" s="114">
        <f>AT210</f>
        <v>1022.0520240040182</v>
      </c>
      <c r="AV210" s="101">
        <f>(AV15-AQ15)*4</f>
        <v>1059.3069478891271</v>
      </c>
      <c r="AW210" s="101">
        <f>(AW15-AR15)*4</f>
        <v>1050.8502598062769</v>
      </c>
      <c r="AX210" s="101">
        <f>(AX15-AS15)*4</f>
        <v>1128.1740200618551</v>
      </c>
      <c r="AY210" s="101">
        <f>(AY15-AT15)*4</f>
        <v>1174.7033704316855</v>
      </c>
      <c r="AZ210" s="114">
        <f>AY210</f>
        <v>1174.7033704316855</v>
      </c>
      <c r="BA210" s="101">
        <f>(BA15-AV15)*4</f>
        <v>1238.2643770988434</v>
      </c>
      <c r="BB210" s="101">
        <f>(BB15-AW15)*4</f>
        <v>1350.9800398829757</v>
      </c>
      <c r="BC210" s="101">
        <f>(BC15-AX15)*4</f>
        <v>1456.7233144045804</v>
      </c>
      <c r="BD210" s="101">
        <f>(BD15-AY15)*4</f>
        <v>1428.5144813733659</v>
      </c>
      <c r="BE210" s="114">
        <f>BD210</f>
        <v>1428.5144813733659</v>
      </c>
      <c r="BF210" s="101">
        <f>(BF15-BA15)*4</f>
        <v>1439.9946819256911</v>
      </c>
      <c r="BG210" s="101">
        <f>(BG15-BB15)*4</f>
        <v>1532.7080894717146</v>
      </c>
      <c r="BH210" s="101">
        <f>(BH15-BC15)*4</f>
        <v>1797.9068430846382</v>
      </c>
      <c r="BI210" s="101">
        <f>(BI15-BD15)*4</f>
        <v>1880.9825275559924</v>
      </c>
      <c r="BJ210" s="114">
        <f>BI210</f>
        <v>1880.9825275559924</v>
      </c>
      <c r="BK210" s="101">
        <f>(BK15-BF15)*4</f>
        <v>1910.5830642677029</v>
      </c>
      <c r="BL210" s="101">
        <f>(BL15-BG15)*4</f>
        <v>1920.7450800264342</v>
      </c>
      <c r="BM210" s="101">
        <f>(BM15-BH15)*4</f>
        <v>2162.0825875298397</v>
      </c>
      <c r="BN210" s="101">
        <f>(BN15-BI15)*4</f>
        <v>2099.2253030120992</v>
      </c>
      <c r="BO210" s="114">
        <f>BN210</f>
        <v>2099.2253030120992</v>
      </c>
    </row>
    <row r="211" spans="2:67">
      <c r="B211" s="165" t="s">
        <v>120</v>
      </c>
      <c r="G211" s="68"/>
      <c r="L211" s="120"/>
      <c r="M211" s="122">
        <f t="shared" ref="M211:AZ211" si="105">+M209/M210</f>
        <v>1.4075895875591615</v>
      </c>
      <c r="N211" s="121">
        <f t="shared" si="105"/>
        <v>1.3445868520040856</v>
      </c>
      <c r="O211" s="121">
        <f t="shared" si="105"/>
        <v>1.590649229561292</v>
      </c>
      <c r="P211" s="121">
        <f t="shared" si="105"/>
        <v>1.5932066338159636</v>
      </c>
      <c r="Q211" s="123">
        <f t="shared" si="105"/>
        <v>1.5932066338159636</v>
      </c>
      <c r="R211" s="122">
        <f t="shared" si="105"/>
        <v>1.3860984572657533</v>
      </c>
      <c r="S211" s="121">
        <f t="shared" si="105"/>
        <v>1.2858393424137216</v>
      </c>
      <c r="T211" s="121">
        <f t="shared" si="105"/>
        <v>1.2796839515518543</v>
      </c>
      <c r="U211" s="121">
        <f t="shared" si="105"/>
        <v>1.2500964989150392</v>
      </c>
      <c r="V211" s="123">
        <f t="shared" si="105"/>
        <v>1.2500964989150392</v>
      </c>
      <c r="W211" s="122">
        <f t="shared" si="105"/>
        <v>1.2236169016096341</v>
      </c>
      <c r="X211" s="121">
        <f t="shared" si="105"/>
        <v>1.2334804145061704</v>
      </c>
      <c r="Y211" s="121">
        <f t="shared" si="105"/>
        <v>1.0591334573284141</v>
      </c>
      <c r="Z211" s="121">
        <f t="shared" si="105"/>
        <v>1.0260454018866885</v>
      </c>
      <c r="AA211" s="123">
        <f t="shared" si="105"/>
        <v>1.0260454018866885</v>
      </c>
      <c r="AB211" s="122">
        <f t="shared" si="105"/>
        <v>1.1365653584638213</v>
      </c>
      <c r="AC211" s="121">
        <f t="shared" si="105"/>
        <v>1.0782383236079285</v>
      </c>
      <c r="AD211" s="121">
        <f t="shared" si="105"/>
        <v>1.1963263336091381</v>
      </c>
      <c r="AE211" s="121">
        <f t="shared" si="105"/>
        <v>1.4130118863365875</v>
      </c>
      <c r="AF211" s="123">
        <f t="shared" si="105"/>
        <v>1.4130118863365875</v>
      </c>
      <c r="AG211" s="122">
        <f t="shared" si="105"/>
        <v>1.525972714912236</v>
      </c>
      <c r="AH211" s="121">
        <f t="shared" si="105"/>
        <v>1.8149774923681021</v>
      </c>
      <c r="AI211" s="121">
        <f t="shared" si="105"/>
        <v>1.8969845099757576</v>
      </c>
      <c r="AJ211" s="121">
        <f t="shared" si="105"/>
        <v>1.9037800734292316</v>
      </c>
      <c r="AK211" s="123">
        <f t="shared" si="105"/>
        <v>1.9037800734292316</v>
      </c>
      <c r="AL211" s="122">
        <f t="shared" si="105"/>
        <v>1.8307032052727865</v>
      </c>
      <c r="AM211" s="121">
        <f t="shared" si="105"/>
        <v>2.0079612359223655</v>
      </c>
      <c r="AN211" s="121">
        <f t="shared" si="105"/>
        <v>1.9836462607282308</v>
      </c>
      <c r="AO211" s="121">
        <f>+AO209/AO210</f>
        <v>2.0370200718278086</v>
      </c>
      <c r="AP211" s="123">
        <f>+AP209/AP210</f>
        <v>2.0370200718278086</v>
      </c>
      <c r="AQ211" s="122">
        <f t="shared" ref="AQ211:AS211" si="106">+AQ209/AQ210</f>
        <v>2.0868809898371827</v>
      </c>
      <c r="AR211" s="121">
        <f t="shared" si="106"/>
        <v>1.7523292222656033</v>
      </c>
      <c r="AS211" s="121">
        <f t="shared" si="106"/>
        <v>1.8825994304422797</v>
      </c>
      <c r="AT211" s="121">
        <f t="shared" si="105"/>
        <v>2.1548532952120349</v>
      </c>
      <c r="AU211" s="123">
        <f t="shared" si="105"/>
        <v>2.1548532952120349</v>
      </c>
      <c r="AV211" s="122">
        <f t="shared" si="105"/>
        <v>2.3214590187157786</v>
      </c>
      <c r="AW211" s="121">
        <f t="shared" si="105"/>
        <v>2.5928582392378297</v>
      </c>
      <c r="AX211" s="121">
        <f t="shared" si="105"/>
        <v>2.6634494384209981</v>
      </c>
      <c r="AY211" s="121">
        <f t="shared" si="105"/>
        <v>2.6891706457652709</v>
      </c>
      <c r="AZ211" s="123">
        <f t="shared" si="105"/>
        <v>2.6891706457652709</v>
      </c>
      <c r="BA211" s="122">
        <f t="shared" ref="BA211:BJ211" si="107">+BA209/BA210</f>
        <v>2.6713709898588802</v>
      </c>
      <c r="BB211" s="121">
        <f t="shared" si="107"/>
        <v>2.5688589188610433</v>
      </c>
      <c r="BC211" s="121">
        <f t="shared" si="107"/>
        <v>2.5056048615682984</v>
      </c>
      <c r="BD211" s="121">
        <f t="shared" si="107"/>
        <v>2.675719827967467</v>
      </c>
      <c r="BE211" s="123">
        <f t="shared" si="107"/>
        <v>2.675719827967467</v>
      </c>
      <c r="BF211" s="122">
        <f t="shared" si="107"/>
        <v>2.763585252466088</v>
      </c>
      <c r="BG211" s="121">
        <f t="shared" si="107"/>
        <v>2.7053082010867899</v>
      </c>
      <c r="BH211" s="121">
        <f t="shared" si="107"/>
        <v>2.4195568168657022</v>
      </c>
      <c r="BI211" s="121">
        <f t="shared" si="107"/>
        <v>2.4244462687076966</v>
      </c>
      <c r="BJ211" s="123">
        <f t="shared" si="107"/>
        <v>2.4244462687076966</v>
      </c>
      <c r="BK211" s="122">
        <f>+BK209/BK210</f>
        <v>2.4967059674590586</v>
      </c>
      <c r="BL211" s="121">
        <f>+BL209/BL210</f>
        <v>2.5920566422138531</v>
      </c>
      <c r="BM211" s="121">
        <f>+BM209/BM210</f>
        <v>2.4143790834429817</v>
      </c>
      <c r="BN211" s="121">
        <f>+BN209/BN210</f>
        <v>2.5955293684912251</v>
      </c>
      <c r="BO211" s="123">
        <f>+BO209/BO210</f>
        <v>2.5955293684912251</v>
      </c>
    </row>
    <row r="212" spans="2:67">
      <c r="B212" s="166"/>
      <c r="G212" s="68"/>
      <c r="L212" s="68"/>
      <c r="Q212" s="68"/>
      <c r="V212" s="68"/>
      <c r="AA212" s="68"/>
      <c r="AF212" s="68"/>
      <c r="AK212" s="68"/>
      <c r="AP212" s="68"/>
      <c r="AU212" s="68"/>
      <c r="AZ212" s="68"/>
      <c r="BE212" s="68"/>
      <c r="BJ212" s="68"/>
      <c r="BO212" s="68"/>
    </row>
    <row r="213" spans="2:67">
      <c r="B213" s="164" t="s">
        <v>121</v>
      </c>
      <c r="G213" s="68"/>
      <c r="L213" s="68"/>
      <c r="Q213" s="68"/>
      <c r="V213" s="68"/>
      <c r="AA213" s="68"/>
      <c r="AF213" s="68"/>
      <c r="AK213" s="68"/>
      <c r="AP213" s="68"/>
      <c r="AU213" s="68"/>
      <c r="AZ213" s="68"/>
      <c r="BE213" s="68"/>
      <c r="BJ213" s="68"/>
      <c r="BO213" s="68"/>
    </row>
    <row r="214" spans="2:67">
      <c r="B214" s="227" t="s">
        <v>122</v>
      </c>
      <c r="G214" s="68"/>
      <c r="H214" s="91">
        <f>'IS (GAAP)'!H41</f>
        <v>0.44497500559576214</v>
      </c>
      <c r="I214" s="91">
        <f>'IS (GAAP)'!I41</f>
        <v>0.45629712370846137</v>
      </c>
      <c r="J214" s="91">
        <f>'IS (GAAP)'!J41</f>
        <v>0.51799163179916319</v>
      </c>
      <c r="K214" s="91">
        <f>'IS (GAAP)'!K41</f>
        <v>0.44410818474289776</v>
      </c>
      <c r="L214" s="99">
        <f>'IS (GAAP)'!L41</f>
        <v>0.46840667866674957</v>
      </c>
      <c r="M214" s="91">
        <f>'IS (GAAP)'!M41</f>
        <v>0.44999427983068296</v>
      </c>
      <c r="N214" s="91">
        <f>'IS (GAAP)'!N41</f>
        <v>0.52753608777076189</v>
      </c>
      <c r="O214" s="91">
        <f>'IS (GAAP)'!O41</f>
        <v>0.59610748917986078</v>
      </c>
      <c r="P214" s="91">
        <f>'IS (GAAP)'!P41</f>
        <v>0.60632668886557506</v>
      </c>
      <c r="Q214" s="99">
        <f>'IS (GAAP)'!Q41</f>
        <v>0.55974360523969968</v>
      </c>
      <c r="R214" s="91">
        <f>'IS (GAAP)'!R41</f>
        <v>0.60890502228553045</v>
      </c>
      <c r="S214" s="91">
        <f>'IS (GAAP)'!S41</f>
        <v>0.62111983176236429</v>
      </c>
      <c r="T214" s="91">
        <f>'IS (GAAP)'!T41</f>
        <v>0.58226206585475881</v>
      </c>
      <c r="U214" s="91">
        <f>'IS (GAAP)'!U41</f>
        <v>0.56472842779513299</v>
      </c>
      <c r="V214" s="99">
        <f>'IS (GAAP)'!V41</f>
        <v>0.59025688752113425</v>
      </c>
      <c r="W214" s="91">
        <f>'IS (GAAP)'!W41</f>
        <v>0.57474859554243074</v>
      </c>
      <c r="X214" s="91">
        <f>'IS (GAAP)'!X41</f>
        <v>0.61013306490128505</v>
      </c>
      <c r="Y214" s="91">
        <f>'IS (GAAP)'!Y41</f>
        <v>0.63884212760995218</v>
      </c>
      <c r="Z214" s="91">
        <f>'IS (GAAP)'!Z41</f>
        <v>0.65036714316238198</v>
      </c>
      <c r="AA214" s="99">
        <f>'IS (GAAP)'!AA41</f>
        <v>0.6240278448685217</v>
      </c>
      <c r="AB214" s="91">
        <f>'IS (GAAP)'!AB41</f>
        <v>0.64976288618300027</v>
      </c>
      <c r="AC214" s="146">
        <f>'IS (GAAP)'!AC41</f>
        <v>0.6516185082695154</v>
      </c>
      <c r="AD214" s="91">
        <f>'IS (GAAP)'!AD41</f>
        <v>0.65760967132711456</v>
      </c>
      <c r="AE214" s="91">
        <f>'IS (GAAP)'!AE41</f>
        <v>0.6508441254167997</v>
      </c>
      <c r="AF214" s="99">
        <f>'IS (GAAP)'!AF41</f>
        <v>0.65263385679824215</v>
      </c>
      <c r="AG214" s="91">
        <f>'IS (GAAP)'!AG41</f>
        <v>0.66418483673001405</v>
      </c>
      <c r="AH214" s="91">
        <f>'IS (GAAP)'!AH41</f>
        <v>0.67598491434946839</v>
      </c>
      <c r="AI214" s="91">
        <f>'IS (GAAP)'!AI41</f>
        <v>0.68815524406372885</v>
      </c>
      <c r="AJ214" s="91">
        <f>'IS (GAAP)'!AJ41</f>
        <v>0.68787361284834503</v>
      </c>
      <c r="AK214" s="99">
        <f>'IS (GAAP)'!AK41</f>
        <v>0.67982842619372463</v>
      </c>
      <c r="AL214" s="91">
        <f>'IS (GAAP)'!AL41</f>
        <v>0.67115477206112162</v>
      </c>
      <c r="AM214" s="91">
        <f>'IS (GAAP)'!AM41</f>
        <v>0.6684272861100593</v>
      </c>
      <c r="AN214" s="91">
        <f>'IS (GAAP)'!AN41</f>
        <v>0.65938218479260036</v>
      </c>
      <c r="AO214" s="91">
        <f>'IS (GAAP)'!AO41</f>
        <v>0.66234887562451228</v>
      </c>
      <c r="AP214" s="99">
        <f>'IS (GAAP)'!AP41</f>
        <v>0.66504678474165535</v>
      </c>
      <c r="AQ214" s="91">
        <f>'IS (GAAP)'!AQ41</f>
        <v>0.66529632252603943</v>
      </c>
      <c r="AR214" s="91">
        <f>'IS (GAAP)'!AR41</f>
        <v>0.67526195032354597</v>
      </c>
      <c r="AS214" s="91">
        <f>'IS (GAAP)'!AS41</f>
        <v>0.67773922033722223</v>
      </c>
      <c r="AT214" s="91">
        <f>'IS (GAAP)'!AT41</f>
        <v>0.66443642285750182</v>
      </c>
      <c r="AU214" s="99">
        <f>'IS (GAAP)'!AU41</f>
        <v>0.67076630147625271</v>
      </c>
      <c r="AV214" s="91">
        <f>'IS (GAAP)'!AV41</f>
        <v>0.68651679189091852</v>
      </c>
      <c r="AW214" s="91">
        <f>'IS (GAAP)'!AW41</f>
        <v>0.6933966844253916</v>
      </c>
      <c r="AX214" s="91">
        <f>'IS (GAAP)'!AX41</f>
        <v>0.69245058490955935</v>
      </c>
      <c r="AY214" s="91">
        <f>'IS (GAAP)'!AY41</f>
        <v>0.67976528491180821</v>
      </c>
      <c r="AZ214" s="99">
        <f>'IS (GAAP)'!AZ41</f>
        <v>0.68793386455171956</v>
      </c>
      <c r="BA214" s="91">
        <f>'IS (GAAP)'!BA41</f>
        <v>0.70394326547188191</v>
      </c>
      <c r="BB214" s="91">
        <f>'IS (GAAP)'!BB41</f>
        <v>0.71091357296291413</v>
      </c>
      <c r="BC214" s="91">
        <f>'IS (GAAP)'!BC41</f>
        <v>0.70962739366102079</v>
      </c>
      <c r="BD214" s="91">
        <f>'IS (GAAP)'!BD41</f>
        <v>0.69617474959213155</v>
      </c>
      <c r="BE214" s="99">
        <f>'IS (GAAP)'!BE41</f>
        <v>0.70506632686569426</v>
      </c>
      <c r="BF214" s="91">
        <f>'IS (GAAP)'!BF41</f>
        <v>0.72010473628152916</v>
      </c>
      <c r="BG214" s="91">
        <f>'IS (GAAP)'!BG41</f>
        <v>0.72700008593392018</v>
      </c>
      <c r="BH214" s="91">
        <f>'IS (GAAP)'!BH41</f>
        <v>0.72581755505640966</v>
      </c>
      <c r="BI214" s="91">
        <f>'IS (GAAP)'!BI41</f>
        <v>0.71207767952211232</v>
      </c>
      <c r="BJ214" s="99">
        <f>'IS (GAAP)'!BJ41</f>
        <v>0.72111553352014623</v>
      </c>
      <c r="BK214" s="91">
        <f>'IS (GAAP)'!BK41</f>
        <v>0.73297241387544243</v>
      </c>
      <c r="BL214" s="91">
        <f>'IS (GAAP)'!BL41</f>
        <v>0.73981854331356423</v>
      </c>
      <c r="BM214" s="91">
        <f>'IS (GAAP)'!BM41</f>
        <v>0.73860095520700997</v>
      </c>
      <c r="BN214" s="91">
        <f>'IS (GAAP)'!BN41</f>
        <v>0.72436655952995588</v>
      </c>
      <c r="BO214" s="99">
        <f>'IS (GAAP)'!BO41</f>
        <v>0.73380844508899412</v>
      </c>
    </row>
    <row r="215" spans="2:67">
      <c r="B215" s="136" t="s">
        <v>123</v>
      </c>
      <c r="G215" s="68"/>
      <c r="H215" s="73">
        <v>2.5000000000000001E-2</v>
      </c>
      <c r="I215" s="73">
        <f t="shared" ref="I215:L216" si="108">H215</f>
        <v>2.5000000000000001E-2</v>
      </c>
      <c r="J215" s="73">
        <f t="shared" si="108"/>
        <v>2.5000000000000001E-2</v>
      </c>
      <c r="K215" s="73">
        <f t="shared" si="108"/>
        <v>2.5000000000000001E-2</v>
      </c>
      <c r="L215" s="124">
        <f t="shared" si="108"/>
        <v>2.5000000000000001E-2</v>
      </c>
      <c r="M215" s="73">
        <v>2.5000000000000001E-2</v>
      </c>
      <c r="N215" s="73">
        <f t="shared" ref="N215:Q216" si="109">M215</f>
        <v>2.5000000000000001E-2</v>
      </c>
      <c r="O215" s="73">
        <f t="shared" si="109"/>
        <v>2.5000000000000001E-2</v>
      </c>
      <c r="P215" s="73">
        <f t="shared" si="109"/>
        <v>2.5000000000000001E-2</v>
      </c>
      <c r="Q215" s="124">
        <f t="shared" si="109"/>
        <v>2.5000000000000001E-2</v>
      </c>
      <c r="R215" s="73">
        <v>2.5000000000000001E-2</v>
      </c>
      <c r="S215" s="73">
        <f t="shared" ref="S215:V216" si="110">R215</f>
        <v>2.5000000000000001E-2</v>
      </c>
      <c r="T215" s="73">
        <f t="shared" si="110"/>
        <v>2.5000000000000001E-2</v>
      </c>
      <c r="U215" s="73">
        <f t="shared" si="110"/>
        <v>2.5000000000000001E-2</v>
      </c>
      <c r="V215" s="124">
        <f t="shared" si="110"/>
        <v>2.5000000000000001E-2</v>
      </c>
      <c r="W215" s="73">
        <v>2.5000000000000001E-2</v>
      </c>
      <c r="X215" s="73">
        <f t="shared" ref="X215:AA216" si="111">W215</f>
        <v>2.5000000000000001E-2</v>
      </c>
      <c r="Y215" s="73">
        <f t="shared" si="111"/>
        <v>2.5000000000000001E-2</v>
      </c>
      <c r="Z215" s="73">
        <f t="shared" si="111"/>
        <v>2.5000000000000001E-2</v>
      </c>
      <c r="AA215" s="124">
        <f t="shared" si="111"/>
        <v>2.5000000000000001E-2</v>
      </c>
      <c r="AB215" s="73">
        <v>2.5000000000000001E-2</v>
      </c>
      <c r="AC215" s="147">
        <v>2.5000000000000001E-2</v>
      </c>
      <c r="AD215" s="73">
        <f t="shared" ref="AD215:AF216" si="112">AC215</f>
        <v>2.5000000000000001E-2</v>
      </c>
      <c r="AE215" s="73">
        <f t="shared" si="112"/>
        <v>2.5000000000000001E-2</v>
      </c>
      <c r="AF215" s="124">
        <f t="shared" si="112"/>
        <v>2.5000000000000001E-2</v>
      </c>
      <c r="AG215" s="73">
        <v>2.5000000000000001E-2</v>
      </c>
      <c r="AH215" s="73">
        <f t="shared" ref="AH215:AK216" si="113">AG215</f>
        <v>2.5000000000000001E-2</v>
      </c>
      <c r="AI215" s="73">
        <f t="shared" si="113"/>
        <v>2.5000000000000001E-2</v>
      </c>
      <c r="AJ215" s="73">
        <f t="shared" si="113"/>
        <v>2.5000000000000001E-2</v>
      </c>
      <c r="AK215" s="124">
        <f t="shared" si="113"/>
        <v>2.5000000000000001E-2</v>
      </c>
      <c r="AL215" s="73">
        <v>2.5000000000000001E-2</v>
      </c>
      <c r="AM215" s="73">
        <f t="shared" ref="AM215:AP216" si="114">AL215</f>
        <v>2.5000000000000001E-2</v>
      </c>
      <c r="AN215" s="73">
        <f t="shared" si="114"/>
        <v>2.5000000000000001E-2</v>
      </c>
      <c r="AO215" s="73">
        <f t="shared" si="114"/>
        <v>2.5000000000000001E-2</v>
      </c>
      <c r="AP215" s="124">
        <f t="shared" si="114"/>
        <v>2.5000000000000001E-2</v>
      </c>
      <c r="AQ215" s="73">
        <v>2.5000000000000001E-2</v>
      </c>
      <c r="AR215" s="73">
        <f t="shared" ref="AR215:AU216" si="115">AQ215</f>
        <v>2.5000000000000001E-2</v>
      </c>
      <c r="AS215" s="73">
        <f t="shared" si="115"/>
        <v>2.5000000000000001E-2</v>
      </c>
      <c r="AT215" s="73">
        <f t="shared" si="115"/>
        <v>2.5000000000000001E-2</v>
      </c>
      <c r="AU215" s="124">
        <f t="shared" si="115"/>
        <v>2.5000000000000001E-2</v>
      </c>
      <c r="AV215" s="73">
        <v>2.5000000000000001E-2</v>
      </c>
      <c r="AW215" s="73">
        <f t="shared" ref="AW215:AZ216" si="116">AV215</f>
        <v>2.5000000000000001E-2</v>
      </c>
      <c r="AX215" s="73">
        <f t="shared" si="116"/>
        <v>2.5000000000000001E-2</v>
      </c>
      <c r="AY215" s="73">
        <f t="shared" si="116"/>
        <v>2.5000000000000001E-2</v>
      </c>
      <c r="AZ215" s="124">
        <f t="shared" si="116"/>
        <v>2.5000000000000001E-2</v>
      </c>
      <c r="BA215" s="73">
        <v>2.5000000000000001E-2</v>
      </c>
      <c r="BB215" s="73">
        <f t="shared" ref="BB215:BE216" si="117">BA215</f>
        <v>2.5000000000000001E-2</v>
      </c>
      <c r="BC215" s="73">
        <f t="shared" si="117"/>
        <v>2.5000000000000001E-2</v>
      </c>
      <c r="BD215" s="73">
        <f t="shared" si="117"/>
        <v>2.5000000000000001E-2</v>
      </c>
      <c r="BE215" s="124">
        <f t="shared" si="117"/>
        <v>2.5000000000000001E-2</v>
      </c>
      <c r="BF215" s="73">
        <v>2.5000000000000001E-2</v>
      </c>
      <c r="BG215" s="73">
        <f t="shared" ref="BG215:BJ216" si="118">BF215</f>
        <v>2.5000000000000001E-2</v>
      </c>
      <c r="BH215" s="73">
        <f t="shared" si="118"/>
        <v>2.5000000000000001E-2</v>
      </c>
      <c r="BI215" s="73">
        <f t="shared" si="118"/>
        <v>2.5000000000000001E-2</v>
      </c>
      <c r="BJ215" s="124">
        <f t="shared" si="118"/>
        <v>2.5000000000000001E-2</v>
      </c>
      <c r="BK215" s="73">
        <v>2.5000000000000001E-2</v>
      </c>
      <c r="BL215" s="73">
        <f t="shared" ref="BL215:BO216" si="119">BK215</f>
        <v>2.5000000000000001E-2</v>
      </c>
      <c r="BM215" s="73">
        <f t="shared" si="119"/>
        <v>2.5000000000000001E-2</v>
      </c>
      <c r="BN215" s="73">
        <f t="shared" si="119"/>
        <v>2.5000000000000001E-2</v>
      </c>
      <c r="BO215" s="124">
        <f t="shared" si="119"/>
        <v>2.5000000000000001E-2</v>
      </c>
    </row>
    <row r="216" spans="2:67">
      <c r="B216" s="136" t="s">
        <v>124</v>
      </c>
      <c r="G216" s="68"/>
      <c r="H216" s="73">
        <v>0.11</v>
      </c>
      <c r="I216" s="73">
        <f t="shared" si="108"/>
        <v>0.11</v>
      </c>
      <c r="J216" s="73">
        <f t="shared" si="108"/>
        <v>0.11</v>
      </c>
      <c r="K216" s="73">
        <f t="shared" si="108"/>
        <v>0.11</v>
      </c>
      <c r="L216" s="124">
        <f t="shared" si="108"/>
        <v>0.11</v>
      </c>
      <c r="M216" s="73">
        <v>0.11</v>
      </c>
      <c r="N216" s="73">
        <f t="shared" si="109"/>
        <v>0.11</v>
      </c>
      <c r="O216" s="73">
        <f t="shared" si="109"/>
        <v>0.11</v>
      </c>
      <c r="P216" s="73">
        <f t="shared" si="109"/>
        <v>0.11</v>
      </c>
      <c r="Q216" s="124">
        <f t="shared" si="109"/>
        <v>0.11</v>
      </c>
      <c r="R216" s="73">
        <v>0.11</v>
      </c>
      <c r="S216" s="73">
        <f t="shared" si="110"/>
        <v>0.11</v>
      </c>
      <c r="T216" s="73">
        <f t="shared" si="110"/>
        <v>0.11</v>
      </c>
      <c r="U216" s="73">
        <f t="shared" si="110"/>
        <v>0.11</v>
      </c>
      <c r="V216" s="124">
        <f t="shared" si="110"/>
        <v>0.11</v>
      </c>
      <c r="W216" s="73">
        <v>0.11</v>
      </c>
      <c r="X216" s="73">
        <f t="shared" si="111"/>
        <v>0.11</v>
      </c>
      <c r="Y216" s="73">
        <f t="shared" si="111"/>
        <v>0.11</v>
      </c>
      <c r="Z216" s="73">
        <f t="shared" si="111"/>
        <v>0.11</v>
      </c>
      <c r="AA216" s="124">
        <f t="shared" si="111"/>
        <v>0.11</v>
      </c>
      <c r="AB216" s="73">
        <v>0.11</v>
      </c>
      <c r="AC216" s="147">
        <v>0.11</v>
      </c>
      <c r="AD216" s="73">
        <f t="shared" si="112"/>
        <v>0.11</v>
      </c>
      <c r="AE216" s="73">
        <f t="shared" si="112"/>
        <v>0.11</v>
      </c>
      <c r="AF216" s="124">
        <f t="shared" si="112"/>
        <v>0.11</v>
      </c>
      <c r="AG216" s="73">
        <v>0.11</v>
      </c>
      <c r="AH216" s="73">
        <f t="shared" si="113"/>
        <v>0.11</v>
      </c>
      <c r="AI216" s="73">
        <f t="shared" si="113"/>
        <v>0.11</v>
      </c>
      <c r="AJ216" s="73">
        <f t="shared" si="113"/>
        <v>0.11</v>
      </c>
      <c r="AK216" s="124">
        <f t="shared" si="113"/>
        <v>0.11</v>
      </c>
      <c r="AL216" s="73">
        <v>0.11</v>
      </c>
      <c r="AM216" s="73">
        <f t="shared" si="114"/>
        <v>0.11</v>
      </c>
      <c r="AN216" s="73">
        <f t="shared" si="114"/>
        <v>0.11</v>
      </c>
      <c r="AO216" s="73">
        <f t="shared" si="114"/>
        <v>0.11</v>
      </c>
      <c r="AP216" s="124">
        <f t="shared" si="114"/>
        <v>0.11</v>
      </c>
      <c r="AQ216" s="73">
        <v>0.11</v>
      </c>
      <c r="AR216" s="73">
        <f t="shared" si="115"/>
        <v>0.11</v>
      </c>
      <c r="AS216" s="73">
        <f t="shared" si="115"/>
        <v>0.11</v>
      </c>
      <c r="AT216" s="73">
        <f t="shared" si="115"/>
        <v>0.11</v>
      </c>
      <c r="AU216" s="124">
        <f t="shared" si="115"/>
        <v>0.11</v>
      </c>
      <c r="AV216" s="73">
        <v>0.11</v>
      </c>
      <c r="AW216" s="73">
        <f t="shared" si="116"/>
        <v>0.11</v>
      </c>
      <c r="AX216" s="73">
        <f t="shared" si="116"/>
        <v>0.11</v>
      </c>
      <c r="AY216" s="73">
        <f t="shared" si="116"/>
        <v>0.11</v>
      </c>
      <c r="AZ216" s="124">
        <f t="shared" si="116"/>
        <v>0.11</v>
      </c>
      <c r="BA216" s="73">
        <v>0.11</v>
      </c>
      <c r="BB216" s="73">
        <f t="shared" si="117"/>
        <v>0.11</v>
      </c>
      <c r="BC216" s="73">
        <f t="shared" si="117"/>
        <v>0.11</v>
      </c>
      <c r="BD216" s="73">
        <f t="shared" si="117"/>
        <v>0.11</v>
      </c>
      <c r="BE216" s="124">
        <f t="shared" si="117"/>
        <v>0.11</v>
      </c>
      <c r="BF216" s="73">
        <v>0.11</v>
      </c>
      <c r="BG216" s="73">
        <f t="shared" si="118"/>
        <v>0.11</v>
      </c>
      <c r="BH216" s="73">
        <f t="shared" si="118"/>
        <v>0.11</v>
      </c>
      <c r="BI216" s="73">
        <f t="shared" si="118"/>
        <v>0.11</v>
      </c>
      <c r="BJ216" s="124">
        <f t="shared" si="118"/>
        <v>0.11</v>
      </c>
      <c r="BK216" s="73">
        <v>0.11</v>
      </c>
      <c r="BL216" s="73">
        <f t="shared" si="119"/>
        <v>0.11</v>
      </c>
      <c r="BM216" s="73">
        <f t="shared" si="119"/>
        <v>0.11</v>
      </c>
      <c r="BN216" s="73">
        <f t="shared" si="119"/>
        <v>0.11</v>
      </c>
      <c r="BO216" s="124">
        <f t="shared" si="119"/>
        <v>0.11</v>
      </c>
    </row>
    <row r="217" spans="2:67">
      <c r="B217" s="813" t="s">
        <v>125</v>
      </c>
      <c r="G217" s="68"/>
      <c r="L217" s="68"/>
      <c r="M217" s="122">
        <f t="shared" ref="M217:AZ217" si="120">M214/(M215+M216)</f>
        <v>3.3332909617087623</v>
      </c>
      <c r="N217" s="121">
        <f t="shared" si="120"/>
        <v>3.9076747242278658</v>
      </c>
      <c r="O217" s="121">
        <f t="shared" si="120"/>
        <v>4.4156110309619319</v>
      </c>
      <c r="P217" s="121">
        <f t="shared" si="120"/>
        <v>4.4913088064116664</v>
      </c>
      <c r="Q217" s="123">
        <f t="shared" si="120"/>
        <v>4.1462489277014791</v>
      </c>
      <c r="R217" s="122">
        <f t="shared" si="120"/>
        <v>4.51040757248541</v>
      </c>
      <c r="S217" s="121">
        <f t="shared" si="120"/>
        <v>4.6008876426841798</v>
      </c>
      <c r="T217" s="121">
        <f t="shared" si="120"/>
        <v>4.3130523396648801</v>
      </c>
      <c r="U217" s="121">
        <f t="shared" si="120"/>
        <v>4.1831735392232074</v>
      </c>
      <c r="V217" s="123">
        <f t="shared" si="120"/>
        <v>4.3722732408972904</v>
      </c>
      <c r="W217" s="122">
        <f t="shared" si="120"/>
        <v>4.2573970040180056</v>
      </c>
      <c r="X217" s="121">
        <f t="shared" si="120"/>
        <v>4.5195041844539627</v>
      </c>
      <c r="Y217" s="121">
        <f t="shared" si="120"/>
        <v>4.7321639082218674</v>
      </c>
      <c r="Z217" s="121">
        <f t="shared" si="120"/>
        <v>4.8175343937954214</v>
      </c>
      <c r="AA217" s="123">
        <f t="shared" si="120"/>
        <v>4.6224284805075682</v>
      </c>
      <c r="AB217" s="122">
        <f t="shared" si="120"/>
        <v>4.8130584161703718</v>
      </c>
      <c r="AC217" s="148">
        <f t="shared" si="120"/>
        <v>4.8268037649593731</v>
      </c>
      <c r="AD217" s="121">
        <f t="shared" si="120"/>
        <v>4.8711827505712186</v>
      </c>
      <c r="AE217" s="121">
        <f t="shared" si="120"/>
        <v>4.8210675956799971</v>
      </c>
      <c r="AF217" s="123">
        <f t="shared" si="120"/>
        <v>4.8343248651721638</v>
      </c>
      <c r="AG217" s="122">
        <f t="shared" si="120"/>
        <v>4.9198876794815849</v>
      </c>
      <c r="AH217" s="121">
        <f t="shared" si="120"/>
        <v>5.0072956618479134</v>
      </c>
      <c r="AI217" s="121">
        <f t="shared" si="120"/>
        <v>5.097446252323917</v>
      </c>
      <c r="AJ217" s="121">
        <f t="shared" si="120"/>
        <v>5.0953600951729259</v>
      </c>
      <c r="AK217" s="123">
        <f t="shared" si="120"/>
        <v>5.0357661199535153</v>
      </c>
      <c r="AL217" s="122">
        <f t="shared" si="120"/>
        <v>4.9715168300823818</v>
      </c>
      <c r="AM217" s="121">
        <f t="shared" si="120"/>
        <v>4.9513132304448835</v>
      </c>
      <c r="AN217" s="121">
        <f t="shared" si="120"/>
        <v>4.8843124799451871</v>
      </c>
      <c r="AO217" s="121">
        <f>AO214/(AO215+AO216)</f>
        <v>4.9062879675889794</v>
      </c>
      <c r="AP217" s="123">
        <f>AP214/(AP215+AP216)</f>
        <v>4.9262724795678174</v>
      </c>
      <c r="AQ217" s="122">
        <f t="shared" ref="AQ217:AS217" si="121">AQ214/(AQ215+AQ216)</f>
        <v>4.9281209076002916</v>
      </c>
      <c r="AR217" s="121">
        <f t="shared" si="121"/>
        <v>5.0019403727670069</v>
      </c>
      <c r="AS217" s="121">
        <f t="shared" si="121"/>
        <v>5.0202905210164603</v>
      </c>
      <c r="AT217" s="121">
        <f t="shared" si="120"/>
        <v>4.9217512804259389</v>
      </c>
      <c r="AU217" s="123">
        <f t="shared" si="120"/>
        <v>4.9686392701944646</v>
      </c>
      <c r="AV217" s="122">
        <f t="shared" si="120"/>
        <v>5.0853095695623587</v>
      </c>
      <c r="AW217" s="121">
        <f t="shared" si="120"/>
        <v>5.1362717364843817</v>
      </c>
      <c r="AX217" s="121">
        <f t="shared" si="120"/>
        <v>5.1292635919226619</v>
      </c>
      <c r="AY217" s="121">
        <f t="shared" si="120"/>
        <v>5.0352984067541344</v>
      </c>
      <c r="AZ217" s="123">
        <f t="shared" si="120"/>
        <v>5.0958064040868116</v>
      </c>
      <c r="BA217" s="122">
        <f t="shared" ref="BA217:BJ217" si="122">BA214/(BA215+BA216)</f>
        <v>5.2143945590509766</v>
      </c>
      <c r="BB217" s="121">
        <f t="shared" si="122"/>
        <v>5.2660264663919563</v>
      </c>
      <c r="BC217" s="121">
        <f t="shared" si="122"/>
        <v>5.256499212303857</v>
      </c>
      <c r="BD217" s="121">
        <f t="shared" si="122"/>
        <v>5.1568499969787522</v>
      </c>
      <c r="BE217" s="123">
        <f t="shared" si="122"/>
        <v>5.2227135323384752</v>
      </c>
      <c r="BF217" s="122">
        <f t="shared" si="122"/>
        <v>5.3341091576409561</v>
      </c>
      <c r="BG217" s="121">
        <f t="shared" si="122"/>
        <v>5.3851858217327413</v>
      </c>
      <c r="BH217" s="121">
        <f t="shared" si="122"/>
        <v>5.3764263337511826</v>
      </c>
      <c r="BI217" s="121">
        <f t="shared" si="122"/>
        <v>5.2746494779415727</v>
      </c>
      <c r="BJ217" s="123">
        <f t="shared" si="122"/>
        <v>5.3415965445936751</v>
      </c>
      <c r="BK217" s="122">
        <f>BK214/(BK215+BK216)</f>
        <v>5.4294252879662395</v>
      </c>
      <c r="BL217" s="121">
        <f>BL214/(BL215+BL216)</f>
        <v>5.4801373578782533</v>
      </c>
      <c r="BM217" s="121">
        <f>BM214/(BM215+BM216)</f>
        <v>5.4711181867185923</v>
      </c>
      <c r="BN217" s="121">
        <f>BN214/(BN215+BN216)</f>
        <v>5.3656782187404133</v>
      </c>
      <c r="BO217" s="123">
        <f>BO214/(BO215+BO216)</f>
        <v>5.4356181117703262</v>
      </c>
    </row>
    <row r="218" spans="2:67">
      <c r="B218" s="168" t="s">
        <v>126</v>
      </c>
      <c r="G218" s="68"/>
      <c r="L218" s="68"/>
      <c r="M218" s="122">
        <f>M217/M211</f>
        <v>2.3680844126510441</v>
      </c>
      <c r="N218" s="121">
        <f t="shared" ref="N218:AZ218" si="123">N217/N211</f>
        <v>2.9062270826191243</v>
      </c>
      <c r="O218" s="121">
        <f t="shared" si="123"/>
        <v>2.7759803663185858</v>
      </c>
      <c r="P218" s="121">
        <f t="shared" si="123"/>
        <v>2.8190372241008834</v>
      </c>
      <c r="Q218" s="123">
        <f t="shared" si="123"/>
        <v>2.6024552243864343</v>
      </c>
      <c r="R218" s="122">
        <f t="shared" si="123"/>
        <v>3.254031161237084</v>
      </c>
      <c r="S218" s="121">
        <f t="shared" si="123"/>
        <v>3.5781201359476169</v>
      </c>
      <c r="T218" s="121">
        <f t="shared" si="123"/>
        <v>3.3704043365039498</v>
      </c>
      <c r="U218" s="121">
        <f>U217/U211</f>
        <v>3.3462805014283226</v>
      </c>
      <c r="V218" s="123">
        <f t="shared" si="123"/>
        <v>3.4975485850028329</v>
      </c>
      <c r="W218" s="122">
        <f t="shared" si="123"/>
        <v>3.4793545254380827</v>
      </c>
      <c r="X218" s="121">
        <f t="shared" si="123"/>
        <v>3.6640258988330734</v>
      </c>
      <c r="Y218" s="121">
        <f t="shared" si="123"/>
        <v>4.4679580986501941</v>
      </c>
      <c r="Z218" s="121">
        <f t="shared" si="123"/>
        <v>4.6952448546009338</v>
      </c>
      <c r="AA218" s="123">
        <f t="shared" si="123"/>
        <v>4.5050915602836517</v>
      </c>
      <c r="AB218" s="122">
        <f>AB217/AB211</f>
        <v>4.2347396745187522</v>
      </c>
      <c r="AC218" s="148">
        <f>AC217/AC211</f>
        <v>4.4765648366200219</v>
      </c>
      <c r="AD218" s="121">
        <f t="shared" si="123"/>
        <v>4.0717842730048304</v>
      </c>
      <c r="AE218" s="121">
        <f>AE217/AE211</f>
        <v>3.4119087336053671</v>
      </c>
      <c r="AF218" s="123">
        <f t="shared" si="123"/>
        <v>3.4212910110089476</v>
      </c>
      <c r="AG218" s="122">
        <f t="shared" si="123"/>
        <v>3.224099377009205</v>
      </c>
      <c r="AH218" s="121">
        <f t="shared" si="123"/>
        <v>2.7588747975682146</v>
      </c>
      <c r="AI218" s="121">
        <f t="shared" si="123"/>
        <v>2.6871311945446825</v>
      </c>
      <c r="AJ218" s="121">
        <f t="shared" si="123"/>
        <v>2.6764436534913303</v>
      </c>
      <c r="AK218" s="123">
        <f t="shared" si="123"/>
        <v>2.6451406810255742</v>
      </c>
      <c r="AL218" s="122">
        <f t="shared" si="123"/>
        <v>2.7156323404926765</v>
      </c>
      <c r="AM218" s="121">
        <f t="shared" si="123"/>
        <v>2.4658410440729832</v>
      </c>
      <c r="AN218" s="121">
        <f>AN217/AN211</f>
        <v>2.4622900648385118</v>
      </c>
      <c r="AO218" s="121">
        <f>AO217/AO211</f>
        <v>2.4085614253111358</v>
      </c>
      <c r="AP218" s="123">
        <f>AP217/AP211</f>
        <v>2.4183720856257915</v>
      </c>
      <c r="AQ218" s="122">
        <f t="shared" ref="AQ218:AR218" si="124">AQ217/AQ211</f>
        <v>2.3614767356641555</v>
      </c>
      <c r="AR218" s="121">
        <f t="shared" si="124"/>
        <v>2.8544524106605667</v>
      </c>
      <c r="AS218" s="121">
        <f>AS217/AS211</f>
        <v>2.6666801443985575</v>
      </c>
      <c r="AT218" s="121">
        <f t="shared" si="123"/>
        <v>2.2840307928905408</v>
      </c>
      <c r="AU218" s="123">
        <f t="shared" si="123"/>
        <v>2.3057900420573905</v>
      </c>
      <c r="AV218" s="122">
        <f t="shared" si="123"/>
        <v>2.1905661605758309</v>
      </c>
      <c r="AW218" s="121">
        <f t="shared" si="123"/>
        <v>1.9809304106013093</v>
      </c>
      <c r="AX218" s="121">
        <f t="shared" si="123"/>
        <v>1.9257972454560652</v>
      </c>
      <c r="AY218" s="121">
        <f t="shared" si="123"/>
        <v>1.8724354345766012</v>
      </c>
      <c r="AZ218" s="123">
        <f t="shared" si="123"/>
        <v>1.8949360510502942</v>
      </c>
      <c r="BA218" s="122">
        <f t="shared" ref="BA218:BJ218" si="125">BA217/BA211</f>
        <v>1.951954475378366</v>
      </c>
      <c r="BB218" s="121">
        <f t="shared" si="125"/>
        <v>2.0499477132542405</v>
      </c>
      <c r="BC218" s="121">
        <f t="shared" si="125"/>
        <v>2.0978963175437526</v>
      </c>
      <c r="BD218" s="121">
        <f t="shared" si="125"/>
        <v>1.9272757719540479</v>
      </c>
      <c r="BE218" s="123">
        <f t="shared" si="125"/>
        <v>1.9518910304991679</v>
      </c>
      <c r="BF218" s="122">
        <f t="shared" si="125"/>
        <v>1.9301409836664378</v>
      </c>
      <c r="BG218" s="121">
        <f t="shared" si="125"/>
        <v>1.9905997474037811</v>
      </c>
      <c r="BH218" s="121">
        <f t="shared" si="125"/>
        <v>2.2220707099227428</v>
      </c>
      <c r="BI218" s="121">
        <f t="shared" si="125"/>
        <v>2.1756099716547319</v>
      </c>
      <c r="BJ218" s="123">
        <f t="shared" si="125"/>
        <v>2.2032233147575209</v>
      </c>
      <c r="BK218" s="122">
        <f>BK217/BK211</f>
        <v>2.1746354431522672</v>
      </c>
      <c r="BL218" s="121">
        <f>BL217/BL211</f>
        <v>2.1142043227873737</v>
      </c>
      <c r="BM218" s="121">
        <f>BM217/BM211</f>
        <v>2.2660559910569646</v>
      </c>
      <c r="BN218" s="121">
        <f>BN217/BN211</f>
        <v>2.0672770202016513</v>
      </c>
      <c r="BO218" s="123">
        <f>BO217/BO211</f>
        <v>2.094223312499075</v>
      </c>
    </row>
    <row r="219" spans="2:67">
      <c r="G219" s="68"/>
      <c r="L219" s="68"/>
      <c r="Q219" s="68"/>
      <c r="V219" s="68"/>
      <c r="AA219" s="68"/>
      <c r="AF219" s="68"/>
      <c r="AK219" s="68"/>
      <c r="AP219" s="68"/>
      <c r="AU219" s="68"/>
      <c r="AZ219" s="68"/>
      <c r="BE219" s="68"/>
      <c r="BJ219" s="68"/>
      <c r="BO219" s="68"/>
    </row>
    <row r="220" spans="2:67">
      <c r="G220" s="68"/>
      <c r="L220" s="68"/>
      <c r="Q220" s="68"/>
      <c r="V220" s="68"/>
      <c r="AA220" s="68"/>
      <c r="AF220" s="68"/>
      <c r="AK220" s="68"/>
      <c r="AP220" s="68"/>
      <c r="AU220" s="68"/>
      <c r="AZ220" s="68"/>
      <c r="BE220" s="68"/>
      <c r="BJ220" s="68"/>
      <c r="BO220" s="68"/>
    </row>
    <row r="221" spans="2:67">
      <c r="G221" s="68"/>
      <c r="L221" s="68"/>
      <c r="Q221" s="68"/>
      <c r="V221" s="68"/>
      <c r="AA221" s="68"/>
      <c r="AF221" s="68"/>
      <c r="AK221" s="68"/>
      <c r="AP221" s="68"/>
      <c r="AU221" s="68"/>
      <c r="AZ221" s="68"/>
      <c r="BE221" s="68"/>
      <c r="BJ221" s="68"/>
      <c r="BO221" s="68"/>
    </row>
    <row r="222" spans="2:67">
      <c r="G222" s="69"/>
      <c r="L222" s="69"/>
      <c r="Q222" s="69"/>
      <c r="V222" s="69"/>
      <c r="AA222" s="69"/>
      <c r="AF222" s="69"/>
      <c r="AK222" s="69"/>
      <c r="AP222" s="69"/>
      <c r="AU222" s="69"/>
      <c r="AZ222" s="69"/>
      <c r="BE222" s="69"/>
      <c r="BJ222" s="69"/>
      <c r="BO222" s="69"/>
    </row>
  </sheetData>
  <pageMargins left="0.7" right="0.7" top="0.75" bottom="0.75" header="0.3" footer="0.3"/>
  <pageSetup scale="10" orientation="portrait" r:id="rId1"/>
  <customProperties>
    <customPr name="Qube.Worksheet.Visibility" r:id="rId2"/>
  </customProperties>
  <ignoredErrors>
    <ignoredError sqref="AF16 AF18:AF19 AK17 AZ15 AU17 AU16 AU18:AU19 AZ17 AZ16 AZ18:AZ19 AK16 AT51:AZ51 AK18:AK1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1246-AF5C-4995-8956-86AC9F2931C9}">
  <sheetPr>
    <tabColor theme="4"/>
  </sheetPr>
  <dimension ref="A1:BO93"/>
  <sheetViews>
    <sheetView showGridLines="0" zoomScaleNormal="100" zoomScaleSheetLayoutView="50" workbookViewId="0">
      <pane xSplit="2" ySplit="8" topLeftCell="AQ9" activePane="bottomRight" state="frozen"/>
      <selection activeCell="A90" sqref="A90"/>
      <selection pane="topRight" activeCell="A90" sqref="A90"/>
      <selection pane="bottomLeft" activeCell="A90" sqref="A90"/>
      <selection pane="bottomRight"/>
    </sheetView>
  </sheetViews>
  <sheetFormatPr defaultColWidth="9.140625" defaultRowHeight="12.75" outlineLevelRow="1" outlineLevelCol="1"/>
  <cols>
    <col min="1" max="1" width="3.7109375" style="58" customWidth="1"/>
    <col min="2" max="2" width="39.28515625" style="1040" bestFit="1" customWidth="1"/>
    <col min="3" max="3" width="11.140625" style="362" hidden="1" customWidth="1" outlineLevel="1"/>
    <col min="4" max="6" width="11.140625" style="466" hidden="1" customWidth="1" outlineLevel="1"/>
    <col min="7" max="7" width="11.140625" style="466" bestFit="1" customWidth="1" collapsed="1"/>
    <col min="8" max="8" width="11.140625" style="362" hidden="1" customWidth="1" outlineLevel="1"/>
    <col min="9" max="11" width="11.140625" style="466" hidden="1" customWidth="1" outlineLevel="1"/>
    <col min="12" max="12" width="11.140625" style="466" bestFit="1" customWidth="1" collapsed="1"/>
    <col min="13" max="13" width="11.140625" style="362" hidden="1" customWidth="1" outlineLevel="1"/>
    <col min="14" max="16" width="11.140625" style="466" hidden="1" customWidth="1" outlineLevel="1"/>
    <col min="17" max="17" width="11.140625" style="466" bestFit="1" customWidth="1" collapsed="1"/>
    <col min="18" max="18" width="11.140625" style="362" hidden="1" customWidth="1" outlineLevel="1"/>
    <col min="19" max="21" width="11.140625" style="466" hidden="1" customWidth="1" outlineLevel="1"/>
    <col min="22" max="22" width="11.140625" style="466" bestFit="1" customWidth="1" collapsed="1"/>
    <col min="23" max="23" width="11.140625" style="362" hidden="1" customWidth="1" outlineLevel="1"/>
    <col min="24" max="26" width="11.140625" style="466" hidden="1" customWidth="1" outlineLevel="1"/>
    <col min="27" max="27" width="11.140625" style="466" bestFit="1" customWidth="1" collapsed="1"/>
    <col min="28" max="28" width="11.140625" style="362" hidden="1" customWidth="1" outlineLevel="1"/>
    <col min="29" max="31" width="11.140625" style="466" hidden="1" customWidth="1" outlineLevel="1"/>
    <col min="32" max="32" width="11.140625" style="466" bestFit="1" customWidth="1" collapsed="1"/>
    <col min="33" max="33" width="11.140625" style="362" hidden="1" customWidth="1" outlineLevel="1"/>
    <col min="34" max="36" width="0" style="466" hidden="1" customWidth="1" outlineLevel="1"/>
    <col min="37" max="37" width="11.140625" style="466" bestFit="1" customWidth="1" collapsed="1"/>
    <col min="38" max="38" width="11.140625" style="362" hidden="1" customWidth="1" outlineLevel="1"/>
    <col min="39" max="39" width="11.140625" style="466" hidden="1" customWidth="1" outlineLevel="1"/>
    <col min="40" max="40" width="11.140625" style="1273" hidden="1" customWidth="1" outlineLevel="1"/>
    <col min="41" max="41" width="11.140625" style="466" hidden="1" customWidth="1" outlineLevel="1"/>
    <col min="42" max="42" width="11.140625" style="466" customWidth="1" collapsed="1"/>
    <col min="43" max="43" width="11.140625" style="362" customWidth="1" outlineLevel="1"/>
    <col min="44" max="46" width="11.140625" style="466" customWidth="1" outlineLevel="1"/>
    <col min="47" max="47" width="11.140625" style="466" customWidth="1"/>
    <col min="48" max="48" width="11.140625" style="362" customWidth="1" outlineLevel="1"/>
    <col min="49" max="51" width="11.140625" style="466" customWidth="1" outlineLevel="1"/>
    <col min="52" max="52" width="11.140625" style="466" customWidth="1"/>
    <col min="53" max="53" width="11.140625" style="362" customWidth="1" outlineLevel="1"/>
    <col min="54" max="56" width="11.140625" style="466" customWidth="1" outlineLevel="1"/>
    <col min="57" max="57" width="11.140625" style="466" customWidth="1"/>
    <col min="58" max="58" width="11.140625" style="362" hidden="1" customWidth="1" outlineLevel="1"/>
    <col min="59" max="61" width="11.140625" style="466" hidden="1" customWidth="1" outlineLevel="1"/>
    <col min="62" max="62" width="11.140625" style="466" customWidth="1" collapsed="1"/>
    <col min="63" max="63" width="11.140625" style="362" hidden="1" customWidth="1" outlineLevel="1"/>
    <col min="64" max="66" width="11.140625" style="466" hidden="1" customWidth="1" outlineLevel="1"/>
    <col min="67" max="67" width="11.140625" style="466" customWidth="1" collapsed="1"/>
    <col min="68" max="16384" width="9.140625" style="58"/>
  </cols>
  <sheetData>
    <row r="1" spans="1:67">
      <c r="A1" s="107"/>
      <c r="D1" s="363"/>
      <c r="E1" s="363"/>
      <c r="F1" s="363"/>
      <c r="G1" s="363"/>
      <c r="I1" s="363"/>
      <c r="J1" s="363"/>
      <c r="K1" s="363"/>
      <c r="L1" s="363"/>
      <c r="N1" s="363"/>
      <c r="O1" s="363"/>
      <c r="P1" s="363"/>
      <c r="Q1" s="363"/>
      <c r="S1" s="363"/>
      <c r="T1" s="363"/>
      <c r="U1" s="363"/>
      <c r="V1" s="363"/>
      <c r="X1" s="363"/>
      <c r="Y1" s="363"/>
      <c r="Z1" s="363"/>
      <c r="AA1" s="363"/>
      <c r="AC1" s="363"/>
      <c r="AD1" s="363"/>
      <c r="AE1" s="363"/>
      <c r="AF1" s="363"/>
      <c r="AH1" s="363"/>
      <c r="AI1" s="363"/>
      <c r="AJ1" s="363"/>
      <c r="AK1" s="363"/>
      <c r="AM1" s="363"/>
      <c r="AN1" s="1257"/>
      <c r="AO1" s="363"/>
      <c r="AP1" s="363"/>
      <c r="AR1" s="363"/>
      <c r="AS1" s="363"/>
      <c r="AT1" s="363"/>
      <c r="AU1" s="363"/>
      <c r="AW1" s="363"/>
      <c r="AX1" s="363"/>
      <c r="AY1" s="363"/>
      <c r="AZ1" s="363"/>
      <c r="BB1" s="363"/>
      <c r="BC1" s="363"/>
      <c r="BD1" s="363"/>
      <c r="BE1" s="363"/>
      <c r="BG1" s="363"/>
      <c r="BH1" s="363"/>
      <c r="BI1" s="363"/>
      <c r="BJ1" s="363"/>
      <c r="BL1" s="363"/>
      <c r="BM1" s="363"/>
      <c r="BN1" s="363"/>
      <c r="BO1" s="363"/>
    </row>
    <row r="2" spans="1:67">
      <c r="A2" s="107"/>
      <c r="B2" s="1077" t="s">
        <v>29</v>
      </c>
      <c r="D2" s="363"/>
      <c r="E2" s="363"/>
      <c r="F2" s="363"/>
      <c r="G2" s="363"/>
      <c r="I2" s="363"/>
      <c r="J2" s="363"/>
      <c r="K2" s="363"/>
      <c r="L2" s="363"/>
      <c r="N2" s="363"/>
      <c r="O2" s="363"/>
      <c r="P2" s="363"/>
      <c r="Q2" s="363"/>
      <c r="S2" s="363"/>
      <c r="T2" s="363"/>
      <c r="U2" s="363"/>
      <c r="V2" s="363"/>
      <c r="X2" s="363"/>
      <c r="Y2" s="363"/>
      <c r="Z2" s="363"/>
      <c r="AA2" s="363"/>
      <c r="AC2" s="363"/>
      <c r="AD2" s="363"/>
      <c r="AE2" s="363"/>
      <c r="AF2" s="363"/>
      <c r="AH2" s="363"/>
      <c r="AI2" s="363"/>
      <c r="AJ2" s="363"/>
      <c r="AK2" s="363"/>
      <c r="AM2" s="363"/>
      <c r="AN2" s="1257"/>
      <c r="AO2" s="363"/>
      <c r="AP2" s="363"/>
      <c r="AR2" s="363"/>
      <c r="AS2" s="363"/>
      <c r="AT2" s="363"/>
      <c r="AU2" s="363"/>
      <c r="AW2" s="363"/>
      <c r="AX2" s="363"/>
      <c r="AY2" s="363"/>
      <c r="AZ2" s="363"/>
      <c r="BB2" s="363"/>
      <c r="BC2" s="363"/>
      <c r="BD2" s="363"/>
      <c r="BE2" s="363"/>
      <c r="BG2" s="363"/>
      <c r="BH2" s="363"/>
      <c r="BI2" s="363"/>
      <c r="BJ2" s="363"/>
      <c r="BL2" s="363"/>
      <c r="BM2" s="363"/>
      <c r="BN2" s="363"/>
      <c r="BO2" s="363"/>
    </row>
    <row r="3" spans="1:67">
      <c r="A3" s="107"/>
      <c r="B3" s="1077" t="s">
        <v>198</v>
      </c>
      <c r="D3" s="363"/>
      <c r="E3" s="363"/>
      <c r="F3" s="363"/>
      <c r="G3" s="363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  <c r="Y3" s="697"/>
      <c r="Z3" s="697"/>
      <c r="AA3" s="697"/>
      <c r="AB3" s="697"/>
      <c r="AC3" s="697"/>
      <c r="AD3" s="697"/>
      <c r="AE3" s="697"/>
      <c r="AF3" s="697"/>
      <c r="AG3" s="697"/>
      <c r="AH3" s="697"/>
      <c r="AI3" s="697"/>
      <c r="AJ3" s="697"/>
      <c r="AK3" s="697"/>
      <c r="AM3" s="363"/>
      <c r="AN3" s="1257"/>
      <c r="AO3" s="363"/>
      <c r="AP3" s="363"/>
      <c r="AR3" s="363"/>
      <c r="AS3" s="363"/>
      <c r="AT3" s="363"/>
      <c r="AU3" s="363"/>
      <c r="AW3" s="363"/>
      <c r="AX3" s="363"/>
      <c r="AY3" s="363"/>
      <c r="AZ3" s="363"/>
      <c r="BB3" s="363"/>
      <c r="BC3" s="363"/>
      <c r="BD3" s="363"/>
      <c r="BE3" s="363"/>
      <c r="BG3" s="363"/>
      <c r="BH3" s="363"/>
      <c r="BI3" s="363"/>
      <c r="BJ3" s="363"/>
      <c r="BL3" s="363"/>
      <c r="BM3" s="363"/>
      <c r="BN3" s="363"/>
      <c r="BO3" s="363"/>
    </row>
    <row r="4" spans="1:67">
      <c r="A4" s="107"/>
      <c r="B4" s="1077" t="s">
        <v>28</v>
      </c>
      <c r="D4" s="363"/>
      <c r="E4" s="363"/>
      <c r="F4" s="363"/>
      <c r="G4" s="363"/>
      <c r="H4" s="697"/>
      <c r="I4" s="697"/>
      <c r="J4" s="697"/>
      <c r="K4" s="697"/>
      <c r="L4" s="697"/>
      <c r="M4" s="697"/>
      <c r="N4" s="697"/>
      <c r="O4" s="697"/>
      <c r="P4" s="697"/>
      <c r="Q4" s="697"/>
      <c r="R4" s="697"/>
      <c r="S4" s="697"/>
      <c r="T4" s="697"/>
      <c r="U4" s="697"/>
      <c r="V4" s="697"/>
      <c r="W4" s="697"/>
      <c r="X4" s="697"/>
      <c r="Y4" s="697"/>
      <c r="Z4" s="697"/>
      <c r="AA4" s="697"/>
      <c r="AB4" s="697"/>
      <c r="AC4" s="697"/>
      <c r="AD4" s="697"/>
      <c r="AE4" s="697"/>
      <c r="AF4" s="697"/>
      <c r="AG4" s="697"/>
      <c r="AH4" s="697"/>
      <c r="AI4" s="697"/>
      <c r="AJ4" s="697"/>
      <c r="AK4" s="697"/>
      <c r="AM4" s="363"/>
      <c r="AN4" s="1257"/>
      <c r="AO4" s="363"/>
      <c r="AP4" s="363"/>
      <c r="AR4" s="363"/>
      <c r="AS4" s="363"/>
      <c r="AT4" s="363"/>
      <c r="AU4" s="363"/>
      <c r="AW4" s="363"/>
      <c r="AX4" s="363"/>
      <c r="AY4" s="363"/>
      <c r="AZ4" s="363"/>
      <c r="BB4" s="363"/>
      <c r="BC4" s="363"/>
      <c r="BD4" s="363"/>
      <c r="BE4" s="363"/>
      <c r="BG4" s="363"/>
      <c r="BH4" s="363"/>
      <c r="BI4" s="363"/>
      <c r="BJ4" s="363"/>
      <c r="BL4" s="363"/>
      <c r="BM4" s="363"/>
      <c r="BN4" s="363"/>
      <c r="BO4" s="363"/>
    </row>
    <row r="5" spans="1:67">
      <c r="A5" s="107"/>
      <c r="C5" s="556"/>
      <c r="D5" s="557"/>
      <c r="E5" s="557"/>
      <c r="F5" s="557"/>
      <c r="G5" s="557"/>
      <c r="H5" s="365"/>
      <c r="I5" s="365"/>
      <c r="J5" s="365"/>
      <c r="K5" s="365"/>
      <c r="L5" s="365"/>
      <c r="M5" s="365"/>
      <c r="N5" s="365"/>
      <c r="O5" s="365"/>
      <c r="P5" s="365"/>
      <c r="Q5" s="365"/>
      <c r="R5" s="365"/>
      <c r="S5" s="365"/>
      <c r="T5" s="365"/>
      <c r="U5" s="365"/>
      <c r="V5" s="365"/>
      <c r="W5" s="365"/>
      <c r="X5" s="365"/>
      <c r="Y5" s="365"/>
      <c r="Z5" s="365"/>
      <c r="AA5" s="365"/>
      <c r="AB5" s="365"/>
      <c r="AC5" s="365"/>
      <c r="AD5" s="365"/>
      <c r="AE5" s="365"/>
      <c r="AF5" s="365"/>
      <c r="AG5" s="365"/>
      <c r="AH5" s="365"/>
      <c r="AI5" s="365"/>
      <c r="AJ5" s="365"/>
      <c r="AK5" s="365"/>
      <c r="AM5" s="363"/>
      <c r="AN5" s="1257"/>
      <c r="AO5" s="363"/>
      <c r="AP5" s="363"/>
      <c r="AR5" s="363"/>
      <c r="AS5" s="363"/>
      <c r="AT5" s="363"/>
      <c r="AU5" s="363"/>
      <c r="AW5" s="363"/>
      <c r="AX5" s="363"/>
      <c r="AY5" s="363"/>
      <c r="AZ5" s="363"/>
      <c r="BB5" s="363"/>
      <c r="BC5" s="363"/>
      <c r="BD5" s="363"/>
      <c r="BE5" s="363"/>
      <c r="BG5" s="363"/>
      <c r="BH5" s="363"/>
      <c r="BI5" s="363"/>
      <c r="BJ5" s="363"/>
      <c r="BL5" s="363"/>
      <c r="BM5" s="363"/>
      <c r="BN5" s="363"/>
      <c r="BO5" s="363"/>
    </row>
    <row r="6" spans="1:67" ht="15">
      <c r="A6" s="107"/>
      <c r="C6" s="60" t="str">
        <f>Dates!M3</f>
        <v>2018 (A)</v>
      </c>
      <c r="D6" s="60"/>
      <c r="E6" s="60"/>
      <c r="F6" s="60"/>
      <c r="G6" s="58"/>
      <c r="H6" s="60" t="str">
        <f>Dates!R3</f>
        <v>2019 (A)</v>
      </c>
      <c r="I6" s="60"/>
      <c r="J6" s="60"/>
      <c r="K6" s="60"/>
      <c r="L6" s="58"/>
      <c r="M6" s="60" t="str">
        <f>Dates!W3</f>
        <v>2020 (A)</v>
      </c>
      <c r="N6" s="60"/>
      <c r="O6" s="60"/>
      <c r="P6" s="60"/>
      <c r="Q6" s="58"/>
      <c r="R6" s="60" t="str">
        <f>Dates!AB3</f>
        <v>2021 (A)</v>
      </c>
      <c r="S6" s="60"/>
      <c r="T6" s="60"/>
      <c r="U6" s="60"/>
      <c r="V6" s="58"/>
      <c r="W6" s="60" t="str">
        <f>Dates!AG3</f>
        <v>2022 (A)</v>
      </c>
      <c r="X6" s="60"/>
      <c r="Y6" s="60"/>
      <c r="Z6" s="60"/>
      <c r="AA6" s="58"/>
      <c r="AB6" s="60" t="str">
        <f>Dates!AL3</f>
        <v>2023 (A)</v>
      </c>
      <c r="AC6" s="60"/>
      <c r="AD6" s="60"/>
      <c r="AE6" s="60"/>
      <c r="AF6" s="58"/>
      <c r="AG6" s="60" t="str">
        <f>Dates!AQ3</f>
        <v>2024 (A)</v>
      </c>
      <c r="AH6" s="60"/>
      <c r="AI6" s="60"/>
      <c r="AJ6" s="60"/>
      <c r="AK6" s="58"/>
      <c r="AL6" s="60" t="str">
        <f>Dates!AV3</f>
        <v>2025 (A)</v>
      </c>
      <c r="AM6" s="60"/>
      <c r="AN6" s="1259"/>
      <c r="AO6" s="60"/>
      <c r="AP6" s="58"/>
      <c r="AQ6" s="60" t="str">
        <f>Dates!BA3</f>
        <v>2026 (E)</v>
      </c>
      <c r="AR6" s="60"/>
      <c r="AS6" s="60"/>
      <c r="AT6" s="60"/>
      <c r="AU6" s="58"/>
      <c r="AV6" s="60" t="str">
        <f>Dates!BF3</f>
        <v>2027 (E)</v>
      </c>
      <c r="AW6" s="60"/>
      <c r="AX6" s="60"/>
      <c r="AY6" s="60"/>
      <c r="AZ6" s="58"/>
      <c r="BA6" s="60" t="str">
        <f>Dates!BK3</f>
        <v>2028 (E)</v>
      </c>
      <c r="BB6" s="60"/>
      <c r="BC6" s="60"/>
      <c r="BD6" s="60"/>
      <c r="BE6" s="58"/>
      <c r="BF6" s="60" t="str">
        <f>Dates!BP3</f>
        <v>2029 (E)</v>
      </c>
      <c r="BG6" s="60"/>
      <c r="BH6" s="60"/>
      <c r="BI6" s="60"/>
      <c r="BJ6" s="58"/>
      <c r="BK6" s="60" t="str">
        <f>Dates!BU3</f>
        <v>2030 (E)</v>
      </c>
      <c r="BL6" s="60"/>
      <c r="BM6" s="60"/>
      <c r="BN6" s="60"/>
      <c r="BO6" s="58"/>
    </row>
    <row r="7" spans="1:67">
      <c r="A7" s="107"/>
      <c r="C7" s="366" t="str">
        <f>Dates!M4</f>
        <v>1Q18 (A)</v>
      </c>
      <c r="D7" s="366" t="str">
        <f>Dates!N4</f>
        <v>2Q18 (A)</v>
      </c>
      <c r="E7" s="366" t="str">
        <f>Dates!O4</f>
        <v>3Q18 (A)</v>
      </c>
      <c r="F7" s="366" t="str">
        <f>Dates!P4</f>
        <v>4Q18 (A)</v>
      </c>
      <c r="G7" s="367" t="str">
        <f>Dates!Q4</f>
        <v>FY18 (A)</v>
      </c>
      <c r="H7" s="366" t="str">
        <f>Dates!R4</f>
        <v>1Q19 (A)</v>
      </c>
      <c r="I7" s="366" t="str">
        <f>Dates!S4</f>
        <v>2Q19 (A)</v>
      </c>
      <c r="J7" s="366" t="str">
        <f>Dates!T4</f>
        <v>3Q19 (A)</v>
      </c>
      <c r="K7" s="366" t="str">
        <f>Dates!U4</f>
        <v>4Q19 (A)</v>
      </c>
      <c r="L7" s="367" t="str">
        <f>Dates!V4</f>
        <v>FY19 (A)</v>
      </c>
      <c r="M7" s="366" t="str">
        <f>Dates!W4</f>
        <v>1Q20 (A)</v>
      </c>
      <c r="N7" s="366" t="str">
        <f>Dates!X4</f>
        <v>2Q20 (A)</v>
      </c>
      <c r="O7" s="366" t="str">
        <f>Dates!Y4</f>
        <v>3Q20 (A)</v>
      </c>
      <c r="P7" s="366" t="str">
        <f>Dates!Z4</f>
        <v>4Q20 (A)</v>
      </c>
      <c r="Q7" s="367" t="str">
        <f>Dates!AA4</f>
        <v>FY20 (A)</v>
      </c>
      <c r="R7" s="366" t="str">
        <f>Dates!AB4</f>
        <v>1Q21 (A)</v>
      </c>
      <c r="S7" s="366" t="str">
        <f>Dates!AC4</f>
        <v>2Q21 (A)</v>
      </c>
      <c r="T7" s="366" t="str">
        <f>Dates!AD4</f>
        <v>3Q21 (A)</v>
      </c>
      <c r="U7" s="366" t="str">
        <f>Dates!AE4</f>
        <v>4Q21 (A)</v>
      </c>
      <c r="V7" s="367" t="str">
        <f>Dates!AF4</f>
        <v>FY21 (A)</v>
      </c>
      <c r="W7" s="366" t="str">
        <f>Dates!AG4</f>
        <v>1Q22 (A)</v>
      </c>
      <c r="X7" s="366" t="str">
        <f>Dates!AH4</f>
        <v>2Q22 (A)</v>
      </c>
      <c r="Y7" s="366" t="str">
        <f>Dates!AI4</f>
        <v>3Q22 (A)</v>
      </c>
      <c r="Z7" s="366" t="str">
        <f>Dates!AJ4</f>
        <v>4Q22 (A)</v>
      </c>
      <c r="AA7" s="367" t="str">
        <f>Dates!AK4</f>
        <v>FY22 (A)</v>
      </c>
      <c r="AB7" s="366" t="str">
        <f>Dates!AL4</f>
        <v>1Q23 (A)</v>
      </c>
      <c r="AC7" s="366" t="str">
        <f>Dates!AM4</f>
        <v>2Q23 (A)</v>
      </c>
      <c r="AD7" s="366" t="str">
        <f>Dates!AN4</f>
        <v>3Q23 (A)</v>
      </c>
      <c r="AE7" s="366" t="str">
        <f>Dates!AO4</f>
        <v>4Q23 (A)</v>
      </c>
      <c r="AF7" s="367" t="str">
        <f>Dates!AP4</f>
        <v>FY23 (A)</v>
      </c>
      <c r="AG7" s="366" t="str">
        <f>Dates!AQ4</f>
        <v>1Q24 (A)</v>
      </c>
      <c r="AH7" s="366" t="str">
        <f>Dates!AR4</f>
        <v>2Q24 (A)</v>
      </c>
      <c r="AI7" s="366" t="str">
        <f>Dates!AS4</f>
        <v>3Q24 (A)</v>
      </c>
      <c r="AJ7" s="366" t="str">
        <f>Dates!AT4</f>
        <v>4Q24 (A)</v>
      </c>
      <c r="AK7" s="367" t="str">
        <f>Dates!AU4</f>
        <v>FY24 (A)</v>
      </c>
      <c r="AL7" s="366" t="str">
        <f>Dates!AV4</f>
        <v>1Q25 (A)</v>
      </c>
      <c r="AM7" s="366" t="str">
        <f>Dates!AW4</f>
        <v>2Q25 (A)</v>
      </c>
      <c r="AN7" s="1260" t="str">
        <f>Dates!AX4</f>
        <v>3Q25 (A)</v>
      </c>
      <c r="AO7" s="366" t="str">
        <f>Dates!AY4</f>
        <v>4Q25 (A)</v>
      </c>
      <c r="AP7" s="367" t="str">
        <f>Dates!AZ4</f>
        <v>FY25 (A)</v>
      </c>
      <c r="AQ7" s="366" t="str">
        <f>Dates!BA4</f>
        <v>1Q26 (A)</v>
      </c>
      <c r="AR7" s="366" t="str">
        <f>Dates!BB4</f>
        <v>2Q26 (A)</v>
      </c>
      <c r="AS7" s="366" t="str">
        <f>Dates!BC4</f>
        <v>3Q26 (A)</v>
      </c>
      <c r="AT7" s="366" t="str">
        <f>Dates!BD4</f>
        <v>4Q26 (E)</v>
      </c>
      <c r="AU7" s="367" t="str">
        <f>Dates!BE4</f>
        <v>FY26 (E)</v>
      </c>
      <c r="AV7" s="366" t="str">
        <f>Dates!BF4</f>
        <v>1Q27 (E)</v>
      </c>
      <c r="AW7" s="366" t="str">
        <f>Dates!BG4</f>
        <v>2Q27 (E)</v>
      </c>
      <c r="AX7" s="366" t="str">
        <f>Dates!BH4</f>
        <v>3Q27 (E)</v>
      </c>
      <c r="AY7" s="366" t="str">
        <f>Dates!BI4</f>
        <v>4Q27 (E)</v>
      </c>
      <c r="AZ7" s="367" t="str">
        <f>Dates!BJ4</f>
        <v>FY27 (E)</v>
      </c>
      <c r="BA7" s="366" t="str">
        <f>Dates!BK4</f>
        <v>1Q28 (E)</v>
      </c>
      <c r="BB7" s="366" t="str">
        <f>Dates!BL4</f>
        <v>2Q28 (E)</v>
      </c>
      <c r="BC7" s="366" t="str">
        <f>Dates!BM4</f>
        <v>3Q28 (E)</v>
      </c>
      <c r="BD7" s="366" t="str">
        <f>Dates!BN4</f>
        <v>4Q28 (E)</v>
      </c>
      <c r="BE7" s="367" t="str">
        <f>Dates!BO4</f>
        <v>FY28 (E)</v>
      </c>
      <c r="BF7" s="366" t="str">
        <f>Dates!BP4</f>
        <v>1Q29 (E)</v>
      </c>
      <c r="BG7" s="366" t="str">
        <f>Dates!BQ4</f>
        <v>2Q29 (E)</v>
      </c>
      <c r="BH7" s="366" t="str">
        <f>Dates!BR4</f>
        <v>3Q29 (E)</v>
      </c>
      <c r="BI7" s="366" t="str">
        <f>Dates!BS4</f>
        <v>4Q29 (E)</v>
      </c>
      <c r="BJ7" s="367" t="str">
        <f>Dates!BT4</f>
        <v>FY29 (E)</v>
      </c>
      <c r="BK7" s="366" t="str">
        <f>Dates!BU4</f>
        <v>1Q30 (E)</v>
      </c>
      <c r="BL7" s="366" t="str">
        <f>Dates!BV4</f>
        <v>2Q30 (E)</v>
      </c>
      <c r="BM7" s="366" t="str">
        <f>Dates!BW4</f>
        <v>3Q30 (E)</v>
      </c>
      <c r="BN7" s="366" t="str">
        <f>Dates!BX4</f>
        <v>4Q30 (E)</v>
      </c>
      <c r="BO7" s="367" t="str">
        <f>Dates!BY4</f>
        <v>FY30 (E)</v>
      </c>
    </row>
    <row r="8" spans="1:67">
      <c r="A8" s="107"/>
      <c r="C8" s="368">
        <f>Dates!M5</f>
        <v>42855</v>
      </c>
      <c r="D8" s="368">
        <f>Dates!N5</f>
        <v>42947</v>
      </c>
      <c r="E8" s="368">
        <f>Dates!O5</f>
        <v>43039</v>
      </c>
      <c r="F8" s="368">
        <f>Dates!P5</f>
        <v>43131</v>
      </c>
      <c r="G8" s="369">
        <f>Dates!Q5</f>
        <v>43131</v>
      </c>
      <c r="H8" s="368">
        <f>Dates!R5</f>
        <v>43220</v>
      </c>
      <c r="I8" s="368">
        <f>Dates!S5</f>
        <v>43312</v>
      </c>
      <c r="J8" s="368">
        <f>Dates!T5</f>
        <v>43404</v>
      </c>
      <c r="K8" s="368">
        <f>Dates!U5</f>
        <v>43496</v>
      </c>
      <c r="L8" s="369">
        <f>Dates!V5</f>
        <v>43496</v>
      </c>
      <c r="M8" s="368">
        <f>Dates!W5</f>
        <v>43585</v>
      </c>
      <c r="N8" s="368">
        <f>Dates!X5</f>
        <v>43677</v>
      </c>
      <c r="O8" s="368">
        <f>Dates!Y5</f>
        <v>43769</v>
      </c>
      <c r="P8" s="368">
        <f>Dates!Z5</f>
        <v>43861</v>
      </c>
      <c r="Q8" s="369">
        <f>Dates!AA5</f>
        <v>43861</v>
      </c>
      <c r="R8" s="368">
        <f>Dates!AB5</f>
        <v>43951</v>
      </c>
      <c r="S8" s="368">
        <f>Dates!AC5</f>
        <v>44043</v>
      </c>
      <c r="T8" s="368">
        <f>Dates!AD5</f>
        <v>44135</v>
      </c>
      <c r="U8" s="368">
        <f>Dates!AE5</f>
        <v>44227</v>
      </c>
      <c r="V8" s="369">
        <f>Dates!AF5</f>
        <v>44227</v>
      </c>
      <c r="W8" s="368">
        <f>Dates!AG5</f>
        <v>44316</v>
      </c>
      <c r="X8" s="368">
        <f>Dates!AH5</f>
        <v>44408</v>
      </c>
      <c r="Y8" s="368">
        <f>Dates!AI5</f>
        <v>44500</v>
      </c>
      <c r="Z8" s="368">
        <f>Dates!AJ5</f>
        <v>44592</v>
      </c>
      <c r="AA8" s="369">
        <f>Dates!AK5</f>
        <v>44592</v>
      </c>
      <c r="AB8" s="368">
        <f>Dates!AL5</f>
        <v>44681</v>
      </c>
      <c r="AC8" s="368">
        <f>Dates!AM5</f>
        <v>44773</v>
      </c>
      <c r="AD8" s="368">
        <f>Dates!AN5</f>
        <v>44865</v>
      </c>
      <c r="AE8" s="368">
        <f>Dates!AO5</f>
        <v>44957</v>
      </c>
      <c r="AF8" s="369">
        <f>Dates!AP5</f>
        <v>44957</v>
      </c>
      <c r="AG8" s="368">
        <f>Dates!AQ5</f>
        <v>45046</v>
      </c>
      <c r="AH8" s="368">
        <f>Dates!AR5</f>
        <v>45138</v>
      </c>
      <c r="AI8" s="368">
        <f>Dates!AS5</f>
        <v>45230</v>
      </c>
      <c r="AJ8" s="368">
        <f>Dates!AT5</f>
        <v>45322</v>
      </c>
      <c r="AK8" s="369">
        <f>Dates!AU5</f>
        <v>45322</v>
      </c>
      <c r="AL8" s="368">
        <f>Dates!AV5</f>
        <v>45412</v>
      </c>
      <c r="AM8" s="368">
        <f>Dates!AW5</f>
        <v>45504</v>
      </c>
      <c r="AN8" s="1185">
        <f>Dates!AX5</f>
        <v>45596</v>
      </c>
      <c r="AO8" s="368">
        <f>Dates!AY5</f>
        <v>45688</v>
      </c>
      <c r="AP8" s="369">
        <f>Dates!AZ5</f>
        <v>45688</v>
      </c>
      <c r="AQ8" s="368">
        <f>Dates!BA5</f>
        <v>45777</v>
      </c>
      <c r="AR8" s="368">
        <f>Dates!BB5</f>
        <v>45869</v>
      </c>
      <c r="AS8" s="368">
        <f>Dates!BC5</f>
        <v>45961</v>
      </c>
      <c r="AT8" s="368">
        <f>Dates!BD5</f>
        <v>46053</v>
      </c>
      <c r="AU8" s="369">
        <f>Dates!BE5</f>
        <v>46053</v>
      </c>
      <c r="AV8" s="368">
        <f>Dates!BF5</f>
        <v>46142</v>
      </c>
      <c r="AW8" s="368">
        <f>Dates!BG5</f>
        <v>46234</v>
      </c>
      <c r="AX8" s="368">
        <f>Dates!BH5</f>
        <v>46326</v>
      </c>
      <c r="AY8" s="368">
        <f>Dates!BI5</f>
        <v>46418</v>
      </c>
      <c r="AZ8" s="369">
        <f>Dates!BJ5</f>
        <v>46418</v>
      </c>
      <c r="BA8" s="368">
        <f>Dates!BK5</f>
        <v>46507</v>
      </c>
      <c r="BB8" s="368">
        <f>Dates!BL5</f>
        <v>46599</v>
      </c>
      <c r="BC8" s="368">
        <f>Dates!BM5</f>
        <v>46691</v>
      </c>
      <c r="BD8" s="368">
        <f>Dates!BN5</f>
        <v>46783</v>
      </c>
      <c r="BE8" s="369">
        <f>Dates!BO5</f>
        <v>46783</v>
      </c>
      <c r="BF8" s="368">
        <f>Dates!BP5</f>
        <v>46873</v>
      </c>
      <c r="BG8" s="368">
        <f>Dates!BQ5</f>
        <v>46965</v>
      </c>
      <c r="BH8" s="368">
        <f>Dates!BR5</f>
        <v>47057</v>
      </c>
      <c r="BI8" s="368">
        <f>Dates!BS5</f>
        <v>47149</v>
      </c>
      <c r="BJ8" s="369">
        <f>Dates!BT5</f>
        <v>47149</v>
      </c>
      <c r="BK8" s="368">
        <f>Dates!BU5</f>
        <v>47238</v>
      </c>
      <c r="BL8" s="368">
        <f>Dates!BV5</f>
        <v>47330</v>
      </c>
      <c r="BM8" s="368">
        <f>Dates!BW5</f>
        <v>47422</v>
      </c>
      <c r="BN8" s="368">
        <f>Dates!BX5</f>
        <v>47514</v>
      </c>
      <c r="BO8" s="369">
        <f>Dates!BY5</f>
        <v>47514</v>
      </c>
    </row>
    <row r="9" spans="1:67">
      <c r="A9" s="107"/>
      <c r="C9" s="368"/>
      <c r="D9" s="368"/>
      <c r="E9" s="368"/>
      <c r="F9" s="368"/>
      <c r="G9" s="369"/>
      <c r="H9" s="368"/>
      <c r="I9" s="368"/>
      <c r="J9" s="368"/>
      <c r="K9" s="368"/>
      <c r="L9" s="369"/>
      <c r="M9" s="368"/>
      <c r="N9" s="368"/>
      <c r="O9" s="368"/>
      <c r="P9" s="368"/>
      <c r="Q9" s="369"/>
      <c r="R9" s="368"/>
      <c r="S9" s="368"/>
      <c r="T9" s="368"/>
      <c r="U9" s="368"/>
      <c r="V9" s="369"/>
      <c r="W9" s="368"/>
      <c r="X9" s="368"/>
      <c r="Y9" s="368"/>
      <c r="Z9" s="368"/>
      <c r="AA9" s="369"/>
      <c r="AB9" s="368"/>
      <c r="AC9" s="368"/>
      <c r="AD9" s="368"/>
      <c r="AE9" s="368"/>
      <c r="AF9" s="369"/>
      <c r="AG9" s="368"/>
      <c r="AH9" s="368"/>
      <c r="AI9" s="368"/>
      <c r="AJ9" s="368"/>
      <c r="AK9" s="369"/>
      <c r="AL9" s="368"/>
      <c r="AM9" s="368"/>
      <c r="AN9" s="1185"/>
      <c r="AO9" s="368"/>
      <c r="AP9" s="369"/>
      <c r="AQ9" s="368"/>
      <c r="AR9" s="368"/>
      <c r="AS9" s="368"/>
      <c r="AT9" s="368"/>
      <c r="AU9" s="369"/>
      <c r="AV9" s="368"/>
      <c r="AW9" s="368"/>
      <c r="AX9" s="368"/>
      <c r="AY9" s="368"/>
      <c r="AZ9" s="369"/>
      <c r="BA9" s="368"/>
      <c r="BB9" s="368"/>
      <c r="BC9" s="368"/>
      <c r="BD9" s="368"/>
      <c r="BE9" s="369"/>
      <c r="BF9" s="368"/>
      <c r="BG9" s="368"/>
      <c r="BH9" s="368"/>
      <c r="BI9" s="368"/>
      <c r="BJ9" s="369"/>
      <c r="BK9" s="368"/>
      <c r="BL9" s="368"/>
      <c r="BM9" s="368"/>
      <c r="BN9" s="368"/>
      <c r="BO9" s="369"/>
    </row>
    <row r="10" spans="1:67" s="377" customFormat="1">
      <c r="A10" s="351"/>
      <c r="B10" s="985" t="s">
        <v>2</v>
      </c>
      <c r="C10" s="612">
        <f>SUM(C14,C19)</f>
        <v>0</v>
      </c>
      <c r="D10" s="612">
        <f>SUM(D14,D19)</f>
        <v>0</v>
      </c>
      <c r="E10" s="612">
        <f>SUM(E14,E19)</f>
        <v>0</v>
      </c>
      <c r="F10" s="612">
        <f>SUM(F14,F19)</f>
        <v>0</v>
      </c>
      <c r="G10" s="633">
        <f>SUM(C10:F10)</f>
        <v>0</v>
      </c>
      <c r="H10" s="612">
        <f>SUM(H14,H19)</f>
        <v>13.403</v>
      </c>
      <c r="I10" s="612">
        <f>SUM(I14,I19)</f>
        <v>17.905000000000001</v>
      </c>
      <c r="J10" s="612">
        <f>SUM(J14,J19)</f>
        <v>28.68</v>
      </c>
      <c r="K10" s="612">
        <f>SUM(K14,K19)</f>
        <v>36.678000000000004</v>
      </c>
      <c r="L10" s="633">
        <f>SUM(H10:K10)</f>
        <v>96.665999999999997</v>
      </c>
      <c r="M10" s="612">
        <f>SUM(M14,M19)</f>
        <v>43.704999999999998</v>
      </c>
      <c r="N10" s="612">
        <f>SUM(N14,N19)</f>
        <v>60.338999999999999</v>
      </c>
      <c r="O10" s="612">
        <f>SUM(O14,O19)</f>
        <v>73.012</v>
      </c>
      <c r="P10" s="612">
        <f>SUM(P14,P19)</f>
        <v>87.692000000000007</v>
      </c>
      <c r="Q10" s="633">
        <f>SUM(M10:P10)</f>
        <v>264.74799999999999</v>
      </c>
      <c r="R10" s="612">
        <f>SUM(R14,R19)</f>
        <v>108.815</v>
      </c>
      <c r="S10" s="612">
        <f>SUM(S14,S19)</f>
        <v>133.14499999999998</v>
      </c>
      <c r="T10" s="612">
        <f>SUM(T14,T19)</f>
        <v>159.62400000000002</v>
      </c>
      <c r="U10" s="612">
        <f>SUM(U14,U19)</f>
        <v>190.465</v>
      </c>
      <c r="V10" s="633">
        <f>SUM(R10:U10)</f>
        <v>592.04899999999998</v>
      </c>
      <c r="W10" s="612">
        <f>SUM(W14,W19)</f>
        <v>228.91400000000002</v>
      </c>
      <c r="X10" s="612">
        <f>SUM(X14,X19)</f>
        <v>272.19799999999998</v>
      </c>
      <c r="Y10" s="612">
        <f>SUM(Y14,Y19)</f>
        <v>334.44100000000003</v>
      </c>
      <c r="Z10" s="612">
        <f>SUM(Z14,Z19)</f>
        <v>383.774</v>
      </c>
      <c r="AA10" s="633">
        <f>SUM(W10:Z10)</f>
        <v>1219.327</v>
      </c>
      <c r="AB10" s="612">
        <f>SUM(AB14,AB19)</f>
        <v>422.37100000000004</v>
      </c>
      <c r="AC10" s="612">
        <f>SUM(AC14,AC19)</f>
        <v>497.24799999999999</v>
      </c>
      <c r="AD10" s="612">
        <f>SUM(AD14,AD19)</f>
        <v>557.02799999999991</v>
      </c>
      <c r="AE10" s="612">
        <f>SUM(AE14,AE19)</f>
        <v>589.01199999999994</v>
      </c>
      <c r="AF10" s="633">
        <f>SUM(AB10:AE10)</f>
        <v>2065.6589999999997</v>
      </c>
      <c r="AG10" s="612">
        <f>SUM(AG14,AG19)</f>
        <v>623.59900000000005</v>
      </c>
      <c r="AH10" s="612">
        <f>SUM(AH14,AH19)</f>
        <v>674.01799999999992</v>
      </c>
      <c r="AI10" s="612">
        <f>SUM(AI14,AI19)</f>
        <v>734.173</v>
      </c>
      <c r="AJ10" s="612">
        <f>SUM(AJ14,AJ19)</f>
        <v>774.69900000000007</v>
      </c>
      <c r="AK10" s="633">
        <f>SUM(AG10:AJ10)</f>
        <v>2806.489</v>
      </c>
      <c r="AL10" s="612">
        <f>SUM(AL14,AL19)</f>
        <v>828.70899999999995</v>
      </c>
      <c r="AM10" s="612">
        <f>SUM(AM14,AM19)</f>
        <v>868.82299999999998</v>
      </c>
      <c r="AN10" s="1337">
        <f>SUM(AN14,AN19)</f>
        <v>942.09400000000005</v>
      </c>
      <c r="AO10" s="612">
        <f>SUM(AO14,AO19)</f>
        <v>986.77</v>
      </c>
      <c r="AP10" s="633">
        <f>SUM(AL10:AO10)</f>
        <v>3626.3960000000002</v>
      </c>
      <c r="AQ10" s="612">
        <f>SUM(AQ14,AQ19)</f>
        <v>1042.0740000000001</v>
      </c>
      <c r="AR10" s="1337">
        <f>SUM(AR14,AR19)</f>
        <v>1144.9690000000001</v>
      </c>
      <c r="AS10" s="1337">
        <f>SUM(AS14,AS19)</f>
        <v>1212.9089999999999</v>
      </c>
      <c r="AT10" s="612">
        <f>SUM(AT14,AT19)</f>
        <v>1248.8030560010045</v>
      </c>
      <c r="AU10" s="633">
        <f>SUM(AQ10:AT10)</f>
        <v>4648.755056001005</v>
      </c>
      <c r="AV10" s="612">
        <f>SUM(AV14,AV19)</f>
        <v>1313.0109719722818</v>
      </c>
      <c r="AW10" s="612">
        <f>SUM(AW14,AW19)</f>
        <v>1415.0354199515693</v>
      </c>
      <c r="AX10" s="612">
        <f>SUM(AX14,AX19)</f>
        <v>1502.3143250154637</v>
      </c>
      <c r="AY10" s="612">
        <f>SUM(AY14,AY19)</f>
        <v>1549.2271503589259</v>
      </c>
      <c r="AZ10" s="633">
        <f>SUM(AV10:AY10)</f>
        <v>5779.5878672982399</v>
      </c>
      <c r="BA10" s="612">
        <f>SUM(BA14,BA19)</f>
        <v>1629.2553267969927</v>
      </c>
      <c r="BB10" s="612">
        <f>SUM(BB14,BB19)</f>
        <v>1760.8179210723133</v>
      </c>
      <c r="BC10" s="612">
        <f>SUM(BC14,BC19)</f>
        <v>1874.5413502166089</v>
      </c>
      <c r="BD10" s="612">
        <f>SUM(BD14,BD19)</f>
        <v>1913.7313599297675</v>
      </c>
      <c r="BE10" s="633">
        <f>SUM(BA10:BD10)</f>
        <v>7178.3459580156823</v>
      </c>
      <c r="BF10" s="612">
        <f>SUM(BF14,BF19)</f>
        <v>1996.5101842221654</v>
      </c>
      <c r="BG10" s="612">
        <f>SUM(BG14,BG19)</f>
        <v>2152.7279867089919</v>
      </c>
      <c r="BH10" s="612">
        <f>SUM(BH14,BH19)</f>
        <v>2332.7605630627686</v>
      </c>
      <c r="BI10" s="612">
        <f>SUM(BI14,BI19)</f>
        <v>2391.9908531909532</v>
      </c>
      <c r="BJ10" s="633">
        <f>SUM(BF10:BI10)</f>
        <v>8873.9895871848785</v>
      </c>
      <c r="BK10" s="612">
        <f>SUM(BK14,BK19)</f>
        <v>2482.3191606008099</v>
      </c>
      <c r="BL10" s="612">
        <f>SUM(BL14,BL19)</f>
        <v>2642.738930392944</v>
      </c>
      <c r="BM10" s="612">
        <f>SUM(BM14,BM19)</f>
        <v>2883.1165247796034</v>
      </c>
      <c r="BN10" s="612">
        <f>SUM(BN14,BN19)</f>
        <v>2925.8127729876887</v>
      </c>
      <c r="BO10" s="633">
        <f>SUM(BK10:BN10)</f>
        <v>10933.987388761047</v>
      </c>
    </row>
    <row r="11" spans="1:67" s="92" customFormat="1">
      <c r="A11" s="575"/>
      <c r="B11" s="1079" t="s">
        <v>204</v>
      </c>
      <c r="C11" s="667" t="s">
        <v>36</v>
      </c>
      <c r="D11" s="668" t="s">
        <v>36</v>
      </c>
      <c r="E11" s="668" t="s">
        <v>36</v>
      </c>
      <c r="F11" s="668" t="s">
        <v>36</v>
      </c>
      <c r="G11" s="669" t="s">
        <v>36</v>
      </c>
      <c r="H11" s="668" t="str">
        <f t="shared" ref="H11:AM11" si="0">IFERROR(H10/C10-1,"--")</f>
        <v>--</v>
      </c>
      <c r="I11" s="668" t="str">
        <f t="shared" si="0"/>
        <v>--</v>
      </c>
      <c r="J11" s="668" t="str">
        <f t="shared" si="0"/>
        <v>--</v>
      </c>
      <c r="K11" s="668" t="str">
        <f t="shared" si="0"/>
        <v>--</v>
      </c>
      <c r="L11" s="669" t="str">
        <f t="shared" si="0"/>
        <v>--</v>
      </c>
      <c r="M11" s="668">
        <f t="shared" si="0"/>
        <v>2.2608371260165634</v>
      </c>
      <c r="N11" s="668">
        <f t="shared" si="0"/>
        <v>2.3699525272270314</v>
      </c>
      <c r="O11" s="668">
        <f t="shared" si="0"/>
        <v>1.5457461645746164</v>
      </c>
      <c r="P11" s="668">
        <f t="shared" si="0"/>
        <v>1.3908610065979605</v>
      </c>
      <c r="Q11" s="669">
        <f t="shared" si="0"/>
        <v>1.7387913020089796</v>
      </c>
      <c r="R11" s="668">
        <f t="shared" si="0"/>
        <v>1.4897608969225491</v>
      </c>
      <c r="S11" s="668">
        <f t="shared" si="0"/>
        <v>1.2066159531977658</v>
      </c>
      <c r="T11" s="668">
        <f t="shared" si="0"/>
        <v>1.1862707500136969</v>
      </c>
      <c r="U11" s="668">
        <f t="shared" si="0"/>
        <v>1.1719769192172604</v>
      </c>
      <c r="V11" s="669">
        <f t="shared" si="0"/>
        <v>1.2362737395561063</v>
      </c>
      <c r="W11" s="668">
        <f t="shared" si="0"/>
        <v>1.1036989385654552</v>
      </c>
      <c r="X11" s="668">
        <f t="shared" si="0"/>
        <v>1.0443726764054229</v>
      </c>
      <c r="Y11" s="668">
        <f t="shared" si="0"/>
        <v>1.0951799228186236</v>
      </c>
      <c r="Z11" s="668">
        <f t="shared" si="0"/>
        <v>1.0149318772477884</v>
      </c>
      <c r="AA11" s="669">
        <f t="shared" si="0"/>
        <v>1.0595035208234456</v>
      </c>
      <c r="AB11" s="668">
        <f t="shared" si="0"/>
        <v>0.84510776973011703</v>
      </c>
      <c r="AC11" s="668">
        <f t="shared" si="0"/>
        <v>0.8267878529599777</v>
      </c>
      <c r="AD11" s="668">
        <f t="shared" si="0"/>
        <v>0.6655493794122127</v>
      </c>
      <c r="AE11" s="668">
        <f t="shared" si="0"/>
        <v>0.53478870376836363</v>
      </c>
      <c r="AF11" s="669">
        <f t="shared" si="0"/>
        <v>0.69409764566847088</v>
      </c>
      <c r="AG11" s="668">
        <f t="shared" si="0"/>
        <v>0.47642475454043964</v>
      </c>
      <c r="AH11" s="668">
        <f t="shared" si="0"/>
        <v>0.35549665358131133</v>
      </c>
      <c r="AI11" s="668">
        <f t="shared" si="0"/>
        <v>0.31801812476213076</v>
      </c>
      <c r="AJ11" s="668">
        <f t="shared" si="0"/>
        <v>0.31525164173225706</v>
      </c>
      <c r="AK11" s="669">
        <f t="shared" si="0"/>
        <v>0.35864099544019634</v>
      </c>
      <c r="AL11" s="668">
        <f t="shared" si="0"/>
        <v>0.32891329203542652</v>
      </c>
      <c r="AM11" s="668">
        <f t="shared" si="0"/>
        <v>0.28902047126337882</v>
      </c>
      <c r="AN11" s="1187">
        <f t="shared" ref="AN11:BJ11" si="1">IFERROR(AN10/AI10-1,"--")</f>
        <v>0.2832043673630058</v>
      </c>
      <c r="AO11" s="668">
        <f>IFERROR(AO10/AJ10-1,"--")</f>
        <v>0.27374631953829787</v>
      </c>
      <c r="AP11" s="669">
        <f>IFERROR(AP10/AK10-1,"--")</f>
        <v>0.29214687818124352</v>
      </c>
      <c r="AQ11" s="668">
        <f t="shared" si="1"/>
        <v>0.25746673440254675</v>
      </c>
      <c r="AR11" s="1187">
        <f t="shared" si="1"/>
        <v>0.31783919164202623</v>
      </c>
      <c r="AS11" s="1187">
        <f t="shared" si="1"/>
        <v>0.28746069925081774</v>
      </c>
      <c r="AT11" s="668">
        <f t="shared" si="1"/>
        <v>0.26554623265908428</v>
      </c>
      <c r="AU11" s="669">
        <f t="shared" si="1"/>
        <v>0.28192151546632105</v>
      </c>
      <c r="AV11" s="668">
        <f t="shared" si="1"/>
        <v>0.25999782354447154</v>
      </c>
      <c r="AW11" s="668">
        <f t="shared" si="1"/>
        <v>0.23587225501438835</v>
      </c>
      <c r="AX11" s="668">
        <f t="shared" si="1"/>
        <v>0.23860431822623451</v>
      </c>
      <c r="AY11" s="668">
        <f t="shared" si="1"/>
        <v>0.24056963419032473</v>
      </c>
      <c r="AZ11" s="669">
        <f t="shared" si="1"/>
        <v>0.24325497852106892</v>
      </c>
      <c r="BA11" s="668">
        <f t="shared" si="1"/>
        <v>0.24085431239746469</v>
      </c>
      <c r="BB11" s="668">
        <f t="shared" si="1"/>
        <v>0.2443631419011254</v>
      </c>
      <c r="BC11" s="668">
        <f t="shared" si="1"/>
        <v>0.24776907136082427</v>
      </c>
      <c r="BD11" s="668">
        <f t="shared" si="1"/>
        <v>0.23528132042250416</v>
      </c>
      <c r="BE11" s="669">
        <f t="shared" si="1"/>
        <v>0.24201692626421023</v>
      </c>
      <c r="BF11" s="668">
        <f t="shared" si="1"/>
        <v>0.22541270934321345</v>
      </c>
      <c r="BG11" s="668">
        <f t="shared" si="1"/>
        <v>0.22257273790012944</v>
      </c>
      <c r="BH11" s="668">
        <f t="shared" si="1"/>
        <v>0.24444337426496943</v>
      </c>
      <c r="BI11" s="668">
        <f t="shared" si="1"/>
        <v>0.24990941951159629</v>
      </c>
      <c r="BJ11" s="669">
        <f t="shared" si="1"/>
        <v>0.23621648205402535</v>
      </c>
      <c r="BK11" s="668">
        <f>IFERROR(BK10/BF10-1,"--")</f>
        <v>0.24332907501191348</v>
      </c>
      <c r="BL11" s="668">
        <f>IFERROR(BL10/BG10-1,"--")</f>
        <v>0.22762325138582051</v>
      </c>
      <c r="BM11" s="668">
        <f>IFERROR(BM10/BH10-1,"--")</f>
        <v>0.23592475388655054</v>
      </c>
      <c r="BN11" s="668">
        <f>IFERROR(BN10/BI10-1,"--")</f>
        <v>0.22317055229730864</v>
      </c>
      <c r="BO11" s="669">
        <f>IFERROR(BO10/BJ10-1,"--")</f>
        <v>0.23213885720026717</v>
      </c>
    </row>
    <row r="12" spans="1:67" s="92" customFormat="1">
      <c r="A12" s="575"/>
      <c r="B12" s="1079" t="s">
        <v>205</v>
      </c>
      <c r="C12" s="667" t="s">
        <v>36</v>
      </c>
      <c r="D12" s="668" t="str">
        <f>IFERROR(D10/C10-1,"--")</f>
        <v>--</v>
      </c>
      <c r="E12" s="668" t="str">
        <f>IFERROR(E10/D10-1,"--")</f>
        <v>--</v>
      </c>
      <c r="F12" s="668" t="str">
        <f>IFERROR(F10/E10-1,"--")</f>
        <v>--</v>
      </c>
      <c r="G12" s="670"/>
      <c r="H12" s="667" t="str">
        <f>IFERROR(H10/F10-1,"--")</f>
        <v>--</v>
      </c>
      <c r="I12" s="668">
        <f>IFERROR(I10/H10-1,"--")</f>
        <v>0.33589494889203908</v>
      </c>
      <c r="J12" s="668">
        <f>IFERROR(J10/I10-1,"--")</f>
        <v>0.60178721027645898</v>
      </c>
      <c r="K12" s="668">
        <f>IFERROR(K10/J10-1,"--")</f>
        <v>0.27887029288702947</v>
      </c>
      <c r="L12" s="670"/>
      <c r="M12" s="667">
        <f>IFERROR(M10/K10-1,"--")</f>
        <v>0.1915862369812964</v>
      </c>
      <c r="N12" s="668">
        <f>IFERROR(N10/M10-1,"--")</f>
        <v>0.38059718567669609</v>
      </c>
      <c r="O12" s="668">
        <f>IFERROR(O10/N10-1,"--")</f>
        <v>0.21002999718258519</v>
      </c>
      <c r="P12" s="668">
        <f>IFERROR(P10/O10-1,"--")</f>
        <v>0.20106283898537236</v>
      </c>
      <c r="Q12" s="670"/>
      <c r="R12" s="667">
        <f>IFERROR(R10/P10-1,"--")</f>
        <v>0.24087716097249445</v>
      </c>
      <c r="S12" s="668">
        <f>IFERROR(S10/R10-1,"--")</f>
        <v>0.22359049763359806</v>
      </c>
      <c r="T12" s="668">
        <f>IFERROR(T10/S10-1,"--")</f>
        <v>0.19887340868977454</v>
      </c>
      <c r="U12" s="668">
        <f>IFERROR(U10/T10-1,"--")</f>
        <v>0.19321029419134961</v>
      </c>
      <c r="V12" s="670"/>
      <c r="W12" s="667">
        <f>IFERROR(W10/U10-1,"--")</f>
        <v>0.20186910981020145</v>
      </c>
      <c r="X12" s="668">
        <f>IFERROR(X10/W10-1,"--")</f>
        <v>0.18908411018985283</v>
      </c>
      <c r="Y12" s="668">
        <f>IFERROR(Y10/X10-1,"--")</f>
        <v>0.22866810189641384</v>
      </c>
      <c r="Z12" s="668">
        <f>IFERROR(Z10/Y10-1,"--")</f>
        <v>0.1475088281640109</v>
      </c>
      <c r="AA12" s="670"/>
      <c r="AB12" s="667">
        <f>IFERROR(AB10/Z10-1,"--")</f>
        <v>0.10057221177046927</v>
      </c>
      <c r="AC12" s="668">
        <f>IFERROR(AC10/AB10-1,"--")</f>
        <v>0.17727779606080896</v>
      </c>
      <c r="AD12" s="668">
        <f>IFERROR(AD10/AC10-1,"--")</f>
        <v>0.1202217002381103</v>
      </c>
      <c r="AE12" s="668">
        <f>IFERROR(AE10/AD10-1,"--")</f>
        <v>5.7419016638301956E-2</v>
      </c>
      <c r="AF12" s="670"/>
      <c r="AG12" s="667">
        <f>IFERROR(AG10/AE10-1,"--")</f>
        <v>5.8720365629223448E-2</v>
      </c>
      <c r="AH12" s="668">
        <f>IFERROR(AH10/AG10-1,"--")</f>
        <v>8.0851637029565326E-2</v>
      </c>
      <c r="AI12" s="668">
        <f>IFERROR(AI10/AH10-1,"--")</f>
        <v>8.924835835244771E-2</v>
      </c>
      <c r="AJ12" s="668">
        <f>IFERROR(AJ10/AI10-1,"--")</f>
        <v>5.5199523817955898E-2</v>
      </c>
      <c r="AK12" s="670"/>
      <c r="AL12" s="667">
        <f>IFERROR(AL10/AJ10-1,"--")</f>
        <v>6.9717399919194234E-2</v>
      </c>
      <c r="AM12" s="668">
        <f>IFERROR(AM10/AL10-1,"--")</f>
        <v>4.84054113084329E-2</v>
      </c>
      <c r="AN12" s="1187">
        <f>IFERROR(AN10/AM10-1,"--")</f>
        <v>8.43336329724238E-2</v>
      </c>
      <c r="AO12" s="668">
        <f>IFERROR(AO10/AN10-1,"--")</f>
        <v>4.7422019458779996E-2</v>
      </c>
      <c r="AP12" s="670"/>
      <c r="AQ12" s="667">
        <f>IFERROR(AQ10/AO10-1,"--")</f>
        <v>5.6045481723197899E-2</v>
      </c>
      <c r="AR12" s="1187">
        <f>IFERROR(AR10/AQ10-1,"--")</f>
        <v>9.8740588480280556E-2</v>
      </c>
      <c r="AS12" s="1187">
        <f>IFERROR(AS10/AR10-1,"--")</f>
        <v>5.9337851068456793E-2</v>
      </c>
      <c r="AT12" s="668">
        <f>IFERROR(AT10/AS10-1,"--")</f>
        <v>2.9593362734553486E-2</v>
      </c>
      <c r="AU12" s="670"/>
      <c r="AV12" s="667">
        <f>IFERROR(AV10/AT10-1,"--")</f>
        <v>5.1415566019583636E-2</v>
      </c>
      <c r="AW12" s="668">
        <f>IFERROR(AW10/AV10-1,"--")</f>
        <v>7.7702662168950498E-2</v>
      </c>
      <c r="AX12" s="668">
        <f>IFERROR(AX10/AW10-1,"--")</f>
        <v>6.1679661041192491E-2</v>
      </c>
      <c r="AY12" s="668">
        <f>IFERROR(AY10/AX10-1,"--")</f>
        <v>3.1227037220043385E-2</v>
      </c>
      <c r="AZ12" s="670"/>
      <c r="BA12" s="667">
        <f>IFERROR(BA10/AY10-1,"--")</f>
        <v>5.1656838327114096E-2</v>
      </c>
      <c r="BB12" s="668">
        <f>IFERROR(BB10/BA10-1,"--")</f>
        <v>8.0750139104325713E-2</v>
      </c>
      <c r="BC12" s="668">
        <f>IFERROR(BC10/BB10-1,"--")</f>
        <v>6.4585570025911254E-2</v>
      </c>
      <c r="BD12" s="668">
        <f>IFERROR(BD10/BC10-1,"--")</f>
        <v>2.0906452508305584E-2</v>
      </c>
      <c r="BE12" s="670"/>
      <c r="BF12" s="667">
        <f>IFERROR(BF10/BD10-1,"--")</f>
        <v>4.3255195596228146E-2</v>
      </c>
      <c r="BG12" s="668">
        <f>IFERROR(BG10/BF10-1,"--")</f>
        <v>7.8245432315532382E-2</v>
      </c>
      <c r="BH12" s="668">
        <f>IFERROR(BH10/BG10-1,"--")</f>
        <v>8.3629969724602127E-2</v>
      </c>
      <c r="BI12" s="668">
        <f>IFERROR(BI10/BH10-1,"--")</f>
        <v>2.5390642771506267E-2</v>
      </c>
      <c r="BJ12" s="670"/>
      <c r="BK12" s="667">
        <f>IFERROR(BK10/BI10-1,"--")</f>
        <v>3.7762814723709015E-2</v>
      </c>
      <c r="BL12" s="668">
        <f>IFERROR(BL10/BK10-1,"--")</f>
        <v>6.4624957313428988E-2</v>
      </c>
      <c r="BM12" s="668">
        <f>IFERROR(BM10/BL10-1,"--")</f>
        <v>9.0957752815529869E-2</v>
      </c>
      <c r="BN12" s="668">
        <f>IFERROR(BN10/BM10-1,"--")</f>
        <v>1.4809060903755666E-2</v>
      </c>
      <c r="BO12" s="670"/>
    </row>
    <row r="13" spans="1:67">
      <c r="A13" s="107"/>
      <c r="C13" s="368"/>
      <c r="D13" s="368"/>
      <c r="E13" s="368"/>
      <c r="F13" s="368"/>
      <c r="G13" s="369"/>
      <c r="H13" s="368"/>
      <c r="I13" s="368"/>
      <c r="J13" s="368"/>
      <c r="K13" s="368"/>
      <c r="L13" s="369"/>
      <c r="M13" s="368"/>
      <c r="N13" s="368"/>
      <c r="O13" s="368"/>
      <c r="P13" s="368"/>
      <c r="Q13" s="369"/>
      <c r="R13" s="368"/>
      <c r="S13" s="368"/>
      <c r="T13" s="368"/>
      <c r="U13" s="368"/>
      <c r="V13" s="369"/>
      <c r="W13" s="368"/>
      <c r="X13" s="368"/>
      <c r="Y13" s="368"/>
      <c r="Z13" s="368"/>
      <c r="AA13" s="369"/>
      <c r="AB13" s="368"/>
      <c r="AC13" s="368"/>
      <c r="AD13" s="368"/>
      <c r="AE13" s="368"/>
      <c r="AF13" s="369"/>
      <c r="AG13" s="368"/>
      <c r="AH13" s="368"/>
      <c r="AI13" s="368"/>
      <c r="AJ13" s="368"/>
      <c r="AK13" s="369"/>
      <c r="AL13" s="368"/>
      <c r="AM13" s="368"/>
      <c r="AN13" s="1185"/>
      <c r="AO13" s="368"/>
      <c r="AP13" s="369"/>
      <c r="AQ13" s="368"/>
      <c r="AR13" s="1185"/>
      <c r="AS13" s="1185"/>
      <c r="AT13" s="368"/>
      <c r="AU13" s="369"/>
      <c r="AV13" s="368"/>
      <c r="AW13" s="368"/>
      <c r="AX13" s="368"/>
      <c r="AY13" s="368"/>
      <c r="AZ13" s="369"/>
      <c r="BA13" s="368"/>
      <c r="BB13" s="368"/>
      <c r="BC13" s="368"/>
      <c r="BD13" s="368"/>
      <c r="BE13" s="369"/>
      <c r="BF13" s="368"/>
      <c r="BG13" s="368"/>
      <c r="BH13" s="368"/>
      <c r="BI13" s="368"/>
      <c r="BJ13" s="369"/>
      <c r="BK13" s="368"/>
      <c r="BL13" s="368"/>
      <c r="BM13" s="368"/>
      <c r="BN13" s="368"/>
      <c r="BO13" s="369"/>
    </row>
    <row r="14" spans="1:67" s="1242" customFormat="1">
      <c r="A14" s="351" t="s">
        <v>59</v>
      </c>
      <c r="B14" s="1241" t="s">
        <v>0</v>
      </c>
      <c r="C14" s="1191"/>
      <c r="D14" s="1191"/>
      <c r="E14" s="1191"/>
      <c r="F14" s="1191"/>
      <c r="G14" s="617">
        <f>SUM(C14:F14)</f>
        <v>0</v>
      </c>
      <c r="H14" s="622">
        <v>13.186</v>
      </c>
      <c r="I14" s="622">
        <v>17.675000000000001</v>
      </c>
      <c r="J14" s="622">
        <v>28.457000000000001</v>
      </c>
      <c r="K14" s="622">
        <v>36.365000000000002</v>
      </c>
      <c r="L14" s="617">
        <f>SUM(H14:K14)</f>
        <v>95.682999999999993</v>
      </c>
      <c r="M14" s="622">
        <v>42.765999999999998</v>
      </c>
      <c r="N14" s="622">
        <v>57.817999999999998</v>
      </c>
      <c r="O14" s="622">
        <v>69.212999999999994</v>
      </c>
      <c r="P14" s="622">
        <v>82.432000000000002</v>
      </c>
      <c r="Q14" s="617">
        <f>SUM(M14:P14)</f>
        <v>252.22899999999998</v>
      </c>
      <c r="R14" s="622">
        <v>101.81699999999999</v>
      </c>
      <c r="S14" s="622">
        <v>125.21599999999999</v>
      </c>
      <c r="T14" s="622">
        <v>148.47300000000001</v>
      </c>
      <c r="U14" s="622">
        <v>178.28800000000001</v>
      </c>
      <c r="V14" s="617">
        <f>SUM(R14:U14)</f>
        <v>553.79399999999998</v>
      </c>
      <c r="W14" s="622">
        <v>213.83</v>
      </c>
      <c r="X14" s="622">
        <v>254.62299999999999</v>
      </c>
      <c r="Y14" s="622">
        <v>312.45800000000003</v>
      </c>
      <c r="Z14" s="622">
        <v>359.55799999999999</v>
      </c>
      <c r="AA14" s="617">
        <f>SUM(W14:Z14)</f>
        <v>1140.4690000000001</v>
      </c>
      <c r="AB14" s="622">
        <v>394.43400000000003</v>
      </c>
      <c r="AC14" s="622">
        <v>466.26799999999997</v>
      </c>
      <c r="AD14" s="622">
        <v>522.75199999999995</v>
      </c>
      <c r="AE14" s="622">
        <v>555.32899999999995</v>
      </c>
      <c r="AF14" s="617">
        <f>SUM(AB14:AE14)</f>
        <v>1938.7829999999999</v>
      </c>
      <c r="AG14" s="622">
        <v>590.072</v>
      </c>
      <c r="AH14" s="622">
        <v>640.20899999999995</v>
      </c>
      <c r="AI14" s="622">
        <v>698.47799999999995</v>
      </c>
      <c r="AJ14" s="622">
        <v>738.09</v>
      </c>
      <c r="AK14" s="617">
        <f>SUM(AG14:AJ14)</f>
        <v>2666.8490000000002</v>
      </c>
      <c r="AL14" s="622">
        <v>789.58699999999999</v>
      </c>
      <c r="AM14" s="622">
        <v>829.25</v>
      </c>
      <c r="AN14" s="1190">
        <v>900.28200000000004</v>
      </c>
      <c r="AO14" s="622">
        <v>943.303</v>
      </c>
      <c r="AP14" s="617">
        <f>SUM(AL14:AO14)</f>
        <v>3462.422</v>
      </c>
      <c r="AQ14" s="1190">
        <v>996.81299999999999</v>
      </c>
      <c r="AR14" s="1190">
        <v>1090.4960000000001</v>
      </c>
      <c r="AS14" s="622">
        <v>1158.377</v>
      </c>
      <c r="AT14" s="1191">
        <f>'Revenue Build'!AT15</f>
        <v>1198.8160060010046</v>
      </c>
      <c r="AU14" s="617">
        <f>SUM(AQ14:AT14)</f>
        <v>4444.5020060010047</v>
      </c>
      <c r="AV14" s="1191">
        <f>'Revenue Build'!AV15</f>
        <v>1261.6397369722818</v>
      </c>
      <c r="AW14" s="1191">
        <f>'Revenue Build'!AW15</f>
        <v>1353.2085649515693</v>
      </c>
      <c r="AX14" s="1191">
        <f>'Revenue Build'!AX15</f>
        <v>1440.4205050154637</v>
      </c>
      <c r="AY14" s="1191">
        <f>'Revenue Build'!AY15</f>
        <v>1492.4918486089259</v>
      </c>
      <c r="AZ14" s="617">
        <f>SUM(AV14:AY14)</f>
        <v>5547.7606555482407</v>
      </c>
      <c r="BA14" s="1191">
        <f>'Revenue Build'!BA15</f>
        <v>1571.2058312469926</v>
      </c>
      <c r="BB14" s="1191">
        <f>'Revenue Build'!BB15</f>
        <v>1690.9535749223132</v>
      </c>
      <c r="BC14" s="1191">
        <f>'Revenue Build'!BC15</f>
        <v>1804.6013336166088</v>
      </c>
      <c r="BD14" s="1191">
        <f>'Revenue Build'!BD15</f>
        <v>1849.6204689522674</v>
      </c>
      <c r="BE14" s="617">
        <f>SUM(BA14:BD14)</f>
        <v>6916.3812087381821</v>
      </c>
      <c r="BF14" s="1191">
        <f>'Revenue Build'!BF15</f>
        <v>1931.2045017284154</v>
      </c>
      <c r="BG14" s="1191">
        <f>'Revenue Build'!BG15</f>
        <v>2074.1305972902419</v>
      </c>
      <c r="BH14" s="1191">
        <f>'Revenue Build'!BH15</f>
        <v>2254.0780443877684</v>
      </c>
      <c r="BI14" s="1191">
        <f>'Revenue Build'!BI15</f>
        <v>2319.8661008412655</v>
      </c>
      <c r="BJ14" s="617">
        <f>SUM(BF14:BI14)</f>
        <v>8579.2792442476912</v>
      </c>
      <c r="BK14" s="1191">
        <f>'Revenue Build'!BK15</f>
        <v>2408.8502677953411</v>
      </c>
      <c r="BL14" s="1191">
        <f>'Revenue Build'!BL15</f>
        <v>2554.3168672968504</v>
      </c>
      <c r="BM14" s="1191">
        <f>'Revenue Build'!BM15</f>
        <v>2794.5986912702283</v>
      </c>
      <c r="BN14" s="1191">
        <f>'Revenue Build'!BN15</f>
        <v>2844.6724265942903</v>
      </c>
      <c r="BO14" s="617">
        <f>SUM(BK14:BN14)</f>
        <v>10602.43825295671</v>
      </c>
    </row>
    <row r="15" spans="1:67" s="668" customFormat="1">
      <c r="A15" s="666" t="s">
        <v>81</v>
      </c>
      <c r="B15" s="1079" t="s">
        <v>204</v>
      </c>
      <c r="C15" s="667" t="s">
        <v>36</v>
      </c>
      <c r="D15" s="668" t="s">
        <v>36</v>
      </c>
      <c r="E15" s="668" t="s">
        <v>36</v>
      </c>
      <c r="F15" s="668" t="s">
        <v>36</v>
      </c>
      <c r="G15" s="669" t="s">
        <v>36</v>
      </c>
      <c r="H15" s="667" t="str">
        <f t="shared" ref="H15:AM15" si="2">IFERROR(H14/C14-1,"--")</f>
        <v>--</v>
      </c>
      <c r="I15" s="668" t="str">
        <f t="shared" si="2"/>
        <v>--</v>
      </c>
      <c r="J15" s="668" t="str">
        <f t="shared" si="2"/>
        <v>--</v>
      </c>
      <c r="K15" s="668" t="str">
        <f t="shared" si="2"/>
        <v>--</v>
      </c>
      <c r="L15" s="669" t="str">
        <f t="shared" si="2"/>
        <v>--</v>
      </c>
      <c r="M15" s="667">
        <f t="shared" si="2"/>
        <v>2.2432883361140603</v>
      </c>
      <c r="N15" s="668">
        <f t="shared" si="2"/>
        <v>2.2711739745403108</v>
      </c>
      <c r="O15" s="668">
        <f t="shared" si="2"/>
        <v>1.4321959447587584</v>
      </c>
      <c r="P15" s="668">
        <f t="shared" si="2"/>
        <v>1.2667949951876802</v>
      </c>
      <c r="Q15" s="669">
        <f t="shared" si="2"/>
        <v>1.6360900055391241</v>
      </c>
      <c r="R15" s="667">
        <f t="shared" si="2"/>
        <v>1.3807931534396483</v>
      </c>
      <c r="S15" s="668">
        <f t="shared" si="2"/>
        <v>1.1656923449444809</v>
      </c>
      <c r="T15" s="668">
        <f t="shared" si="2"/>
        <v>1.1451605912184131</v>
      </c>
      <c r="U15" s="668">
        <f t="shared" si="2"/>
        <v>1.1628493788819876</v>
      </c>
      <c r="V15" s="669">
        <f t="shared" si="2"/>
        <v>1.1956000301313487</v>
      </c>
      <c r="W15" s="667">
        <f t="shared" si="2"/>
        <v>1.1001404480587724</v>
      </c>
      <c r="X15" s="668">
        <f t="shared" si="2"/>
        <v>1.0334701635573729</v>
      </c>
      <c r="Y15" s="668">
        <f t="shared" si="2"/>
        <v>1.1044769082594144</v>
      </c>
      <c r="Z15" s="668">
        <f t="shared" si="2"/>
        <v>1.0167257471058062</v>
      </c>
      <c r="AA15" s="669">
        <f t="shared" si="2"/>
        <v>1.0593740632798481</v>
      </c>
      <c r="AB15" s="667">
        <f t="shared" si="2"/>
        <v>0.84461488098021786</v>
      </c>
      <c r="AC15" s="668">
        <f t="shared" si="2"/>
        <v>0.83120927803065703</v>
      </c>
      <c r="AD15" s="668">
        <f t="shared" si="2"/>
        <v>0.67303125540072561</v>
      </c>
      <c r="AE15" s="668">
        <f t="shared" si="2"/>
        <v>0.54447682988558155</v>
      </c>
      <c r="AF15" s="669">
        <f t="shared" si="2"/>
        <v>0.69998746129881639</v>
      </c>
      <c r="AG15" s="667">
        <f t="shared" si="2"/>
        <v>0.49599679540810371</v>
      </c>
      <c r="AH15" s="668">
        <f t="shared" si="2"/>
        <v>0.37304940506318252</v>
      </c>
      <c r="AI15" s="668">
        <f t="shared" si="2"/>
        <v>0.3361555766405484</v>
      </c>
      <c r="AJ15" s="668">
        <f t="shared" si="2"/>
        <v>0.32910400861471323</v>
      </c>
      <c r="AK15" s="669">
        <f t="shared" si="2"/>
        <v>0.37552732822600587</v>
      </c>
      <c r="AL15" s="667">
        <f t="shared" si="2"/>
        <v>0.33811975487737089</v>
      </c>
      <c r="AM15" s="668">
        <f t="shared" si="2"/>
        <v>0.2952801350808878</v>
      </c>
      <c r="AN15" s="1187">
        <f t="shared" ref="AN15:BJ15" si="3">IFERROR(AN14/AI14-1,"--")</f>
        <v>0.28891962237894409</v>
      </c>
      <c r="AO15" s="668">
        <f>IFERROR(AO14/AJ14-1,"--")</f>
        <v>0.27803248926282698</v>
      </c>
      <c r="AP15" s="669">
        <f>IFERROR(AP14/AK14-1,"--")</f>
        <v>0.29831947740573228</v>
      </c>
      <c r="AQ15" s="1342">
        <f t="shared" si="3"/>
        <v>0.26244859654477604</v>
      </c>
      <c r="AR15" s="1187">
        <f t="shared" si="3"/>
        <v>0.31503889056376244</v>
      </c>
      <c r="AS15" s="668">
        <f t="shared" si="3"/>
        <v>0.28668239507176629</v>
      </c>
      <c r="AT15" s="668">
        <f t="shared" si="3"/>
        <v>0.27087055378919023</v>
      </c>
      <c r="AU15" s="669">
        <f t="shared" si="3"/>
        <v>0.28363960430040147</v>
      </c>
      <c r="AV15" s="667">
        <f t="shared" si="3"/>
        <v>0.26567343821988865</v>
      </c>
      <c r="AW15" s="668">
        <f t="shared" si="3"/>
        <v>0.2409110761997928</v>
      </c>
      <c r="AX15" s="668">
        <f t="shared" si="3"/>
        <v>0.24348161696534354</v>
      </c>
      <c r="AY15" s="668">
        <f t="shared" si="3"/>
        <v>0.24497157290013294</v>
      </c>
      <c r="AZ15" s="669">
        <f t="shared" si="3"/>
        <v>0.24822998123470463</v>
      </c>
      <c r="BA15" s="667">
        <f t="shared" si="3"/>
        <v>0.24536805967891917</v>
      </c>
      <c r="BB15" s="668">
        <f t="shared" si="3"/>
        <v>0.24958828869283112</v>
      </c>
      <c r="BC15" s="668">
        <f t="shared" si="3"/>
        <v>0.252829522582529</v>
      </c>
      <c r="BD15" s="668">
        <f t="shared" si="3"/>
        <v>0.23928346454702742</v>
      </c>
      <c r="BE15" s="669">
        <f t="shared" si="3"/>
        <v>0.24669783686886393</v>
      </c>
      <c r="BF15" s="667">
        <f t="shared" si="3"/>
        <v>0.22912253972206087</v>
      </c>
      <c r="BG15" s="668">
        <f t="shared" si="3"/>
        <v>0.22660410554768351</v>
      </c>
      <c r="BH15" s="668">
        <f t="shared" si="3"/>
        <v>0.24907258040775204</v>
      </c>
      <c r="BI15" s="668">
        <f t="shared" si="3"/>
        <v>0.25423898566356828</v>
      </c>
      <c r="BJ15" s="669">
        <f t="shared" si="3"/>
        <v>0.24042891583370185</v>
      </c>
      <c r="BK15" s="667">
        <f>IFERROR(BK14/BF14-1,"--")</f>
        <v>0.24733049536671858</v>
      </c>
      <c r="BL15" s="668">
        <f>IFERROR(BL14/BG14-1,"--")</f>
        <v>0.23151207095346371</v>
      </c>
      <c r="BM15" s="668">
        <f>IFERROR(BM14/BH14-1,"--")</f>
        <v>0.23979677555009915</v>
      </c>
      <c r="BN15" s="668">
        <f>IFERROR(BN14/BI14-1,"--")</f>
        <v>0.22622267964634313</v>
      </c>
      <c r="BO15" s="669">
        <f>IFERROR(BO14/BJ14-1,"--")</f>
        <v>0.2358192280622553</v>
      </c>
    </row>
    <row r="16" spans="1:67" s="92" customFormat="1">
      <c r="A16" s="666" t="s">
        <v>87</v>
      </c>
      <c r="B16" s="1079" t="s">
        <v>205</v>
      </c>
      <c r="C16" s="667" t="s">
        <v>36</v>
      </c>
      <c r="D16" s="668" t="str">
        <f>IFERROR(D14/C14-1,"--")</f>
        <v>--</v>
      </c>
      <c r="E16" s="668" t="str">
        <f>IFERROR(E14/D14-1,"--")</f>
        <v>--</v>
      </c>
      <c r="F16" s="668" t="str">
        <f>IFERROR(F14/E14-1,"--")</f>
        <v>--</v>
      </c>
      <c r="G16" s="670"/>
      <c r="H16" s="667" t="str">
        <f>IFERROR(H14/F14-1,"--")</f>
        <v>--</v>
      </c>
      <c r="I16" s="668">
        <f>IFERROR(I14/H14-1,"--")</f>
        <v>0.3404368269376612</v>
      </c>
      <c r="J16" s="668">
        <f>IFERROR(J14/I14-1,"--")</f>
        <v>0.61001414427157008</v>
      </c>
      <c r="K16" s="668">
        <f>IFERROR(K14/J14-1,"--")</f>
        <v>0.2778929613100467</v>
      </c>
      <c r="L16" s="670"/>
      <c r="M16" s="667">
        <f>IFERROR(M14/K14-1,"--")</f>
        <v>0.17602089921627928</v>
      </c>
      <c r="N16" s="668">
        <f>IFERROR(N14/M14-1,"--")</f>
        <v>0.35196183884394139</v>
      </c>
      <c r="O16" s="668">
        <f>IFERROR(O14/N14-1,"--")</f>
        <v>0.19708395309419213</v>
      </c>
      <c r="P16" s="668">
        <f>IFERROR(P14/O14-1,"--")</f>
        <v>0.19099013191163516</v>
      </c>
      <c r="Q16" s="670"/>
      <c r="R16" s="667">
        <f>IFERROR(R14/P14-1,"--")</f>
        <v>0.23516352872670798</v>
      </c>
      <c r="S16" s="668">
        <f>IFERROR(S14/R14-1,"--")</f>
        <v>0.22981427462997339</v>
      </c>
      <c r="T16" s="668">
        <f>IFERROR(T14/S14-1,"--")</f>
        <v>0.18573504983388722</v>
      </c>
      <c r="U16" s="668">
        <f>IFERROR(U14/T14-1,"--")</f>
        <v>0.20081092185111094</v>
      </c>
      <c r="V16" s="670"/>
      <c r="W16" s="667">
        <f>IFERROR(W14/U14-1,"--")</f>
        <v>0.19935161087678366</v>
      </c>
      <c r="X16" s="668">
        <f>IFERROR(X14/W14-1,"--")</f>
        <v>0.1907730440069213</v>
      </c>
      <c r="Y16" s="668">
        <f>IFERROR(Y14/X14-1,"--")</f>
        <v>0.2271397320744788</v>
      </c>
      <c r="Z16" s="668">
        <f>IFERROR(Z14/Y14-1,"--")</f>
        <v>0.15074025949087555</v>
      </c>
      <c r="AA16" s="670"/>
      <c r="AB16" s="667">
        <f>IFERROR(AB14/Z14-1,"--")</f>
        <v>9.6996868377285494E-2</v>
      </c>
      <c r="AC16" s="668">
        <f>IFERROR(AC14/AB14-1,"--")</f>
        <v>0.18211918850808995</v>
      </c>
      <c r="AD16" s="668">
        <f>IFERROR(AD14/AC14-1,"--")</f>
        <v>0.12114063156811095</v>
      </c>
      <c r="AE16" s="668">
        <f>IFERROR(AE14/AD14-1,"--")</f>
        <v>6.2318269466209664E-2</v>
      </c>
      <c r="AF16" s="670"/>
      <c r="AG16" s="667">
        <f>IFERROR(AG14/AE14-1,"--")</f>
        <v>6.2562913155985056E-2</v>
      </c>
      <c r="AH16" s="668">
        <f>IFERROR(AH14/AG14-1,"--")</f>
        <v>8.4967597174582021E-2</v>
      </c>
      <c r="AI16" s="668">
        <f>IFERROR(AI14/AH14-1,"--")</f>
        <v>9.1015590221318332E-2</v>
      </c>
      <c r="AJ16" s="668">
        <f>IFERROR(AJ14/AI14-1,"--")</f>
        <v>5.6711879257471454E-2</v>
      </c>
      <c r="AK16" s="670"/>
      <c r="AL16" s="667">
        <f>IFERROR(AL14/AJ14-1,"--")</f>
        <v>6.977062417862312E-2</v>
      </c>
      <c r="AM16" s="668">
        <f>IFERROR(AM14/AL14-1,"--")</f>
        <v>5.0232589948922657E-2</v>
      </c>
      <c r="AN16" s="1187">
        <f>IFERROR(AN14/AM14-1,"--")</f>
        <v>8.5658124811576863E-2</v>
      </c>
      <c r="AO16" s="668">
        <f>IFERROR(AO14/AN14-1,"--")</f>
        <v>4.7786138121166388E-2</v>
      </c>
      <c r="AP16" s="670"/>
      <c r="AQ16" s="1342">
        <f>IFERROR(AQ14/AO14-1,"--")</f>
        <v>5.6726205683645725E-2</v>
      </c>
      <c r="AR16" s="1187">
        <f>IFERROR(AR14/AQ14-1,"--")</f>
        <v>9.398252229856574E-2</v>
      </c>
      <c r="AS16" s="668">
        <f>IFERROR(AS14/AR14-1,"--")</f>
        <v>6.2247821174951534E-2</v>
      </c>
      <c r="AT16" s="668">
        <f>IFERROR(AT14/AS14-1,"--")</f>
        <v>3.4910056053430338E-2</v>
      </c>
      <c r="AU16" s="670"/>
      <c r="AV16" s="667">
        <f>IFERROR(AV14/AT14-1,"--")</f>
        <v>5.240481496476157E-2</v>
      </c>
      <c r="AW16" s="668">
        <f>IFERROR(AW14/AV14-1,"--")</f>
        <v>7.2579219959445052E-2</v>
      </c>
      <c r="AX16" s="668">
        <f>IFERROR(AX14/AW14-1,"--")</f>
        <v>6.4448261947718022E-2</v>
      </c>
      <c r="AY16" s="668">
        <f>IFERROR(AY14/AX14-1,"--")</f>
        <v>3.6150098816389198E-2</v>
      </c>
      <c r="AZ16" s="670"/>
      <c r="BA16" s="667">
        <f>IFERROR(BA14/AY14-1,"--")</f>
        <v>5.273997490266491E-2</v>
      </c>
      <c r="BB16" s="668">
        <f>IFERROR(BB14/BA14-1,"--")</f>
        <v>7.6213912457467448E-2</v>
      </c>
      <c r="BC16" s="668">
        <f>IFERROR(BC14/BB14-1,"--")</f>
        <v>6.7209271963316164E-2</v>
      </c>
      <c r="BD16" s="668">
        <f>IFERROR(BD14/BC14-1,"--")</f>
        <v>2.4946859174394875E-2</v>
      </c>
      <c r="BE16" s="670"/>
      <c r="BF16" s="667">
        <f>IFERROR(BF14/BD14-1,"--")</f>
        <v>4.4108526125017367E-2</v>
      </c>
      <c r="BG16" s="668">
        <f>IFERROR(BG14/BF14-1,"--")</f>
        <v>7.4008783344233331E-2</v>
      </c>
      <c r="BH16" s="668">
        <f>IFERROR(BH14/BG14-1,"--")</f>
        <v>8.6758011926838075E-2</v>
      </c>
      <c r="BI16" s="668">
        <f>IFERROR(BI14/BH14-1,"--")</f>
        <v>2.9186237192317721E-2</v>
      </c>
      <c r="BJ16" s="670"/>
      <c r="BK16" s="667">
        <f>IFERROR(BK14/BI14-1,"--")</f>
        <v>3.8357458183386761E-2</v>
      </c>
      <c r="BL16" s="668">
        <f>IFERROR(BL14/BK14-1,"--")</f>
        <v>6.0388394183854777E-2</v>
      </c>
      <c r="BM16" s="668">
        <f>IFERROR(BM14/BL14-1,"--")</f>
        <v>9.4068918014725389E-2</v>
      </c>
      <c r="BN16" s="668">
        <f>IFERROR(BN14/BM14-1,"--")</f>
        <v>1.7918041499297432E-2</v>
      </c>
      <c r="BO16" s="670"/>
    </row>
    <row r="17" spans="1:67" s="672" customFormat="1">
      <c r="A17" s="664"/>
      <c r="B17" s="1079" t="s">
        <v>371</v>
      </c>
      <c r="C17" s="665" t="str">
        <f t="shared" ref="C17:AH17" si="4">IFERROR(C14/C$10,"--")</f>
        <v>--</v>
      </c>
      <c r="D17" s="665" t="str">
        <f t="shared" si="4"/>
        <v>--</v>
      </c>
      <c r="E17" s="665" t="str">
        <f t="shared" si="4"/>
        <v>--</v>
      </c>
      <c r="F17" s="665" t="str">
        <f t="shared" si="4"/>
        <v>--</v>
      </c>
      <c r="G17" s="671" t="str">
        <f t="shared" si="4"/>
        <v>--</v>
      </c>
      <c r="H17" s="665">
        <f t="shared" si="4"/>
        <v>0.98380959486682085</v>
      </c>
      <c r="I17" s="665">
        <f t="shared" si="4"/>
        <v>0.98715442613795024</v>
      </c>
      <c r="J17" s="665">
        <f t="shared" si="4"/>
        <v>0.99222454672245475</v>
      </c>
      <c r="K17" s="665">
        <f t="shared" si="4"/>
        <v>0.99146627406074483</v>
      </c>
      <c r="L17" s="671">
        <f t="shared" si="4"/>
        <v>0.98983096435147822</v>
      </c>
      <c r="M17" s="665">
        <f t="shared" si="4"/>
        <v>0.97851504404530376</v>
      </c>
      <c r="N17" s="665">
        <f t="shared" si="4"/>
        <v>0.95821939375859722</v>
      </c>
      <c r="O17" s="665">
        <f t="shared" si="4"/>
        <v>0.94796745740426225</v>
      </c>
      <c r="P17" s="665">
        <f t="shared" si="4"/>
        <v>0.94001733339415217</v>
      </c>
      <c r="Q17" s="671">
        <f t="shared" si="4"/>
        <v>0.95271352380376806</v>
      </c>
      <c r="R17" s="665">
        <f t="shared" si="4"/>
        <v>0.93568901346321731</v>
      </c>
      <c r="S17" s="665">
        <f t="shared" si="4"/>
        <v>0.94044838334146996</v>
      </c>
      <c r="T17" s="665">
        <f t="shared" si="4"/>
        <v>0.93014208389715824</v>
      </c>
      <c r="U17" s="665">
        <f t="shared" si="4"/>
        <v>0.93606699393589377</v>
      </c>
      <c r="V17" s="671">
        <f t="shared" si="4"/>
        <v>0.93538541573417067</v>
      </c>
      <c r="W17" s="665">
        <f t="shared" si="4"/>
        <v>0.93410625824545457</v>
      </c>
      <c r="X17" s="665">
        <f t="shared" si="4"/>
        <v>0.93543303036760006</v>
      </c>
      <c r="Y17" s="665">
        <f t="shared" si="4"/>
        <v>0.93426942270834012</v>
      </c>
      <c r="Z17" s="665">
        <f t="shared" si="4"/>
        <v>0.93690036323461201</v>
      </c>
      <c r="AA17" s="671">
        <f t="shared" si="4"/>
        <v>0.93532661870031586</v>
      </c>
      <c r="AB17" s="665">
        <f t="shared" si="4"/>
        <v>0.93385672785300122</v>
      </c>
      <c r="AC17" s="665">
        <f t="shared" si="4"/>
        <v>0.93769708475448865</v>
      </c>
      <c r="AD17" s="665">
        <f t="shared" si="4"/>
        <v>0.93846628894777284</v>
      </c>
      <c r="AE17" s="665">
        <f t="shared" si="4"/>
        <v>0.94281440785586712</v>
      </c>
      <c r="AF17" s="671">
        <f t="shared" si="4"/>
        <v>0.93857843913249972</v>
      </c>
      <c r="AG17" s="665">
        <f t="shared" si="4"/>
        <v>0.94623628325253883</v>
      </c>
      <c r="AH17" s="665">
        <f t="shared" si="4"/>
        <v>0.94983961852650822</v>
      </c>
      <c r="AI17" s="665">
        <f t="shared" ref="AI17:BO17" si="5">IFERROR(AI14/AI$10,"--")</f>
        <v>0.95138066913384167</v>
      </c>
      <c r="AJ17" s="665">
        <f t="shared" si="5"/>
        <v>0.95274422711272377</v>
      </c>
      <c r="AK17" s="671">
        <f t="shared" si="5"/>
        <v>0.95024388123381209</v>
      </c>
      <c r="AL17" s="665">
        <f t="shared" si="5"/>
        <v>0.95279163132052391</v>
      </c>
      <c r="AM17" s="665">
        <f t="shared" si="5"/>
        <v>0.95445217265196713</v>
      </c>
      <c r="AN17" s="1184">
        <f t="shared" si="5"/>
        <v>0.9556180168857884</v>
      </c>
      <c r="AO17" s="665">
        <f t="shared" si="5"/>
        <v>0.95595022142951247</v>
      </c>
      <c r="AP17" s="671">
        <f t="shared" si="5"/>
        <v>0.95478320624664259</v>
      </c>
      <c r="AQ17" s="1184">
        <f t="shared" si="5"/>
        <v>0.95656642426545513</v>
      </c>
      <c r="AR17" s="1184">
        <f t="shared" ref="AR17" si="6">IFERROR(AR14/AR$10,"--")</f>
        <v>0.9524240394281418</v>
      </c>
      <c r="AS17" s="958">
        <f t="shared" si="5"/>
        <v>0.95504032041975129</v>
      </c>
      <c r="AT17" s="665">
        <f t="shared" si="5"/>
        <v>0.95997203101018058</v>
      </c>
      <c r="AU17" s="671">
        <f t="shared" si="5"/>
        <v>0.95606284961468702</v>
      </c>
      <c r="AV17" s="665">
        <f t="shared" si="5"/>
        <v>0.960875243165078</v>
      </c>
      <c r="AW17" s="665">
        <f t="shared" si="5"/>
        <v>0.95630720324858287</v>
      </c>
      <c r="AX17" s="665">
        <f t="shared" si="5"/>
        <v>0.95880101855557898</v>
      </c>
      <c r="AY17" s="665">
        <f t="shared" si="5"/>
        <v>0.96337831948216535</v>
      </c>
      <c r="AZ17" s="671">
        <f t="shared" si="5"/>
        <v>0.95988862578563572</v>
      </c>
      <c r="BA17" s="665">
        <f t="shared" si="5"/>
        <v>0.96437053505657611</v>
      </c>
      <c r="BB17" s="665">
        <f t="shared" si="5"/>
        <v>0.96032278788515868</v>
      </c>
      <c r="BC17" s="665">
        <f t="shared" si="5"/>
        <v>0.96268953117949718</v>
      </c>
      <c r="BD17" s="665">
        <f t="shared" si="5"/>
        <v>0.96649953472056138</v>
      </c>
      <c r="BE17" s="671">
        <f t="shared" si="5"/>
        <v>0.96350625188453365</v>
      </c>
      <c r="BF17" s="665">
        <f t="shared" si="5"/>
        <v>0.96729008296083752</v>
      </c>
      <c r="BG17" s="665">
        <f t="shared" si="5"/>
        <v>0.96348940047046694</v>
      </c>
      <c r="BH17" s="665">
        <f t="shared" si="5"/>
        <v>0.96627064092180337</v>
      </c>
      <c r="BI17" s="665">
        <f t="shared" si="5"/>
        <v>0.96984739625844629</v>
      </c>
      <c r="BJ17" s="671">
        <f t="shared" si="5"/>
        <v>0.96678941979346189</v>
      </c>
      <c r="BK17" s="665">
        <f t="shared" si="5"/>
        <v>0.97040312383211558</v>
      </c>
      <c r="BL17" s="665">
        <f t="shared" si="5"/>
        <v>0.96654150658652227</v>
      </c>
      <c r="BM17" s="665">
        <f t="shared" si="5"/>
        <v>0.96929786474164736</v>
      </c>
      <c r="BN17" s="665">
        <f t="shared" si="5"/>
        <v>0.97226741671834926</v>
      </c>
      <c r="BO17" s="671">
        <f t="shared" si="5"/>
        <v>0.96967719789533202</v>
      </c>
    </row>
    <row r="18" spans="1:67" s="368" customFormat="1">
      <c r="A18" s="107"/>
      <c r="B18" s="1040"/>
      <c r="G18" s="369"/>
      <c r="L18" s="369"/>
      <c r="Q18" s="369"/>
      <c r="V18" s="369"/>
      <c r="AA18" s="369"/>
      <c r="AF18" s="369"/>
      <c r="AK18" s="369"/>
      <c r="AN18" s="1185"/>
      <c r="AP18" s="369"/>
      <c r="AQ18" s="1185"/>
      <c r="AR18" s="1185"/>
      <c r="AU18" s="369"/>
      <c r="AZ18" s="369"/>
      <c r="BE18" s="369"/>
      <c r="BJ18" s="369"/>
      <c r="BO18" s="369"/>
    </row>
    <row r="19" spans="1:67" s="1242" customFormat="1">
      <c r="A19" s="351" t="s">
        <v>59</v>
      </c>
      <c r="B19" s="1241" t="s">
        <v>372</v>
      </c>
      <c r="C19" s="1191"/>
      <c r="D19" s="1191"/>
      <c r="E19" s="1191"/>
      <c r="F19" s="1191"/>
      <c r="G19" s="617">
        <f>SUM(C19:F19)</f>
        <v>0</v>
      </c>
      <c r="H19" s="622">
        <v>0.217</v>
      </c>
      <c r="I19" s="622">
        <v>0.23</v>
      </c>
      <c r="J19" s="622">
        <v>0.223</v>
      </c>
      <c r="K19" s="622">
        <v>0.313</v>
      </c>
      <c r="L19" s="617">
        <f>SUM(H19:K19)</f>
        <v>0.9830000000000001</v>
      </c>
      <c r="M19" s="622">
        <v>0.93899999999999995</v>
      </c>
      <c r="N19" s="622">
        <v>2.5209999999999999</v>
      </c>
      <c r="O19" s="622">
        <v>3.7989999999999999</v>
      </c>
      <c r="P19" s="622">
        <v>5.26</v>
      </c>
      <c r="Q19" s="617">
        <f>SUM(M19:P19)</f>
        <v>12.519</v>
      </c>
      <c r="R19" s="622">
        <v>6.9980000000000002</v>
      </c>
      <c r="S19" s="622">
        <v>7.9290000000000003</v>
      </c>
      <c r="T19" s="622">
        <v>11.151</v>
      </c>
      <c r="U19" s="622">
        <v>12.177</v>
      </c>
      <c r="V19" s="617">
        <f>SUM(R19:U19)</f>
        <v>38.254999999999995</v>
      </c>
      <c r="W19" s="622">
        <v>15.084</v>
      </c>
      <c r="X19" s="622">
        <v>17.574999999999999</v>
      </c>
      <c r="Y19" s="622">
        <v>21.983000000000001</v>
      </c>
      <c r="Z19" s="622">
        <v>24.216000000000001</v>
      </c>
      <c r="AA19" s="617">
        <f>SUM(W19:Z19)</f>
        <v>78.858000000000004</v>
      </c>
      <c r="AB19" s="622">
        <v>27.937000000000001</v>
      </c>
      <c r="AC19" s="622">
        <v>30.98</v>
      </c>
      <c r="AD19" s="622">
        <v>34.276000000000003</v>
      </c>
      <c r="AE19" s="622">
        <v>33.683</v>
      </c>
      <c r="AF19" s="617">
        <f>SUM(AB19:AE19)</f>
        <v>126.876</v>
      </c>
      <c r="AG19" s="622">
        <v>33.527000000000001</v>
      </c>
      <c r="AH19" s="622">
        <v>33.808999999999997</v>
      </c>
      <c r="AI19" s="622">
        <v>35.695</v>
      </c>
      <c r="AJ19" s="622">
        <v>36.609000000000002</v>
      </c>
      <c r="AK19" s="617">
        <f>SUM(AG19:AJ19)</f>
        <v>139.64000000000001</v>
      </c>
      <c r="AL19" s="622">
        <v>39.122</v>
      </c>
      <c r="AM19" s="622">
        <v>39.573</v>
      </c>
      <c r="AN19" s="1190">
        <v>41.811999999999998</v>
      </c>
      <c r="AO19" s="622">
        <v>43.466999999999999</v>
      </c>
      <c r="AP19" s="617">
        <f>SUM(AL19:AO19)</f>
        <v>163.97399999999999</v>
      </c>
      <c r="AQ19" s="1190">
        <v>45.261000000000003</v>
      </c>
      <c r="AR19" s="1190">
        <v>54.472999999999999</v>
      </c>
      <c r="AS19" s="622">
        <v>54.531999999999996</v>
      </c>
      <c r="AT19" s="1191">
        <f>'Revenue Build'!AT51</f>
        <v>49.987049999999996</v>
      </c>
      <c r="AU19" s="617">
        <f>SUM(AQ19:AT19)</f>
        <v>204.25305000000003</v>
      </c>
      <c r="AV19" s="1191">
        <f>'Revenue Build'!AV51</f>
        <v>51.371235000000006</v>
      </c>
      <c r="AW19" s="1191">
        <f>'Revenue Build'!AW51</f>
        <v>61.826855000000002</v>
      </c>
      <c r="AX19" s="1191">
        <f>'Revenue Build'!AX51</f>
        <v>61.893819999999998</v>
      </c>
      <c r="AY19" s="1191">
        <f>'Revenue Build'!AY51</f>
        <v>56.735301749999998</v>
      </c>
      <c r="AZ19" s="617">
        <f>SUM(AV19:AY19)</f>
        <v>231.82721175</v>
      </c>
      <c r="BA19" s="1191">
        <f>'Revenue Build'!BA51</f>
        <v>58.049495550000003</v>
      </c>
      <c r="BB19" s="1191">
        <f>'Revenue Build'!BB51</f>
        <v>69.864346149999989</v>
      </c>
      <c r="BC19" s="1191">
        <f>'Revenue Build'!BC51</f>
        <v>69.940016599999993</v>
      </c>
      <c r="BD19" s="1191">
        <f>'Revenue Build'!BD51</f>
        <v>64.110890977499992</v>
      </c>
      <c r="BE19" s="617">
        <f>SUM(BA19:BD19)</f>
        <v>261.9647492775</v>
      </c>
      <c r="BF19" s="1191">
        <f>'Revenue Build'!BF51</f>
        <v>65.305682493749998</v>
      </c>
      <c r="BG19" s="1191">
        <f>'Revenue Build'!BG51</f>
        <v>78.597389418749984</v>
      </c>
      <c r="BH19" s="1191">
        <f>'Revenue Build'!BH51</f>
        <v>78.682518674999997</v>
      </c>
      <c r="BI19" s="1191">
        <f>'Revenue Build'!BI51</f>
        <v>72.124752349687498</v>
      </c>
      <c r="BJ19" s="617">
        <f>SUM(BF19:BI19)</f>
        <v>294.71034293718742</v>
      </c>
      <c r="BK19" s="1191">
        <f>'Revenue Build'!BK51</f>
        <v>73.468892805468755</v>
      </c>
      <c r="BL19" s="1191">
        <f>'Revenue Build'!BL51</f>
        <v>88.422063096093737</v>
      </c>
      <c r="BM19" s="1191">
        <f>'Revenue Build'!BM51</f>
        <v>88.517833509374995</v>
      </c>
      <c r="BN19" s="1191">
        <f>'Revenue Build'!BN51</f>
        <v>81.140346393398431</v>
      </c>
      <c r="BO19" s="617">
        <f>SUM(BK19:BN19)</f>
        <v>331.54913580433595</v>
      </c>
    </row>
    <row r="20" spans="1:67" s="674" customFormat="1">
      <c r="A20" s="664" t="s">
        <v>81</v>
      </c>
      <c r="B20" s="1079" t="s">
        <v>204</v>
      </c>
      <c r="C20" s="673" t="s">
        <v>36</v>
      </c>
      <c r="D20" s="674" t="s">
        <v>36</v>
      </c>
      <c r="E20" s="674" t="s">
        <v>36</v>
      </c>
      <c r="F20" s="674" t="s">
        <v>36</v>
      </c>
      <c r="G20" s="675" t="s">
        <v>36</v>
      </c>
      <c r="H20" s="673" t="str">
        <f t="shared" ref="H20:AM20" si="7">IFERROR(H19/C19-1,"--")</f>
        <v>--</v>
      </c>
      <c r="I20" s="674" t="str">
        <f t="shared" si="7"/>
        <v>--</v>
      </c>
      <c r="J20" s="674" t="str">
        <f t="shared" si="7"/>
        <v>--</v>
      </c>
      <c r="K20" s="674" t="str">
        <f t="shared" si="7"/>
        <v>--</v>
      </c>
      <c r="L20" s="675" t="str">
        <f t="shared" si="7"/>
        <v>--</v>
      </c>
      <c r="M20" s="673">
        <f t="shared" si="7"/>
        <v>3.3271889400921655</v>
      </c>
      <c r="N20" s="674">
        <f t="shared" si="7"/>
        <v>9.96086956521739</v>
      </c>
      <c r="O20" s="674">
        <f t="shared" si="7"/>
        <v>16.035874439461882</v>
      </c>
      <c r="P20" s="674">
        <f t="shared" si="7"/>
        <v>15.80511182108626</v>
      </c>
      <c r="Q20" s="675">
        <f t="shared" si="7"/>
        <v>11.735503560528992</v>
      </c>
      <c r="R20" s="673">
        <f t="shared" si="7"/>
        <v>6.4526091586794472</v>
      </c>
      <c r="S20" s="674">
        <f t="shared" si="7"/>
        <v>2.1451804839349466</v>
      </c>
      <c r="T20" s="674">
        <f t="shared" si="7"/>
        <v>1.9352461173993154</v>
      </c>
      <c r="U20" s="674">
        <f t="shared" si="7"/>
        <v>1.3150190114068443</v>
      </c>
      <c r="V20" s="675">
        <f t="shared" si="7"/>
        <v>2.055755252016934</v>
      </c>
      <c r="W20" s="673">
        <f t="shared" si="7"/>
        <v>1.1554729922835096</v>
      </c>
      <c r="X20" s="674">
        <f t="shared" si="7"/>
        <v>1.2165468533232437</v>
      </c>
      <c r="Y20" s="674">
        <f t="shared" si="7"/>
        <v>0.97139270020625967</v>
      </c>
      <c r="Z20" s="674">
        <f t="shared" si="7"/>
        <v>0.98866715939886696</v>
      </c>
      <c r="AA20" s="675">
        <f t="shared" si="7"/>
        <v>1.0613775976996473</v>
      </c>
      <c r="AB20" s="673">
        <f t="shared" si="7"/>
        <v>0.85209493503049605</v>
      </c>
      <c r="AC20" s="674">
        <f t="shared" si="7"/>
        <v>0.76273115220483656</v>
      </c>
      <c r="AD20" s="674">
        <f t="shared" si="7"/>
        <v>0.55920484010371663</v>
      </c>
      <c r="AE20" s="674">
        <f t="shared" si="7"/>
        <v>0.39093987446316469</v>
      </c>
      <c r="AF20" s="675">
        <f t="shared" si="7"/>
        <v>0.60891729437723496</v>
      </c>
      <c r="AG20" s="673">
        <f t="shared" si="7"/>
        <v>0.20009306654257797</v>
      </c>
      <c r="AH20" s="674">
        <f t="shared" si="7"/>
        <v>9.1316978695932693E-2</v>
      </c>
      <c r="AI20" s="674">
        <f t="shared" si="7"/>
        <v>4.1399229781771352E-2</v>
      </c>
      <c r="AJ20" s="674">
        <f t="shared" si="7"/>
        <v>8.6868746845589762E-2</v>
      </c>
      <c r="AK20" s="675">
        <f t="shared" si="7"/>
        <v>0.10060216274157452</v>
      </c>
      <c r="AL20" s="673">
        <f t="shared" si="7"/>
        <v>0.16688042473230524</v>
      </c>
      <c r="AM20" s="674">
        <f t="shared" si="7"/>
        <v>0.17048714839243995</v>
      </c>
      <c r="AN20" s="1183">
        <f t="shared" ref="AN20:BJ20" si="8">IFERROR(AN19/AI19-1,"--")</f>
        <v>0.17136853901106597</v>
      </c>
      <c r="AO20" s="674">
        <f>IFERROR(AO19/AJ19-1,"--")</f>
        <v>0.18733098418421701</v>
      </c>
      <c r="AP20" s="675">
        <f>IFERROR(AP19/AK19-1,"--")</f>
        <v>0.17426238900028634</v>
      </c>
      <c r="AQ20" s="673">
        <f t="shared" si="8"/>
        <v>0.15691938039977504</v>
      </c>
      <c r="AR20" s="1183">
        <f t="shared" si="8"/>
        <v>0.37651934399716969</v>
      </c>
      <c r="AS20" s="674">
        <f t="shared" si="8"/>
        <v>0.30421888453075674</v>
      </c>
      <c r="AT20" s="674">
        <f t="shared" si="8"/>
        <v>0.14999999999999991</v>
      </c>
      <c r="AU20" s="675">
        <f t="shared" si="8"/>
        <v>0.24564290680229828</v>
      </c>
      <c r="AV20" s="673">
        <f t="shared" si="8"/>
        <v>0.13500000000000001</v>
      </c>
      <c r="AW20" s="674">
        <f t="shared" si="8"/>
        <v>0.13500000000000001</v>
      </c>
      <c r="AX20" s="674">
        <f t="shared" si="8"/>
        <v>0.13500000000000001</v>
      </c>
      <c r="AY20" s="674">
        <f t="shared" si="8"/>
        <v>0.13500000000000001</v>
      </c>
      <c r="AZ20" s="675">
        <f t="shared" si="8"/>
        <v>0.13499999999999979</v>
      </c>
      <c r="BA20" s="673">
        <f t="shared" si="8"/>
        <v>0.12999999999999989</v>
      </c>
      <c r="BB20" s="674">
        <f t="shared" si="8"/>
        <v>0.12999999999999989</v>
      </c>
      <c r="BC20" s="674">
        <f t="shared" si="8"/>
        <v>0.12999999999999989</v>
      </c>
      <c r="BD20" s="674">
        <f t="shared" si="8"/>
        <v>0.12999999999999989</v>
      </c>
      <c r="BE20" s="675">
        <f t="shared" si="8"/>
        <v>0.12999999999999989</v>
      </c>
      <c r="BF20" s="673">
        <f t="shared" si="8"/>
        <v>0.125</v>
      </c>
      <c r="BG20" s="674">
        <f t="shared" si="8"/>
        <v>0.125</v>
      </c>
      <c r="BH20" s="674">
        <f t="shared" si="8"/>
        <v>0.125</v>
      </c>
      <c r="BI20" s="674">
        <f t="shared" si="8"/>
        <v>0.125</v>
      </c>
      <c r="BJ20" s="675">
        <f t="shared" si="8"/>
        <v>0.12499999999999978</v>
      </c>
      <c r="BK20" s="673">
        <f>IFERROR(BK19/BF19-1,"--")</f>
        <v>0.125</v>
      </c>
      <c r="BL20" s="674">
        <f>IFERROR(BL19/BG19-1,"--")</f>
        <v>0.125</v>
      </c>
      <c r="BM20" s="674">
        <f>IFERROR(BM19/BH19-1,"--")</f>
        <v>0.125</v>
      </c>
      <c r="BN20" s="674">
        <f>IFERROR(BN19/BI19-1,"--")</f>
        <v>0.125</v>
      </c>
      <c r="BO20" s="675">
        <f>IFERROR(BO19/BJ19-1,"--")</f>
        <v>0.12500000000000044</v>
      </c>
    </row>
    <row r="21" spans="1:67" s="677" customFormat="1">
      <c r="A21" s="664" t="s">
        <v>87</v>
      </c>
      <c r="B21" s="1079" t="s">
        <v>205</v>
      </c>
      <c r="C21" s="673" t="s">
        <v>36</v>
      </c>
      <c r="D21" s="674" t="str">
        <f>IFERROR(D19/C19-1,"--")</f>
        <v>--</v>
      </c>
      <c r="E21" s="674" t="str">
        <f>IFERROR(E19/D19-1,"--")</f>
        <v>--</v>
      </c>
      <c r="F21" s="674" t="str">
        <f>IFERROR(F19/E19-1,"--")</f>
        <v>--</v>
      </c>
      <c r="G21" s="676"/>
      <c r="H21" s="673" t="str">
        <f>IFERROR(H19/F19-1,"--")</f>
        <v>--</v>
      </c>
      <c r="I21" s="674">
        <f>IFERROR(I19/H19-1,"--")</f>
        <v>5.9907834101382562E-2</v>
      </c>
      <c r="J21" s="674">
        <f>IFERROR(J19/I19-1,"--")</f>
        <v>-3.0434782608695699E-2</v>
      </c>
      <c r="K21" s="674">
        <f>IFERROR(K19/J19-1,"--")</f>
        <v>0.4035874439461884</v>
      </c>
      <c r="L21" s="676"/>
      <c r="M21" s="673">
        <f>IFERROR(M19/K19-1,"--")</f>
        <v>2</v>
      </c>
      <c r="N21" s="674">
        <f>IFERROR(N19/M19-1,"--")</f>
        <v>1.6847710330138446</v>
      </c>
      <c r="O21" s="674">
        <f>IFERROR(O19/N19-1,"--")</f>
        <v>0.5069416898056327</v>
      </c>
      <c r="P21" s="674">
        <f>IFERROR(P19/O19-1,"--")</f>
        <v>0.38457488812845475</v>
      </c>
      <c r="Q21" s="676"/>
      <c r="R21" s="673">
        <f>IFERROR(R19/P19-1,"--")</f>
        <v>0.33041825095057042</v>
      </c>
      <c r="S21" s="674">
        <f>IFERROR(S19/R19-1,"--")</f>
        <v>0.1330380108602458</v>
      </c>
      <c r="T21" s="674">
        <f>IFERROR(T19/S19-1,"--")</f>
        <v>0.40635641316685578</v>
      </c>
      <c r="U21" s="674">
        <f>IFERROR(U19/T19-1,"--")</f>
        <v>9.2009685230024285E-2</v>
      </c>
      <c r="V21" s="676"/>
      <c r="W21" s="673">
        <f>IFERROR(W19/U19-1,"--")</f>
        <v>0.23872875092387291</v>
      </c>
      <c r="X21" s="674">
        <f>IFERROR(X19/W19-1,"--")</f>
        <v>0.16514187218244492</v>
      </c>
      <c r="Y21" s="674">
        <f>IFERROR(Y19/X19-1,"--")</f>
        <v>0.25081081081081091</v>
      </c>
      <c r="Z21" s="674">
        <f>IFERROR(Z19/Y19-1,"--")</f>
        <v>0.10157849247145534</v>
      </c>
      <c r="AA21" s="676"/>
      <c r="AB21" s="673">
        <f>IFERROR(AB19/Z19-1,"--")</f>
        <v>0.15365873802444674</v>
      </c>
      <c r="AC21" s="674">
        <f>IFERROR(AC19/AB19-1,"--")</f>
        <v>0.10892364964026191</v>
      </c>
      <c r="AD21" s="674">
        <f>IFERROR(AD19/AC19-1,"--")</f>
        <v>0.10639122014202718</v>
      </c>
      <c r="AE21" s="674">
        <f>IFERROR(AE19/AD19-1,"--")</f>
        <v>-1.7300735208309104E-2</v>
      </c>
      <c r="AF21" s="676"/>
      <c r="AG21" s="673">
        <f>IFERROR(AG19/AE19-1,"--")</f>
        <v>-4.6314164415283132E-3</v>
      </c>
      <c r="AH21" s="674">
        <f>IFERROR(AH19/AG19-1,"--")</f>
        <v>8.4111313269901178E-3</v>
      </c>
      <c r="AI21" s="674">
        <f>IFERROR(AI19/AH19-1,"--")</f>
        <v>5.5783962850128654E-2</v>
      </c>
      <c r="AJ21" s="674">
        <f>IFERROR(AJ19/AI19-1,"--")</f>
        <v>2.5605827146659266E-2</v>
      </c>
      <c r="AK21" s="676"/>
      <c r="AL21" s="673">
        <f>IFERROR(AL19/AJ19-1,"--")</f>
        <v>6.8644322434374017E-2</v>
      </c>
      <c r="AM21" s="674">
        <f>IFERROR(AM19/AL19-1,"--")</f>
        <v>1.1528040488727687E-2</v>
      </c>
      <c r="AN21" s="1183">
        <f>IFERROR(AN19/AM19-1,"--")</f>
        <v>5.6578980618098074E-2</v>
      </c>
      <c r="AO21" s="674">
        <f>IFERROR(AO19/AN19-1,"--")</f>
        <v>3.9581938199559907E-2</v>
      </c>
      <c r="AP21" s="676"/>
      <c r="AQ21" s="673">
        <f>IFERROR(AQ19/AO19-1,"--")</f>
        <v>4.1272689626613346E-2</v>
      </c>
      <c r="AR21" s="1183">
        <f>IFERROR(AR19/AQ19-1,"--")</f>
        <v>0.20353063343717537</v>
      </c>
      <c r="AS21" s="674">
        <f>IFERROR(AS19/AR19-1,"--")</f>
        <v>1.0831053916617872E-3</v>
      </c>
      <c r="AT21" s="674">
        <f>IFERROR(AT19/AS19-1,"--")</f>
        <v>-8.3344641678280595E-2</v>
      </c>
      <c r="AU21" s="676"/>
      <c r="AV21" s="673">
        <f>IFERROR(AV19/AT19-1,"--")</f>
        <v>2.7690871935831529E-2</v>
      </c>
      <c r="AW21" s="674">
        <f>IFERROR(AW19/AV19-1,"--")</f>
        <v>0.20353063343717537</v>
      </c>
      <c r="AX21" s="674">
        <f>IFERROR(AX19/AW19-1,"--")</f>
        <v>1.0831053916617872E-3</v>
      </c>
      <c r="AY21" s="674">
        <f>IFERROR(AY19/AX19-1,"--")</f>
        <v>-8.3344641678280595E-2</v>
      </c>
      <c r="AZ21" s="676"/>
      <c r="BA21" s="673">
        <f>IFERROR(BA19/AY19-1,"--")</f>
        <v>2.3163599372237442E-2</v>
      </c>
      <c r="BB21" s="674">
        <f>IFERROR(BB19/BA19-1,"--")</f>
        <v>0.20353063343717515</v>
      </c>
      <c r="BC21" s="674">
        <f>IFERROR(BC19/BB19-1,"--")</f>
        <v>1.0831053916620093E-3</v>
      </c>
      <c r="BD21" s="674">
        <f>IFERROR(BD19/BC19-1,"--")</f>
        <v>-8.3344641678280706E-2</v>
      </c>
      <c r="BE21" s="676"/>
      <c r="BF21" s="673">
        <f>IFERROR(BF19/BD19-1,"--")</f>
        <v>1.8636326808643577E-2</v>
      </c>
      <c r="BG21" s="674">
        <f>IFERROR(BG19/BF19-1,"--")</f>
        <v>0.20353063343717537</v>
      </c>
      <c r="BH21" s="674">
        <f>IFERROR(BH19/BG19-1,"--")</f>
        <v>1.0831053916620093E-3</v>
      </c>
      <c r="BI21" s="674">
        <f>IFERROR(BI19/BH19-1,"--")</f>
        <v>-8.3344641678280595E-2</v>
      </c>
      <c r="BJ21" s="676"/>
      <c r="BK21" s="673">
        <f>IFERROR(BK19/BI19-1,"--")</f>
        <v>1.8636326808643577E-2</v>
      </c>
      <c r="BL21" s="674">
        <f>IFERROR(BL19/BK19-1,"--")</f>
        <v>0.20353063343717515</v>
      </c>
      <c r="BM21" s="674">
        <f>IFERROR(BM19/BL19-1,"--")</f>
        <v>1.0831053916620093E-3</v>
      </c>
      <c r="BN21" s="674">
        <f>IFERROR(BN19/BM19-1,"--")</f>
        <v>-8.3344641678280706E-2</v>
      </c>
      <c r="BO21" s="676"/>
    </row>
    <row r="22" spans="1:67" s="672" customFormat="1">
      <c r="A22" s="664"/>
      <c r="B22" s="1079" t="s">
        <v>371</v>
      </c>
      <c r="C22" s="665" t="str">
        <f t="shared" ref="C22:AH22" si="9">IFERROR(C19/C$10,"--")</f>
        <v>--</v>
      </c>
      <c r="D22" s="665" t="str">
        <f t="shared" si="9"/>
        <v>--</v>
      </c>
      <c r="E22" s="665" t="str">
        <f t="shared" si="9"/>
        <v>--</v>
      </c>
      <c r="F22" s="665" t="str">
        <f t="shared" si="9"/>
        <v>--</v>
      </c>
      <c r="G22" s="671" t="str">
        <f t="shared" si="9"/>
        <v>--</v>
      </c>
      <c r="H22" s="665">
        <f t="shared" si="9"/>
        <v>1.6190405133179139E-2</v>
      </c>
      <c r="I22" s="665">
        <f t="shared" si="9"/>
        <v>1.2845573862049707E-2</v>
      </c>
      <c r="J22" s="665">
        <f t="shared" si="9"/>
        <v>7.7754532775453277E-3</v>
      </c>
      <c r="K22" s="665">
        <f t="shared" si="9"/>
        <v>8.5337259392551379E-3</v>
      </c>
      <c r="L22" s="671">
        <f t="shared" si="9"/>
        <v>1.0169035648521715E-2</v>
      </c>
      <c r="M22" s="665">
        <f t="shared" si="9"/>
        <v>2.148495595469626E-2</v>
      </c>
      <c r="N22" s="665">
        <f t="shared" si="9"/>
        <v>4.1780606241402743E-2</v>
      </c>
      <c r="O22" s="665">
        <f t="shared" si="9"/>
        <v>5.2032542595737682E-2</v>
      </c>
      <c r="P22" s="665">
        <f t="shared" si="9"/>
        <v>5.998266660584773E-2</v>
      </c>
      <c r="Q22" s="671">
        <f t="shared" si="9"/>
        <v>4.7286476196231893E-2</v>
      </c>
      <c r="R22" s="665">
        <f t="shared" si="9"/>
        <v>6.4310986536782619E-2</v>
      </c>
      <c r="S22" s="665">
        <f t="shared" si="9"/>
        <v>5.9551616658530183E-2</v>
      </c>
      <c r="T22" s="665">
        <f t="shared" si="9"/>
        <v>6.9857916102841672E-2</v>
      </c>
      <c r="U22" s="665">
        <f t="shared" si="9"/>
        <v>6.3933006064106263E-2</v>
      </c>
      <c r="V22" s="671">
        <f t="shared" si="9"/>
        <v>6.4614584265829347E-2</v>
      </c>
      <c r="W22" s="665">
        <f t="shared" si="9"/>
        <v>6.5893741754545362E-2</v>
      </c>
      <c r="X22" s="665">
        <f t="shared" si="9"/>
        <v>6.456696963239994E-2</v>
      </c>
      <c r="Y22" s="665">
        <f t="shared" si="9"/>
        <v>6.5730577291659806E-2</v>
      </c>
      <c r="Z22" s="665">
        <f t="shared" si="9"/>
        <v>6.3099636765387962E-2</v>
      </c>
      <c r="AA22" s="671">
        <f t="shared" si="9"/>
        <v>6.4673381299684168E-2</v>
      </c>
      <c r="AB22" s="665">
        <f t="shared" si="9"/>
        <v>6.6143272146998722E-2</v>
      </c>
      <c r="AC22" s="665">
        <f t="shared" si="9"/>
        <v>6.2302915245511299E-2</v>
      </c>
      <c r="AD22" s="665">
        <f t="shared" si="9"/>
        <v>6.1533711052227193E-2</v>
      </c>
      <c r="AE22" s="665">
        <f t="shared" si="9"/>
        <v>5.7185592144132893E-2</v>
      </c>
      <c r="AF22" s="671">
        <f t="shared" si="9"/>
        <v>6.1421560867500412E-2</v>
      </c>
      <c r="AG22" s="665">
        <f t="shared" si="9"/>
        <v>5.3763716747461103E-2</v>
      </c>
      <c r="AH22" s="665">
        <f t="shared" si="9"/>
        <v>5.0160381473491805E-2</v>
      </c>
      <c r="AI22" s="665">
        <f t="shared" ref="AI22:BO22" si="10">IFERROR(AI19/AI$10,"--")</f>
        <v>4.8619330866158252E-2</v>
      </c>
      <c r="AJ22" s="665">
        <f t="shared" si="10"/>
        <v>4.7255772887276219E-2</v>
      </c>
      <c r="AK22" s="671">
        <f t="shared" si="10"/>
        <v>4.9756118766187934E-2</v>
      </c>
      <c r="AL22" s="665">
        <f t="shared" si="10"/>
        <v>4.720836867947615E-2</v>
      </c>
      <c r="AM22" s="665">
        <f t="shared" si="10"/>
        <v>4.5547827348032914E-2</v>
      </c>
      <c r="AN22" s="1184">
        <f t="shared" si="10"/>
        <v>4.4381983114211529E-2</v>
      </c>
      <c r="AO22" s="665">
        <f t="shared" si="10"/>
        <v>4.4049778570487551E-2</v>
      </c>
      <c r="AP22" s="671">
        <f t="shared" si="10"/>
        <v>4.5216793753357319E-2</v>
      </c>
      <c r="AQ22" s="665">
        <f t="shared" si="10"/>
        <v>4.343357573454476E-2</v>
      </c>
      <c r="AR22" s="1184">
        <f t="shared" ref="AR22" si="11">IFERROR(AR19/AR$10,"--")</f>
        <v>4.7575960571858276E-2</v>
      </c>
      <c r="AS22" s="958">
        <f t="shared" si="10"/>
        <v>4.495967958024881E-2</v>
      </c>
      <c r="AT22" s="665">
        <f t="shared" si="10"/>
        <v>4.0027968989819473E-2</v>
      </c>
      <c r="AU22" s="671">
        <f t="shared" si="10"/>
        <v>4.3937150385312942E-2</v>
      </c>
      <c r="AV22" s="665">
        <f t="shared" si="10"/>
        <v>3.912475683492192E-2</v>
      </c>
      <c r="AW22" s="665">
        <f t="shared" si="10"/>
        <v>4.369279675141706E-2</v>
      </c>
      <c r="AX22" s="665">
        <f t="shared" si="10"/>
        <v>4.119898144442103E-2</v>
      </c>
      <c r="AY22" s="665">
        <f t="shared" si="10"/>
        <v>3.6621680517834668E-2</v>
      </c>
      <c r="AZ22" s="671">
        <f t="shared" si="10"/>
        <v>4.0111374214364406E-2</v>
      </c>
      <c r="BA22" s="665">
        <f t="shared" si="10"/>
        <v>3.5629464943423839E-2</v>
      </c>
      <c r="BB22" s="665">
        <f t="shared" si="10"/>
        <v>3.9677212114841258E-2</v>
      </c>
      <c r="BC22" s="665">
        <f t="shared" si="10"/>
        <v>3.7310468820502797E-2</v>
      </c>
      <c r="BD22" s="665">
        <f t="shared" si="10"/>
        <v>3.3500465279438604E-2</v>
      </c>
      <c r="BE22" s="671">
        <f t="shared" si="10"/>
        <v>3.649374811546631E-2</v>
      </c>
      <c r="BF22" s="665">
        <f t="shared" si="10"/>
        <v>3.2709917039162463E-2</v>
      </c>
      <c r="BG22" s="665">
        <f t="shared" si="10"/>
        <v>3.6510599529533068E-2</v>
      </c>
      <c r="BH22" s="665">
        <f t="shared" si="10"/>
        <v>3.3729359078196512E-2</v>
      </c>
      <c r="BI22" s="665">
        <f t="shared" si="10"/>
        <v>3.0152603741553589E-2</v>
      </c>
      <c r="BJ22" s="671">
        <f t="shared" si="10"/>
        <v>3.3210580206538109E-2</v>
      </c>
      <c r="BK22" s="665">
        <f t="shared" si="10"/>
        <v>2.9596876167884333E-2</v>
      </c>
      <c r="BL22" s="665">
        <f t="shared" si="10"/>
        <v>3.345849341347782E-2</v>
      </c>
      <c r="BM22" s="665">
        <f t="shared" si="10"/>
        <v>3.070213525835264E-2</v>
      </c>
      <c r="BN22" s="665">
        <f t="shared" si="10"/>
        <v>2.7732583281650694E-2</v>
      </c>
      <c r="BO22" s="671">
        <f t="shared" si="10"/>
        <v>3.032280210466792E-2</v>
      </c>
    </row>
    <row r="23" spans="1:67">
      <c r="A23" s="107"/>
      <c r="C23" s="368"/>
      <c r="D23" s="368"/>
      <c r="E23" s="368"/>
      <c r="F23" s="368"/>
      <c r="G23" s="369"/>
      <c r="H23" s="368"/>
      <c r="I23" s="368"/>
      <c r="J23" s="368"/>
      <c r="K23" s="368"/>
      <c r="L23" s="369"/>
      <c r="M23" s="368"/>
      <c r="N23" s="368"/>
      <c r="O23" s="368"/>
      <c r="P23" s="368"/>
      <c r="Q23" s="369"/>
      <c r="R23" s="368"/>
      <c r="S23" s="368"/>
      <c r="T23" s="368"/>
      <c r="U23" s="368"/>
      <c r="V23" s="369"/>
      <c r="W23" s="368"/>
      <c r="X23" s="368"/>
      <c r="Y23" s="368"/>
      <c r="Z23" s="368"/>
      <c r="AA23" s="369"/>
      <c r="AB23" s="368"/>
      <c r="AC23" s="368"/>
      <c r="AD23" s="368"/>
      <c r="AE23" s="368"/>
      <c r="AF23" s="369"/>
      <c r="AG23" s="368"/>
      <c r="AH23" s="368"/>
      <c r="AI23" s="368"/>
      <c r="AJ23" s="368"/>
      <c r="AK23" s="369"/>
      <c r="AL23" s="368"/>
      <c r="AM23" s="368"/>
      <c r="AN23" s="1185"/>
      <c r="AO23" s="368"/>
      <c r="AP23" s="369"/>
      <c r="AQ23" s="368"/>
      <c r="AR23" s="1185"/>
      <c r="AS23" s="368"/>
      <c r="AT23" s="368"/>
      <c r="AU23" s="369"/>
      <c r="AV23" s="368"/>
      <c r="AW23" s="368"/>
      <c r="AX23" s="368"/>
      <c r="AY23" s="368"/>
      <c r="AZ23" s="369"/>
      <c r="BA23" s="368"/>
      <c r="BB23" s="368"/>
      <c r="BC23" s="368"/>
      <c r="BD23" s="368"/>
      <c r="BE23" s="369"/>
      <c r="BF23" s="368"/>
      <c r="BG23" s="368"/>
      <c r="BH23" s="368"/>
      <c r="BI23" s="368"/>
      <c r="BJ23" s="369"/>
      <c r="BK23" s="368"/>
      <c r="BL23" s="368"/>
      <c r="BM23" s="368"/>
      <c r="BN23" s="368"/>
      <c r="BO23" s="369"/>
    </row>
    <row r="24" spans="1:67" s="377" customFormat="1">
      <c r="A24" s="376"/>
      <c r="B24" s="985" t="s">
        <v>331</v>
      </c>
      <c r="C24" s="612">
        <f>SUM(C28,C33)</f>
        <v>0</v>
      </c>
      <c r="D24" s="612">
        <f>SUM(D28,D33)</f>
        <v>0</v>
      </c>
      <c r="E24" s="612">
        <f>SUM(E28,E33)</f>
        <v>0</v>
      </c>
      <c r="F24" s="612">
        <f>SUM(F28,F33)</f>
        <v>0</v>
      </c>
      <c r="G24" s="609">
        <f>SUM(C24:F24)</f>
        <v>0</v>
      </c>
      <c r="H24" s="612">
        <f>SUM(H28,H33)</f>
        <v>7.4390000000000001</v>
      </c>
      <c r="I24" s="612">
        <f>SUM(I28,I33)</f>
        <v>9.7349999999999994</v>
      </c>
      <c r="J24" s="612">
        <f>SUM(J28,J33)</f>
        <v>13.824</v>
      </c>
      <c r="K24" s="612">
        <f>SUM(K28,K33)</f>
        <v>20.388999999999999</v>
      </c>
      <c r="L24" s="609">
        <f>SUM(H24:K24)</f>
        <v>51.387</v>
      </c>
      <c r="M24" s="612">
        <f>SUM(M28,M33)</f>
        <v>24.038</v>
      </c>
      <c r="N24" s="612">
        <f>SUM(N28,N33)</f>
        <v>28.507999999999999</v>
      </c>
      <c r="O24" s="612">
        <f>SUM(O28,O33)</f>
        <v>29.489000000000001</v>
      </c>
      <c r="P24" s="612">
        <f>SUM(P28,P33)</f>
        <v>34.521999999999998</v>
      </c>
      <c r="Q24" s="609">
        <f>SUM(M24:P24)</f>
        <v>116.55699999999999</v>
      </c>
      <c r="R24" s="612">
        <f>SUM(R28,R33)</f>
        <v>42.557000000000002</v>
      </c>
      <c r="S24" s="612">
        <f>SUM(S28,S33)</f>
        <v>50.445999999999998</v>
      </c>
      <c r="T24" s="612">
        <f>SUM(T28,T33)</f>
        <v>66.680999999999997</v>
      </c>
      <c r="U24" s="612">
        <f>SUM(U28,U33)</f>
        <v>82.903999999999996</v>
      </c>
      <c r="V24" s="609">
        <f>SUM(R24:U24)</f>
        <v>242.58799999999999</v>
      </c>
      <c r="W24" s="612">
        <f>SUM(W28,W33)</f>
        <v>97.346000000000004</v>
      </c>
      <c r="X24" s="612">
        <f>SUM(X28,X33)</f>
        <v>106.12100000000001</v>
      </c>
      <c r="Y24" s="612">
        <f>SUM(Y28,Y33)</f>
        <v>120.786</v>
      </c>
      <c r="Z24" s="612">
        <f>SUM(Z28,Z33)</f>
        <v>134.18</v>
      </c>
      <c r="AA24" s="609">
        <f>SUM(W24:Z24)</f>
        <v>458.43300000000005</v>
      </c>
      <c r="AB24" s="612">
        <f>SUM(AB28,AB33)</f>
        <v>147.93</v>
      </c>
      <c r="AC24" s="612">
        <f>SUM(AC28,AC33)</f>
        <v>173.232</v>
      </c>
      <c r="AD24" s="612">
        <f>SUM(AD28,AD33)</f>
        <v>190.721</v>
      </c>
      <c r="AE24" s="612">
        <f>SUM(AE28,AE33)</f>
        <v>205.65699999999998</v>
      </c>
      <c r="AF24" s="609">
        <f>SUM(AB24:AE24)</f>
        <v>717.54</v>
      </c>
      <c r="AG24" s="612">
        <f>SUM(AG28,AG33)</f>
        <v>209.41399999999999</v>
      </c>
      <c r="AH24" s="612">
        <f>SUM(AH28,AH33)</f>
        <v>218.392</v>
      </c>
      <c r="AI24" s="612">
        <f>SUM(AI28,AI33)</f>
        <v>228.94800000000001</v>
      </c>
      <c r="AJ24" s="612">
        <f>SUM(AJ28,AJ33)</f>
        <v>241.804</v>
      </c>
      <c r="AK24" s="609">
        <f>SUM(AG24:AJ24)</f>
        <v>898.55799999999999</v>
      </c>
      <c r="AL24" s="612">
        <f>SUM(AL28,AL33)</f>
        <v>272.517</v>
      </c>
      <c r="AM24" s="612">
        <f>SUM(AM28,AM33)</f>
        <v>288.07799999999997</v>
      </c>
      <c r="AN24" s="1337">
        <f>SUM(AN28,AN33)</f>
        <v>320.89400000000001</v>
      </c>
      <c r="AO24" s="612">
        <f>SUM(AO28,AO33)</f>
        <v>333.18400000000003</v>
      </c>
      <c r="AP24" s="609">
        <f>SUM(AL24:AO24)</f>
        <v>1214.673</v>
      </c>
      <c r="AQ24" s="612">
        <f>SUM(AQ28,AQ33)</f>
        <v>348.786</v>
      </c>
      <c r="AR24" s="1337">
        <f>SUM(AR28,AR33)</f>
        <v>371.81499999999994</v>
      </c>
      <c r="AS24" s="612">
        <f>SUM(AS28,AS33)</f>
        <v>390.87299999999999</v>
      </c>
      <c r="AT24" s="612">
        <f>SUM(AT28,AT33)</f>
        <v>419.05282061818059</v>
      </c>
      <c r="AU24" s="609">
        <f>SUM(AQ24:AT24)</f>
        <v>1530.5268206181804</v>
      </c>
      <c r="AV24" s="612">
        <f>SUM(AV28,AV33)</f>
        <v>411.60689177629411</v>
      </c>
      <c r="AW24" s="612">
        <f>SUM(AW28,AW33)</f>
        <v>433.85455141265942</v>
      </c>
      <c r="AX24" s="612">
        <f>SUM(AX28,AX33)</f>
        <v>462.03589194049584</v>
      </c>
      <c r="AY24" s="612">
        <f>SUM(AY28,AY33)</f>
        <v>496.11631510208201</v>
      </c>
      <c r="AZ24" s="609">
        <f>SUM(AV24:AY24)</f>
        <v>1803.6136502315312</v>
      </c>
      <c r="BA24" s="612">
        <f>SUM(BA28,BA33)</f>
        <v>482.35201176405957</v>
      </c>
      <c r="BB24" s="612">
        <f>SUM(BB28,BB33)</f>
        <v>509.02856146566467</v>
      </c>
      <c r="BC24" s="612">
        <f>SUM(BC28,BC33)</f>
        <v>544.31545755258594</v>
      </c>
      <c r="BD24" s="612">
        <f>SUM(BD28,BD33)</f>
        <v>581.43990964405225</v>
      </c>
      <c r="BE24" s="609">
        <f>SUM(BA24:BD24)</f>
        <v>2117.1359404263621</v>
      </c>
      <c r="BF24" s="612">
        <f>SUM(BF28,BF33)</f>
        <v>558.8137445294758</v>
      </c>
      <c r="BG24" s="612">
        <f>SUM(BG28,BG33)</f>
        <v>587.69455537919976</v>
      </c>
      <c r="BH24" s="612">
        <f>SUM(BH28,BH33)</f>
        <v>639.60199464853645</v>
      </c>
      <c r="BI24" s="612">
        <f>SUM(BI28,BI33)</f>
        <v>688.70755701262158</v>
      </c>
      <c r="BJ24" s="609">
        <f>SUM(BF24:BI24)</f>
        <v>2474.8178515698337</v>
      </c>
      <c r="BK24" s="612">
        <f>SUM(BK28,BK33)</f>
        <v>662.84769344597225</v>
      </c>
      <c r="BL24" s="612">
        <f>SUM(BL28,BL33)</f>
        <v>687.59166455158936</v>
      </c>
      <c r="BM24" s="612">
        <f>SUM(BM28,BM33)</f>
        <v>753.64390560427307</v>
      </c>
      <c r="BN24" s="612">
        <f>SUM(BN28,BN33)</f>
        <v>806.45184078979685</v>
      </c>
      <c r="BO24" s="609">
        <f>SUM(BK24:BN24)</f>
        <v>2910.5351043916316</v>
      </c>
    </row>
    <row r="25" spans="1:67">
      <c r="A25" s="107"/>
      <c r="B25" s="1079" t="s">
        <v>204</v>
      </c>
      <c r="C25" s="611" t="s">
        <v>36</v>
      </c>
      <c r="D25" s="395" t="s">
        <v>36</v>
      </c>
      <c r="E25" s="395" t="s">
        <v>36</v>
      </c>
      <c r="F25" s="395" t="s">
        <v>36</v>
      </c>
      <c r="G25" s="455" t="str">
        <f t="shared" ref="G25:AL25" si="12">IFERROR(G24/B24-1,"--")</f>
        <v>--</v>
      </c>
      <c r="H25" s="395" t="str">
        <f t="shared" si="12"/>
        <v>--</v>
      </c>
      <c r="I25" s="395" t="str">
        <f t="shared" si="12"/>
        <v>--</v>
      </c>
      <c r="J25" s="395" t="str">
        <f t="shared" si="12"/>
        <v>--</v>
      </c>
      <c r="K25" s="395" t="str">
        <f t="shared" si="12"/>
        <v>--</v>
      </c>
      <c r="L25" s="455" t="str">
        <f t="shared" si="12"/>
        <v>--</v>
      </c>
      <c r="M25" s="395">
        <f t="shared" si="12"/>
        <v>2.2313482995026215</v>
      </c>
      <c r="N25" s="395">
        <f t="shared" si="12"/>
        <v>1.9284026707755522</v>
      </c>
      <c r="O25" s="395">
        <f t="shared" si="12"/>
        <v>1.1331741898148149</v>
      </c>
      <c r="P25" s="395">
        <f t="shared" si="12"/>
        <v>0.6931678846436804</v>
      </c>
      <c r="Q25" s="455">
        <f t="shared" si="12"/>
        <v>1.2682195886119056</v>
      </c>
      <c r="R25" s="395">
        <f t="shared" si="12"/>
        <v>0.77040519177968214</v>
      </c>
      <c r="S25" s="395">
        <f t="shared" si="12"/>
        <v>0.76953837519292834</v>
      </c>
      <c r="T25" s="395">
        <f t="shared" si="12"/>
        <v>1.2612160466614668</v>
      </c>
      <c r="U25" s="395">
        <f t="shared" si="12"/>
        <v>1.4014831122182958</v>
      </c>
      <c r="V25" s="455">
        <f t="shared" si="12"/>
        <v>1.0812821194780238</v>
      </c>
      <c r="W25" s="395">
        <f t="shared" si="12"/>
        <v>1.2874262753483561</v>
      </c>
      <c r="X25" s="395">
        <f t="shared" si="12"/>
        <v>1.1036553938865326</v>
      </c>
      <c r="Y25" s="395">
        <f t="shared" si="12"/>
        <v>0.81140054888199042</v>
      </c>
      <c r="Z25" s="395">
        <f t="shared" si="12"/>
        <v>0.61849850429412356</v>
      </c>
      <c r="AA25" s="455">
        <f t="shared" si="12"/>
        <v>0.8897595923953372</v>
      </c>
      <c r="AB25" s="395">
        <f t="shared" si="12"/>
        <v>0.51963100692375641</v>
      </c>
      <c r="AC25" s="395">
        <f t="shared" si="12"/>
        <v>0.63240075008716445</v>
      </c>
      <c r="AD25" s="395">
        <f t="shared" si="12"/>
        <v>0.57899922176411178</v>
      </c>
      <c r="AE25" s="395">
        <f t="shared" si="12"/>
        <v>0.53269488746459959</v>
      </c>
      <c r="AF25" s="455">
        <f t="shared" si="12"/>
        <v>0.56520145801022159</v>
      </c>
      <c r="AG25" s="395">
        <f t="shared" si="12"/>
        <v>0.41562901372270655</v>
      </c>
      <c r="AH25" s="395">
        <f t="shared" si="12"/>
        <v>0.26069086542902009</v>
      </c>
      <c r="AI25" s="395">
        <f t="shared" si="12"/>
        <v>0.20043414201897014</v>
      </c>
      <c r="AJ25" s="395">
        <f t="shared" si="12"/>
        <v>0.17576352859372646</v>
      </c>
      <c r="AK25" s="455">
        <f t="shared" si="12"/>
        <v>0.25227583131254017</v>
      </c>
      <c r="AL25" s="395">
        <f t="shared" si="12"/>
        <v>0.30133133410373714</v>
      </c>
      <c r="AM25" s="395">
        <f t="shared" ref="AM25:BJ25" si="13">IFERROR(AM24/AH24-1,"--")</f>
        <v>0.31908677973552146</v>
      </c>
      <c r="AN25" s="1188">
        <f t="shared" si="13"/>
        <v>0.4016021105229135</v>
      </c>
      <c r="AO25" s="395">
        <f>IFERROR(AO24/AJ24-1,"--")</f>
        <v>0.37790938115167672</v>
      </c>
      <c r="AP25" s="455">
        <f>IFERROR(AP24/AK24-1,"--")</f>
        <v>0.35180255475995992</v>
      </c>
      <c r="AQ25" s="395">
        <f t="shared" si="13"/>
        <v>0.27986877882847683</v>
      </c>
      <c r="AR25" s="1188">
        <f t="shared" si="13"/>
        <v>0.29067474781135649</v>
      </c>
      <c r="AS25" s="395">
        <f t="shared" si="13"/>
        <v>0.21807512761223324</v>
      </c>
      <c r="AT25" s="395">
        <f t="shared" si="13"/>
        <v>0.25772192127527305</v>
      </c>
      <c r="AU25" s="455">
        <f t="shared" si="13"/>
        <v>0.26003197619291818</v>
      </c>
      <c r="AV25" s="395">
        <f t="shared" si="13"/>
        <v>0.18011299701333794</v>
      </c>
      <c r="AW25" s="395">
        <f t="shared" si="13"/>
        <v>0.16685596711445072</v>
      </c>
      <c r="AX25" s="395">
        <f t="shared" si="13"/>
        <v>0.18206141621574234</v>
      </c>
      <c r="AY25" s="395">
        <f t="shared" si="13"/>
        <v>0.18389923821588527</v>
      </c>
      <c r="AZ25" s="455">
        <f t="shared" si="13"/>
        <v>0.17842668676857998</v>
      </c>
      <c r="BA25" s="395">
        <f t="shared" si="13"/>
        <v>0.17187545058457143</v>
      </c>
      <c r="BB25" s="395">
        <f t="shared" si="13"/>
        <v>0.17327007359547952</v>
      </c>
      <c r="BC25" s="395">
        <f t="shared" si="13"/>
        <v>0.1780804631140791</v>
      </c>
      <c r="BD25" s="395">
        <f t="shared" si="13"/>
        <v>0.17198304499301509</v>
      </c>
      <c r="BE25" s="455">
        <f t="shared" si="13"/>
        <v>0.17383007173104059</v>
      </c>
      <c r="BF25" s="395">
        <f t="shared" si="13"/>
        <v>0.1585185319032465</v>
      </c>
      <c r="BG25" s="395">
        <f t="shared" si="13"/>
        <v>0.15454141450732983</v>
      </c>
      <c r="BH25" s="395">
        <f t="shared" si="13"/>
        <v>0.17505756225330948</v>
      </c>
      <c r="BI25" s="395">
        <f t="shared" si="13"/>
        <v>0.1844862136041483</v>
      </c>
      <c r="BJ25" s="455">
        <f t="shared" si="13"/>
        <v>0.16894612401291487</v>
      </c>
      <c r="BK25" s="395">
        <f>IFERROR(BK24/BF24-1,"--")</f>
        <v>0.18616927363533908</v>
      </c>
      <c r="BL25" s="395">
        <f>IFERROR(BL24/BG24-1,"--")</f>
        <v>0.16998134193693981</v>
      </c>
      <c r="BM25" s="395">
        <f>IFERROR(BM24/BH24-1,"--")</f>
        <v>0.17830136852278433</v>
      </c>
      <c r="BN25" s="395">
        <f>IFERROR(BN24/BI24-1,"--")</f>
        <v>0.17096412341968459</v>
      </c>
      <c r="BO25" s="455">
        <f>IFERROR(BO24/BJ24-1,"--")</f>
        <v>0.17606033209491057</v>
      </c>
    </row>
    <row r="26" spans="1:67">
      <c r="A26" s="107"/>
      <c r="B26" s="1079" t="s">
        <v>205</v>
      </c>
      <c r="C26" s="611" t="s">
        <v>36</v>
      </c>
      <c r="D26" s="395" t="str">
        <f>IFERROR(D24/C24-1,"--")</f>
        <v>--</v>
      </c>
      <c r="E26" s="395" t="str">
        <f>IFERROR(E24/D24-1,"--")</f>
        <v>--</v>
      </c>
      <c r="F26" s="395" t="str">
        <f>IFERROR(F24/E24-1,"--")</f>
        <v>--</v>
      </c>
      <c r="G26" s="574"/>
      <c r="H26" s="611" t="str">
        <f>IFERROR(H24/F24-1,"--")</f>
        <v>--</v>
      </c>
      <c r="I26" s="395">
        <f>IFERROR(I24/H24-1,"--")</f>
        <v>0.30864363489716351</v>
      </c>
      <c r="J26" s="395">
        <f>IFERROR(J24/I24-1,"--")</f>
        <v>0.42003081664098629</v>
      </c>
      <c r="K26" s="395">
        <f>IFERROR(K24/J24-1,"--")</f>
        <v>0.47489872685185186</v>
      </c>
      <c r="L26" s="574"/>
      <c r="M26" s="611">
        <f>IFERROR(M24/K24-1,"--")</f>
        <v>0.17896905193977153</v>
      </c>
      <c r="N26" s="395">
        <f>IFERROR(N24/M24-1,"--")</f>
        <v>0.18595557034695065</v>
      </c>
      <c r="O26" s="395">
        <f>IFERROR(O24/N24-1,"--")</f>
        <v>3.4411393293110715E-2</v>
      </c>
      <c r="P26" s="395">
        <f>IFERROR(P24/O24-1,"--")</f>
        <v>0.170673810573434</v>
      </c>
      <c r="Q26" s="574"/>
      <c r="R26" s="611">
        <f>IFERROR(R24/P24-1,"--")</f>
        <v>0.23275013035165992</v>
      </c>
      <c r="S26" s="395">
        <f>IFERROR(S24/R24-1,"--")</f>
        <v>0.18537490894564934</v>
      </c>
      <c r="T26" s="395">
        <f>IFERROR(T24/S24-1,"--")</f>
        <v>0.32182928279744671</v>
      </c>
      <c r="U26" s="395">
        <f>IFERROR(U24/T24-1,"--")</f>
        <v>0.24329269207120463</v>
      </c>
      <c r="V26" s="574"/>
      <c r="W26" s="611">
        <f>IFERROR(W24/U24-1,"--")</f>
        <v>0.17420148605616137</v>
      </c>
      <c r="X26" s="395">
        <f>IFERROR(X24/W24-1,"--")</f>
        <v>9.0142378731534967E-2</v>
      </c>
      <c r="Y26" s="395">
        <f>IFERROR(Y24/X24-1,"--")</f>
        <v>0.13819130991980844</v>
      </c>
      <c r="Z26" s="395">
        <f>IFERROR(Z24/Y24-1,"--")</f>
        <v>0.11089033497259626</v>
      </c>
      <c r="AA26" s="574"/>
      <c r="AB26" s="611">
        <f>IFERROR(AB24/Z24-1,"--")</f>
        <v>0.10247428826948868</v>
      </c>
      <c r="AC26" s="395">
        <f>IFERROR(AC24/AB24-1,"--")</f>
        <v>0.17104035692557296</v>
      </c>
      <c r="AD26" s="395">
        <f>IFERROR(AD24/AC24-1,"--")</f>
        <v>0.10095709799575148</v>
      </c>
      <c r="AE26" s="395">
        <f>IFERROR(AE24/AD24-1,"--")</f>
        <v>7.8313347769778829E-2</v>
      </c>
      <c r="AF26" s="574"/>
      <c r="AG26" s="611">
        <f>IFERROR(AG24/AE24-1,"--")</f>
        <v>1.826828165343275E-2</v>
      </c>
      <c r="AH26" s="395">
        <f>IFERROR(AH24/AG24-1,"--")</f>
        <v>4.2872014287487881E-2</v>
      </c>
      <c r="AI26" s="395">
        <f>IFERROR(AI24/AH24-1,"--")</f>
        <v>4.8335103849957983E-2</v>
      </c>
      <c r="AJ26" s="395">
        <f>IFERROR(AJ24/AI24-1,"--")</f>
        <v>5.6152488774743547E-2</v>
      </c>
      <c r="AK26" s="574"/>
      <c r="AL26" s="611">
        <f>IFERROR(AL24/AJ24-1,"--")</f>
        <v>0.1270160956807993</v>
      </c>
      <c r="AM26" s="395">
        <f>IFERROR(AM24/AL24-1,"--")</f>
        <v>5.71010248901902E-2</v>
      </c>
      <c r="AN26" s="1188">
        <f>IFERROR(AN24/AM24-1,"--")</f>
        <v>0.11391359284638192</v>
      </c>
      <c r="AO26" s="395">
        <f>IFERROR(AO24/AN24-1,"--")</f>
        <v>3.8299251466216377E-2</v>
      </c>
      <c r="AP26" s="574"/>
      <c r="AQ26" s="611">
        <f>IFERROR(AQ24/AO24-1,"--")</f>
        <v>4.6826978486361748E-2</v>
      </c>
      <c r="AR26" s="1188">
        <f>IFERROR(AR24/AQ24-1,"--")</f>
        <v>6.6026159306852739E-2</v>
      </c>
      <c r="AS26" s="395">
        <f>IFERROR(AS24/AR24-1,"--")</f>
        <v>5.1256673345615678E-2</v>
      </c>
      <c r="AT26" s="395">
        <f>IFERROR(AT24/AS24-1,"--")</f>
        <v>7.209456938233294E-2</v>
      </c>
      <c r="AU26" s="574"/>
      <c r="AV26" s="611">
        <f>IFERROR(AV24/AT24-1,"--")</f>
        <v>-1.7768473270033946E-2</v>
      </c>
      <c r="AW26" s="395">
        <f>IFERROR(AW24/AV24-1,"--")</f>
        <v>5.4050746187351839E-2</v>
      </c>
      <c r="AX26" s="395">
        <f>IFERROR(AX24/AW24-1,"--")</f>
        <v>6.495573328913129E-2</v>
      </c>
      <c r="AY26" s="395">
        <f>IFERROR(AY24/AX24-1,"--")</f>
        <v>7.3761419309769316E-2</v>
      </c>
      <c r="AZ26" s="574"/>
      <c r="BA26" s="611">
        <f>IFERROR(BA24/AY24-1,"--")</f>
        <v>-2.774410540235972E-2</v>
      </c>
      <c r="BB26" s="395">
        <f>IFERROR(BB24/BA24-1,"--")</f>
        <v>5.5305148627956324E-2</v>
      </c>
      <c r="BC26" s="395">
        <f>IFERROR(BC24/BB24-1,"--")</f>
        <v>6.9322035654185044E-2</v>
      </c>
      <c r="BD26" s="395">
        <f>IFERROR(BD24/BC24-1,"--")</f>
        <v>6.8203927660606123E-2</v>
      </c>
      <c r="BE26" s="574"/>
      <c r="BF26" s="611">
        <f>IFERROR(BF24/BD24-1,"--")</f>
        <v>-3.8914021447939207E-2</v>
      </c>
      <c r="BG26" s="395">
        <f>IFERROR(BG24/BF24-1,"--")</f>
        <v>5.1682355941409019E-2</v>
      </c>
      <c r="BH26" s="395">
        <f>IFERROR(BH24/BG24-1,"--")</f>
        <v>8.8323838964007972E-2</v>
      </c>
      <c r="BI26" s="395">
        <f>IFERROR(BI24/BH24-1,"--")</f>
        <v>7.6775186404896667E-2</v>
      </c>
      <c r="BJ26" s="574"/>
      <c r="BK26" s="611">
        <f>IFERROR(BK24/BI24-1,"--")</f>
        <v>-3.7548395256210898E-2</v>
      </c>
      <c r="BL26" s="395">
        <f>IFERROR(BL24/BK24-1,"--")</f>
        <v>3.7329798911993839E-2</v>
      </c>
      <c r="BM26" s="395">
        <f>IFERROR(BM24/BL24-1,"--")</f>
        <v>9.6063178857410225E-2</v>
      </c>
      <c r="BN26" s="395">
        <f>IFERROR(BN24/BM24-1,"--")</f>
        <v>7.0070141605115488E-2</v>
      </c>
      <c r="BO26" s="574"/>
    </row>
    <row r="27" spans="1:67">
      <c r="A27" s="107"/>
      <c r="C27" s="383"/>
      <c r="D27" s="384"/>
      <c r="E27" s="384"/>
      <c r="F27" s="384"/>
      <c r="G27" s="414"/>
      <c r="H27" s="383"/>
      <c r="I27" s="384"/>
      <c r="J27" s="384"/>
      <c r="K27" s="384"/>
      <c r="L27" s="414"/>
      <c r="M27" s="383"/>
      <c r="N27" s="384"/>
      <c r="O27" s="384"/>
      <c r="P27" s="384"/>
      <c r="Q27" s="414"/>
      <c r="R27" s="383"/>
      <c r="S27" s="384"/>
      <c r="T27" s="384"/>
      <c r="U27" s="384"/>
      <c r="V27" s="414"/>
      <c r="W27" s="383"/>
      <c r="X27" s="384"/>
      <c r="Y27" s="384"/>
      <c r="Z27" s="384"/>
      <c r="AA27" s="414"/>
      <c r="AB27" s="383"/>
      <c r="AC27" s="384"/>
      <c r="AD27" s="384"/>
      <c r="AE27" s="384"/>
      <c r="AF27" s="414"/>
      <c r="AG27" s="383"/>
      <c r="AH27" s="384"/>
      <c r="AI27" s="384"/>
      <c r="AJ27" s="384"/>
      <c r="AK27" s="414"/>
      <c r="AL27" s="383"/>
      <c r="AM27" s="384"/>
      <c r="AN27" s="1116"/>
      <c r="AO27" s="384"/>
      <c r="AP27" s="414"/>
      <c r="AQ27" s="383"/>
      <c r="AR27" s="1116"/>
      <c r="AS27" s="384"/>
      <c r="AT27" s="384"/>
      <c r="AU27" s="414"/>
      <c r="AV27" s="383"/>
      <c r="AW27" s="384"/>
      <c r="AX27" s="384"/>
      <c r="AY27" s="384"/>
      <c r="AZ27" s="414"/>
      <c r="BA27" s="383"/>
      <c r="BB27" s="384"/>
      <c r="BC27" s="384"/>
      <c r="BD27" s="384"/>
      <c r="BE27" s="414"/>
      <c r="BF27" s="383"/>
      <c r="BG27" s="384"/>
      <c r="BH27" s="384"/>
      <c r="BI27" s="384"/>
      <c r="BJ27" s="414"/>
      <c r="BK27" s="383"/>
      <c r="BL27" s="384"/>
      <c r="BM27" s="384"/>
      <c r="BN27" s="384"/>
      <c r="BO27" s="414"/>
    </row>
    <row r="28" spans="1:67" s="1242" customFormat="1">
      <c r="A28" s="351" t="s">
        <v>59</v>
      </c>
      <c r="B28" s="1241" t="s">
        <v>150</v>
      </c>
      <c r="C28" s="1191"/>
      <c r="D28" s="1191"/>
      <c r="E28" s="1191"/>
      <c r="F28" s="1191"/>
      <c r="G28" s="617">
        <f>SUM(C28:F28)</f>
        <v>0</v>
      </c>
      <c r="H28" s="622">
        <v>6.9450000000000003</v>
      </c>
      <c r="I28" s="622">
        <v>8.2110000000000003</v>
      </c>
      <c r="J28" s="622">
        <v>11.141</v>
      </c>
      <c r="K28" s="622">
        <v>15.101000000000001</v>
      </c>
      <c r="L28" s="617">
        <f>SUM(H28:K28)</f>
        <v>41.398000000000003</v>
      </c>
      <c r="M28" s="622">
        <v>19.637</v>
      </c>
      <c r="N28" s="622">
        <v>23.562000000000001</v>
      </c>
      <c r="O28" s="622">
        <v>24.646000000000001</v>
      </c>
      <c r="P28" s="622">
        <v>28.777000000000001</v>
      </c>
      <c r="Q28" s="617">
        <f>SUM(M28:P28)</f>
        <v>96.622</v>
      </c>
      <c r="R28" s="622">
        <v>35.533000000000001</v>
      </c>
      <c r="S28" s="622">
        <v>42.716000000000001</v>
      </c>
      <c r="T28" s="622">
        <v>51.816000000000003</v>
      </c>
      <c r="U28" s="622">
        <v>63.77</v>
      </c>
      <c r="V28" s="617">
        <f>SUM(R28:U28)</f>
        <v>193.83500000000001</v>
      </c>
      <c r="W28" s="622">
        <v>72.08</v>
      </c>
      <c r="X28" s="622">
        <v>81.048000000000002</v>
      </c>
      <c r="Y28" s="622">
        <v>92.292000000000002</v>
      </c>
      <c r="Z28" s="622">
        <v>102.39700000000001</v>
      </c>
      <c r="AA28" s="617">
        <f>SUM(W28:Z28)</f>
        <v>347.81700000000001</v>
      </c>
      <c r="AB28" s="622">
        <v>111.411</v>
      </c>
      <c r="AC28" s="622">
        <v>131.60599999999999</v>
      </c>
      <c r="AD28" s="622">
        <v>145.929</v>
      </c>
      <c r="AE28" s="622">
        <v>158.601</v>
      </c>
      <c r="AF28" s="617">
        <f>SUM(AB28:AE28)</f>
        <v>547.54700000000003</v>
      </c>
      <c r="AG28" s="622">
        <v>159.37799999999999</v>
      </c>
      <c r="AH28" s="622">
        <v>169.04599999999999</v>
      </c>
      <c r="AI28" s="622">
        <v>180</v>
      </c>
      <c r="AJ28" s="622">
        <v>192.77600000000001</v>
      </c>
      <c r="AK28" s="617">
        <f>SUM(AG28:AJ28)</f>
        <v>701.2</v>
      </c>
      <c r="AL28" s="622">
        <v>219.65700000000001</v>
      </c>
      <c r="AM28" s="622">
        <v>235.58199999999999</v>
      </c>
      <c r="AN28" s="1190">
        <v>263.62200000000001</v>
      </c>
      <c r="AO28" s="622">
        <v>273.20800000000003</v>
      </c>
      <c r="AP28" s="617">
        <f>SUM(AL28:AO28)</f>
        <v>992.06900000000019</v>
      </c>
      <c r="AQ28" s="1190">
        <v>285.27600000000001</v>
      </c>
      <c r="AR28" s="1190">
        <v>302.31599999999997</v>
      </c>
      <c r="AS28" s="622">
        <v>320.81</v>
      </c>
      <c r="AT28" s="1191">
        <f>'IS (Non-GAAP)'!AT28+'IS (Non-GAAP)'!AT95+'IS (Non-GAAP)'!AT113</f>
        <v>354.63742726081711</v>
      </c>
      <c r="AU28" s="617">
        <f>SUM(AQ28:AT28)</f>
        <v>1263.0394272608171</v>
      </c>
      <c r="AV28" s="1191">
        <f>'IS (Non-GAAP)'!AV28+'IS (Non-GAAP)'!AV95+'IS (Non-GAAP)'!AV113</f>
        <v>346.90912433364213</v>
      </c>
      <c r="AW28" s="1191">
        <f>'IS (Non-GAAP)'!AW28+'IS (Non-GAAP)'!AW95+'IS (Non-GAAP)'!AW113</f>
        <v>359.36957679315162</v>
      </c>
      <c r="AX28" s="1191">
        <f>'IS (Non-GAAP)'!AX28+'IS (Non-GAAP)'!AX95+'IS (Non-GAAP)'!AX113</f>
        <v>388.16850666558173</v>
      </c>
      <c r="AY28" s="1191">
        <f>'IS (Non-GAAP)'!AY28+'IS (Non-GAAP)'!AY95+'IS (Non-GAAP)'!AY113</f>
        <v>428.40820281797079</v>
      </c>
      <c r="AZ28" s="617">
        <f>SUM(AV28:AY28)</f>
        <v>1522.8554106103463</v>
      </c>
      <c r="BA28" s="1191">
        <f>'IS (Non-GAAP)'!BA28+'IS (Non-GAAP)'!BA95+'IS (Non-GAAP)'!BA113</f>
        <v>414.87578641499721</v>
      </c>
      <c r="BB28" s="1191">
        <f>'IS (Non-GAAP)'!BB28+'IS (Non-GAAP)'!BB95+'IS (Non-GAAP)'!BB113</f>
        <v>431.01173233646159</v>
      </c>
      <c r="BC28" s="1191">
        <f>'IS (Non-GAAP)'!BC28+'IS (Non-GAAP)'!BC95+'IS (Non-GAAP)'!BC113</f>
        <v>467.48651348102362</v>
      </c>
      <c r="BD28" s="1191">
        <f>'IS (Non-GAAP)'!BD28+'IS (Non-GAAP)'!BD95+'IS (Non-GAAP)'!BD113</f>
        <v>512.00680585378302</v>
      </c>
      <c r="BE28" s="617">
        <f>SUM(BA28:BD28)</f>
        <v>1825.3808380862656</v>
      </c>
      <c r="BF28" s="1191">
        <f>'IS (Non-GAAP)'!BF28+'IS (Non-GAAP)'!BF95+'IS (Non-GAAP)'!BF113</f>
        <v>490.52299891079906</v>
      </c>
      <c r="BG28" s="1191">
        <f>'IS (Non-GAAP)'!BG28+'IS (Non-GAAP)'!BG95+'IS (Non-GAAP)'!BG113</f>
        <v>508.2898276896197</v>
      </c>
      <c r="BH28" s="1191">
        <f>'IS (Non-GAAP)'!BH28+'IS (Non-GAAP)'!BH95+'IS (Non-GAAP)'!BH113</f>
        <v>562.19675303784027</v>
      </c>
      <c r="BI28" s="1191">
        <f>'IS (Non-GAAP)'!BI28+'IS (Non-GAAP)'!BI95+'IS (Non-GAAP)'!BI113</f>
        <v>620.03209047034159</v>
      </c>
      <c r="BJ28" s="617">
        <f>SUM(BF28:BI28)</f>
        <v>2181.0416701086006</v>
      </c>
      <c r="BK28" s="1191">
        <f>'IS (Non-GAAP)'!BK28+'IS (Non-GAAP)'!BK95+'IS (Non-GAAP)'!BK113</f>
        <v>595.4056023909277</v>
      </c>
      <c r="BL28" s="1191">
        <f>'IS (Non-GAAP)'!BL28+'IS (Non-GAAP)'!BL95+'IS (Non-GAAP)'!BL113</f>
        <v>608.54560868969702</v>
      </c>
      <c r="BM28" s="1191">
        <f>'IS (Non-GAAP)'!BM28+'IS (Non-GAAP)'!BM95+'IS (Non-GAAP)'!BM113</f>
        <v>678.01484854596811</v>
      </c>
      <c r="BN28" s="1191">
        <f>'IS (Non-GAAP)'!BN28+'IS (Non-GAAP)'!BN95+'IS (Non-GAAP)'!BN113</f>
        <v>741.05878483469303</v>
      </c>
      <c r="BO28" s="617">
        <f>SUM(BK28:BN28)</f>
        <v>2623.0248444612857</v>
      </c>
    </row>
    <row r="29" spans="1:67" s="674" customFormat="1">
      <c r="A29" s="664" t="s">
        <v>81</v>
      </c>
      <c r="B29" s="1079" t="s">
        <v>204</v>
      </c>
      <c r="C29" s="673" t="s">
        <v>36</v>
      </c>
      <c r="D29" s="674" t="s">
        <v>36</v>
      </c>
      <c r="E29" s="674" t="s">
        <v>36</v>
      </c>
      <c r="F29" s="674" t="s">
        <v>36</v>
      </c>
      <c r="G29" s="675" t="s">
        <v>36</v>
      </c>
      <c r="H29" s="673" t="str">
        <f t="shared" ref="H29:AR29" si="14">IFERROR(H28/C28-1,"--")</f>
        <v>--</v>
      </c>
      <c r="I29" s="674" t="str">
        <f t="shared" si="14"/>
        <v>--</v>
      </c>
      <c r="J29" s="674" t="str">
        <f t="shared" si="14"/>
        <v>--</v>
      </c>
      <c r="K29" s="674" t="str">
        <f t="shared" si="14"/>
        <v>--</v>
      </c>
      <c r="L29" s="675" t="str">
        <f t="shared" si="14"/>
        <v>--</v>
      </c>
      <c r="M29" s="673">
        <f t="shared" si="14"/>
        <v>1.8275017998560115</v>
      </c>
      <c r="N29" s="674">
        <f t="shared" si="14"/>
        <v>1.8695652173913042</v>
      </c>
      <c r="O29" s="674">
        <f t="shared" si="14"/>
        <v>1.2121892110223498</v>
      </c>
      <c r="P29" s="674">
        <f t="shared" si="14"/>
        <v>0.90563538838487512</v>
      </c>
      <c r="Q29" s="675">
        <f t="shared" si="14"/>
        <v>1.3339774868351126</v>
      </c>
      <c r="R29" s="673">
        <f t="shared" si="14"/>
        <v>0.80949228497224635</v>
      </c>
      <c r="S29" s="674">
        <f t="shared" si="14"/>
        <v>0.81291910703675407</v>
      </c>
      <c r="T29" s="674">
        <f t="shared" si="14"/>
        <v>1.1024101274040414</v>
      </c>
      <c r="U29" s="674">
        <f t="shared" si="14"/>
        <v>1.2160058379956213</v>
      </c>
      <c r="V29" s="675">
        <f t="shared" si="14"/>
        <v>1.0061166194034485</v>
      </c>
      <c r="W29" s="673">
        <f t="shared" si="14"/>
        <v>1.0285368530661638</v>
      </c>
      <c r="X29" s="674">
        <f t="shared" si="14"/>
        <v>0.89736866747822819</v>
      </c>
      <c r="Y29" s="674">
        <f t="shared" si="14"/>
        <v>0.78114867994441872</v>
      </c>
      <c r="Z29" s="674">
        <f t="shared" si="14"/>
        <v>0.60572369452720709</v>
      </c>
      <c r="AA29" s="675">
        <f t="shared" si="14"/>
        <v>0.79439729666984804</v>
      </c>
      <c r="AB29" s="673">
        <f t="shared" si="14"/>
        <v>0.545657602663707</v>
      </c>
      <c r="AC29" s="674">
        <f t="shared" si="14"/>
        <v>0.62380317836343879</v>
      </c>
      <c r="AD29" s="674">
        <f t="shared" si="14"/>
        <v>0.58116629827070598</v>
      </c>
      <c r="AE29" s="674">
        <f t="shared" si="14"/>
        <v>0.54888326806449395</v>
      </c>
      <c r="AF29" s="675">
        <f t="shared" si="14"/>
        <v>0.57423875198739571</v>
      </c>
      <c r="AG29" s="673">
        <f t="shared" si="14"/>
        <v>0.43054096992217983</v>
      </c>
      <c r="AH29" s="674">
        <f t="shared" si="14"/>
        <v>0.2844855097791894</v>
      </c>
      <c r="AI29" s="674">
        <f t="shared" si="14"/>
        <v>0.2334765536665091</v>
      </c>
      <c r="AJ29" s="674">
        <f t="shared" si="14"/>
        <v>0.21547783431378109</v>
      </c>
      <c r="AK29" s="675">
        <f t="shared" si="14"/>
        <v>0.28062065904844702</v>
      </c>
      <c r="AL29" s="673">
        <f t="shared" si="14"/>
        <v>0.37821405714715972</v>
      </c>
      <c r="AM29" s="674">
        <f t="shared" si="14"/>
        <v>0.39359700909811535</v>
      </c>
      <c r="AN29" s="1183">
        <f t="shared" ref="AN29:BJ29" si="15">IFERROR(AN28/AI28-1,"--")</f>
        <v>0.46456666666666679</v>
      </c>
      <c r="AO29" s="674">
        <f t="shared" si="14"/>
        <v>0.4172303606258041</v>
      </c>
      <c r="AP29" s="675">
        <f t="shared" si="14"/>
        <v>0.41481602966343423</v>
      </c>
      <c r="AQ29" s="1343">
        <f t="shared" si="15"/>
        <v>0.29873393518075897</v>
      </c>
      <c r="AR29" s="1183">
        <f t="shared" si="14"/>
        <v>0.28327291558777823</v>
      </c>
      <c r="AS29" s="674">
        <f t="shared" si="15"/>
        <v>0.21693181904393399</v>
      </c>
      <c r="AT29" s="674">
        <f t="shared" si="15"/>
        <v>0.2980492052239212</v>
      </c>
      <c r="AU29" s="675">
        <f t="shared" si="15"/>
        <v>0.27313667422408816</v>
      </c>
      <c r="AV29" s="673">
        <f t="shared" si="15"/>
        <v>0.2160473518054169</v>
      </c>
      <c r="AW29" s="674">
        <f t="shared" si="15"/>
        <v>0.18872165810989716</v>
      </c>
      <c r="AX29" s="674">
        <f t="shared" si="15"/>
        <v>0.20996386230348718</v>
      </c>
      <c r="AY29" s="674">
        <f t="shared" si="15"/>
        <v>0.2080174563834154</v>
      </c>
      <c r="AZ29" s="675">
        <f t="shared" si="15"/>
        <v>0.20570694607134965</v>
      </c>
      <c r="BA29" s="673">
        <f t="shared" si="15"/>
        <v>0.19592065274128601</v>
      </c>
      <c r="BB29" s="674">
        <f t="shared" si="15"/>
        <v>0.19935509339051882</v>
      </c>
      <c r="BC29" s="674">
        <f t="shared" si="15"/>
        <v>0.20433910905548203</v>
      </c>
      <c r="BD29" s="674">
        <f t="shared" si="15"/>
        <v>0.19513772725620049</v>
      </c>
      <c r="BE29" s="675">
        <f t="shared" si="15"/>
        <v>0.19865669804769581</v>
      </c>
      <c r="BF29" s="673">
        <f t="shared" si="15"/>
        <v>0.1823370150123258</v>
      </c>
      <c r="BG29" s="674">
        <f t="shared" si="15"/>
        <v>0.17929464456626976</v>
      </c>
      <c r="BH29" s="674">
        <f t="shared" si="15"/>
        <v>0.20259459219813647</v>
      </c>
      <c r="BI29" s="674">
        <f t="shared" si="15"/>
        <v>0.21098407947219355</v>
      </c>
      <c r="BJ29" s="675">
        <f t="shared" si="15"/>
        <v>0.19484198836841671</v>
      </c>
      <c r="BK29" s="673">
        <f>IFERROR(BK28/BF28-1,"--")</f>
        <v>0.21381791213259982</v>
      </c>
      <c r="BL29" s="674">
        <f>IFERROR(BL28/BG28-1,"--")</f>
        <v>0.19724136809068149</v>
      </c>
      <c r="BM29" s="674">
        <f>IFERROR(BM28/BH28-1,"--")</f>
        <v>0.20600989757109534</v>
      </c>
      <c r="BN29" s="674">
        <f>IFERROR(BN28/BI28-1,"--")</f>
        <v>0.19519424272466845</v>
      </c>
      <c r="BO29" s="675">
        <f>IFERROR(BO28/BJ28-1,"--")</f>
        <v>0.20264774415368114</v>
      </c>
    </row>
    <row r="30" spans="1:67" s="677" customFormat="1">
      <c r="A30" s="664" t="s">
        <v>87</v>
      </c>
      <c r="B30" s="1079" t="s">
        <v>205</v>
      </c>
      <c r="C30" s="673" t="s">
        <v>36</v>
      </c>
      <c r="D30" s="674" t="str">
        <f>IFERROR(D28/C28-1,"--")</f>
        <v>--</v>
      </c>
      <c r="E30" s="674" t="str">
        <f>IFERROR(E28/D28-1,"--")</f>
        <v>--</v>
      </c>
      <c r="F30" s="674" t="str">
        <f>IFERROR(F28/E28-1,"--")</f>
        <v>--</v>
      </c>
      <c r="G30" s="676"/>
      <c r="H30" s="673" t="str">
        <f>IFERROR(H28/F28-1,"--")</f>
        <v>--</v>
      </c>
      <c r="I30" s="674">
        <f>IFERROR(I28/H28-1,"--")</f>
        <v>0.18228941684665223</v>
      </c>
      <c r="J30" s="674">
        <f>IFERROR(J28/I28-1,"--")</f>
        <v>0.35683838752892449</v>
      </c>
      <c r="K30" s="674">
        <f>IFERROR(K28/J28-1,"--")</f>
        <v>0.35544385602728656</v>
      </c>
      <c r="L30" s="676"/>
      <c r="M30" s="673">
        <f>IFERROR(M28/K28-1,"--")</f>
        <v>0.30037745844646047</v>
      </c>
      <c r="N30" s="674">
        <f>IFERROR(N28/M28-1,"--")</f>
        <v>0.19987778173855486</v>
      </c>
      <c r="O30" s="674">
        <f>IFERROR(O28/N28-1,"--")</f>
        <v>4.6006281300398966E-2</v>
      </c>
      <c r="P30" s="674">
        <f>IFERROR(P28/O28-1,"--")</f>
        <v>0.1676134058265033</v>
      </c>
      <c r="Q30" s="676"/>
      <c r="R30" s="673">
        <f>IFERROR(R28/P28-1,"--")</f>
        <v>0.23477082392188198</v>
      </c>
      <c r="S30" s="674">
        <f>IFERROR(S28/R28-1,"--")</f>
        <v>0.20215011397855509</v>
      </c>
      <c r="T30" s="674">
        <f>IFERROR(T28/S28-1,"--")</f>
        <v>0.21303492836407911</v>
      </c>
      <c r="U30" s="674">
        <f>IFERROR(U28/T28-1,"--")</f>
        <v>0.23070094179404044</v>
      </c>
      <c r="V30" s="676"/>
      <c r="W30" s="673">
        <f>IFERROR(W28/U28-1,"--")</f>
        <v>0.13031205896189424</v>
      </c>
      <c r="X30" s="674">
        <f>IFERROR(X28/W28-1,"--")</f>
        <v>0.12441731409544965</v>
      </c>
      <c r="Y30" s="674">
        <f>IFERROR(Y28/X28-1,"--")</f>
        <v>0.13873260290198397</v>
      </c>
      <c r="Z30" s="674">
        <f>IFERROR(Z28/Y28-1,"--")</f>
        <v>0.10948944653924508</v>
      </c>
      <c r="AA30" s="676"/>
      <c r="AB30" s="673">
        <f>IFERROR(AB28/Z28-1,"--")</f>
        <v>8.8029922751643008E-2</v>
      </c>
      <c r="AC30" s="674">
        <f>IFERROR(AC28/AB28-1,"--")</f>
        <v>0.18126576370376357</v>
      </c>
      <c r="AD30" s="674">
        <f>IFERROR(AD28/AC28-1,"--")</f>
        <v>0.10883242405361471</v>
      </c>
      <c r="AE30" s="674">
        <f>IFERROR(AE28/AD28-1,"--")</f>
        <v>8.6836749378122136E-2</v>
      </c>
      <c r="AF30" s="676"/>
      <c r="AG30" s="673">
        <f>IFERROR(AG28/AE28-1,"--")</f>
        <v>4.8990863865927547E-3</v>
      </c>
      <c r="AH30" s="674">
        <f>IFERROR(AH28/AG28-1,"--")</f>
        <v>6.0660818933604421E-2</v>
      </c>
      <c r="AI30" s="674">
        <f>IFERROR(AI28/AH28-1,"--")</f>
        <v>6.4798930468629834E-2</v>
      </c>
      <c r="AJ30" s="674">
        <f>IFERROR(AJ28/AI28-1,"--")</f>
        <v>7.0977777777777806E-2</v>
      </c>
      <c r="AK30" s="676"/>
      <c r="AL30" s="673">
        <f>IFERROR(AL28/AJ28-1,"--")</f>
        <v>0.13944163173839064</v>
      </c>
      <c r="AM30" s="674">
        <f>IFERROR(AM28/AL28-1,"--")</f>
        <v>7.249939678680839E-2</v>
      </c>
      <c r="AN30" s="1183">
        <f>IFERROR(AN28/AM28-1,"--")</f>
        <v>0.11902437367880414</v>
      </c>
      <c r="AO30" s="674">
        <f>IFERROR(AO28/AN28-1,"--")</f>
        <v>3.6362670793788077E-2</v>
      </c>
      <c r="AP30" s="676"/>
      <c r="AQ30" s="1343">
        <f>IFERROR(AQ28/AO28-1,"--")</f>
        <v>4.4171473748938483E-2</v>
      </c>
      <c r="AR30" s="1183">
        <f>IFERROR(AR28/AQ28-1,"--")</f>
        <v>5.9731628317839514E-2</v>
      </c>
      <c r="AS30" s="674">
        <f>IFERROR(AS28/AR28-1,"--")</f>
        <v>6.1174400296378773E-2</v>
      </c>
      <c r="AT30" s="674">
        <f>IFERROR(AT28/AS28-1,"--")</f>
        <v>0.10544380555723665</v>
      </c>
      <c r="AU30" s="676"/>
      <c r="AV30" s="673">
        <f>IFERROR(AV28/AT28-1,"--")</f>
        <v>-2.1792124387060907E-2</v>
      </c>
      <c r="AW30" s="674">
        <f>IFERROR(AW28/AV28-1,"--")</f>
        <v>3.5918491574541411E-2</v>
      </c>
      <c r="AX30" s="674">
        <f>IFERROR(AX28/AW28-1,"--")</f>
        <v>8.0137362014387703E-2</v>
      </c>
      <c r="AY30" s="674">
        <f>IFERROR(AY28/AX28-1,"--")</f>
        <v>0.10366553561506908</v>
      </c>
      <c r="AZ30" s="676"/>
      <c r="BA30" s="673">
        <f>IFERROR(BA28/AY28-1,"--")</f>
        <v>-3.1587668756014597E-2</v>
      </c>
      <c r="BB30" s="674">
        <f>IFERROR(BB28/BA28-1,"--")</f>
        <v>3.8893438590131835E-2</v>
      </c>
      <c r="BC30" s="674">
        <f>IFERROR(BC28/BB28-1,"--")</f>
        <v>8.4625958896377806E-2</v>
      </c>
      <c r="BD30" s="674">
        <f>IFERROR(BD28/BC28-1,"--")</f>
        <v>9.5233319227222113E-2</v>
      </c>
      <c r="BE30" s="676"/>
      <c r="BF30" s="673">
        <f>IFERROR(BF28/BD28-1,"--")</f>
        <v>-4.1960002674494179E-2</v>
      </c>
      <c r="BG30" s="674">
        <f>IFERROR(BG28/BF28-1,"--")</f>
        <v>3.6220174830276397E-2</v>
      </c>
      <c r="BH30" s="674">
        <f>IFERROR(BH28/BG28-1,"--")</f>
        <v>0.10605548726648539</v>
      </c>
      <c r="BI30" s="674">
        <f>IFERROR(BI28/BH28-1,"--")</f>
        <v>0.10287383753105472</v>
      </c>
      <c r="BJ30" s="676"/>
      <c r="BK30" s="673">
        <f>IFERROR(BK28/BI28-1,"--")</f>
        <v>-3.9718086302166777E-2</v>
      </c>
      <c r="BL30" s="674">
        <f>IFERROR(BL28/BK28-1,"--")</f>
        <v>2.2069000100106484E-2</v>
      </c>
      <c r="BM30" s="674">
        <f>IFERROR(BM28/BL28-1,"--")</f>
        <v>0.11415617640533182</v>
      </c>
      <c r="BN30" s="674">
        <f>IFERROR(BN28/BM28-1,"--")</f>
        <v>9.2983120390247143E-2</v>
      </c>
      <c r="BO30" s="676"/>
    </row>
    <row r="31" spans="1:67" s="672" customFormat="1">
      <c r="A31" s="664"/>
      <c r="B31" s="1079" t="s">
        <v>373</v>
      </c>
      <c r="C31" s="665" t="str">
        <f>IFERROR((C14-C28)/C14,"--")</f>
        <v>--</v>
      </c>
      <c r="D31" s="665" t="str">
        <f t="shared" ref="D31:AM31" si="16">IFERROR((D14-D28)/D14,"--")</f>
        <v>--</v>
      </c>
      <c r="E31" s="665" t="str">
        <f t="shared" si="16"/>
        <v>--</v>
      </c>
      <c r="F31" s="665" t="str">
        <f t="shared" si="16"/>
        <v>--</v>
      </c>
      <c r="G31" s="671" t="str">
        <f t="shared" si="16"/>
        <v>--</v>
      </c>
      <c r="H31" s="665">
        <f t="shared" si="16"/>
        <v>0.47330502047626266</v>
      </c>
      <c r="I31" s="665">
        <f t="shared" si="16"/>
        <v>0.53544554455445548</v>
      </c>
      <c r="J31" s="665">
        <f t="shared" si="16"/>
        <v>0.60849703060758342</v>
      </c>
      <c r="K31" s="665">
        <f t="shared" si="16"/>
        <v>0.58473807232228792</v>
      </c>
      <c r="L31" s="671">
        <f t="shared" si="16"/>
        <v>0.56734216109444724</v>
      </c>
      <c r="M31" s="665">
        <f t="shared" ref="M31:V31" si="17">IFERROR((M14-M28)/M14,"--")</f>
        <v>0.54082682504793522</v>
      </c>
      <c r="N31" s="665">
        <f t="shared" si="17"/>
        <v>0.59247985056556784</v>
      </c>
      <c r="O31" s="665">
        <f t="shared" si="17"/>
        <v>0.64391082600089578</v>
      </c>
      <c r="P31" s="665">
        <f t="shared" si="17"/>
        <v>0.65090013586956519</v>
      </c>
      <c r="Q31" s="671">
        <f t="shared" si="17"/>
        <v>0.61692747463614406</v>
      </c>
      <c r="R31" s="665">
        <f t="shared" si="17"/>
        <v>0.6510111278077334</v>
      </c>
      <c r="S31" s="665">
        <f t="shared" si="17"/>
        <v>0.6588614873498595</v>
      </c>
      <c r="T31" s="665">
        <f t="shared" si="17"/>
        <v>0.65100725384413327</v>
      </c>
      <c r="U31" s="665">
        <f t="shared" si="17"/>
        <v>0.64232029076550301</v>
      </c>
      <c r="V31" s="671">
        <f t="shared" si="17"/>
        <v>0.64998717934827743</v>
      </c>
      <c r="W31" s="665">
        <f t="shared" si="16"/>
        <v>0.66290978814946444</v>
      </c>
      <c r="X31" s="665">
        <f t="shared" si="16"/>
        <v>0.68169411247216471</v>
      </c>
      <c r="Y31" s="665">
        <f t="shared" si="16"/>
        <v>0.70462590172119133</v>
      </c>
      <c r="Z31" s="665">
        <f t="shared" si="16"/>
        <v>0.7152142352555082</v>
      </c>
      <c r="AA31" s="671">
        <f t="shared" si="16"/>
        <v>0.69502283709596668</v>
      </c>
      <c r="AB31" s="665">
        <f t="shared" si="16"/>
        <v>0.71754209829781412</v>
      </c>
      <c r="AC31" s="665">
        <f t="shared" si="16"/>
        <v>0.71774601731193222</v>
      </c>
      <c r="AD31" s="665">
        <f t="shared" si="16"/>
        <v>0.72084468352105779</v>
      </c>
      <c r="AE31" s="665">
        <f t="shared" si="16"/>
        <v>0.71440173302672827</v>
      </c>
      <c r="AF31" s="671">
        <f t="shared" si="16"/>
        <v>0.71758211207752487</v>
      </c>
      <c r="AG31" s="665">
        <f t="shared" si="16"/>
        <v>0.72990075787361541</v>
      </c>
      <c r="AH31" s="665">
        <f t="shared" si="16"/>
        <v>0.73595185322293188</v>
      </c>
      <c r="AI31" s="665">
        <f t="shared" si="16"/>
        <v>0.74229682251982165</v>
      </c>
      <c r="AJ31" s="665">
        <f t="shared" si="16"/>
        <v>0.73881775935184069</v>
      </c>
      <c r="AK31" s="671">
        <f t="shared" si="16"/>
        <v>0.73706797797700585</v>
      </c>
      <c r="AL31" s="665">
        <f t="shared" si="16"/>
        <v>0.72180772986384012</v>
      </c>
      <c r="AM31" s="958">
        <f t="shared" si="16"/>
        <v>0.71590955682845947</v>
      </c>
      <c r="AN31" s="1184">
        <f>IFERROR((AN14-AN28)/AN14,"--")</f>
        <v>0.70717841742920562</v>
      </c>
      <c r="AO31" s="665">
        <f>IFERROR((AO14-AO28)/AO14,"--")</f>
        <v>0.7103708988522246</v>
      </c>
      <c r="AP31" s="671">
        <f>IFERROR((AP14-AP28)/AP14,"--")</f>
        <v>0.71347542269544273</v>
      </c>
      <c r="AQ31" s="1184">
        <f t="shared" ref="AQ31:AZ31" si="18">IFERROR((AQ14-AQ28)/AQ14,"--")</f>
        <v>0.71381191858452897</v>
      </c>
      <c r="AR31" s="1184">
        <f t="shared" si="18"/>
        <v>0.72277202300604493</v>
      </c>
      <c r="AS31" s="958">
        <f t="shared" si="18"/>
        <v>0.72305216695428176</v>
      </c>
      <c r="AT31" s="665">
        <f t="shared" si="18"/>
        <v>0.70417693333624054</v>
      </c>
      <c r="AU31" s="671">
        <f t="shared" si="18"/>
        <v>0.7158198093834921</v>
      </c>
      <c r="AV31" s="665">
        <f t="shared" si="18"/>
        <v>0.72503313412895165</v>
      </c>
      <c r="AW31" s="665">
        <f t="shared" si="18"/>
        <v>0.7344314940793969</v>
      </c>
      <c r="AX31" s="665">
        <f t="shared" si="18"/>
        <v>0.73051723068784369</v>
      </c>
      <c r="AY31" s="665">
        <f t="shared" si="18"/>
        <v>0.71295776039429115</v>
      </c>
      <c r="AZ31" s="671">
        <f t="shared" si="18"/>
        <v>0.7255008813173367</v>
      </c>
      <c r="BA31" s="665">
        <f t="shared" ref="BA31:BJ31" si="19">IFERROR((BA14-BA28)/BA14,"--")</f>
        <v>0.73595070858047307</v>
      </c>
      <c r="BB31" s="665">
        <f t="shared" si="19"/>
        <v>0.74510729405669029</v>
      </c>
      <c r="BC31" s="665">
        <f t="shared" si="19"/>
        <v>0.74094748531292942</v>
      </c>
      <c r="BD31" s="665">
        <f t="shared" si="19"/>
        <v>0.72318277481876403</v>
      </c>
      <c r="BE31" s="671">
        <f t="shared" si="19"/>
        <v>0.73607862507924338</v>
      </c>
      <c r="BF31" s="665">
        <f t="shared" si="19"/>
        <v>0.74600152471072634</v>
      </c>
      <c r="BG31" s="665">
        <f t="shared" si="19"/>
        <v>0.7549383687055784</v>
      </c>
      <c r="BH31" s="665">
        <f t="shared" si="19"/>
        <v>0.75058682886441996</v>
      </c>
      <c r="BI31" s="665">
        <f t="shared" si="19"/>
        <v>0.73272936302422964</v>
      </c>
      <c r="BJ31" s="671">
        <f t="shared" si="19"/>
        <v>0.74577798343946389</v>
      </c>
      <c r="BK31" s="665">
        <f>IFERROR((BK14-BK28)/BK14,"--")</f>
        <v>0.75282581472535337</v>
      </c>
      <c r="BL31" s="665">
        <f>IFERROR((BL14-BL28)/BL14,"--")</f>
        <v>0.76175798058535282</v>
      </c>
      <c r="BM31" s="665">
        <f>IFERROR((BM14-BM28)/BM14,"--")</f>
        <v>0.75738382377979641</v>
      </c>
      <c r="BN31" s="665">
        <f>IFERROR((BN14-BN28)/BN14,"--")</f>
        <v>0.73949240063401378</v>
      </c>
      <c r="BO31" s="671">
        <f>IFERROR((BO14-BO28)/BO14,"--")</f>
        <v>0.75260173349938619</v>
      </c>
    </row>
    <row r="32" spans="1:67" s="368" customFormat="1">
      <c r="A32" s="107"/>
      <c r="B32" s="1040"/>
      <c r="G32" s="369"/>
      <c r="L32" s="369"/>
      <c r="Q32" s="369"/>
      <c r="V32" s="369"/>
      <c r="AA32" s="369"/>
      <c r="AF32" s="369"/>
      <c r="AK32" s="369"/>
      <c r="AN32" s="1185"/>
      <c r="AP32" s="369"/>
      <c r="AQ32" s="1185"/>
      <c r="AR32" s="1185"/>
      <c r="AU32" s="369"/>
      <c r="AZ32" s="369"/>
      <c r="BE32" s="369"/>
      <c r="BJ32" s="369"/>
      <c r="BO32" s="369"/>
    </row>
    <row r="33" spans="1:67" s="1242" customFormat="1">
      <c r="A33" s="351" t="s">
        <v>59</v>
      </c>
      <c r="B33" s="1241" t="s">
        <v>364</v>
      </c>
      <c r="C33" s="1191"/>
      <c r="D33" s="1191"/>
      <c r="E33" s="1191"/>
      <c r="F33" s="1191"/>
      <c r="G33" s="617">
        <f>SUM(C33:F33)</f>
        <v>0</v>
      </c>
      <c r="H33" s="622">
        <v>0.49399999999999999</v>
      </c>
      <c r="I33" s="622">
        <v>1.524</v>
      </c>
      <c r="J33" s="1243">
        <f>13.824-J28</f>
        <v>2.6829999999999998</v>
      </c>
      <c r="K33" s="1243">
        <f>20.389-K28</f>
        <v>5.2879999999999985</v>
      </c>
      <c r="L33" s="617">
        <f>SUM(H33:K33)</f>
        <v>9.9889999999999972</v>
      </c>
      <c r="M33" s="1243">
        <f>24.038-M28</f>
        <v>4.4009999999999998</v>
      </c>
      <c r="N33" s="1243">
        <f>28.508-N28</f>
        <v>4.945999999999998</v>
      </c>
      <c r="O33" s="1243">
        <f>29.489-O28</f>
        <v>4.843</v>
      </c>
      <c r="P33" s="1243">
        <f>34.522-P28</f>
        <v>5.7449999999999974</v>
      </c>
      <c r="Q33" s="617">
        <f>SUM(M33:P33)</f>
        <v>19.934999999999995</v>
      </c>
      <c r="R33" s="1243">
        <f>42.557-R28</f>
        <v>7.0240000000000009</v>
      </c>
      <c r="S33" s="1243">
        <f>50.446-S28</f>
        <v>7.7299999999999969</v>
      </c>
      <c r="T33" s="622">
        <v>14.865</v>
      </c>
      <c r="U33" s="622">
        <v>19.134</v>
      </c>
      <c r="V33" s="617">
        <f>SUM(R33:U33)</f>
        <v>48.753</v>
      </c>
      <c r="W33" s="622">
        <v>25.265999999999998</v>
      </c>
      <c r="X33" s="622">
        <v>25.073</v>
      </c>
      <c r="Y33" s="622">
        <v>28.494</v>
      </c>
      <c r="Z33" s="622">
        <v>31.783000000000001</v>
      </c>
      <c r="AA33" s="617">
        <f>SUM(W33:Z33)</f>
        <v>110.616</v>
      </c>
      <c r="AB33" s="622">
        <v>36.518999999999998</v>
      </c>
      <c r="AC33" s="622">
        <v>41.625999999999998</v>
      </c>
      <c r="AD33" s="622">
        <v>44.792000000000002</v>
      </c>
      <c r="AE33" s="622">
        <v>47.055999999999997</v>
      </c>
      <c r="AF33" s="617">
        <f>SUM(AB33:AE33)</f>
        <v>169.99299999999999</v>
      </c>
      <c r="AG33" s="622">
        <v>50.036000000000001</v>
      </c>
      <c r="AH33" s="622">
        <v>49.345999999999997</v>
      </c>
      <c r="AI33" s="622">
        <v>48.948</v>
      </c>
      <c r="AJ33" s="622">
        <v>49.027999999999999</v>
      </c>
      <c r="AK33" s="617">
        <f>SUM(AG33:AJ33)</f>
        <v>197.358</v>
      </c>
      <c r="AL33" s="622">
        <v>52.86</v>
      </c>
      <c r="AM33" s="622">
        <v>52.496000000000002</v>
      </c>
      <c r="AN33" s="1190">
        <v>57.271999999999998</v>
      </c>
      <c r="AO33" s="622">
        <v>59.975999999999999</v>
      </c>
      <c r="AP33" s="617">
        <f>SUM(AL33:AO33)</f>
        <v>222.60399999999998</v>
      </c>
      <c r="AQ33" s="1190">
        <v>63.51</v>
      </c>
      <c r="AR33" s="1190">
        <v>69.498999999999995</v>
      </c>
      <c r="AS33" s="622">
        <v>70.063000000000002</v>
      </c>
      <c r="AT33" s="1191">
        <f>'IS (Non-GAAP)'!AT33+'IS (Non-GAAP)'!AT96+'IS (Non-GAAP)'!AT117</f>
        <v>64.41539335736347</v>
      </c>
      <c r="AU33" s="617">
        <f>SUM(AQ33:AT33)</f>
        <v>267.48739335736349</v>
      </c>
      <c r="AV33" s="1191">
        <f>'IS (Non-GAAP)'!AV33+'IS (Non-GAAP)'!AV96+'IS (Non-GAAP)'!AV117</f>
        <v>64.697767442651994</v>
      </c>
      <c r="AW33" s="1191">
        <f>'IS (Non-GAAP)'!AW33+'IS (Non-GAAP)'!AW96+'IS (Non-GAAP)'!AW117</f>
        <v>74.48497461950781</v>
      </c>
      <c r="AX33" s="1191">
        <f>'IS (Non-GAAP)'!AX33+'IS (Non-GAAP)'!AX96+'IS (Non-GAAP)'!AX117</f>
        <v>73.867385274914142</v>
      </c>
      <c r="AY33" s="1191">
        <f>'IS (Non-GAAP)'!AY33+'IS (Non-GAAP)'!AY96+'IS (Non-GAAP)'!AY117</f>
        <v>67.708112284111252</v>
      </c>
      <c r="AZ33" s="617">
        <f>SUM(AV33:AY33)</f>
        <v>280.75823962118523</v>
      </c>
      <c r="BA33" s="1191">
        <f>'IS (Non-GAAP)'!BA33+'IS (Non-GAAP)'!BA96+'IS (Non-GAAP)'!BA117</f>
        <v>67.476225349062375</v>
      </c>
      <c r="BB33" s="1191">
        <f>'IS (Non-GAAP)'!BB33+'IS (Non-GAAP)'!BB96+'IS (Non-GAAP)'!BB117</f>
        <v>78.016829129203046</v>
      </c>
      <c r="BC33" s="1191">
        <f>'IS (Non-GAAP)'!BC33+'IS (Non-GAAP)'!BC96+'IS (Non-GAAP)'!BC117</f>
        <v>76.828944071562347</v>
      </c>
      <c r="BD33" s="1191">
        <f>'IS (Non-GAAP)'!BD33+'IS (Non-GAAP)'!BD96+'IS (Non-GAAP)'!BD117</f>
        <v>69.433103790269186</v>
      </c>
      <c r="BE33" s="617">
        <f>SUM(BA33:BD33)</f>
        <v>291.75510234009698</v>
      </c>
      <c r="BF33" s="1191">
        <f>'IS (Non-GAAP)'!BF33+'IS (Non-GAAP)'!BF96+'IS (Non-GAAP)'!BF117</f>
        <v>68.290745618676738</v>
      </c>
      <c r="BG33" s="1191">
        <f>'IS (Non-GAAP)'!BG33+'IS (Non-GAAP)'!BG96+'IS (Non-GAAP)'!BG117</f>
        <v>79.404727689580071</v>
      </c>
      <c r="BH33" s="1191">
        <f>'IS (Non-GAAP)'!BH33+'IS (Non-GAAP)'!BH96+'IS (Non-GAAP)'!BH117</f>
        <v>77.405241610696237</v>
      </c>
      <c r="BI33" s="1191">
        <f>'IS (Non-GAAP)'!BI33+'IS (Non-GAAP)'!BI96+'IS (Non-GAAP)'!BI117</f>
        <v>68.675466542279992</v>
      </c>
      <c r="BJ33" s="617">
        <f>SUM(BF33:BI33)</f>
        <v>293.77618146123302</v>
      </c>
      <c r="BK33" s="1191">
        <f>'IS (Non-GAAP)'!BK33+'IS (Non-GAAP)'!BK96+'IS (Non-GAAP)'!BK117</f>
        <v>67.442091055044557</v>
      </c>
      <c r="BL33" s="1191">
        <f>'IS (Non-GAAP)'!BL33+'IS (Non-GAAP)'!BL96+'IS (Non-GAAP)'!BL117</f>
        <v>79.046055861892384</v>
      </c>
      <c r="BM33" s="1191">
        <f>'IS (Non-GAAP)'!BM33+'IS (Non-GAAP)'!BM96+'IS (Non-GAAP)'!BM117</f>
        <v>75.629057058304923</v>
      </c>
      <c r="BN33" s="1191">
        <f>'IS (Non-GAAP)'!BN33+'IS (Non-GAAP)'!BN96+'IS (Non-GAAP)'!BN117</f>
        <v>65.39305595510379</v>
      </c>
      <c r="BO33" s="617">
        <f>SUM(BK33:BN33)</f>
        <v>287.51025993034568</v>
      </c>
    </row>
    <row r="34" spans="1:67" s="674" customFormat="1">
      <c r="A34" s="664" t="s">
        <v>81</v>
      </c>
      <c r="B34" s="1079" t="s">
        <v>204</v>
      </c>
      <c r="C34" s="673" t="s">
        <v>36</v>
      </c>
      <c r="D34" s="674" t="s">
        <v>36</v>
      </c>
      <c r="E34" s="674" t="s">
        <v>36</v>
      </c>
      <c r="F34" s="674" t="s">
        <v>36</v>
      </c>
      <c r="G34" s="675" t="s">
        <v>36</v>
      </c>
      <c r="H34" s="673" t="str">
        <f t="shared" ref="H34:AR34" si="20">IFERROR(H33/C33-1,"--")</f>
        <v>--</v>
      </c>
      <c r="I34" s="674" t="str">
        <f t="shared" si="20"/>
        <v>--</v>
      </c>
      <c r="J34" s="674" t="str">
        <f t="shared" si="20"/>
        <v>--</v>
      </c>
      <c r="K34" s="674" t="str">
        <f t="shared" si="20"/>
        <v>--</v>
      </c>
      <c r="L34" s="675" t="str">
        <f t="shared" si="20"/>
        <v>--</v>
      </c>
      <c r="M34" s="673">
        <f t="shared" si="20"/>
        <v>7.9089068825910935</v>
      </c>
      <c r="N34" s="674">
        <f t="shared" si="20"/>
        <v>2.2454068241469805</v>
      </c>
      <c r="O34" s="674">
        <f t="shared" si="20"/>
        <v>0.80506895266492751</v>
      </c>
      <c r="P34" s="674">
        <f t="shared" si="20"/>
        <v>8.6422087745839482E-2</v>
      </c>
      <c r="Q34" s="675">
        <f t="shared" si="20"/>
        <v>0.99569526479127046</v>
      </c>
      <c r="R34" s="673">
        <f t="shared" si="20"/>
        <v>0.59600090888434476</v>
      </c>
      <c r="S34" s="674">
        <f t="shared" si="20"/>
        <v>0.56287909421754945</v>
      </c>
      <c r="T34" s="674">
        <f t="shared" si="20"/>
        <v>2.0693784844104894</v>
      </c>
      <c r="U34" s="674">
        <f t="shared" si="20"/>
        <v>2.3305483028720642</v>
      </c>
      <c r="V34" s="675">
        <f t="shared" si="20"/>
        <v>1.4455981941309259</v>
      </c>
      <c r="W34" s="673">
        <f t="shared" si="20"/>
        <v>2.5970956719817759</v>
      </c>
      <c r="X34" s="674">
        <f t="shared" si="20"/>
        <v>2.2435963777490313</v>
      </c>
      <c r="Y34" s="674">
        <f t="shared" si="20"/>
        <v>0.9168516649848637</v>
      </c>
      <c r="Z34" s="674">
        <f t="shared" si="20"/>
        <v>0.6610745270199645</v>
      </c>
      <c r="AA34" s="675">
        <f t="shared" si="20"/>
        <v>1.2689065288289951</v>
      </c>
      <c r="AB34" s="673">
        <f t="shared" si="20"/>
        <v>0.44538114462123013</v>
      </c>
      <c r="AC34" s="674">
        <f t="shared" si="20"/>
        <v>0.66019223866310361</v>
      </c>
      <c r="AD34" s="674">
        <f t="shared" si="20"/>
        <v>0.57198006597880258</v>
      </c>
      <c r="AE34" s="674">
        <f t="shared" si="20"/>
        <v>0.48053991127332218</v>
      </c>
      <c r="AF34" s="675">
        <f t="shared" si="20"/>
        <v>0.53678491357488967</v>
      </c>
      <c r="AG34" s="673">
        <f t="shared" si="20"/>
        <v>0.37013609354034904</v>
      </c>
      <c r="AH34" s="674">
        <f t="shared" si="20"/>
        <v>0.18546100994570702</v>
      </c>
      <c r="AI34" s="674">
        <f t="shared" si="20"/>
        <v>9.2784425790319647E-2</v>
      </c>
      <c r="AJ34" s="674">
        <f t="shared" si="20"/>
        <v>4.1907514450867156E-2</v>
      </c>
      <c r="AK34" s="675">
        <f t="shared" si="20"/>
        <v>0.1609772167089234</v>
      </c>
      <c r="AL34" s="673">
        <f t="shared" si="20"/>
        <v>5.6439363658166153E-2</v>
      </c>
      <c r="AM34" s="674">
        <f t="shared" si="20"/>
        <v>6.3834961293721904E-2</v>
      </c>
      <c r="AN34" s="1183">
        <f t="shared" ref="AN34:BJ34" si="21">IFERROR(AN33/AI33-1,"--")</f>
        <v>0.17005802075672127</v>
      </c>
      <c r="AO34" s="674">
        <f t="shared" si="20"/>
        <v>0.22330097087378653</v>
      </c>
      <c r="AP34" s="675">
        <f t="shared" si="20"/>
        <v>0.12791982083320663</v>
      </c>
      <c r="AQ34" s="1343">
        <f t="shared" si="21"/>
        <v>0.20147559591373443</v>
      </c>
      <c r="AR34" s="1183">
        <f t="shared" si="20"/>
        <v>0.32389134410240761</v>
      </c>
      <c r="AS34" s="674">
        <f t="shared" si="21"/>
        <v>0.22333775666992595</v>
      </c>
      <c r="AT34" s="674">
        <f t="shared" si="21"/>
        <v>7.4019497088226416E-2</v>
      </c>
      <c r="AU34" s="675">
        <f t="shared" si="21"/>
        <v>0.20162887170654398</v>
      </c>
      <c r="AV34" s="673">
        <f t="shared" si="21"/>
        <v>1.8702053891544557E-2</v>
      </c>
      <c r="AW34" s="674">
        <f t="shared" si="21"/>
        <v>7.1741674261612598E-2</v>
      </c>
      <c r="AX34" s="674">
        <f t="shared" si="21"/>
        <v>5.4299491527826982E-2</v>
      </c>
      <c r="AY34" s="674">
        <f t="shared" si="21"/>
        <v>5.1116957533433816E-2</v>
      </c>
      <c r="AZ34" s="675">
        <f t="shared" si="21"/>
        <v>4.9612978380973116E-2</v>
      </c>
      <c r="BA34" s="673">
        <f t="shared" si="21"/>
        <v>4.2945189861044231E-2</v>
      </c>
      <c r="BB34" s="674">
        <f t="shared" si="21"/>
        <v>4.7417006285321861E-2</v>
      </c>
      <c r="BC34" s="674">
        <f t="shared" si="21"/>
        <v>4.0092914966816551E-2</v>
      </c>
      <c r="BD34" s="674">
        <f t="shared" si="21"/>
        <v>2.5476880804469415E-2</v>
      </c>
      <c r="BE34" s="675">
        <f t="shared" si="21"/>
        <v>3.9168441623474104E-2</v>
      </c>
      <c r="BF34" s="673">
        <f t="shared" si="21"/>
        <v>1.2071218646282578E-2</v>
      </c>
      <c r="BG34" s="674">
        <f t="shared" si="21"/>
        <v>1.7789733008483744E-2</v>
      </c>
      <c r="BH34" s="674">
        <f t="shared" si="21"/>
        <v>7.5010472433032493E-3</v>
      </c>
      <c r="BI34" s="674">
        <f t="shared" si="21"/>
        <v>-1.0911758320321208E-2</v>
      </c>
      <c r="BJ34" s="675">
        <f t="shared" si="21"/>
        <v>6.9273137125125395E-3</v>
      </c>
      <c r="BK34" s="673">
        <f>IFERROR(BK33/BF33-1,"--")</f>
        <v>-1.2427080066908514E-2</v>
      </c>
      <c r="BL34" s="674">
        <f>IFERROR(BL33/BG33-1,"--")</f>
        <v>-4.5170084719622361E-3</v>
      </c>
      <c r="BM34" s="674">
        <f>IFERROR(BM33/BH33-1,"--")</f>
        <v>-2.2946566865904239E-2</v>
      </c>
      <c r="BN34" s="674">
        <f>IFERROR(BN33/BI33-1,"--")</f>
        <v>-4.7795970707463442E-2</v>
      </c>
      <c r="BO34" s="675">
        <f>IFERROR(BO33/BJ33-1,"--")</f>
        <v>-2.1328895691001382E-2</v>
      </c>
    </row>
    <row r="35" spans="1:67" s="677" customFormat="1">
      <c r="A35" s="664" t="s">
        <v>87</v>
      </c>
      <c r="B35" s="1079" t="s">
        <v>205</v>
      </c>
      <c r="C35" s="673" t="s">
        <v>36</v>
      </c>
      <c r="D35" s="674" t="str">
        <f>IFERROR(D33/C33-1,"--")</f>
        <v>--</v>
      </c>
      <c r="E35" s="674" t="str">
        <f>IFERROR(E33/D33-1,"--")</f>
        <v>--</v>
      </c>
      <c r="F35" s="674" t="str">
        <f>IFERROR(F33/E33-1,"--")</f>
        <v>--</v>
      </c>
      <c r="G35" s="676"/>
      <c r="H35" s="673" t="str">
        <f>IFERROR(H33/F33-1,"--")</f>
        <v>--</v>
      </c>
      <c r="I35" s="674">
        <f>IFERROR(I33/H33-1,"--")</f>
        <v>2.0850202429149798</v>
      </c>
      <c r="J35" s="674">
        <f>IFERROR(J33/I33-1,"--")</f>
        <v>0.76049868766404183</v>
      </c>
      <c r="K35" s="674">
        <f>IFERROR(K33/J33-1,"--")</f>
        <v>0.97092806559821043</v>
      </c>
      <c r="L35" s="676"/>
      <c r="M35" s="673">
        <f>IFERROR(M33/K33-1,"--")</f>
        <v>-0.16773827534039309</v>
      </c>
      <c r="N35" s="674">
        <f>IFERROR(N33/M33-1,"--")</f>
        <v>0.12383549193365107</v>
      </c>
      <c r="O35" s="674">
        <f>IFERROR(O33/N33-1,"--")</f>
        <v>-2.0824909017387427E-2</v>
      </c>
      <c r="P35" s="674">
        <f>IFERROR(P33/O33-1,"--")</f>
        <v>0.18624819326863462</v>
      </c>
      <c r="Q35" s="676"/>
      <c r="R35" s="673">
        <f>IFERROR(R33/P33-1,"--")</f>
        <v>0.22262837249782486</v>
      </c>
      <c r="S35" s="674">
        <f>IFERROR(S33/R33-1,"--")</f>
        <v>0.10051252847380354</v>
      </c>
      <c r="T35" s="674">
        <f>IFERROR(T33/S33-1,"--")</f>
        <v>0.92302716688227759</v>
      </c>
      <c r="U35" s="674">
        <f>IFERROR(U33/T33-1,"--")</f>
        <v>0.2871846619576186</v>
      </c>
      <c r="V35" s="676"/>
      <c r="W35" s="673">
        <f>IFERROR(W33/U33-1,"--")</f>
        <v>0.32047663844465335</v>
      </c>
      <c r="X35" s="674">
        <f>IFERROR(X33/W33-1,"--")</f>
        <v>-7.6387239768858084E-3</v>
      </c>
      <c r="Y35" s="674">
        <f>IFERROR(Y33/X33-1,"--")</f>
        <v>0.13644159055557759</v>
      </c>
      <c r="Z35" s="674">
        <f>IFERROR(Z33/Y33-1,"--")</f>
        <v>0.11542780936337471</v>
      </c>
      <c r="AA35" s="676"/>
      <c r="AB35" s="673">
        <f>IFERROR(AB33/Z33-1,"--")</f>
        <v>0.14901047729918493</v>
      </c>
      <c r="AC35" s="674">
        <f>IFERROR(AC33/AB33-1,"--")</f>
        <v>0.13984501218543777</v>
      </c>
      <c r="AD35" s="674">
        <f>IFERROR(AD33/AC33-1,"--")</f>
        <v>7.6058232835247264E-2</v>
      </c>
      <c r="AE35" s="674">
        <f>IFERROR(AE33/AD33-1,"--")</f>
        <v>5.0544740132166366E-2</v>
      </c>
      <c r="AF35" s="676"/>
      <c r="AG35" s="673">
        <f>IFERROR(AG33/AE33-1,"--")</f>
        <v>6.3328799727983665E-2</v>
      </c>
      <c r="AH35" s="674">
        <f>IFERROR(AH33/AG33-1,"--")</f>
        <v>-1.3790071148772953E-2</v>
      </c>
      <c r="AI35" s="674">
        <f>IFERROR(AI33/AH33-1,"--")</f>
        <v>-8.0654966967940167E-3</v>
      </c>
      <c r="AJ35" s="674">
        <f>IFERROR(AJ33/AI33-1,"--")</f>
        <v>1.6343875132793784E-3</v>
      </c>
      <c r="AK35" s="676"/>
      <c r="AL35" s="673">
        <f>IFERROR(AL33/AJ33-1,"--")</f>
        <v>7.8159419107448835E-2</v>
      </c>
      <c r="AM35" s="674">
        <f>IFERROR(AM33/AL33-1,"--")</f>
        <v>-6.8861142640938011E-3</v>
      </c>
      <c r="AN35" s="1183">
        <f>IFERROR(AN33/AM33-1,"--")</f>
        <v>9.0978360256019464E-2</v>
      </c>
      <c r="AO35" s="674">
        <f>IFERROR(AO33/AN33-1,"--")</f>
        <v>4.7213297946640642E-2</v>
      </c>
      <c r="AP35" s="676"/>
      <c r="AQ35" s="1343">
        <f>IFERROR(AQ33/AO33-1,"--")</f>
        <v>5.8923569427770994E-2</v>
      </c>
      <c r="AR35" s="1183">
        <f>IFERROR(AR33/AQ33-1,"--")</f>
        <v>9.4300110218863198E-2</v>
      </c>
      <c r="AS35" s="674">
        <f>IFERROR(AS33/AR33-1,"--")</f>
        <v>8.1152246794919947E-3</v>
      </c>
      <c r="AT35" s="674">
        <f>IFERROR(AT33/AS33-1,"--")</f>
        <v>-8.0607548101516269E-2</v>
      </c>
      <c r="AU35" s="676"/>
      <c r="AV35" s="673">
        <f>IFERROR(AV33/AT33-1,"--")</f>
        <v>4.3836429550614397E-3</v>
      </c>
      <c r="AW35" s="674">
        <f>IFERROR(AW33/AV33-1,"--")</f>
        <v>0.15127581002746626</v>
      </c>
      <c r="AX35" s="674">
        <f>IFERROR(AX33/AW33-1,"--")</f>
        <v>-8.2914621069350991E-3</v>
      </c>
      <c r="AY35" s="674">
        <f>IFERROR(AY33/AX33-1,"--")</f>
        <v>-8.3382848436827195E-2</v>
      </c>
      <c r="AZ35" s="676"/>
      <c r="BA35" s="673">
        <f>IFERROR(BA33/AY33-1,"--")</f>
        <v>-3.4248028371527406E-3</v>
      </c>
      <c r="BB35" s="674">
        <f>IFERROR(BB33/BA33-1,"--")</f>
        <v>0.1562121136090957</v>
      </c>
      <c r="BC35" s="674">
        <f>IFERROR(BC33/BB33-1,"--")</f>
        <v>-1.5226010476194207E-2</v>
      </c>
      <c r="BD35" s="674">
        <f>IFERROR(BD33/BC33-1,"--")</f>
        <v>-9.6263724181921639E-2</v>
      </c>
      <c r="BE35" s="676"/>
      <c r="BF35" s="673">
        <f>IFERROR(BF33/BD33-1,"--")</f>
        <v>-1.6452644476949718E-2</v>
      </c>
      <c r="BG35" s="674">
        <f>IFERROR(BG33/BF33-1,"--")</f>
        <v>0.1627450684601075</v>
      </c>
      <c r="BH35" s="674">
        <f>IFERROR(BH33/BG33-1,"--")</f>
        <v>-2.5180944977237441E-2</v>
      </c>
      <c r="BI35" s="674">
        <f>IFERROR(BI33/BH33-1,"--")</f>
        <v>-0.1127801539890797</v>
      </c>
      <c r="BJ35" s="676"/>
      <c r="BK35" s="673">
        <f>IFERROR(BK33/BI33-1,"--")</f>
        <v>-1.7959477369929644E-2</v>
      </c>
      <c r="BL35" s="674">
        <f>IFERROR(BL33/BK33-1,"--")</f>
        <v>0.17205820023250706</v>
      </c>
      <c r="BM35" s="674">
        <f>IFERROR(BM33/BL33-1,"--")</f>
        <v>-4.3227948141493222E-2</v>
      </c>
      <c r="BN35" s="674">
        <f>IFERROR(BN33/BM33-1,"--")</f>
        <v>-0.13534481985290203</v>
      </c>
      <c r="BO35" s="676"/>
    </row>
    <row r="36" spans="1:67" s="672" customFormat="1">
      <c r="A36" s="664"/>
      <c r="B36" s="1079" t="s">
        <v>373</v>
      </c>
      <c r="C36" s="665" t="str">
        <f>IFERROR((C19-C33)/C19,"--")</f>
        <v>--</v>
      </c>
      <c r="D36" s="665" t="str">
        <f t="shared" ref="D36:AM36" si="22">IFERROR((D19-D33)/D19,"--")</f>
        <v>--</v>
      </c>
      <c r="E36" s="665" t="str">
        <f t="shared" si="22"/>
        <v>--</v>
      </c>
      <c r="F36" s="665" t="str">
        <f t="shared" si="22"/>
        <v>--</v>
      </c>
      <c r="G36" s="671" t="str">
        <f t="shared" si="22"/>
        <v>--</v>
      </c>
      <c r="H36" s="665">
        <f t="shared" si="22"/>
        <v>-1.2764976958525347</v>
      </c>
      <c r="I36" s="665">
        <f t="shared" si="22"/>
        <v>-5.6260869565217391</v>
      </c>
      <c r="J36" s="665">
        <f t="shared" si="22"/>
        <v>-11.031390134529147</v>
      </c>
      <c r="K36" s="665">
        <f t="shared" si="22"/>
        <v>-15.894568690095843</v>
      </c>
      <c r="L36" s="671">
        <f t="shared" si="22"/>
        <v>-9.1617497456764969</v>
      </c>
      <c r="M36" s="665">
        <f t="shared" si="22"/>
        <v>-3.6869009584664538</v>
      </c>
      <c r="N36" s="665">
        <f t="shared" si="22"/>
        <v>-0.96191987306624283</v>
      </c>
      <c r="O36" s="665">
        <f t="shared" si="22"/>
        <v>-0.27480916030534353</v>
      </c>
      <c r="P36" s="665">
        <f t="shared" si="22"/>
        <v>-9.2205323193915903E-2</v>
      </c>
      <c r="Q36" s="671">
        <f t="shared" si="22"/>
        <v>-0.59237958303378824</v>
      </c>
      <c r="R36" s="665">
        <f t="shared" si="22"/>
        <v>-3.7153472420692608E-3</v>
      </c>
      <c r="S36" s="665">
        <f t="shared" si="22"/>
        <v>2.5097742464371724E-2</v>
      </c>
      <c r="T36" s="665">
        <f t="shared" si="22"/>
        <v>-0.33306429916599412</v>
      </c>
      <c r="U36" s="665">
        <f t="shared" si="22"/>
        <v>-0.57132298595713238</v>
      </c>
      <c r="V36" s="671">
        <f t="shared" si="22"/>
        <v>-0.27442164422951265</v>
      </c>
      <c r="W36" s="665">
        <f t="shared" si="22"/>
        <v>-0.67501988862370721</v>
      </c>
      <c r="X36" s="665">
        <f t="shared" si="22"/>
        <v>-0.42662873399715512</v>
      </c>
      <c r="Y36" s="665">
        <f t="shared" si="22"/>
        <v>-0.29618341445662555</v>
      </c>
      <c r="Z36" s="665">
        <f t="shared" si="22"/>
        <v>-0.31247935249421871</v>
      </c>
      <c r="AA36" s="671">
        <f t="shared" si="22"/>
        <v>-0.40272388343604953</v>
      </c>
      <c r="AB36" s="665">
        <f t="shared" si="22"/>
        <v>-0.30719118015534941</v>
      </c>
      <c r="AC36" s="665">
        <f t="shared" si="22"/>
        <v>-0.343641058747579</v>
      </c>
      <c r="AD36" s="665">
        <f t="shared" si="22"/>
        <v>-0.30680359435173293</v>
      </c>
      <c r="AE36" s="665">
        <f t="shared" si="22"/>
        <v>-0.39702520559332594</v>
      </c>
      <c r="AF36" s="671">
        <f t="shared" si="22"/>
        <v>-0.33983574513698406</v>
      </c>
      <c r="AG36" s="665">
        <f t="shared" si="22"/>
        <v>-0.49240910311092551</v>
      </c>
      <c r="AH36" s="665">
        <f t="shared" si="22"/>
        <v>-0.459552190245201</v>
      </c>
      <c r="AI36" s="665">
        <f t="shared" si="22"/>
        <v>-0.37128449362655835</v>
      </c>
      <c r="AJ36" s="665">
        <f t="shared" si="22"/>
        <v>-0.33923352181157629</v>
      </c>
      <c r="AK36" s="671">
        <f t="shared" si="22"/>
        <v>-0.41333428816957879</v>
      </c>
      <c r="AL36" s="665">
        <f t="shared" si="22"/>
        <v>-0.35115791626194981</v>
      </c>
      <c r="AM36" s="665">
        <f t="shared" si="22"/>
        <v>-0.32656103909231043</v>
      </c>
      <c r="AN36" s="1184">
        <f>IFERROR((AN19-AN33)/AN19,"--")</f>
        <v>-0.36975031091552668</v>
      </c>
      <c r="AO36" s="665">
        <f>IFERROR((AO19-AO33)/AO19,"--")</f>
        <v>-0.37980536959072403</v>
      </c>
      <c r="AP36" s="671">
        <f>IFERROR((AP19-AP33)/AP19,"--")</f>
        <v>-0.357556685816044</v>
      </c>
      <c r="AQ36" s="1184">
        <f t="shared" ref="AQ36:AZ36" si="23">IFERROR((AQ19-AQ33)/AQ19,"--")</f>
        <v>-0.4031948034731887</v>
      </c>
      <c r="AR36" s="1184">
        <f t="shared" si="23"/>
        <v>-0.27584307822223847</v>
      </c>
      <c r="AS36" s="958">
        <f t="shared" si="23"/>
        <v>-0.28480525196215078</v>
      </c>
      <c r="AT36" s="665">
        <f t="shared" si="23"/>
        <v>-0.28864162532822951</v>
      </c>
      <c r="AU36" s="671">
        <f t="shared" si="23"/>
        <v>-0.30958824535233842</v>
      </c>
      <c r="AV36" s="665">
        <f t="shared" si="23"/>
        <v>-0.25941623639478373</v>
      </c>
      <c r="AW36" s="665">
        <f t="shared" si="23"/>
        <v>-0.20473497510924352</v>
      </c>
      <c r="AX36" s="665">
        <f t="shared" si="23"/>
        <v>-0.19345332498323975</v>
      </c>
      <c r="AY36" s="665">
        <f t="shared" si="23"/>
        <v>-0.1934035811153724</v>
      </c>
      <c r="AZ36" s="671">
        <f t="shared" si="23"/>
        <v>-0.21106680057883767</v>
      </c>
      <c r="BA36" s="665">
        <f t="shared" ref="BA36:BJ36" si="24">IFERROR((BA19-BA33)/BA19,"--")</f>
        <v>-0.16239124405384039</v>
      </c>
      <c r="BB36" s="665">
        <f t="shared" si="24"/>
        <v>-0.11669017787269535</v>
      </c>
      <c r="BC36" s="665">
        <f t="shared" si="24"/>
        <v>-9.8497652795271923E-2</v>
      </c>
      <c r="BD36" s="665">
        <f t="shared" si="24"/>
        <v>-8.3015736197412218E-2</v>
      </c>
      <c r="BE36" s="671">
        <f t="shared" si="24"/>
        <v>-0.11371893792870572</v>
      </c>
      <c r="BF36" s="665">
        <f t="shared" si="24"/>
        <v>-4.5709087034078867E-2</v>
      </c>
      <c r="BG36" s="665">
        <f t="shared" si="24"/>
        <v>-1.0271820435775065E-2</v>
      </c>
      <c r="BH36" s="665">
        <f t="shared" si="24"/>
        <v>1.6233301701736105E-2</v>
      </c>
      <c r="BI36" s="665">
        <f t="shared" si="24"/>
        <v>4.7823884242736689E-2</v>
      </c>
      <c r="BJ36" s="671">
        <f t="shared" si="24"/>
        <v>3.1697614228405214E-3</v>
      </c>
      <c r="BK36" s="665">
        <f>IFERROR((BK19-BK33)/BK19,"--")</f>
        <v>8.2032020904166739E-2</v>
      </c>
      <c r="BL36" s="665">
        <f>IFERROR((BL19-BL33)/BL19,"--")</f>
        <v>0.10603696527654942</v>
      </c>
      <c r="BM36" s="665">
        <f>IFERROR((BM19-BM33)/BM19,"--")</f>
        <v>0.14560655113305515</v>
      </c>
      <c r="BN36" s="665">
        <f>IFERROR((BN19-BN33)/BN19,"--")</f>
        <v>0.19407472531539302</v>
      </c>
      <c r="BO36" s="671">
        <f>IFERROR((BO19-BO33)/BO19,"--")</f>
        <v>0.13282759964719029</v>
      </c>
    </row>
    <row r="37" spans="1:67">
      <c r="A37" s="107"/>
      <c r="C37" s="383"/>
      <c r="D37" s="384"/>
      <c r="E37" s="384"/>
      <c r="F37" s="384"/>
      <c r="G37" s="414"/>
      <c r="H37" s="383"/>
      <c r="I37" s="384"/>
      <c r="J37" s="384"/>
      <c r="K37" s="384"/>
      <c r="L37" s="414"/>
      <c r="M37" s="383"/>
      <c r="N37" s="384"/>
      <c r="O37" s="384"/>
      <c r="P37" s="384"/>
      <c r="Q37" s="414"/>
      <c r="R37" s="383"/>
      <c r="S37" s="384"/>
      <c r="T37" s="384"/>
      <c r="U37" s="384"/>
      <c r="V37" s="414"/>
      <c r="W37" s="383"/>
      <c r="X37" s="384"/>
      <c r="Y37" s="384"/>
      <c r="Z37" s="384"/>
      <c r="AA37" s="414"/>
      <c r="AB37" s="383"/>
      <c r="AC37" s="384"/>
      <c r="AD37" s="384"/>
      <c r="AE37" s="384"/>
      <c r="AF37" s="414"/>
      <c r="AG37" s="383"/>
      <c r="AH37" s="384"/>
      <c r="AI37" s="384"/>
      <c r="AJ37" s="384"/>
      <c r="AK37" s="414"/>
      <c r="AL37" s="383"/>
      <c r="AM37" s="384"/>
      <c r="AN37" s="1116"/>
      <c r="AO37" s="384"/>
      <c r="AP37" s="414"/>
      <c r="AQ37" s="1344"/>
      <c r="AR37" s="1116"/>
      <c r="AS37" s="384"/>
      <c r="AT37" s="384"/>
      <c r="AU37" s="414"/>
      <c r="AV37" s="383"/>
      <c r="AW37" s="384"/>
      <c r="AX37" s="384"/>
      <c r="AY37" s="384"/>
      <c r="AZ37" s="414"/>
      <c r="BA37" s="383"/>
      <c r="BB37" s="384"/>
      <c r="BC37" s="384"/>
      <c r="BD37" s="384"/>
      <c r="BE37" s="414"/>
      <c r="BF37" s="383"/>
      <c r="BG37" s="384"/>
      <c r="BH37" s="384"/>
      <c r="BI37" s="384"/>
      <c r="BJ37" s="414"/>
      <c r="BK37" s="383"/>
      <c r="BL37" s="384"/>
      <c r="BM37" s="384"/>
      <c r="BN37" s="384"/>
      <c r="BO37" s="414"/>
    </row>
    <row r="38" spans="1:67" s="256" customFormat="1">
      <c r="A38" s="376"/>
      <c r="B38" s="985" t="s">
        <v>9</v>
      </c>
      <c r="C38" s="612">
        <f>C10-C24</f>
        <v>0</v>
      </c>
      <c r="D38" s="612">
        <f>D10-D24</f>
        <v>0</v>
      </c>
      <c r="E38" s="612">
        <f>E10-E24</f>
        <v>0</v>
      </c>
      <c r="F38" s="612">
        <f>F10-F24</f>
        <v>0</v>
      </c>
      <c r="G38" s="609">
        <f>SUM(C38:F38)</f>
        <v>0</v>
      </c>
      <c r="H38" s="612">
        <f>H10-H24</f>
        <v>5.9640000000000004</v>
      </c>
      <c r="I38" s="612">
        <f>I10-I24</f>
        <v>8.1700000000000017</v>
      </c>
      <c r="J38" s="612">
        <f>J10-J24</f>
        <v>14.856</v>
      </c>
      <c r="K38" s="612">
        <f>K10-K24</f>
        <v>16.289000000000005</v>
      </c>
      <c r="L38" s="609">
        <f>SUM(H38:K38)</f>
        <v>45.279000000000011</v>
      </c>
      <c r="M38" s="612">
        <f>M10-M24</f>
        <v>19.666999999999998</v>
      </c>
      <c r="N38" s="612">
        <f>N10-N24</f>
        <v>31.831</v>
      </c>
      <c r="O38" s="612">
        <f>O10-O24</f>
        <v>43.522999999999996</v>
      </c>
      <c r="P38" s="612">
        <f>P10-P24</f>
        <v>53.170000000000009</v>
      </c>
      <c r="Q38" s="609">
        <f>SUM(M38:P38)</f>
        <v>148.191</v>
      </c>
      <c r="R38" s="612">
        <f>R10-R24</f>
        <v>66.257999999999996</v>
      </c>
      <c r="S38" s="612">
        <f>S10-S24</f>
        <v>82.698999999999984</v>
      </c>
      <c r="T38" s="612">
        <f>T10-T24</f>
        <v>92.943000000000026</v>
      </c>
      <c r="U38" s="612">
        <f>U10-U24</f>
        <v>107.56100000000001</v>
      </c>
      <c r="V38" s="609">
        <f>SUM(R38:U38)</f>
        <v>349.46100000000001</v>
      </c>
      <c r="W38" s="612">
        <f>W10-W24</f>
        <v>131.56800000000001</v>
      </c>
      <c r="X38" s="612">
        <f>X10-X24</f>
        <v>166.07699999999997</v>
      </c>
      <c r="Y38" s="612">
        <f>Y10-Y24</f>
        <v>213.65500000000003</v>
      </c>
      <c r="Z38" s="612">
        <f>Z10-Z24</f>
        <v>249.59399999999999</v>
      </c>
      <c r="AA38" s="609">
        <f>SUM(W38:Z38)</f>
        <v>760.89400000000001</v>
      </c>
      <c r="AB38" s="612">
        <f>AB10-AB24</f>
        <v>274.44100000000003</v>
      </c>
      <c r="AC38" s="612">
        <f>AC10-AC24</f>
        <v>324.01599999999996</v>
      </c>
      <c r="AD38" s="612">
        <f>AD10-AD24</f>
        <v>366.3069999999999</v>
      </c>
      <c r="AE38" s="612">
        <f>AE10-AE24</f>
        <v>383.35499999999996</v>
      </c>
      <c r="AF38" s="609">
        <f>SUM(AB38:AE38)</f>
        <v>1348.1189999999999</v>
      </c>
      <c r="AG38" s="612">
        <f>AG10-AG24</f>
        <v>414.18500000000006</v>
      </c>
      <c r="AH38" s="612">
        <f>AH10-AH24</f>
        <v>455.62599999999992</v>
      </c>
      <c r="AI38" s="612">
        <f>AI10-AI24</f>
        <v>505.22500000000002</v>
      </c>
      <c r="AJ38" s="612">
        <f>AJ10-AJ24</f>
        <v>532.8950000000001</v>
      </c>
      <c r="AK38" s="609">
        <f>SUM(AG38:AJ38)</f>
        <v>1907.931</v>
      </c>
      <c r="AL38" s="612">
        <f>AL10-AL24</f>
        <v>556.19200000000001</v>
      </c>
      <c r="AM38" s="612">
        <f>AM10-AM24</f>
        <v>580.745</v>
      </c>
      <c r="AN38" s="1337">
        <f>AN10-AN24</f>
        <v>621.20000000000005</v>
      </c>
      <c r="AO38" s="612">
        <f>AO10-AO24</f>
        <v>653.58600000000001</v>
      </c>
      <c r="AP38" s="609">
        <f>SUM(AL38:AO38)</f>
        <v>2411.723</v>
      </c>
      <c r="AQ38" s="1337">
        <f>AQ10-AQ24</f>
        <v>693.28800000000001</v>
      </c>
      <c r="AR38" s="1337">
        <f>AR10-AR24</f>
        <v>773.15400000000011</v>
      </c>
      <c r="AS38" s="612">
        <f>AS10-AS24</f>
        <v>822.03599999999983</v>
      </c>
      <c r="AT38" s="612">
        <f>AT10-AT24</f>
        <v>829.75023538282392</v>
      </c>
      <c r="AU38" s="609">
        <f>SUM(AQ38:AT38)</f>
        <v>3118.2282353828241</v>
      </c>
      <c r="AV38" s="612">
        <f>AV10-AV24</f>
        <v>901.40408019598772</v>
      </c>
      <c r="AW38" s="612">
        <f>AW10-AW24</f>
        <v>981.18086853890986</v>
      </c>
      <c r="AX38" s="612">
        <f>AX10-AX24</f>
        <v>1040.2784330749678</v>
      </c>
      <c r="AY38" s="612">
        <f>AY10-AY24</f>
        <v>1053.110835256844</v>
      </c>
      <c r="AZ38" s="609">
        <f>SUM(AV38:AY38)</f>
        <v>3975.9742170667091</v>
      </c>
      <c r="BA38" s="612">
        <f>BA10-BA24</f>
        <v>1146.9033150329331</v>
      </c>
      <c r="BB38" s="612">
        <f>BB10-BB24</f>
        <v>1251.7893596066488</v>
      </c>
      <c r="BC38" s="612">
        <f>BC10-BC24</f>
        <v>1330.2258926640229</v>
      </c>
      <c r="BD38" s="612">
        <f>BD10-BD24</f>
        <v>1332.2914502857152</v>
      </c>
      <c r="BE38" s="609">
        <f>SUM(BA38:BD38)</f>
        <v>5061.2100175893202</v>
      </c>
      <c r="BF38" s="612">
        <f>BF10-BF24</f>
        <v>1437.6964396926896</v>
      </c>
      <c r="BG38" s="612">
        <f>BG10-BG24</f>
        <v>1565.0334313297922</v>
      </c>
      <c r="BH38" s="612">
        <f>BH10-BH24</f>
        <v>1693.1585684142321</v>
      </c>
      <c r="BI38" s="612">
        <f>BI10-BI24</f>
        <v>1703.2832961783315</v>
      </c>
      <c r="BJ38" s="609">
        <f>SUM(BF38:BI38)</f>
        <v>6399.1717356150457</v>
      </c>
      <c r="BK38" s="612">
        <f>BK10-BK24</f>
        <v>1819.4714671548377</v>
      </c>
      <c r="BL38" s="612">
        <f>BL10-BL24</f>
        <v>1955.1472658413545</v>
      </c>
      <c r="BM38" s="612">
        <f>BM10-BM24</f>
        <v>2129.4726191753302</v>
      </c>
      <c r="BN38" s="612">
        <f>BN10-BN24</f>
        <v>2119.360932197892</v>
      </c>
      <c r="BO38" s="609">
        <f>SUM(BK38:BN38)</f>
        <v>8023.4522843694149</v>
      </c>
    </row>
    <row r="39" spans="1:67" s="677" customFormat="1">
      <c r="A39" s="664"/>
      <c r="B39" s="1079" t="s">
        <v>204</v>
      </c>
      <c r="C39" s="673" t="s">
        <v>36</v>
      </c>
      <c r="D39" s="674" t="s">
        <v>36</v>
      </c>
      <c r="E39" s="674" t="s">
        <v>36</v>
      </c>
      <c r="F39" s="674" t="s">
        <v>36</v>
      </c>
      <c r="G39" s="675" t="s">
        <v>36</v>
      </c>
      <c r="H39" s="674" t="str">
        <f t="shared" ref="H39:AM39" si="25">IFERROR(H38/C38-1,"--")</f>
        <v>--</v>
      </c>
      <c r="I39" s="674" t="str">
        <f t="shared" si="25"/>
        <v>--</v>
      </c>
      <c r="J39" s="674" t="str">
        <f t="shared" si="25"/>
        <v>--</v>
      </c>
      <c r="K39" s="674" t="str">
        <f t="shared" si="25"/>
        <v>--</v>
      </c>
      <c r="L39" s="675" t="str">
        <f t="shared" si="25"/>
        <v>--</v>
      </c>
      <c r="M39" s="674">
        <f t="shared" si="25"/>
        <v>2.297619047619047</v>
      </c>
      <c r="N39" s="674">
        <f t="shared" si="25"/>
        <v>2.8960832313341482</v>
      </c>
      <c r="O39" s="674">
        <f t="shared" si="25"/>
        <v>1.929658050619278</v>
      </c>
      <c r="P39" s="674">
        <f t="shared" si="25"/>
        <v>2.2641660015961689</v>
      </c>
      <c r="Q39" s="675">
        <f t="shared" si="25"/>
        <v>2.2728417147021793</v>
      </c>
      <c r="R39" s="674">
        <f t="shared" si="25"/>
        <v>2.368993745868714</v>
      </c>
      <c r="S39" s="674">
        <f t="shared" si="25"/>
        <v>1.5980647796173537</v>
      </c>
      <c r="T39" s="674">
        <f t="shared" si="25"/>
        <v>1.13549157916504</v>
      </c>
      <c r="U39" s="674">
        <f t="shared" si="25"/>
        <v>1.0229640774873046</v>
      </c>
      <c r="V39" s="675">
        <f t="shared" si="25"/>
        <v>1.3581796465372391</v>
      </c>
      <c r="W39" s="674">
        <f t="shared" si="25"/>
        <v>0.98569229376075373</v>
      </c>
      <c r="X39" s="674">
        <f t="shared" si="25"/>
        <v>1.0082104983131597</v>
      </c>
      <c r="Y39" s="674">
        <f t="shared" si="25"/>
        <v>1.2987745177151586</v>
      </c>
      <c r="Z39" s="674">
        <f t="shared" si="25"/>
        <v>1.320487909186415</v>
      </c>
      <c r="AA39" s="675">
        <f t="shared" si="25"/>
        <v>1.1773359545128068</v>
      </c>
      <c r="AB39" s="674">
        <f t="shared" si="25"/>
        <v>1.0859251489723944</v>
      </c>
      <c r="AC39" s="674">
        <f t="shared" si="25"/>
        <v>0.95099863316413491</v>
      </c>
      <c r="AD39" s="674">
        <f t="shared" si="25"/>
        <v>0.71447894970864168</v>
      </c>
      <c r="AE39" s="674">
        <f t="shared" si="25"/>
        <v>0.53591432486357826</v>
      </c>
      <c r="AF39" s="675">
        <f t="shared" si="25"/>
        <v>0.77175664415805612</v>
      </c>
      <c r="AG39" s="674">
        <f t="shared" si="25"/>
        <v>0.50919505467477522</v>
      </c>
      <c r="AH39" s="674">
        <f t="shared" si="25"/>
        <v>0.40618364525208617</v>
      </c>
      <c r="AI39" s="674">
        <f t="shared" si="25"/>
        <v>0.37923927197678498</v>
      </c>
      <c r="AJ39" s="674">
        <f t="shared" si="25"/>
        <v>0.39008229969610442</v>
      </c>
      <c r="AK39" s="675">
        <f t="shared" si="25"/>
        <v>0.41525414299479513</v>
      </c>
      <c r="AL39" s="674">
        <f t="shared" si="25"/>
        <v>0.34285886741431959</v>
      </c>
      <c r="AM39" s="674">
        <f t="shared" si="25"/>
        <v>0.27460899948642115</v>
      </c>
      <c r="AN39" s="1183">
        <f t="shared" ref="AN39:BJ39" si="26">IFERROR(AN38/AI38-1,"--")</f>
        <v>0.22955119006383295</v>
      </c>
      <c r="AO39" s="674">
        <f>IFERROR(AO38/AJ38-1,"--")</f>
        <v>0.22648176470036296</v>
      </c>
      <c r="AP39" s="675">
        <f>IFERROR(AP38/AK38-1,"--")</f>
        <v>0.26405147775260218</v>
      </c>
      <c r="AQ39" s="674">
        <f t="shared" si="26"/>
        <v>0.24649042057419024</v>
      </c>
      <c r="AR39" s="1183">
        <f t="shared" si="26"/>
        <v>0.33131408793876838</v>
      </c>
      <c r="AS39" s="674">
        <f t="shared" si="26"/>
        <v>0.32330328396651598</v>
      </c>
      <c r="AT39" s="674">
        <f t="shared" si="26"/>
        <v>0.26953489729404234</v>
      </c>
      <c r="AU39" s="675">
        <f t="shared" si="26"/>
        <v>0.29294626098553778</v>
      </c>
      <c r="AV39" s="674">
        <f t="shared" si="26"/>
        <v>0.30018705097446907</v>
      </c>
      <c r="AW39" s="674">
        <f t="shared" si="26"/>
        <v>0.26906265574375832</v>
      </c>
      <c r="AX39" s="674">
        <f t="shared" si="26"/>
        <v>0.26549011609584983</v>
      </c>
      <c r="AY39" s="674">
        <f t="shared" si="26"/>
        <v>0.26919016150802011</v>
      </c>
      <c r="AZ39" s="675">
        <f t="shared" si="26"/>
        <v>0.27507479149568392</v>
      </c>
      <c r="BA39" s="674">
        <f t="shared" si="26"/>
        <v>0.27235203415494591</v>
      </c>
      <c r="BB39" s="674">
        <f t="shared" si="26"/>
        <v>0.27579878465293128</v>
      </c>
      <c r="BC39" s="674">
        <f t="shared" si="26"/>
        <v>0.27872101388471249</v>
      </c>
      <c r="BD39" s="674">
        <f t="shared" si="26"/>
        <v>0.26510088556897404</v>
      </c>
      <c r="BE39" s="675">
        <f t="shared" si="26"/>
        <v>0.2729483998825446</v>
      </c>
      <c r="BF39" s="674">
        <f t="shared" si="26"/>
        <v>0.25354632849012781</v>
      </c>
      <c r="BG39" s="674">
        <f t="shared" si="26"/>
        <v>0.25023704612857101</v>
      </c>
      <c r="BH39" s="674">
        <f t="shared" si="26"/>
        <v>0.27283537160998228</v>
      </c>
      <c r="BI39" s="674">
        <f t="shared" si="26"/>
        <v>0.27846147763918738</v>
      </c>
      <c r="BJ39" s="675">
        <f t="shared" si="26"/>
        <v>0.26435609535583016</v>
      </c>
      <c r="BK39" s="674">
        <f>IFERROR(BK38/BF38-1,"--")</f>
        <v>0.26554633991008081</v>
      </c>
      <c r="BL39" s="674">
        <f>IFERROR(BL38/BG38-1,"--")</f>
        <v>0.24926869081645542</v>
      </c>
      <c r="BM39" s="674">
        <f>IFERROR(BM38/BH38-1,"--")</f>
        <v>0.25769237382753718</v>
      </c>
      <c r="BN39" s="674">
        <f>IFERROR(BN38/BI38-1,"--")</f>
        <v>0.24427976071456614</v>
      </c>
      <c r="BO39" s="675">
        <f>IFERROR(BO38/BJ38-1,"--")</f>
        <v>0.25382668505586747</v>
      </c>
    </row>
    <row r="40" spans="1:67" s="677" customFormat="1">
      <c r="A40" s="664"/>
      <c r="B40" s="1079" t="s">
        <v>205</v>
      </c>
      <c r="C40" s="673" t="s">
        <v>36</v>
      </c>
      <c r="D40" s="674" t="str">
        <f>IFERROR(D38/C38-1,"--")</f>
        <v>--</v>
      </c>
      <c r="E40" s="674" t="str">
        <f>IFERROR(E38/D38-1,"--")</f>
        <v>--</v>
      </c>
      <c r="F40" s="674" t="str">
        <f>IFERROR(F38/E38-1,"--")</f>
        <v>--</v>
      </c>
      <c r="G40" s="676"/>
      <c r="H40" s="673" t="str">
        <f>IFERROR(H38/F38-1,"--")</f>
        <v>--</v>
      </c>
      <c r="I40" s="674">
        <f>IFERROR(I38/H38-1,"--")</f>
        <v>0.36988598256203908</v>
      </c>
      <c r="J40" s="674">
        <f>IFERROR(J38/I38-1,"--")</f>
        <v>0.81835985312117465</v>
      </c>
      <c r="K40" s="674">
        <f>IFERROR(K38/J38-1,"--")</f>
        <v>9.6459343026386923E-2</v>
      </c>
      <c r="L40" s="676"/>
      <c r="M40" s="673">
        <f>IFERROR(M38/K38-1,"--")</f>
        <v>0.20737921296580475</v>
      </c>
      <c r="N40" s="674">
        <f>IFERROR(N38/M38-1,"--")</f>
        <v>0.61849799155946528</v>
      </c>
      <c r="O40" s="674">
        <f>IFERROR(O38/N38-1,"--")</f>
        <v>0.36731488171907878</v>
      </c>
      <c r="P40" s="674">
        <f>IFERROR(P38/O38-1,"--")</f>
        <v>0.22165291914619889</v>
      </c>
      <c r="Q40" s="676"/>
      <c r="R40" s="673">
        <f>IFERROR(R38/P38-1,"--")</f>
        <v>0.24615384615384595</v>
      </c>
      <c r="S40" s="674">
        <f>IFERROR(S38/R38-1,"--")</f>
        <v>0.24813607413444405</v>
      </c>
      <c r="T40" s="674">
        <f>IFERROR(T38/S38-1,"--")</f>
        <v>0.12387090533138312</v>
      </c>
      <c r="U40" s="674">
        <f>IFERROR(U38/T38-1,"--")</f>
        <v>0.15727919262343559</v>
      </c>
      <c r="V40" s="676"/>
      <c r="W40" s="673">
        <f>IFERROR(W38/U38-1,"--")</f>
        <v>0.22319428045481171</v>
      </c>
      <c r="X40" s="674">
        <f>IFERROR(X38/W38-1,"--")</f>
        <v>0.26229022254651557</v>
      </c>
      <c r="Y40" s="674">
        <f>IFERROR(Y38/X38-1,"--")</f>
        <v>0.28648157180103251</v>
      </c>
      <c r="Z40" s="674">
        <f>IFERROR(Z38/Y38-1,"--")</f>
        <v>0.16821043270693381</v>
      </c>
      <c r="AA40" s="676"/>
      <c r="AB40" s="673">
        <f>IFERROR(AB38/Z38-1,"--")</f>
        <v>9.9549668661907065E-2</v>
      </c>
      <c r="AC40" s="674">
        <f>IFERROR(AC38/AB38-1,"--")</f>
        <v>0.18063991896254539</v>
      </c>
      <c r="AD40" s="674">
        <f>IFERROR(AD38/AC38-1,"--")</f>
        <v>0.13052133227988727</v>
      </c>
      <c r="AE40" s="674">
        <f>IFERROR(AE38/AD38-1,"--")</f>
        <v>4.6540197157029617E-2</v>
      </c>
      <c r="AF40" s="676"/>
      <c r="AG40" s="673">
        <f>IFERROR(AG38/AE38-1,"--")</f>
        <v>8.0421541391139106E-2</v>
      </c>
      <c r="AH40" s="674">
        <f>IFERROR(AH38/AG38-1,"--")</f>
        <v>0.1000543235510698</v>
      </c>
      <c r="AI40" s="674">
        <f>IFERROR(AI38/AH38-1,"--")</f>
        <v>0.10885902033685557</v>
      </c>
      <c r="AJ40" s="674">
        <f>IFERROR(AJ38/AI38-1,"--")</f>
        <v>5.4767677767331602E-2</v>
      </c>
      <c r="AK40" s="676"/>
      <c r="AL40" s="673">
        <f>IFERROR(AL38/AJ38-1,"--")</f>
        <v>4.3717805571453772E-2</v>
      </c>
      <c r="AM40" s="674">
        <f>IFERROR(AM38/AL38-1,"--")</f>
        <v>4.4144827685403509E-2</v>
      </c>
      <c r="AN40" s="1183">
        <f>IFERROR(AN38/AM38-1,"--")</f>
        <v>6.9660522260200253E-2</v>
      </c>
      <c r="AO40" s="674">
        <f>IFERROR(AO38/AN38-1,"--")</f>
        <v>5.2134578235672802E-2</v>
      </c>
      <c r="AP40" s="676"/>
      <c r="AQ40" s="673">
        <f>IFERROR(AQ38/AO38-1,"--")</f>
        <v>6.0744875196225179E-2</v>
      </c>
      <c r="AR40" s="1183">
        <f>IFERROR(AR38/AQ38-1,"--")</f>
        <v>0.11519887838820253</v>
      </c>
      <c r="AS40" s="674">
        <f>IFERROR(AS38/AR38-1,"--")</f>
        <v>6.3224144219650613E-2</v>
      </c>
      <c r="AT40" s="674">
        <f>IFERROR(AT38/AS38-1,"--")</f>
        <v>9.3843035862468671E-3</v>
      </c>
      <c r="AU40" s="676"/>
      <c r="AV40" s="673">
        <f>IFERROR(AV38/AT38-1,"--")</f>
        <v>8.635591983906421E-2</v>
      </c>
      <c r="AW40" s="674">
        <f>IFERROR(AW38/AV38-1,"--")</f>
        <v>8.8502803676655972E-2</v>
      </c>
      <c r="AX40" s="674">
        <f>IFERROR(AX38/AW38-1,"--")</f>
        <v>6.0231060787050428E-2</v>
      </c>
      <c r="AY40" s="674">
        <f>IFERROR(AY38/AX38-1,"--")</f>
        <v>1.2335545728795694E-2</v>
      </c>
      <c r="AZ40" s="676"/>
      <c r="BA40" s="673">
        <f>IFERROR(BA38/AY38-1,"--")</f>
        <v>8.9062306298665961E-2</v>
      </c>
      <c r="BB40" s="674">
        <f>IFERROR(BB38/BA38-1,"--")</f>
        <v>9.1451514002035994E-2</v>
      </c>
      <c r="BC40" s="674">
        <f>IFERROR(BC38/BB38-1,"--")</f>
        <v>6.2659530100193095E-2</v>
      </c>
      <c r="BD40" s="674">
        <f>IFERROR(BD38/BC38-1,"--")</f>
        <v>1.552787111635423E-3</v>
      </c>
      <c r="BE40" s="676"/>
      <c r="BF40" s="673">
        <f>IFERROR(BF38/BD38-1,"--")</f>
        <v>7.9115563928876087E-2</v>
      </c>
      <c r="BG40" s="674">
        <f>IFERROR(BG38/BF38-1,"--")</f>
        <v>8.8570151613035275E-2</v>
      </c>
      <c r="BH40" s="674">
        <f>IFERROR(BH38/BG38-1,"--")</f>
        <v>8.186734833873377E-2</v>
      </c>
      <c r="BI40" s="674">
        <f>IFERROR(BI38/BH38-1,"--")</f>
        <v>5.9797870990794255E-3</v>
      </c>
      <c r="BJ40" s="676"/>
      <c r="BK40" s="673">
        <f>IFERROR(BK38/BI38-1,"--")</f>
        <v>6.8214237312840709E-2</v>
      </c>
      <c r="BL40" s="674">
        <f>IFERROR(BL38/BK38-1,"--")</f>
        <v>7.4568797112645635E-2</v>
      </c>
      <c r="BM40" s="674">
        <f>IFERROR(BM38/BL38-1,"--")</f>
        <v>8.9162262290742866E-2</v>
      </c>
      <c r="BN40" s="674">
        <f>IFERROR(BN38/BM38-1,"--")</f>
        <v>-4.7484465808037557E-3</v>
      </c>
      <c r="BO40" s="676"/>
    </row>
    <row r="41" spans="1:67" s="677" customFormat="1">
      <c r="A41" s="664"/>
      <c r="B41" s="1079" t="s">
        <v>332</v>
      </c>
      <c r="C41" s="678" t="str">
        <f t="shared" ref="C41:AH41" si="27">IFERROR(C38/C$10,"--")</f>
        <v>--</v>
      </c>
      <c r="D41" s="678" t="str">
        <f t="shared" si="27"/>
        <v>--</v>
      </c>
      <c r="E41" s="678" t="str">
        <f t="shared" si="27"/>
        <v>--</v>
      </c>
      <c r="F41" s="678" t="str">
        <f t="shared" si="27"/>
        <v>--</v>
      </c>
      <c r="G41" s="679" t="str">
        <f t="shared" si="27"/>
        <v>--</v>
      </c>
      <c r="H41" s="678">
        <f t="shared" si="27"/>
        <v>0.44497500559576214</v>
      </c>
      <c r="I41" s="678">
        <f t="shared" si="27"/>
        <v>0.45629712370846137</v>
      </c>
      <c r="J41" s="678">
        <f t="shared" si="27"/>
        <v>0.51799163179916319</v>
      </c>
      <c r="K41" s="678">
        <f t="shared" si="27"/>
        <v>0.44410818474289776</v>
      </c>
      <c r="L41" s="680">
        <f t="shared" si="27"/>
        <v>0.46840667866674957</v>
      </c>
      <c r="M41" s="678">
        <f t="shared" si="27"/>
        <v>0.44999427983068296</v>
      </c>
      <c r="N41" s="678">
        <f t="shared" si="27"/>
        <v>0.52753608777076189</v>
      </c>
      <c r="O41" s="678">
        <f t="shared" si="27"/>
        <v>0.59610748917986078</v>
      </c>
      <c r="P41" s="678">
        <f t="shared" si="27"/>
        <v>0.60632668886557506</v>
      </c>
      <c r="Q41" s="680">
        <f t="shared" si="27"/>
        <v>0.55974360523969968</v>
      </c>
      <c r="R41" s="678">
        <f t="shared" si="27"/>
        <v>0.60890502228553045</v>
      </c>
      <c r="S41" s="678">
        <f t="shared" si="27"/>
        <v>0.62111983176236429</v>
      </c>
      <c r="T41" s="678">
        <f t="shared" si="27"/>
        <v>0.58226206585475881</v>
      </c>
      <c r="U41" s="678">
        <f t="shared" si="27"/>
        <v>0.56472842779513299</v>
      </c>
      <c r="V41" s="680">
        <f t="shared" si="27"/>
        <v>0.59025688752113425</v>
      </c>
      <c r="W41" s="678">
        <f t="shared" si="27"/>
        <v>0.57474859554243074</v>
      </c>
      <c r="X41" s="678">
        <f t="shared" si="27"/>
        <v>0.61013306490128505</v>
      </c>
      <c r="Y41" s="678">
        <f t="shared" si="27"/>
        <v>0.63884212760995218</v>
      </c>
      <c r="Z41" s="678">
        <f t="shared" si="27"/>
        <v>0.65036714316238198</v>
      </c>
      <c r="AA41" s="680">
        <f t="shared" si="27"/>
        <v>0.6240278448685217</v>
      </c>
      <c r="AB41" s="678">
        <f t="shared" si="27"/>
        <v>0.64976288618300027</v>
      </c>
      <c r="AC41" s="678">
        <f t="shared" si="27"/>
        <v>0.6516185082695154</v>
      </c>
      <c r="AD41" s="678">
        <f t="shared" si="27"/>
        <v>0.65760967132711456</v>
      </c>
      <c r="AE41" s="678">
        <f t="shared" si="27"/>
        <v>0.6508441254167997</v>
      </c>
      <c r="AF41" s="680">
        <f t="shared" si="27"/>
        <v>0.65263385679824215</v>
      </c>
      <c r="AG41" s="678">
        <f t="shared" si="27"/>
        <v>0.66418483673001405</v>
      </c>
      <c r="AH41" s="678">
        <f t="shared" si="27"/>
        <v>0.67598491434946839</v>
      </c>
      <c r="AI41" s="678">
        <f t="shared" ref="AI41:BO41" si="28">IFERROR(AI38/AI$10,"--")</f>
        <v>0.68815524406372885</v>
      </c>
      <c r="AJ41" s="678">
        <f t="shared" si="28"/>
        <v>0.68787361284834503</v>
      </c>
      <c r="AK41" s="680">
        <f t="shared" si="28"/>
        <v>0.67982842619372463</v>
      </c>
      <c r="AL41" s="678">
        <f t="shared" si="28"/>
        <v>0.67115477206112162</v>
      </c>
      <c r="AM41" s="678">
        <f t="shared" si="28"/>
        <v>0.6684272861100593</v>
      </c>
      <c r="AN41" s="1186">
        <f t="shared" si="28"/>
        <v>0.65938218479260036</v>
      </c>
      <c r="AO41" s="678">
        <f t="shared" si="28"/>
        <v>0.66234887562451228</v>
      </c>
      <c r="AP41" s="680">
        <f t="shared" si="28"/>
        <v>0.66504678474165535</v>
      </c>
      <c r="AQ41" s="678">
        <f t="shared" si="28"/>
        <v>0.66529632252603943</v>
      </c>
      <c r="AR41" s="1186">
        <f t="shared" ref="AR41" si="29">IFERROR(AR38/AR$10,"--")</f>
        <v>0.67526195032354597</v>
      </c>
      <c r="AS41" s="678">
        <f t="shared" si="28"/>
        <v>0.67773922033722223</v>
      </c>
      <c r="AT41" s="678">
        <f t="shared" si="28"/>
        <v>0.66443642285750182</v>
      </c>
      <c r="AU41" s="680">
        <f t="shared" si="28"/>
        <v>0.67076630147625271</v>
      </c>
      <c r="AV41" s="678">
        <f t="shared" si="28"/>
        <v>0.68651679189091852</v>
      </c>
      <c r="AW41" s="678">
        <f t="shared" si="28"/>
        <v>0.6933966844253916</v>
      </c>
      <c r="AX41" s="678">
        <f t="shared" si="28"/>
        <v>0.69245058490955935</v>
      </c>
      <c r="AY41" s="678">
        <f t="shared" si="28"/>
        <v>0.67976528491180821</v>
      </c>
      <c r="AZ41" s="680">
        <f t="shared" si="28"/>
        <v>0.68793386455171956</v>
      </c>
      <c r="BA41" s="678">
        <f t="shared" si="28"/>
        <v>0.70394326547188191</v>
      </c>
      <c r="BB41" s="678">
        <f t="shared" si="28"/>
        <v>0.71091357296291413</v>
      </c>
      <c r="BC41" s="678">
        <f t="shared" si="28"/>
        <v>0.70962739366102079</v>
      </c>
      <c r="BD41" s="678">
        <f t="shared" si="28"/>
        <v>0.69617474959213155</v>
      </c>
      <c r="BE41" s="680">
        <f t="shared" si="28"/>
        <v>0.70506632686569426</v>
      </c>
      <c r="BF41" s="678">
        <f t="shared" si="28"/>
        <v>0.72010473628152916</v>
      </c>
      <c r="BG41" s="678">
        <f t="shared" si="28"/>
        <v>0.72700008593392018</v>
      </c>
      <c r="BH41" s="678">
        <f t="shared" si="28"/>
        <v>0.72581755505640966</v>
      </c>
      <c r="BI41" s="678">
        <f t="shared" si="28"/>
        <v>0.71207767952211232</v>
      </c>
      <c r="BJ41" s="680">
        <f t="shared" si="28"/>
        <v>0.72111553352014623</v>
      </c>
      <c r="BK41" s="678">
        <f t="shared" si="28"/>
        <v>0.73297241387544243</v>
      </c>
      <c r="BL41" s="678">
        <f t="shared" si="28"/>
        <v>0.73981854331356423</v>
      </c>
      <c r="BM41" s="678">
        <f t="shared" si="28"/>
        <v>0.73860095520700997</v>
      </c>
      <c r="BN41" s="678">
        <f t="shared" si="28"/>
        <v>0.72436655952995588</v>
      </c>
      <c r="BO41" s="680">
        <f t="shared" si="28"/>
        <v>0.73380844508899412</v>
      </c>
    </row>
    <row r="42" spans="1:67">
      <c r="A42" s="107"/>
      <c r="B42" s="1160"/>
      <c r="C42" s="448"/>
      <c r="D42" s="384"/>
      <c r="E42" s="384"/>
      <c r="F42" s="384"/>
      <c r="G42" s="414"/>
      <c r="H42" s="448"/>
      <c r="I42" s="384"/>
      <c r="J42" s="384"/>
      <c r="K42" s="384"/>
      <c r="L42" s="414"/>
      <c r="M42" s="448"/>
      <c r="N42" s="384"/>
      <c r="O42" s="384"/>
      <c r="P42" s="384"/>
      <c r="Q42" s="414"/>
      <c r="R42" s="448"/>
      <c r="S42" s="384"/>
      <c r="T42" s="384"/>
      <c r="U42" s="384"/>
      <c r="V42" s="414"/>
      <c r="W42" s="448"/>
      <c r="X42" s="384"/>
      <c r="Y42" s="384"/>
      <c r="Z42" s="384"/>
      <c r="AA42" s="414"/>
      <c r="AB42" s="448"/>
      <c r="AC42" s="384"/>
      <c r="AD42" s="384"/>
      <c r="AE42" s="384"/>
      <c r="AF42" s="414"/>
      <c r="AG42" s="448"/>
      <c r="AH42" s="384"/>
      <c r="AI42" s="384"/>
      <c r="AJ42" s="384"/>
      <c r="AK42" s="414"/>
      <c r="AL42" s="448"/>
      <c r="AM42" s="384"/>
      <c r="AN42" s="1116"/>
      <c r="AO42" s="384"/>
      <c r="AP42" s="414"/>
      <c r="AQ42" s="448"/>
      <c r="AR42" s="1116"/>
      <c r="AS42" s="384"/>
      <c r="AT42" s="384"/>
      <c r="AU42" s="414"/>
      <c r="AV42" s="448"/>
      <c r="AW42" s="384"/>
      <c r="AX42" s="384"/>
      <c r="AY42" s="384"/>
      <c r="AZ42" s="414"/>
      <c r="BA42" s="448"/>
      <c r="BB42" s="384"/>
      <c r="BC42" s="384"/>
      <c r="BD42" s="384"/>
      <c r="BE42" s="414"/>
      <c r="BF42" s="448"/>
      <c r="BG42" s="384"/>
      <c r="BH42" s="384"/>
      <c r="BI42" s="384"/>
      <c r="BJ42" s="414"/>
      <c r="BK42" s="448"/>
      <c r="BL42" s="384"/>
      <c r="BM42" s="384"/>
      <c r="BN42" s="384"/>
      <c r="BO42" s="414"/>
    </row>
    <row r="43" spans="1:67" s="377" customFormat="1">
      <c r="A43" s="614"/>
      <c r="B43" s="1189" t="s">
        <v>3</v>
      </c>
      <c r="C43" s="615"/>
      <c r="D43" s="616"/>
      <c r="E43" s="616"/>
      <c r="F43" s="616"/>
      <c r="G43" s="617">
        <f>SUM(C43:F43)</f>
        <v>0</v>
      </c>
      <c r="H43" s="615">
        <v>23.148</v>
      </c>
      <c r="I43" s="615">
        <v>24.056000000000001</v>
      </c>
      <c r="J43" s="615">
        <v>32.256999999999998</v>
      </c>
      <c r="K43" s="615">
        <v>46.180999999999997</v>
      </c>
      <c r="L43" s="618">
        <f>SUM(H43:K43)</f>
        <v>125.642</v>
      </c>
      <c r="M43" s="615">
        <v>64.052000000000007</v>
      </c>
      <c r="N43" s="615">
        <v>73.412999999999997</v>
      </c>
      <c r="O43" s="615">
        <v>75.668000000000006</v>
      </c>
      <c r="P43" s="615">
        <v>80.444000000000003</v>
      </c>
      <c r="Q43" s="618">
        <f>SUM(M43:P43)</f>
        <v>293.577</v>
      </c>
      <c r="R43" s="615">
        <v>97.876999999999995</v>
      </c>
      <c r="S43" s="615">
        <v>92.662999999999997</v>
      </c>
      <c r="T43" s="616">
        <v>134.727</v>
      </c>
      <c r="U43" s="616">
        <v>154.05000000000001</v>
      </c>
      <c r="V43" s="618">
        <f>SUM(R43:U43)</f>
        <v>479.31700000000001</v>
      </c>
      <c r="W43" s="616">
        <v>166.804</v>
      </c>
      <c r="X43" s="616">
        <v>182.90299999999999</v>
      </c>
      <c r="Y43" s="616">
        <v>190.971</v>
      </c>
      <c r="Z43" s="616">
        <v>203.28700000000001</v>
      </c>
      <c r="AA43" s="618">
        <f>SUM(W43:Z43)</f>
        <v>743.96500000000003</v>
      </c>
      <c r="AB43" s="616">
        <v>243.91200000000001</v>
      </c>
      <c r="AC43" s="616">
        <v>274.64499999999998</v>
      </c>
      <c r="AD43" s="616">
        <v>284.47699999999998</v>
      </c>
      <c r="AE43" s="616">
        <v>303.47300000000001</v>
      </c>
      <c r="AF43" s="618">
        <f>SUM(AB43:AE43)</f>
        <v>1106.5070000000001</v>
      </c>
      <c r="AG43" s="616">
        <v>331.55799999999999</v>
      </c>
      <c r="AH43" s="616">
        <v>343.28800000000001</v>
      </c>
      <c r="AI43" s="616">
        <v>355.07900000000001</v>
      </c>
      <c r="AJ43" s="616">
        <v>361.822</v>
      </c>
      <c r="AK43" s="618">
        <f>SUM(AG43:AJ43)</f>
        <v>1391.7469999999998</v>
      </c>
      <c r="AL43" s="622">
        <v>400.822</v>
      </c>
      <c r="AM43" s="622">
        <v>400.625</v>
      </c>
      <c r="AN43" s="1190">
        <v>437.96199999999999</v>
      </c>
      <c r="AO43" s="616">
        <v>432.68299999999999</v>
      </c>
      <c r="AP43" s="618">
        <f>SUM(AL43:AO43)</f>
        <v>1672.0920000000001</v>
      </c>
      <c r="AQ43" s="1190">
        <v>458.55399999999997</v>
      </c>
      <c r="AR43" s="1190">
        <v>501.95699999999999</v>
      </c>
      <c r="AS43" s="622">
        <v>550.36400000000003</v>
      </c>
      <c r="AT43" s="1191">
        <f>'IS (Non-GAAP)'!AT43+'IS (Non-GAAP)'!AT97+'IS (Non-GAAP)'!AT120</f>
        <v>691.49717180318851</v>
      </c>
      <c r="AU43" s="618">
        <f>SUM(AQ43:AT43)</f>
        <v>2202.3721718031884</v>
      </c>
      <c r="AV43" s="1191">
        <f>'IS (Non-GAAP)'!AV43+'IS (Non-GAAP)'!AV97+'IS (Non-GAAP)'!AV120</f>
        <v>715.31949596231084</v>
      </c>
      <c r="AW43" s="1191">
        <f>'IS (Non-GAAP)'!AW43+'IS (Non-GAAP)'!AW97+'IS (Non-GAAP)'!AW120</f>
        <v>767.52508657841963</v>
      </c>
      <c r="AX43" s="1191">
        <f>'IS (Non-GAAP)'!AX43+'IS (Non-GAAP)'!AX97+'IS (Non-GAAP)'!AX120</f>
        <v>830.49270583098883</v>
      </c>
      <c r="AY43" s="1191">
        <f>'IS (Non-GAAP)'!AY43+'IS (Non-GAAP)'!AY97+'IS (Non-GAAP)'!AY120</f>
        <v>845.64053287469631</v>
      </c>
      <c r="AZ43" s="618">
        <f>SUM(AV43:AY43)</f>
        <v>3158.9778212464157</v>
      </c>
      <c r="BA43" s="1191">
        <f>'IS (Non-GAAP)'!BA43+'IS (Non-GAAP)'!BA97+'IS (Non-GAAP)'!BA120</f>
        <v>864.20520947342197</v>
      </c>
      <c r="BB43" s="1191">
        <f>'IS (Non-GAAP)'!BB43+'IS (Non-GAAP)'!BB97+'IS (Non-GAAP)'!BB120</f>
        <v>930.13867647752272</v>
      </c>
      <c r="BC43" s="1191">
        <f>'IS (Non-GAAP)'!BC43+'IS (Non-GAAP)'!BC97+'IS (Non-GAAP)'!BC120</f>
        <v>1009.9885997063607</v>
      </c>
      <c r="BD43" s="1191">
        <f>'IS (Non-GAAP)'!BD43+'IS (Non-GAAP)'!BD97+'IS (Non-GAAP)'!BD120</f>
        <v>1017.9720366920727</v>
      </c>
      <c r="BE43" s="618">
        <f>SUM(BA43:BD43)</f>
        <v>3822.3045223493782</v>
      </c>
      <c r="BF43" s="1191">
        <f>'IS (Non-GAAP)'!BF43+'IS (Non-GAAP)'!BF97+'IS (Non-GAAP)'!BF120</f>
        <v>1021.4487537234789</v>
      </c>
      <c r="BG43" s="1191">
        <f>'IS (Non-GAAP)'!BG43+'IS (Non-GAAP)'!BG97+'IS (Non-GAAP)'!BG120</f>
        <v>1097.0383741979829</v>
      </c>
      <c r="BH43" s="1191">
        <f>'IS (Non-GAAP)'!BH43+'IS (Non-GAAP)'!BH97+'IS (Non-GAAP)'!BH120</f>
        <v>1213.6785936613967</v>
      </c>
      <c r="BI43" s="1191">
        <f>'IS (Non-GAAP)'!BI43+'IS (Non-GAAP)'!BI97+'IS (Non-GAAP)'!BI120</f>
        <v>1228.1753488546399</v>
      </c>
      <c r="BJ43" s="618">
        <f>SUM(BF43:BI43)</f>
        <v>4560.3410704374983</v>
      </c>
      <c r="BK43" s="1191">
        <f>'IS (Non-GAAP)'!BK43+'IS (Non-GAAP)'!BK97+'IS (Non-GAAP)'!BK120</f>
        <v>1231.2718211693673</v>
      </c>
      <c r="BL43" s="1191">
        <f>'IS (Non-GAAP)'!BL43+'IS (Non-GAAP)'!BL97+'IS (Non-GAAP)'!BL120</f>
        <v>1305.554278996693</v>
      </c>
      <c r="BM43" s="1191">
        <f>'IS (Non-GAAP)'!BM43+'IS (Non-GAAP)'!BM97+'IS (Non-GAAP)'!BM120</f>
        <v>1455.0855269876236</v>
      </c>
      <c r="BN43" s="1191">
        <f>'IS (Non-GAAP)'!BN43+'IS (Non-GAAP)'!BN97+'IS (Non-GAAP)'!BN120</f>
        <v>1456.6892978941103</v>
      </c>
      <c r="BO43" s="618">
        <f>SUM(BK43:BN43)</f>
        <v>5448.6009250477946</v>
      </c>
    </row>
    <row r="44" spans="1:67" s="92" customFormat="1">
      <c r="A44" s="619"/>
      <c r="B44" s="1079" t="s">
        <v>204</v>
      </c>
      <c r="C44" s="667" t="s">
        <v>36</v>
      </c>
      <c r="D44" s="668" t="s">
        <v>36</v>
      </c>
      <c r="E44" s="668" t="s">
        <v>36</v>
      </c>
      <c r="F44" s="668" t="s">
        <v>36</v>
      </c>
      <c r="G44" s="669" t="s">
        <v>36</v>
      </c>
      <c r="H44" s="668" t="str">
        <f t="shared" ref="H44:AM44" si="30">IFERROR(H43/C43-1,"--")</f>
        <v>--</v>
      </c>
      <c r="I44" s="668" t="str">
        <f t="shared" si="30"/>
        <v>--</v>
      </c>
      <c r="J44" s="668" t="str">
        <f t="shared" si="30"/>
        <v>--</v>
      </c>
      <c r="K44" s="668" t="str">
        <f t="shared" si="30"/>
        <v>--</v>
      </c>
      <c r="L44" s="669" t="str">
        <f t="shared" si="30"/>
        <v>--</v>
      </c>
      <c r="M44" s="668">
        <f t="shared" si="30"/>
        <v>1.7670641092102994</v>
      </c>
      <c r="N44" s="668">
        <f t="shared" si="30"/>
        <v>2.0517542401064182</v>
      </c>
      <c r="O44" s="668">
        <f t="shared" si="30"/>
        <v>1.3457854109185607</v>
      </c>
      <c r="P44" s="668">
        <f t="shared" si="30"/>
        <v>0.74192849873324551</v>
      </c>
      <c r="Q44" s="669">
        <f t="shared" si="30"/>
        <v>1.3366151446172458</v>
      </c>
      <c r="R44" s="668">
        <f t="shared" si="30"/>
        <v>0.52808655467432697</v>
      </c>
      <c r="S44" s="668">
        <f t="shared" si="30"/>
        <v>0.26221513900807758</v>
      </c>
      <c r="T44" s="668">
        <f t="shared" si="30"/>
        <v>0.78050166516889563</v>
      </c>
      <c r="U44" s="668">
        <f t="shared" si="30"/>
        <v>0.91499676793794449</v>
      </c>
      <c r="V44" s="669">
        <f t="shared" si="30"/>
        <v>0.63267899052037468</v>
      </c>
      <c r="W44" s="668">
        <f t="shared" si="30"/>
        <v>0.70422060341040305</v>
      </c>
      <c r="X44" s="668">
        <f t="shared" si="30"/>
        <v>0.97385148333207416</v>
      </c>
      <c r="Y44" s="668">
        <f t="shared" si="30"/>
        <v>0.41746643211828371</v>
      </c>
      <c r="Z44" s="668">
        <f t="shared" si="30"/>
        <v>0.31961700746510857</v>
      </c>
      <c r="AA44" s="669">
        <f t="shared" si="30"/>
        <v>0.55213564300869789</v>
      </c>
      <c r="AB44" s="668">
        <f t="shared" si="30"/>
        <v>0.46226709191626103</v>
      </c>
      <c r="AC44" s="668">
        <f t="shared" si="30"/>
        <v>0.50158827356576974</v>
      </c>
      <c r="AD44" s="668">
        <f t="shared" si="30"/>
        <v>0.48963455184294991</v>
      </c>
      <c r="AE44" s="668">
        <f t="shared" si="30"/>
        <v>0.49283033346942995</v>
      </c>
      <c r="AF44" s="669">
        <f t="shared" si="30"/>
        <v>0.48731055896446751</v>
      </c>
      <c r="AG44" s="668">
        <f t="shared" si="30"/>
        <v>0.35933451408704764</v>
      </c>
      <c r="AH44" s="668">
        <f t="shared" si="30"/>
        <v>0.24993355058348055</v>
      </c>
      <c r="AI44" s="668">
        <f t="shared" si="30"/>
        <v>0.24818175107302176</v>
      </c>
      <c r="AJ44" s="668">
        <f t="shared" si="30"/>
        <v>0.19227081157137538</v>
      </c>
      <c r="AK44" s="669">
        <f t="shared" si="30"/>
        <v>0.2577841803079417</v>
      </c>
      <c r="AL44" s="668">
        <f t="shared" si="30"/>
        <v>0.20890462603827986</v>
      </c>
      <c r="AM44" s="668">
        <f t="shared" si="30"/>
        <v>0.16702302439933803</v>
      </c>
      <c r="AN44" s="1187">
        <f t="shared" ref="AN44:BJ44" si="31">IFERROR(AN43/AI43-1,"--")</f>
        <v>0.23342129497942699</v>
      </c>
      <c r="AO44" s="668">
        <f>IFERROR(AO43/AJ43-1,"--")</f>
        <v>0.19584491821945593</v>
      </c>
      <c r="AP44" s="669">
        <f>IFERROR(AP43/AK43-1,"--")</f>
        <v>0.20143388130170226</v>
      </c>
      <c r="AQ44" s="1187">
        <f t="shared" si="31"/>
        <v>0.14403401010922545</v>
      </c>
      <c r="AR44" s="1187">
        <f t="shared" si="31"/>
        <v>0.25293478939157565</v>
      </c>
      <c r="AS44" s="668">
        <f t="shared" si="31"/>
        <v>0.2566478370269567</v>
      </c>
      <c r="AT44" s="668">
        <f t="shared" si="31"/>
        <v>0.59816117527887269</v>
      </c>
      <c r="AU44" s="669">
        <f t="shared" si="31"/>
        <v>0.31713576274701882</v>
      </c>
      <c r="AV44" s="668">
        <f t="shared" si="31"/>
        <v>0.55994603898845252</v>
      </c>
      <c r="AW44" s="668">
        <f t="shared" si="31"/>
        <v>0.52906541113764649</v>
      </c>
      <c r="AX44" s="668">
        <f t="shared" si="31"/>
        <v>0.50898806213885495</v>
      </c>
      <c r="AY44" s="668">
        <f t="shared" si="31"/>
        <v>0.22291249676344238</v>
      </c>
      <c r="AZ44" s="669">
        <f t="shared" si="31"/>
        <v>0.43435240496160477</v>
      </c>
      <c r="BA44" s="668">
        <f t="shared" si="31"/>
        <v>0.20813876086351724</v>
      </c>
      <c r="BB44" s="668">
        <f t="shared" si="31"/>
        <v>0.21186745911332316</v>
      </c>
      <c r="BC44" s="668">
        <f t="shared" si="31"/>
        <v>0.21613181261570347</v>
      </c>
      <c r="BD44" s="668">
        <f t="shared" si="31"/>
        <v>0.20378813114781447</v>
      </c>
      <c r="BE44" s="669">
        <f t="shared" si="31"/>
        <v>0.20998143660319801</v>
      </c>
      <c r="BF44" s="668">
        <f t="shared" si="31"/>
        <v>0.18195162737548021</v>
      </c>
      <c r="BG44" s="668">
        <f t="shared" si="31"/>
        <v>0.17943528415839771</v>
      </c>
      <c r="BH44" s="668">
        <f t="shared" si="31"/>
        <v>0.20167553773800595</v>
      </c>
      <c r="BI44" s="668">
        <f t="shared" si="31"/>
        <v>0.20649222629496622</v>
      </c>
      <c r="BJ44" s="669">
        <f t="shared" si="31"/>
        <v>0.1930867998017296</v>
      </c>
      <c r="BK44" s="668">
        <f>IFERROR(BK43/BF43-1,"--")</f>
        <v>0.20541712609763541</v>
      </c>
      <c r="BL44" s="668">
        <f>IFERROR(BL43/BG43-1,"--")</f>
        <v>0.19007165993728425</v>
      </c>
      <c r="BM44" s="668">
        <f>IFERROR(BM43/BH43-1,"--")</f>
        <v>0.19890515873560566</v>
      </c>
      <c r="BN44" s="668">
        <f>IFERROR(BN43/BI43-1,"--")</f>
        <v>0.18605970983913322</v>
      </c>
      <c r="BO44" s="669">
        <f>IFERROR(BO43/BJ43-1,"--")</f>
        <v>0.19477925902701854</v>
      </c>
    </row>
    <row r="45" spans="1:67" s="92" customFormat="1">
      <c r="A45" s="619"/>
      <c r="B45" s="1079" t="s">
        <v>205</v>
      </c>
      <c r="C45" s="667" t="s">
        <v>36</v>
      </c>
      <c r="D45" s="668" t="str">
        <f>IFERROR(D43/C43-1,"--")</f>
        <v>--</v>
      </c>
      <c r="E45" s="668" t="str">
        <f>IFERROR(E43/D43-1,"--")</f>
        <v>--</v>
      </c>
      <c r="F45" s="668" t="str">
        <f>IFERROR(F43/E43-1,"--")</f>
        <v>--</v>
      </c>
      <c r="G45" s="670"/>
      <c r="H45" s="667" t="str">
        <f>IFERROR(H43/F43-1,"--")</f>
        <v>--</v>
      </c>
      <c r="I45" s="668">
        <f>IFERROR(I43/H43-1,"--")</f>
        <v>3.9225851045446847E-2</v>
      </c>
      <c r="J45" s="668">
        <f>IFERROR(J43/I43-1,"--")</f>
        <v>0.34091286997006964</v>
      </c>
      <c r="K45" s="668">
        <f>IFERROR(K43/J43-1,"--")</f>
        <v>0.43165824472207581</v>
      </c>
      <c r="L45" s="670"/>
      <c r="M45" s="667">
        <f>IFERROR(M43/K43-1,"--")</f>
        <v>0.38697732833849452</v>
      </c>
      <c r="N45" s="668">
        <f>IFERROR(N43/M43-1,"--")</f>
        <v>0.14614688065946391</v>
      </c>
      <c r="O45" s="668">
        <f>IFERROR(O43/N43-1,"--")</f>
        <v>3.07166305695179E-2</v>
      </c>
      <c r="P45" s="668">
        <f>IFERROR(P43/O43-1,"--")</f>
        <v>6.311783052281017E-2</v>
      </c>
      <c r="Q45" s="670"/>
      <c r="R45" s="667">
        <f>IFERROR(R43/P43-1,"--")</f>
        <v>0.21670976082740778</v>
      </c>
      <c r="S45" s="668">
        <f>IFERROR(S43/R43-1,"--")</f>
        <v>-5.3270942100799967E-2</v>
      </c>
      <c r="T45" s="668">
        <f>IFERROR(T43/S43-1,"--")</f>
        <v>0.45394601944681279</v>
      </c>
      <c r="U45" s="668">
        <f>IFERROR(U43/T43-1,"--")</f>
        <v>0.14342336725377991</v>
      </c>
      <c r="V45" s="670"/>
      <c r="W45" s="667">
        <f>IFERROR(W43/U43-1,"--")</f>
        <v>8.2791301525478644E-2</v>
      </c>
      <c r="X45" s="668">
        <f>IFERROR(X43/W43-1,"--")</f>
        <v>9.6514472075010183E-2</v>
      </c>
      <c r="Y45" s="668">
        <f>IFERROR(Y43/X43-1,"--")</f>
        <v>4.4110812835218782E-2</v>
      </c>
      <c r="Z45" s="668">
        <f>IFERROR(Z43/Y43-1,"--")</f>
        <v>6.4491467290845206E-2</v>
      </c>
      <c r="AA45" s="670"/>
      <c r="AB45" s="667">
        <f>IFERROR(AB43/Z43-1,"--")</f>
        <v>0.199840619419835</v>
      </c>
      <c r="AC45" s="668">
        <f>IFERROR(AC43/AB43-1,"--")</f>
        <v>0.12600036078585708</v>
      </c>
      <c r="AD45" s="668">
        <f>IFERROR(AD43/AC43-1,"--")</f>
        <v>3.5798940450399552E-2</v>
      </c>
      <c r="AE45" s="668">
        <f>IFERROR(AE43/AD43-1,"--")</f>
        <v>6.6775169873135809E-2</v>
      </c>
      <c r="AF45" s="670"/>
      <c r="AG45" s="667">
        <f>IFERROR(AG43/AE43-1,"--")</f>
        <v>9.2545300570396671E-2</v>
      </c>
      <c r="AH45" s="668">
        <f>IFERROR(AH43/AG43-1,"--")</f>
        <v>3.537842549418202E-2</v>
      </c>
      <c r="AI45" s="668">
        <f>IFERROR(AI43/AH43-1,"--")</f>
        <v>3.4347253617953433E-2</v>
      </c>
      <c r="AJ45" s="668">
        <f>IFERROR(AJ43/AI43-1,"--")</f>
        <v>1.8990140222316709E-2</v>
      </c>
      <c r="AK45" s="670"/>
      <c r="AL45" s="667">
        <f>IFERROR(AL43/AJ43-1,"--")</f>
        <v>0.10778780726434545</v>
      </c>
      <c r="AM45" s="668">
        <f>IFERROR(AM43/AL43-1,"--")</f>
        <v>-4.914899880744672E-4</v>
      </c>
      <c r="AN45" s="1187">
        <f>IFERROR(AN43/AM43-1,"--")</f>
        <v>9.3196879875194982E-2</v>
      </c>
      <c r="AO45" s="668">
        <f>IFERROR(AO43/AN43-1,"--")</f>
        <v>-1.2053557157926886E-2</v>
      </c>
      <c r="AP45" s="670"/>
      <c r="AQ45" s="1342">
        <f>IFERROR(AQ43/AO43-1,"--")</f>
        <v>5.9792041748809144E-2</v>
      </c>
      <c r="AR45" s="1187">
        <f>IFERROR(AR43/AQ43-1,"--")</f>
        <v>9.4651883965683581E-2</v>
      </c>
      <c r="AS45" s="668">
        <f>IFERROR(AS43/AR43-1,"--")</f>
        <v>9.643654735365792E-2</v>
      </c>
      <c r="AT45" s="668">
        <f>IFERROR(AT43/AS43-1,"--")</f>
        <v>0.25643605287262328</v>
      </c>
      <c r="AU45" s="670"/>
      <c r="AV45" s="667">
        <f>IFERROR(AV43/AT43-1,"--")</f>
        <v>3.4450356603775933E-2</v>
      </c>
      <c r="AW45" s="668">
        <f>IFERROR(AW43/AV43-1,"--")</f>
        <v>7.2982200136845421E-2</v>
      </c>
      <c r="AX45" s="668">
        <f>IFERROR(AX43/AW43-1,"--")</f>
        <v>8.2039819093438382E-2</v>
      </c>
      <c r="AY45" s="668">
        <f>IFERROR(AY43/AX43-1,"--")</f>
        <v>1.823956662996884E-2</v>
      </c>
      <c r="AZ45" s="670"/>
      <c r="BA45" s="667">
        <f>IFERROR(BA43/AY43-1,"--")</f>
        <v>2.1953390213707458E-2</v>
      </c>
      <c r="BB45" s="668">
        <f>IFERROR(BB43/BA43-1,"--")</f>
        <v>7.6293762501472795E-2</v>
      </c>
      <c r="BC45" s="668">
        <f>IFERROR(BC43/BB43-1,"--")</f>
        <v>8.5847331422915563E-2</v>
      </c>
      <c r="BD45" s="668">
        <f>IFERROR(BD43/BC43-1,"--")</f>
        <v>7.9044822763674194E-3</v>
      </c>
      <c r="BE45" s="670"/>
      <c r="BF45" s="667">
        <f>IFERROR(BF43/BD43-1,"--")</f>
        <v>3.4153364788918061E-3</v>
      </c>
      <c r="BG45" s="668">
        <f>IFERROR(BG43/BF43-1,"--")</f>
        <v>7.4002362036233116E-2</v>
      </c>
      <c r="BH45" s="668">
        <f>IFERROR(BH43/BG43-1,"--")</f>
        <v>0.10632282535119764</v>
      </c>
      <c r="BI45" s="668">
        <f>IFERROR(BI43/BH43-1,"--")</f>
        <v>1.1944476296240625E-2</v>
      </c>
      <c r="BJ45" s="670"/>
      <c r="BK45" s="667">
        <f>IFERROR(BK43/BI43-1,"--")</f>
        <v>2.5211972521799186E-3</v>
      </c>
      <c r="BL45" s="668">
        <f>IFERROR(BL43/BK43-1,"--")</f>
        <v>6.0329861002404783E-2</v>
      </c>
      <c r="BM45" s="668">
        <f>IFERROR(BM43/BL43-1,"--")</f>
        <v>0.11453468492006635</v>
      </c>
      <c r="BN45" s="668">
        <f>IFERROR(BN43/BM43-1,"--")</f>
        <v>1.1021832577819968E-3</v>
      </c>
      <c r="BO45" s="670"/>
    </row>
    <row r="46" spans="1:67" s="92" customFormat="1">
      <c r="A46" s="681"/>
      <c r="B46" s="1079" t="s">
        <v>333</v>
      </c>
      <c r="C46" s="668" t="str">
        <f t="shared" ref="C46:AH46" si="32">IFERROR(C43/C$10,"--")</f>
        <v>--</v>
      </c>
      <c r="D46" s="668" t="str">
        <f t="shared" si="32"/>
        <v>--</v>
      </c>
      <c r="E46" s="668" t="str">
        <f t="shared" si="32"/>
        <v>--</v>
      </c>
      <c r="F46" s="668" t="str">
        <f t="shared" si="32"/>
        <v>--</v>
      </c>
      <c r="G46" s="669" t="str">
        <f t="shared" si="32"/>
        <v>--</v>
      </c>
      <c r="H46" s="533">
        <f t="shared" si="32"/>
        <v>1.7270760277549801</v>
      </c>
      <c r="I46" s="533">
        <f t="shared" si="32"/>
        <v>1.3435353253281206</v>
      </c>
      <c r="J46" s="533">
        <f t="shared" si="32"/>
        <v>1.124721059972106</v>
      </c>
      <c r="K46" s="533">
        <f t="shared" si="32"/>
        <v>1.259092644091826</v>
      </c>
      <c r="L46" s="682">
        <f t="shared" si="32"/>
        <v>1.299753791405458</v>
      </c>
      <c r="M46" s="533">
        <f t="shared" si="32"/>
        <v>1.4655531403729551</v>
      </c>
      <c r="N46" s="533">
        <f t="shared" si="32"/>
        <v>1.2166757818326455</v>
      </c>
      <c r="O46" s="533">
        <f t="shared" si="32"/>
        <v>1.0363775817673808</v>
      </c>
      <c r="P46" s="533">
        <f t="shared" si="32"/>
        <v>0.91734707841080143</v>
      </c>
      <c r="Q46" s="682">
        <f t="shared" si="32"/>
        <v>1.1088922295919139</v>
      </c>
      <c r="R46" s="533">
        <f t="shared" si="32"/>
        <v>0.8994807701144143</v>
      </c>
      <c r="S46" s="533">
        <f t="shared" si="32"/>
        <v>0.69595553719628978</v>
      </c>
      <c r="T46" s="533">
        <f t="shared" si="32"/>
        <v>0.8440272139527889</v>
      </c>
      <c r="U46" s="533">
        <f t="shared" si="32"/>
        <v>0.80881001758853333</v>
      </c>
      <c r="V46" s="682">
        <f t="shared" si="32"/>
        <v>0.80959008460448378</v>
      </c>
      <c r="W46" s="533">
        <f t="shared" si="32"/>
        <v>0.72867539774762569</v>
      </c>
      <c r="X46" s="533">
        <f t="shared" si="32"/>
        <v>0.6719483611194792</v>
      </c>
      <c r="Y46" s="533">
        <f t="shared" si="32"/>
        <v>0.57101551544218554</v>
      </c>
      <c r="Z46" s="533">
        <f t="shared" si="32"/>
        <v>0.52970498261997945</v>
      </c>
      <c r="AA46" s="682">
        <f t="shared" si="32"/>
        <v>0.61014395646122821</v>
      </c>
      <c r="AB46" s="533">
        <f t="shared" si="32"/>
        <v>0.57748282907680681</v>
      </c>
      <c r="AC46" s="533">
        <f t="shared" si="32"/>
        <v>0.55233002445459811</v>
      </c>
      <c r="AD46" s="533">
        <f t="shared" si="32"/>
        <v>0.51070502739539125</v>
      </c>
      <c r="AE46" s="533">
        <f t="shared" si="32"/>
        <v>0.51522379849646538</v>
      </c>
      <c r="AF46" s="682">
        <f t="shared" si="32"/>
        <v>0.53566779415189059</v>
      </c>
      <c r="AG46" s="533">
        <f t="shared" si="32"/>
        <v>0.53168462425372709</v>
      </c>
      <c r="AH46" s="533">
        <f t="shared" si="32"/>
        <v>0.50931577494963054</v>
      </c>
      <c r="AI46" s="533">
        <f t="shared" ref="AI46:BO46" si="33">IFERROR(AI43/AI$10,"--")</f>
        <v>0.48364486299550652</v>
      </c>
      <c r="AJ46" s="533">
        <f t="shared" si="33"/>
        <v>0.46704849238220258</v>
      </c>
      <c r="AK46" s="682">
        <f t="shared" si="33"/>
        <v>0.49590324423149346</v>
      </c>
      <c r="AL46" s="533">
        <f t="shared" si="33"/>
        <v>0.48367038369319026</v>
      </c>
      <c r="AM46" s="533">
        <f t="shared" si="33"/>
        <v>0.46111233243134681</v>
      </c>
      <c r="AN46" s="1118">
        <f t="shared" si="33"/>
        <v>0.46488142372204894</v>
      </c>
      <c r="AO46" s="533">
        <f t="shared" si="33"/>
        <v>0.43848414524154566</v>
      </c>
      <c r="AP46" s="682">
        <f t="shared" si="33"/>
        <v>0.46108919158304829</v>
      </c>
      <c r="AQ46" s="1118">
        <f t="shared" si="33"/>
        <v>0.44003976684957108</v>
      </c>
      <c r="AR46" s="1118">
        <f t="shared" ref="AR46" si="34">IFERROR(AR43/AR$10,"--")</f>
        <v>0.43840226241933183</v>
      </c>
      <c r="AS46" s="533">
        <f t="shared" si="33"/>
        <v>0.4537553930261875</v>
      </c>
      <c r="AT46" s="533">
        <f t="shared" si="33"/>
        <v>0.55372796253201373</v>
      </c>
      <c r="AU46" s="682">
        <f t="shared" si="33"/>
        <v>0.47375526248907884</v>
      </c>
      <c r="AV46" s="533">
        <f t="shared" si="33"/>
        <v>0.5447932357243177</v>
      </c>
      <c r="AW46" s="533">
        <f t="shared" si="33"/>
        <v>0.54240697848021979</v>
      </c>
      <c r="AX46" s="533">
        <f t="shared" si="33"/>
        <v>0.55280888426757191</v>
      </c>
      <c r="AY46" s="533">
        <f t="shared" si="33"/>
        <v>0.545846703421624</v>
      </c>
      <c r="AZ46" s="682">
        <f t="shared" si="33"/>
        <v>0.54657492779379269</v>
      </c>
      <c r="BA46" s="533">
        <f t="shared" si="33"/>
        <v>0.53042957433344218</v>
      </c>
      <c r="BB46" s="533">
        <f t="shared" si="33"/>
        <v>0.5282423953926374</v>
      </c>
      <c r="BC46" s="533">
        <f t="shared" si="33"/>
        <v>0.53879238224841153</v>
      </c>
      <c r="BD46" s="533">
        <f t="shared" si="33"/>
        <v>0.53193047781243008</v>
      </c>
      <c r="BE46" s="682">
        <f t="shared" si="33"/>
        <v>0.53247705595482075</v>
      </c>
      <c r="BF46" s="533">
        <f t="shared" si="33"/>
        <v>0.51161710157838858</v>
      </c>
      <c r="BG46" s="533">
        <f t="shared" si="33"/>
        <v>0.50960380548361484</v>
      </c>
      <c r="BH46" s="533">
        <f t="shared" si="33"/>
        <v>0.52027568233060006</v>
      </c>
      <c r="BI46" s="533">
        <f t="shared" si="33"/>
        <v>0.51345319620107854</v>
      </c>
      <c r="BJ46" s="682">
        <f t="shared" si="33"/>
        <v>0.51389975451663661</v>
      </c>
      <c r="BK46" s="533">
        <f t="shared" si="33"/>
        <v>0.49601672529142282</v>
      </c>
      <c r="BL46" s="533">
        <f t="shared" si="33"/>
        <v>0.49401560781585513</v>
      </c>
      <c r="BM46" s="533">
        <f t="shared" si="33"/>
        <v>0.50469188965536382</v>
      </c>
      <c r="BN46" s="533">
        <f t="shared" si="33"/>
        <v>0.49787509007509545</v>
      </c>
      <c r="BO46" s="682">
        <f t="shared" si="33"/>
        <v>0.49831783514295669</v>
      </c>
    </row>
    <row r="47" spans="1:67">
      <c r="A47" s="620"/>
      <c r="B47" s="1054"/>
      <c r="C47" s="394"/>
      <c r="D47" s="395"/>
      <c r="E47" s="395"/>
      <c r="F47" s="395"/>
      <c r="G47" s="574"/>
      <c r="H47" s="394"/>
      <c r="I47" s="395"/>
      <c r="J47" s="395"/>
      <c r="K47" s="395"/>
      <c r="L47" s="574"/>
      <c r="M47" s="394"/>
      <c r="N47" s="395"/>
      <c r="O47" s="395"/>
      <c r="P47" s="395"/>
      <c r="Q47" s="574"/>
      <c r="R47" s="394"/>
      <c r="S47" s="395"/>
      <c r="T47" s="395"/>
      <c r="U47" s="395"/>
      <c r="V47" s="574"/>
      <c r="W47" s="394"/>
      <c r="X47" s="395"/>
      <c r="Y47" s="395"/>
      <c r="Z47" s="395"/>
      <c r="AA47" s="574"/>
      <c r="AB47" s="394"/>
      <c r="AC47" s="395"/>
      <c r="AD47" s="395"/>
      <c r="AE47" s="395"/>
      <c r="AF47" s="574"/>
      <c r="AG47" s="394"/>
      <c r="AH47" s="395"/>
      <c r="AI47" s="395"/>
      <c r="AJ47" s="395"/>
      <c r="AK47" s="574"/>
      <c r="AL47" s="394"/>
      <c r="AM47" s="395"/>
      <c r="AN47" s="1188"/>
      <c r="AO47" s="395"/>
      <c r="AP47" s="574"/>
      <c r="AQ47" s="1317"/>
      <c r="AR47" s="1188"/>
      <c r="AS47" s="395"/>
      <c r="AT47" s="395"/>
      <c r="AU47" s="574"/>
      <c r="AV47" s="394"/>
      <c r="AW47" s="395"/>
      <c r="AX47" s="395"/>
      <c r="AY47" s="395"/>
      <c r="AZ47" s="574"/>
      <c r="BA47" s="394"/>
      <c r="BB47" s="395"/>
      <c r="BC47" s="395"/>
      <c r="BD47" s="395"/>
      <c r="BE47" s="574"/>
      <c r="BF47" s="394"/>
      <c r="BG47" s="395"/>
      <c r="BH47" s="395"/>
      <c r="BI47" s="395"/>
      <c r="BJ47" s="574"/>
      <c r="BK47" s="394"/>
      <c r="BL47" s="395"/>
      <c r="BM47" s="395"/>
      <c r="BN47" s="395"/>
      <c r="BO47" s="574"/>
    </row>
    <row r="48" spans="1:67" s="377" customFormat="1">
      <c r="A48" s="351"/>
      <c r="B48" s="1189" t="s">
        <v>10</v>
      </c>
      <c r="C48" s="622"/>
      <c r="D48" s="622"/>
      <c r="E48" s="622"/>
      <c r="F48" s="622"/>
      <c r="G48" s="617">
        <f>SUM(C48:F48)</f>
        <v>0</v>
      </c>
      <c r="H48" s="622">
        <v>18.681999999999999</v>
      </c>
      <c r="I48" s="622">
        <v>9.6050000000000004</v>
      </c>
      <c r="J48" s="622">
        <v>12.82</v>
      </c>
      <c r="K48" s="622">
        <v>27.574000000000002</v>
      </c>
      <c r="L48" s="618">
        <f>SUM(H48:K48)</f>
        <v>68.680999999999997</v>
      </c>
      <c r="M48" s="622">
        <v>21.617999999999999</v>
      </c>
      <c r="N48" s="622">
        <v>26.164000000000001</v>
      </c>
      <c r="O48" s="622">
        <v>27.669</v>
      </c>
      <c r="P48" s="622">
        <v>29.709</v>
      </c>
      <c r="Q48" s="618">
        <f>SUM(M48:P48)</f>
        <v>105.16</v>
      </c>
      <c r="R48" s="622">
        <v>33.277999999999999</v>
      </c>
      <c r="S48" s="622">
        <v>36.533000000000001</v>
      </c>
      <c r="T48" s="616">
        <v>74.138000000000005</v>
      </c>
      <c r="U48" s="616">
        <v>93.997</v>
      </c>
      <c r="V48" s="618">
        <f>SUM(R48:U48)</f>
        <v>237.94600000000003</v>
      </c>
      <c r="W48" s="616">
        <v>109.79600000000001</v>
      </c>
      <c r="X48" s="616">
        <v>118.087</v>
      </c>
      <c r="Y48" s="616">
        <v>115.9</v>
      </c>
      <c r="Z48" s="616">
        <v>123.149</v>
      </c>
      <c r="AA48" s="618">
        <f>SUM(W48:Z48)</f>
        <v>466.93200000000002</v>
      </c>
      <c r="AB48" s="616">
        <v>150.798</v>
      </c>
      <c r="AC48" s="616">
        <v>183.74799999999999</v>
      </c>
      <c r="AD48" s="616">
        <v>211.387</v>
      </c>
      <c r="AE48" s="616">
        <v>242.125</v>
      </c>
      <c r="AF48" s="618">
        <f>SUM(AB48:AE48)</f>
        <v>788.05799999999999</v>
      </c>
      <c r="AG48" s="616">
        <v>277.41199999999998</v>
      </c>
      <c r="AH48" s="616">
        <v>313.99599999999998</v>
      </c>
      <c r="AI48" s="616">
        <v>332.065</v>
      </c>
      <c r="AJ48" s="616">
        <v>364.476</v>
      </c>
      <c r="AK48" s="618">
        <f>SUM(AG48:AJ48)</f>
        <v>1287.9490000000001</v>
      </c>
      <c r="AL48" s="622">
        <v>410.79399999999998</v>
      </c>
      <c r="AM48" s="622">
        <v>437.66</v>
      </c>
      <c r="AN48" s="1190">
        <v>442.435</v>
      </c>
      <c r="AO48" s="616">
        <v>492.49</v>
      </c>
      <c r="AP48" s="618">
        <f>SUM(AL48:AO48)</f>
        <v>1783.3789999999999</v>
      </c>
      <c r="AQ48" s="1190">
        <v>472.404</v>
      </c>
      <c r="AR48" s="1190">
        <v>492.00299999999999</v>
      </c>
      <c r="AS48" s="622">
        <v>494.02699999999999</v>
      </c>
      <c r="AT48" s="1191">
        <f>'IS (Non-GAAP)'!AT48+'IS (Non-GAAP)'!AT98+'IS (Non-GAAP)'!AT123</f>
        <v>406.83004865538857</v>
      </c>
      <c r="AU48" s="618">
        <f>SUM(AQ48:AT48)</f>
        <v>1865.2640486553885</v>
      </c>
      <c r="AV48" s="1191">
        <f>'IS (Non-GAAP)'!AV48+'IS (Non-GAAP)'!AV98+'IS (Non-GAAP)'!AV123</f>
        <v>412.17157105434484</v>
      </c>
      <c r="AW48" s="1191">
        <f>'IS (Non-GAAP)'!AW48+'IS (Non-GAAP)'!AW98+'IS (Non-GAAP)'!AW123</f>
        <v>423.74444872397504</v>
      </c>
      <c r="AX48" s="1191">
        <f>'IS (Non-GAAP)'!AX48+'IS (Non-GAAP)'!AX98+'IS (Non-GAAP)'!AX123</f>
        <v>439.27918886754452</v>
      </c>
      <c r="AY48" s="1191">
        <f>'IS (Non-GAAP)'!AY48+'IS (Non-GAAP)'!AY98+'IS (Non-GAAP)'!AY123</f>
        <v>488.63544462142232</v>
      </c>
      <c r="AZ48" s="618">
        <f>SUM(AV48:AY48)</f>
        <v>1763.8306532672866</v>
      </c>
      <c r="BA48" s="1191">
        <f>'IS (Non-GAAP)'!BA48+'IS (Non-GAAP)'!BA98+'IS (Non-GAAP)'!BA123</f>
        <v>491.29555626709521</v>
      </c>
      <c r="BB48" s="1191">
        <f>'IS (Non-GAAP)'!BB48+'IS (Non-GAAP)'!BB98+'IS (Non-GAAP)'!BB123</f>
        <v>505.60951051455396</v>
      </c>
      <c r="BC48" s="1191">
        <f>'IS (Non-GAAP)'!BC48+'IS (Non-GAAP)'!BC98+'IS (Non-GAAP)'!BC123</f>
        <v>525.11051479756622</v>
      </c>
      <c r="BD48" s="1191">
        <f>'IS (Non-GAAP)'!BD48+'IS (Non-GAAP)'!BD98+'IS (Non-GAAP)'!BD123</f>
        <v>580.16415276333782</v>
      </c>
      <c r="BE48" s="618">
        <f>SUM(BA48:BD48)</f>
        <v>2102.1797343425533</v>
      </c>
      <c r="BF48" s="1191">
        <f>'IS (Non-GAAP)'!BF48+'IS (Non-GAAP)'!BF98+'IS (Non-GAAP)'!BF123</f>
        <v>576.84480630862549</v>
      </c>
      <c r="BG48" s="1191">
        <f>'IS (Non-GAAP)'!BG48+'IS (Non-GAAP)'!BG98+'IS (Non-GAAP)'!BG123</f>
        <v>591.07827991815395</v>
      </c>
      <c r="BH48" s="1191">
        <f>'IS (Non-GAAP)'!BH48+'IS (Non-GAAP)'!BH98+'IS (Non-GAAP)'!BH123</f>
        <v>624.21681466616621</v>
      </c>
      <c r="BI48" s="1191">
        <f>'IS (Non-GAAP)'!BI48+'IS (Non-GAAP)'!BI98+'IS (Non-GAAP)'!BI123</f>
        <v>695.18164876646165</v>
      </c>
      <c r="BJ48" s="618">
        <f>SUM(BF48:BI48)</f>
        <v>2487.3215496594075</v>
      </c>
      <c r="BK48" s="1191">
        <f>'IS (Non-GAAP)'!BK48+'IS (Non-GAAP)'!BK98+'IS (Non-GAAP)'!BK123</f>
        <v>684.8710172204311</v>
      </c>
      <c r="BL48" s="1191">
        <f>'IS (Non-GAAP)'!BL48+'IS (Non-GAAP)'!BL98+'IS (Non-GAAP)'!BL123</f>
        <v>691.20338919913547</v>
      </c>
      <c r="BM48" s="1191">
        <f>'IS (Non-GAAP)'!BM48+'IS (Non-GAAP)'!BM98+'IS (Non-GAAP)'!BM123</f>
        <v>733.93977631920336</v>
      </c>
      <c r="BN48" s="1191">
        <f>'IS (Non-GAAP)'!BN48+'IS (Non-GAAP)'!BN98+'IS (Non-GAAP)'!BN123</f>
        <v>812.22893221874767</v>
      </c>
      <c r="BO48" s="618">
        <f>SUM(BK48:BN48)</f>
        <v>2922.2431149575173</v>
      </c>
    </row>
    <row r="49" spans="1:67" s="92" customFormat="1">
      <c r="A49" s="683"/>
      <c r="B49" s="1079" t="s">
        <v>204</v>
      </c>
      <c r="C49" s="667" t="s">
        <v>36</v>
      </c>
      <c r="D49" s="668" t="s">
        <v>36</v>
      </c>
      <c r="E49" s="668" t="s">
        <v>36</v>
      </c>
      <c r="F49" s="668" t="s">
        <v>36</v>
      </c>
      <c r="G49" s="669" t="s">
        <v>36</v>
      </c>
      <c r="H49" s="668" t="str">
        <f t="shared" ref="H49:AM49" si="35">IFERROR(H48/C48-1,"--")</f>
        <v>--</v>
      </c>
      <c r="I49" s="668" t="str">
        <f t="shared" si="35"/>
        <v>--</v>
      </c>
      <c r="J49" s="668" t="str">
        <f t="shared" si="35"/>
        <v>--</v>
      </c>
      <c r="K49" s="668" t="str">
        <f t="shared" si="35"/>
        <v>--</v>
      </c>
      <c r="L49" s="669" t="str">
        <f t="shared" si="35"/>
        <v>--</v>
      </c>
      <c r="M49" s="668">
        <f t="shared" si="35"/>
        <v>0.15715662134675079</v>
      </c>
      <c r="N49" s="668">
        <f t="shared" si="35"/>
        <v>1.7239979177511713</v>
      </c>
      <c r="O49" s="668">
        <f t="shared" si="35"/>
        <v>1.1582683307332293</v>
      </c>
      <c r="P49" s="668">
        <f t="shared" si="35"/>
        <v>7.7428011895263493E-2</v>
      </c>
      <c r="Q49" s="669">
        <f t="shared" si="35"/>
        <v>0.53113670447430872</v>
      </c>
      <c r="R49" s="668">
        <f t="shared" si="35"/>
        <v>0.53936534369506894</v>
      </c>
      <c r="S49" s="668">
        <f t="shared" si="35"/>
        <v>0.39630790399021554</v>
      </c>
      <c r="T49" s="668">
        <f t="shared" si="35"/>
        <v>1.6794607683689331</v>
      </c>
      <c r="U49" s="668">
        <f t="shared" si="35"/>
        <v>2.1639233902184523</v>
      </c>
      <c r="V49" s="669">
        <f t="shared" si="35"/>
        <v>1.2627044503613543</v>
      </c>
      <c r="W49" s="668">
        <f t="shared" si="35"/>
        <v>2.2993569325079637</v>
      </c>
      <c r="X49" s="668">
        <f t="shared" si="35"/>
        <v>2.2323378862945829</v>
      </c>
      <c r="Y49" s="668">
        <f t="shared" si="35"/>
        <v>0.56330087134802653</v>
      </c>
      <c r="Z49" s="668">
        <f t="shared" si="35"/>
        <v>0.31013755758162498</v>
      </c>
      <c r="AA49" s="669">
        <f t="shared" si="35"/>
        <v>0.962344397468333</v>
      </c>
      <c r="AB49" s="668">
        <f t="shared" si="35"/>
        <v>0.37343801231374552</v>
      </c>
      <c r="AC49" s="668">
        <f t="shared" si="35"/>
        <v>0.55603919144359648</v>
      </c>
      <c r="AD49" s="668">
        <f t="shared" si="35"/>
        <v>0.82387402933563414</v>
      </c>
      <c r="AE49" s="668">
        <f t="shared" si="35"/>
        <v>0.96611421936028719</v>
      </c>
      <c r="AF49" s="669">
        <f t="shared" si="35"/>
        <v>0.68773611575132998</v>
      </c>
      <c r="AG49" s="668">
        <f t="shared" si="35"/>
        <v>0.83962652024562634</v>
      </c>
      <c r="AH49" s="668">
        <f t="shared" si="35"/>
        <v>0.70884036833053954</v>
      </c>
      <c r="AI49" s="668">
        <f t="shared" si="35"/>
        <v>0.57088657296806322</v>
      </c>
      <c r="AJ49" s="668">
        <f t="shared" si="35"/>
        <v>0.50532163138874542</v>
      </c>
      <c r="AK49" s="669">
        <f t="shared" si="35"/>
        <v>0.63433275215783613</v>
      </c>
      <c r="AL49" s="668">
        <f t="shared" si="35"/>
        <v>0.48080832840684629</v>
      </c>
      <c r="AM49" s="668">
        <f t="shared" si="35"/>
        <v>0.39383941196703165</v>
      </c>
      <c r="AN49" s="1187">
        <f t="shared" ref="AN49:BJ49" si="36">IFERROR(AN48/AI48-1,"--")</f>
        <v>0.33237468567900863</v>
      </c>
      <c r="AO49" s="668">
        <f>IFERROR(AO48/AJ48-1,"--")</f>
        <v>0.35122751566632648</v>
      </c>
      <c r="AP49" s="669">
        <f>IFERROR(AP48/AK48-1,"--")</f>
        <v>0.38466585245223195</v>
      </c>
      <c r="AQ49" s="1187">
        <f t="shared" si="36"/>
        <v>0.14997784777771828</v>
      </c>
      <c r="AR49" s="1187">
        <f t="shared" si="36"/>
        <v>0.12416716172371234</v>
      </c>
      <c r="AS49" s="668">
        <f t="shared" si="36"/>
        <v>0.116609219433363</v>
      </c>
      <c r="AT49" s="668">
        <f t="shared" si="36"/>
        <v>-0.17393236683914692</v>
      </c>
      <c r="AU49" s="669">
        <f t="shared" si="36"/>
        <v>4.591567392875473E-2</v>
      </c>
      <c r="AV49" s="668">
        <f t="shared" si="36"/>
        <v>-0.12750194525375558</v>
      </c>
      <c r="AW49" s="668">
        <f t="shared" si="36"/>
        <v>-0.13873604688594365</v>
      </c>
      <c r="AX49" s="668">
        <f t="shared" si="36"/>
        <v>-0.1108194716735228</v>
      </c>
      <c r="AY49" s="668">
        <f t="shared" si="36"/>
        <v>0.20108002404544179</v>
      </c>
      <c r="AZ49" s="669">
        <f t="shared" si="36"/>
        <v>-5.4380180361714547E-2</v>
      </c>
      <c r="BA49" s="668">
        <f t="shared" si="36"/>
        <v>0.19196856544557228</v>
      </c>
      <c r="BB49" s="668">
        <f t="shared" si="36"/>
        <v>0.193194417147174</v>
      </c>
      <c r="BC49" s="668">
        <f t="shared" si="36"/>
        <v>0.19539128669239636</v>
      </c>
      <c r="BD49" s="668">
        <f t="shared" si="36"/>
        <v>0.18731491779690423</v>
      </c>
      <c r="BE49" s="669">
        <f t="shared" si="36"/>
        <v>0.19182628471078855</v>
      </c>
      <c r="BF49" s="668">
        <f t="shared" si="36"/>
        <v>0.17412990805685413</v>
      </c>
      <c r="BG49" s="668">
        <f t="shared" si="36"/>
        <v>0.16904106356033388</v>
      </c>
      <c r="BH49" s="668">
        <f t="shared" si="36"/>
        <v>0.18873417514179125</v>
      </c>
      <c r="BI49" s="668">
        <f t="shared" si="36"/>
        <v>0.19824991850201767</v>
      </c>
      <c r="BJ49" s="669">
        <f t="shared" si="36"/>
        <v>0.1832106974607981</v>
      </c>
      <c r="BK49" s="668">
        <f>IFERROR(BK48/BF48-1,"--")</f>
        <v>0.18727083910678233</v>
      </c>
      <c r="BL49" s="668">
        <f>IFERROR(BL48/BG48-1,"--")</f>
        <v>0.16939399176509373</v>
      </c>
      <c r="BM49" s="668">
        <f>IFERROR(BM48/BH48-1,"--")</f>
        <v>0.17577700419960252</v>
      </c>
      <c r="BN49" s="668">
        <f>IFERROR(BN48/BI48-1,"--")</f>
        <v>0.1683693516075635</v>
      </c>
      <c r="BO49" s="669">
        <f>IFERROR(BO48/BJ48-1,"--")</f>
        <v>0.17485538424160074</v>
      </c>
    </row>
    <row r="50" spans="1:67" s="92" customFormat="1">
      <c r="A50" s="684"/>
      <c r="B50" s="1079" t="s">
        <v>205</v>
      </c>
      <c r="C50" s="667" t="s">
        <v>36</v>
      </c>
      <c r="D50" s="668" t="str">
        <f>IFERROR(D48/C48-1,"--")</f>
        <v>--</v>
      </c>
      <c r="E50" s="668" t="str">
        <f>IFERROR(E48/D48-1,"--")</f>
        <v>--</v>
      </c>
      <c r="F50" s="668" t="str">
        <f>IFERROR(F48/E48-1,"--")</f>
        <v>--</v>
      </c>
      <c r="G50" s="670"/>
      <c r="H50" s="667" t="str">
        <f>IFERROR(H48/F48-1,"--")</f>
        <v>--</v>
      </c>
      <c r="I50" s="668">
        <f>IFERROR(I48/H48-1,"--")</f>
        <v>-0.48586875066909319</v>
      </c>
      <c r="J50" s="668">
        <f>IFERROR(J48/I48-1,"--")</f>
        <v>0.33472149921915673</v>
      </c>
      <c r="K50" s="668">
        <f>IFERROR(K48/J48-1,"--")</f>
        <v>1.1508580343213728</v>
      </c>
      <c r="L50" s="670"/>
      <c r="M50" s="667">
        <f>IFERROR(M48/K48-1,"--")</f>
        <v>-0.21600058025676372</v>
      </c>
      <c r="N50" s="668">
        <f>IFERROR(N48/M48-1,"--")</f>
        <v>0.21028772319363509</v>
      </c>
      <c r="O50" s="668">
        <f>IFERROR(O48/N48-1,"--")</f>
        <v>5.7521785659685021E-2</v>
      </c>
      <c r="P50" s="668">
        <f>IFERROR(P48/O48-1,"--")</f>
        <v>7.3728721674075626E-2</v>
      </c>
      <c r="Q50" s="670"/>
      <c r="R50" s="667">
        <f>IFERROR(R48/P48-1,"--")</f>
        <v>0.12013194654818404</v>
      </c>
      <c r="S50" s="668">
        <f>IFERROR(S48/R48-1,"--")</f>
        <v>9.7812368531762894E-2</v>
      </c>
      <c r="T50" s="668">
        <f>IFERROR(T48/S48-1,"--")</f>
        <v>1.029343333424575</v>
      </c>
      <c r="U50" s="668">
        <f>IFERROR(U48/T48-1,"--")</f>
        <v>0.26786533221829556</v>
      </c>
      <c r="V50" s="670"/>
      <c r="W50" s="667">
        <f>IFERROR(W48/U48-1,"--")</f>
        <v>0.16807983233507451</v>
      </c>
      <c r="X50" s="668">
        <f>IFERROR(X48/W48-1,"--")</f>
        <v>7.5512769135487545E-2</v>
      </c>
      <c r="Y50" s="668">
        <f>IFERROR(Y48/X48-1,"--")</f>
        <v>-1.8520243549247528E-2</v>
      </c>
      <c r="Z50" s="668">
        <f>IFERROR(Z48/Y48-1,"--")</f>
        <v>6.2545297670405509E-2</v>
      </c>
      <c r="AA50" s="670"/>
      <c r="AB50" s="667">
        <f>IFERROR(AB48/Z48-1,"--")</f>
        <v>0.22451664244127034</v>
      </c>
      <c r="AC50" s="668">
        <f>IFERROR(AC48/AB48-1,"--")</f>
        <v>0.21850422419395477</v>
      </c>
      <c r="AD50" s="668">
        <f>IFERROR(AD48/AC48-1,"--")</f>
        <v>0.15041796373293859</v>
      </c>
      <c r="AE50" s="668">
        <f>IFERROR(AE48/AD48-1,"--")</f>
        <v>0.14541102338365186</v>
      </c>
      <c r="AF50" s="670"/>
      <c r="AG50" s="667">
        <f>IFERROR(AG48/AE48-1,"--")</f>
        <v>0.14573877129581825</v>
      </c>
      <c r="AH50" s="668">
        <f>IFERROR(AH48/AG48-1,"--")</f>
        <v>0.13187605438841876</v>
      </c>
      <c r="AI50" s="668">
        <f>IFERROR(AI48/AH48-1,"--")</f>
        <v>5.7545319048650345E-2</v>
      </c>
      <c r="AJ50" s="668">
        <f>IFERROR(AJ48/AI48-1,"--")</f>
        <v>9.7604384683721568E-2</v>
      </c>
      <c r="AK50" s="670"/>
      <c r="AL50" s="667">
        <f>IFERROR(AL48/AJ48-1,"--")</f>
        <v>0.12708106980980904</v>
      </c>
      <c r="AM50" s="668">
        <f>IFERROR(AM48/AL48-1,"--")</f>
        <v>6.5400176244054364E-2</v>
      </c>
      <c r="AN50" s="1187">
        <f>IFERROR(AN48/AM48-1,"--")</f>
        <v>1.0910295663300262E-2</v>
      </c>
      <c r="AO50" s="668">
        <f>IFERROR(AO48/AN48-1,"--")</f>
        <v>0.11313526280696595</v>
      </c>
      <c r="AP50" s="670"/>
      <c r="AQ50" s="1342">
        <f>IFERROR(AQ48/AO48-1,"--")</f>
        <v>-4.0784584458567696E-2</v>
      </c>
      <c r="AR50" s="1187">
        <f>IFERROR(AR48/AQ48-1,"--")</f>
        <v>4.1487794345517859E-2</v>
      </c>
      <c r="AS50" s="668">
        <f>IFERROR(AS48/AR48-1,"--")</f>
        <v>4.113796054089125E-3</v>
      </c>
      <c r="AT50" s="668">
        <f>IFERROR(AT48/AS48-1,"--")</f>
        <v>-0.1765024003639708</v>
      </c>
      <c r="AU50" s="670"/>
      <c r="AV50" s="667">
        <f>IFERROR(AV48/AT48-1,"--")</f>
        <v>1.3129616203646943E-2</v>
      </c>
      <c r="AW50" s="668">
        <f>IFERROR(AW48/AV48-1,"--")</f>
        <v>2.8077816332714223E-2</v>
      </c>
      <c r="AX50" s="668">
        <f>IFERROR(AX48/AW48-1,"--")</f>
        <v>3.6660633998508718E-2</v>
      </c>
      <c r="AY50" s="668">
        <f>IFERROR(AY48/AX48-1,"--")</f>
        <v>0.1123573731801808</v>
      </c>
      <c r="AZ50" s="670"/>
      <c r="BA50" s="667">
        <f>IFERROR(BA48/AY48-1,"--")</f>
        <v>5.4439596532622758E-3</v>
      </c>
      <c r="BB50" s="668">
        <f>IFERROR(BB48/BA48-1,"--")</f>
        <v>2.9135118494084011E-2</v>
      </c>
      <c r="BC50" s="668">
        <f>IFERROR(BC48/BB48-1,"--")</f>
        <v>3.8569298791801376E-2</v>
      </c>
      <c r="BD50" s="668">
        <f>IFERROR(BD48/BC48-1,"--")</f>
        <v>0.10484200261538312</v>
      </c>
      <c r="BE50" s="670"/>
      <c r="BF50" s="667">
        <f>IFERROR(BF48/BD48-1,"--")</f>
        <v>-5.7213918490175431E-3</v>
      </c>
      <c r="BG50" s="668">
        <f>IFERROR(BG48/BF48-1,"--")</f>
        <v>2.467470185024645E-2</v>
      </c>
      <c r="BH50" s="668">
        <f>IFERROR(BH48/BG48-1,"--")</f>
        <v>5.6064544873144273E-2</v>
      </c>
      <c r="BI50" s="668">
        <f>IFERROR(BI48/BH48-1,"--")</f>
        <v>0.11368619433657479</v>
      </c>
      <c r="BJ50" s="670"/>
      <c r="BK50" s="667">
        <f>IFERROR(BK48/BI48-1,"--")</f>
        <v>-1.4831564619586679E-2</v>
      </c>
      <c r="BL50" s="668">
        <f>IFERROR(BL48/BK48-1,"--")</f>
        <v>9.2460796551216973E-3</v>
      </c>
      <c r="BM50" s="668">
        <f>IFERROR(BM48/BL48-1,"--")</f>
        <v>6.1828960603888872E-2</v>
      </c>
      <c r="BN50" s="668">
        <f>IFERROR(BN48/BM48-1,"--")</f>
        <v>0.10666972744299796</v>
      </c>
      <c r="BO50" s="670"/>
    </row>
    <row r="51" spans="1:67" s="92" customFormat="1">
      <c r="A51" s="684"/>
      <c r="B51" s="1079" t="s">
        <v>333</v>
      </c>
      <c r="C51" s="668" t="str">
        <f t="shared" ref="C51:AH51" si="37">IFERROR(C48/C$10,"--")</f>
        <v>--</v>
      </c>
      <c r="D51" s="668" t="str">
        <f t="shared" si="37"/>
        <v>--</v>
      </c>
      <c r="E51" s="668" t="str">
        <f t="shared" si="37"/>
        <v>--</v>
      </c>
      <c r="F51" s="668" t="str">
        <f t="shared" si="37"/>
        <v>--</v>
      </c>
      <c r="G51" s="669" t="str">
        <f t="shared" si="37"/>
        <v>--</v>
      </c>
      <c r="H51" s="533">
        <f t="shared" si="37"/>
        <v>1.3938670446914869</v>
      </c>
      <c r="I51" s="533">
        <f t="shared" si="37"/>
        <v>0.5364423345434236</v>
      </c>
      <c r="J51" s="533">
        <f t="shared" si="37"/>
        <v>0.4470013947001395</v>
      </c>
      <c r="K51" s="533">
        <f t="shared" si="37"/>
        <v>0.75178581165821468</v>
      </c>
      <c r="L51" s="682">
        <f t="shared" si="37"/>
        <v>0.71049800343450642</v>
      </c>
      <c r="M51" s="533">
        <f t="shared" si="37"/>
        <v>0.49463448118064296</v>
      </c>
      <c r="N51" s="533">
        <f t="shared" si="37"/>
        <v>0.43361673213013147</v>
      </c>
      <c r="O51" s="533">
        <f t="shared" si="37"/>
        <v>0.37896510162712976</v>
      </c>
      <c r="P51" s="533">
        <f t="shared" si="37"/>
        <v>0.33878803083519587</v>
      </c>
      <c r="Q51" s="682">
        <f t="shared" si="37"/>
        <v>0.39720791091906266</v>
      </c>
      <c r="R51" s="533">
        <f t="shared" si="37"/>
        <v>0.30582180765519457</v>
      </c>
      <c r="S51" s="533">
        <f t="shared" si="37"/>
        <v>0.27438506890983516</v>
      </c>
      <c r="T51" s="533">
        <f t="shared" si="37"/>
        <v>0.46445396682203172</v>
      </c>
      <c r="U51" s="533">
        <f t="shared" si="37"/>
        <v>0.49351324390307932</v>
      </c>
      <c r="V51" s="682">
        <f t="shared" si="37"/>
        <v>0.40190254522851998</v>
      </c>
      <c r="W51" s="533">
        <f t="shared" si="37"/>
        <v>0.47963864158592312</v>
      </c>
      <c r="X51" s="533">
        <f t="shared" si="37"/>
        <v>0.43382758139295663</v>
      </c>
      <c r="Y51" s="533">
        <f t="shared" si="37"/>
        <v>0.34654841960166366</v>
      </c>
      <c r="Z51" s="533">
        <f t="shared" si="37"/>
        <v>0.32088937760244313</v>
      </c>
      <c r="AA51" s="682">
        <f t="shared" si="37"/>
        <v>0.38294239363189697</v>
      </c>
      <c r="AB51" s="533">
        <f t="shared" si="37"/>
        <v>0.35702735273018266</v>
      </c>
      <c r="AC51" s="533">
        <f t="shared" si="37"/>
        <v>0.36952989252847673</v>
      </c>
      <c r="AD51" s="533">
        <f t="shared" si="37"/>
        <v>0.37949079759006737</v>
      </c>
      <c r="AE51" s="533">
        <f t="shared" si="37"/>
        <v>0.41106972353704174</v>
      </c>
      <c r="AF51" s="682">
        <f t="shared" si="37"/>
        <v>0.38150440125887192</v>
      </c>
      <c r="AG51" s="533">
        <f t="shared" si="37"/>
        <v>0.44485639008401223</v>
      </c>
      <c r="AH51" s="533">
        <f t="shared" si="37"/>
        <v>0.46585699491704974</v>
      </c>
      <c r="AI51" s="533">
        <f t="shared" ref="AI51:BO51" si="38">IFERROR(AI48/AI$10,"--")</f>
        <v>0.45229802784902196</v>
      </c>
      <c r="AJ51" s="533">
        <f t="shared" si="38"/>
        <v>0.47047433906588232</v>
      </c>
      <c r="AK51" s="682">
        <f t="shared" si="38"/>
        <v>0.45891824268685893</v>
      </c>
      <c r="AL51" s="533">
        <f t="shared" si="38"/>
        <v>0.49570355818508066</v>
      </c>
      <c r="AM51" s="533">
        <f t="shared" si="38"/>
        <v>0.50373896639476634</v>
      </c>
      <c r="AN51" s="1118">
        <f t="shared" si="38"/>
        <v>0.46962935758002916</v>
      </c>
      <c r="AO51" s="533">
        <f t="shared" si="38"/>
        <v>0.49909300039522891</v>
      </c>
      <c r="AP51" s="682">
        <f t="shared" si="38"/>
        <v>0.4917772355804495</v>
      </c>
      <c r="AQ51" s="1118">
        <f t="shared" si="38"/>
        <v>0.4533305696140581</v>
      </c>
      <c r="AR51" s="1118">
        <f t="shared" ref="AR51" si="39">IFERROR(AR48/AR$10,"--")</f>
        <v>0.42970857726279049</v>
      </c>
      <c r="AS51" s="533">
        <f t="shared" si="38"/>
        <v>0.40730755563690274</v>
      </c>
      <c r="AT51" s="533">
        <f t="shared" si="38"/>
        <v>0.32577598741483327</v>
      </c>
      <c r="AU51" s="682">
        <f t="shared" si="38"/>
        <v>0.40123947727629755</v>
      </c>
      <c r="AV51" s="533">
        <f t="shared" si="38"/>
        <v>0.31391327251075396</v>
      </c>
      <c r="AW51" s="533">
        <f t="shared" si="38"/>
        <v>0.29945854552423712</v>
      </c>
      <c r="AX51" s="533">
        <f t="shared" si="38"/>
        <v>0.29240165094147186</v>
      </c>
      <c r="AY51" s="533">
        <f t="shared" si="38"/>
        <v>0.31540593934738037</v>
      </c>
      <c r="AZ51" s="682">
        <f t="shared" si="38"/>
        <v>0.30518277319517895</v>
      </c>
      <c r="BA51" s="533">
        <f t="shared" si="38"/>
        <v>0.30154607947972739</v>
      </c>
      <c r="BB51" s="533">
        <f t="shared" si="38"/>
        <v>0.28714468683204047</v>
      </c>
      <c r="BC51" s="533">
        <f t="shared" si="38"/>
        <v>0.28012746410576012</v>
      </c>
      <c r="BD51" s="533">
        <f t="shared" si="38"/>
        <v>0.30315861719725878</v>
      </c>
      <c r="BE51" s="682">
        <f t="shared" si="38"/>
        <v>0.29285015609970144</v>
      </c>
      <c r="BF51" s="533">
        <f t="shared" si="38"/>
        <v>0.28892655337661727</v>
      </c>
      <c r="BG51" s="533">
        <f t="shared" si="38"/>
        <v>0.27457174504511916</v>
      </c>
      <c r="BH51" s="533">
        <f t="shared" si="38"/>
        <v>0.26758717741978999</v>
      </c>
      <c r="BI51" s="533">
        <f t="shared" si="38"/>
        <v>0.29062889092534716</v>
      </c>
      <c r="BJ51" s="682">
        <f t="shared" si="38"/>
        <v>0.28029349428710204</v>
      </c>
      <c r="BK51" s="533">
        <f t="shared" si="38"/>
        <v>0.2758996619333462</v>
      </c>
      <c r="BL51" s="533">
        <f t="shared" si="38"/>
        <v>0.26154811633109809</v>
      </c>
      <c r="BM51" s="533">
        <f t="shared" si="38"/>
        <v>0.25456472883117637</v>
      </c>
      <c r="BN51" s="533">
        <f t="shared" si="38"/>
        <v>0.27760796579930896</v>
      </c>
      <c r="BO51" s="682">
        <f t="shared" si="38"/>
        <v>0.26726234547894817</v>
      </c>
    </row>
    <row r="52" spans="1:67">
      <c r="A52" s="620"/>
      <c r="B52" s="1162"/>
      <c r="C52" s="576"/>
      <c r="D52" s="468"/>
      <c r="E52" s="468"/>
      <c r="F52" s="624"/>
      <c r="G52" s="625"/>
      <c r="H52" s="576"/>
      <c r="I52" s="468"/>
      <c r="J52" s="468"/>
      <c r="K52" s="626"/>
      <c r="L52" s="625"/>
      <c r="M52" s="576"/>
      <c r="N52" s="468"/>
      <c r="O52" s="468"/>
      <c r="P52" s="626"/>
      <c r="Q52" s="625"/>
      <c r="R52" s="576"/>
      <c r="S52" s="468"/>
      <c r="T52" s="628"/>
      <c r="U52" s="628"/>
      <c r="V52" s="413"/>
      <c r="W52" s="576"/>
      <c r="X52" s="628"/>
      <c r="Y52" s="628"/>
      <c r="Z52" s="628"/>
      <c r="AA52" s="413"/>
      <c r="AB52" s="576"/>
      <c r="AC52" s="628"/>
      <c r="AD52" s="628"/>
      <c r="AE52" s="628"/>
      <c r="AF52" s="413"/>
      <c r="AG52" s="576"/>
      <c r="AH52" s="628"/>
      <c r="AI52" s="628"/>
      <c r="AJ52" s="628"/>
      <c r="AK52" s="413"/>
      <c r="AL52" s="576"/>
      <c r="AM52" s="628"/>
      <c r="AN52" s="587"/>
      <c r="AO52" s="628"/>
      <c r="AP52" s="413"/>
      <c r="AQ52" s="1345"/>
      <c r="AR52" s="587"/>
      <c r="AS52" s="628"/>
      <c r="AT52" s="468"/>
      <c r="AU52" s="413"/>
      <c r="AV52" s="576"/>
      <c r="AW52" s="468"/>
      <c r="AX52" s="468"/>
      <c r="AY52" s="468"/>
      <c r="AZ52" s="413"/>
      <c r="BA52" s="576"/>
      <c r="BB52" s="468"/>
      <c r="BC52" s="468"/>
      <c r="BD52" s="468"/>
      <c r="BE52" s="413"/>
      <c r="BF52" s="576"/>
      <c r="BG52" s="468"/>
      <c r="BH52" s="468"/>
      <c r="BI52" s="468"/>
      <c r="BJ52" s="413"/>
      <c r="BK52" s="576"/>
      <c r="BL52" s="468"/>
      <c r="BM52" s="468"/>
      <c r="BN52" s="468"/>
      <c r="BO52" s="413"/>
    </row>
    <row r="53" spans="1:67" s="377" customFormat="1">
      <c r="A53" s="351"/>
      <c r="B53" s="1189" t="s">
        <v>11</v>
      </c>
      <c r="C53" s="622"/>
      <c r="D53" s="622"/>
      <c r="E53" s="622"/>
      <c r="F53" s="622"/>
      <c r="G53" s="617">
        <f>SUM(C53:F53)</f>
        <v>0</v>
      </c>
      <c r="H53" s="622">
        <v>6.0510000000000002</v>
      </c>
      <c r="I53" s="622">
        <v>6.9269999999999996</v>
      </c>
      <c r="J53" s="622">
        <v>8.7729999999999997</v>
      </c>
      <c r="K53" s="622">
        <v>14.304</v>
      </c>
      <c r="L53" s="618">
        <f>SUM(H53:K53)</f>
        <v>36.055</v>
      </c>
      <c r="M53" s="622">
        <v>21.271999999999998</v>
      </c>
      <c r="N53" s="622">
        <v>27.823</v>
      </c>
      <c r="O53" s="622">
        <v>30.318000000000001</v>
      </c>
      <c r="P53" s="622">
        <v>28.129000000000001</v>
      </c>
      <c r="Q53" s="618">
        <f>SUM(M53:P53)</f>
        <v>107.542</v>
      </c>
      <c r="R53" s="622">
        <v>31.506</v>
      </c>
      <c r="S53" s="622">
        <v>31.186</v>
      </c>
      <c r="T53" s="616">
        <v>53.531999999999996</v>
      </c>
      <c r="U53" s="616">
        <v>59.911000000000001</v>
      </c>
      <c r="V53" s="618">
        <f>SUM(R53:U53)</f>
        <v>176.13499999999999</v>
      </c>
      <c r="W53" s="616">
        <v>60.563000000000002</v>
      </c>
      <c r="X53" s="616">
        <v>65.227999999999994</v>
      </c>
      <c r="Y53" s="616">
        <v>64.055000000000007</v>
      </c>
      <c r="Z53" s="616">
        <v>75.186999999999998</v>
      </c>
      <c r="AA53" s="618">
        <f>SUM(W53:Z53)</f>
        <v>265.03300000000002</v>
      </c>
      <c r="AB53" s="616">
        <v>68.497</v>
      </c>
      <c r="AC53" s="616">
        <v>73.355000000000004</v>
      </c>
      <c r="AD53" s="616">
        <v>76.462000000000003</v>
      </c>
      <c r="AE53" s="616">
        <v>77.507000000000005</v>
      </c>
      <c r="AF53" s="618">
        <f>SUM(AB53:AE53)</f>
        <v>295.82100000000003</v>
      </c>
      <c r="AG53" s="616">
        <v>78.453000000000003</v>
      </c>
      <c r="AH53" s="616">
        <v>83.748999999999995</v>
      </c>
      <c r="AI53" s="616">
        <v>78.703999999999994</v>
      </c>
      <c r="AJ53" s="616">
        <v>82.102000000000004</v>
      </c>
      <c r="AK53" s="618">
        <f>SUM(AG53:AJ53)</f>
        <v>323.00800000000004</v>
      </c>
      <c r="AL53" s="622">
        <v>93.147999999999996</v>
      </c>
      <c r="AM53" s="622">
        <v>97.763000000000005</v>
      </c>
      <c r="AN53" s="1190">
        <v>106.26</v>
      </c>
      <c r="AO53" s="616">
        <v>115.09099999999999</v>
      </c>
      <c r="AP53" s="618">
        <f>SUM(AL53:AO53)</f>
        <v>412.262</v>
      </c>
      <c r="AQ53" s="1190">
        <v>209.58699999999999</v>
      </c>
      <c r="AR53" s="1190">
        <v>119.47</v>
      </c>
      <c r="AS53" s="622">
        <v>107.11799999999999</v>
      </c>
      <c r="AT53" s="1191">
        <f>'IS (Non-GAAP)'!AT53+'IS (Non-GAAP)'!AT99+SUM('IS (Non-GAAP)'!AT127:AT130)</f>
        <v>115.86074092264043</v>
      </c>
      <c r="AU53" s="618">
        <f>SUM(AQ53:AT53)</f>
        <v>552.03574092264046</v>
      </c>
      <c r="AV53" s="1191">
        <f>'IS (Non-GAAP)'!AV53+'IS (Non-GAAP)'!AV99+SUM('IS (Non-GAAP)'!AV127:AV130)</f>
        <v>113.56483136029377</v>
      </c>
      <c r="AW53" s="1191">
        <f>'IS (Non-GAAP)'!AW53+'IS (Non-GAAP)'!AW99+SUM('IS (Non-GAAP)'!AW127:AW130)</f>
        <v>119.02816985432125</v>
      </c>
      <c r="AX53" s="1191">
        <f>'IS (Non-GAAP)'!AX53+'IS (Non-GAAP)'!AX99+SUM('IS (Non-GAAP)'!AX127:AX130)</f>
        <v>115.38785316147397</v>
      </c>
      <c r="AY53" s="1191">
        <f>'IS (Non-GAAP)'!AY53+'IS (Non-GAAP)'!AY99+SUM('IS (Non-GAAP)'!AY127:AY130)</f>
        <v>126.6657119116913</v>
      </c>
      <c r="AZ53" s="618">
        <f>SUM(AV53:AY53)</f>
        <v>474.64656628778027</v>
      </c>
      <c r="BA53" s="1191">
        <f>'IS (Non-GAAP)'!BA53+'IS (Non-GAAP)'!BA99+SUM('IS (Non-GAAP)'!BA127:BA130)</f>
        <v>126.19719240214897</v>
      </c>
      <c r="BB53" s="1191">
        <f>'IS (Non-GAAP)'!BB53+'IS (Non-GAAP)'!BB99+SUM('IS (Non-GAAP)'!BB127:BB130)</f>
        <v>132.20966597734028</v>
      </c>
      <c r="BC53" s="1191">
        <f>'IS (Non-GAAP)'!BC53+'IS (Non-GAAP)'!BC99+SUM('IS (Non-GAAP)'!BC127:BC130)</f>
        <v>127.04897170242342</v>
      </c>
      <c r="BD53" s="1191">
        <f>'IS (Non-GAAP)'!BD53+'IS (Non-GAAP)'!BD99+SUM('IS (Non-GAAP)'!BD127:BD130)</f>
        <v>139.1877931051184</v>
      </c>
      <c r="BE53" s="618">
        <f>SUM(BA53:BD53)</f>
        <v>524.64362318703104</v>
      </c>
      <c r="BF53" s="1191">
        <f>'IS (Non-GAAP)'!BF53+'IS (Non-GAAP)'!BF99+SUM('IS (Non-GAAP)'!BF127:BF130)</f>
        <v>146.60127719957026</v>
      </c>
      <c r="BG53" s="1191">
        <f>'IS (Non-GAAP)'!BG53+'IS (Non-GAAP)'!BG99+SUM('IS (Non-GAAP)'!BG127:BG130)</f>
        <v>152.96885533764316</v>
      </c>
      <c r="BH53" s="1191">
        <f>'IS (Non-GAAP)'!BH53+'IS (Non-GAAP)'!BH99+SUM('IS (Non-GAAP)'!BH127:BH130)</f>
        <v>148.71681452825609</v>
      </c>
      <c r="BI53" s="1191">
        <f>'IS (Non-GAAP)'!BI53+'IS (Non-GAAP)'!BI99+SUM('IS (Non-GAAP)'!BI127:BI130)</f>
        <v>164.34646904037274</v>
      </c>
      <c r="BJ53" s="618">
        <f>SUM(BF53:BI53)</f>
        <v>612.63341610584234</v>
      </c>
      <c r="BK53" s="1191">
        <f>'IS (Non-GAAP)'!BK53+'IS (Non-GAAP)'!BK99+SUM('IS (Non-GAAP)'!BK127:BK130)</f>
        <v>172.34131392835428</v>
      </c>
      <c r="BL53" s="1191">
        <f>'IS (Non-GAAP)'!BL53+'IS (Non-GAAP)'!BL99+SUM('IS (Non-GAAP)'!BL127:BL130)</f>
        <v>177.21432422953481</v>
      </c>
      <c r="BM53" s="1191">
        <f>'IS (Non-GAAP)'!BM53+'IS (Non-GAAP)'!BM99+SUM('IS (Non-GAAP)'!BM127:BM130)</f>
        <v>172.26737898915428</v>
      </c>
      <c r="BN53" s="1191">
        <f>'IS (Non-GAAP)'!BN53+'IS (Non-GAAP)'!BN99+SUM('IS (Non-GAAP)'!BN127:BN130)</f>
        <v>189.31772223866864</v>
      </c>
      <c r="BO53" s="618">
        <f>SUM(BK53:BN53)</f>
        <v>711.1407393857121</v>
      </c>
    </row>
    <row r="54" spans="1:67" s="92" customFormat="1">
      <c r="A54" s="683"/>
      <c r="B54" s="1079" t="s">
        <v>204</v>
      </c>
      <c r="C54" s="667" t="s">
        <v>36</v>
      </c>
      <c r="D54" s="668" t="s">
        <v>36</v>
      </c>
      <c r="E54" s="668" t="s">
        <v>36</v>
      </c>
      <c r="F54" s="668" t="s">
        <v>36</v>
      </c>
      <c r="G54" s="669" t="s">
        <v>36</v>
      </c>
      <c r="H54" s="668" t="str">
        <f t="shared" ref="H54:AM54" si="40">IFERROR(H53/C53-1,"--")</f>
        <v>--</v>
      </c>
      <c r="I54" s="668" t="str">
        <f t="shared" si="40"/>
        <v>--</v>
      </c>
      <c r="J54" s="668" t="str">
        <f t="shared" si="40"/>
        <v>--</v>
      </c>
      <c r="K54" s="668" t="str">
        <f t="shared" si="40"/>
        <v>--</v>
      </c>
      <c r="L54" s="669" t="str">
        <f t="shared" si="40"/>
        <v>--</v>
      </c>
      <c r="M54" s="668">
        <f t="shared" si="40"/>
        <v>2.5154519914063789</v>
      </c>
      <c r="N54" s="668">
        <f t="shared" si="40"/>
        <v>3.0166017034791395</v>
      </c>
      <c r="O54" s="668">
        <f t="shared" si="40"/>
        <v>2.4558303886925796</v>
      </c>
      <c r="P54" s="668">
        <f t="shared" si="40"/>
        <v>0.96651286353467558</v>
      </c>
      <c r="Q54" s="669">
        <f t="shared" si="40"/>
        <v>1.9827208431562893</v>
      </c>
      <c r="R54" s="668">
        <f t="shared" si="40"/>
        <v>0.48110191801429125</v>
      </c>
      <c r="S54" s="668">
        <f t="shared" si="40"/>
        <v>0.12087122165115183</v>
      </c>
      <c r="T54" s="668">
        <f t="shared" si="40"/>
        <v>0.76568375222639995</v>
      </c>
      <c r="U54" s="668">
        <f t="shared" si="40"/>
        <v>1.1298659746169433</v>
      </c>
      <c r="V54" s="669">
        <f t="shared" si="40"/>
        <v>0.63782522177381851</v>
      </c>
      <c r="W54" s="668">
        <f t="shared" si="40"/>
        <v>0.92226877420173947</v>
      </c>
      <c r="X54" s="668">
        <f t="shared" si="40"/>
        <v>1.0915795549284932</v>
      </c>
      <c r="Y54" s="668">
        <f t="shared" si="40"/>
        <v>0.19657401180602285</v>
      </c>
      <c r="Z54" s="668">
        <f t="shared" si="40"/>
        <v>0.25497821768957274</v>
      </c>
      <c r="AA54" s="669">
        <f t="shared" si="40"/>
        <v>0.50471513327845141</v>
      </c>
      <c r="AB54" s="668">
        <f t="shared" si="40"/>
        <v>0.13100407839770156</v>
      </c>
      <c r="AC54" s="668">
        <f t="shared" si="40"/>
        <v>0.12459373275280572</v>
      </c>
      <c r="AD54" s="668">
        <f t="shared" si="40"/>
        <v>0.19369292014674877</v>
      </c>
      <c r="AE54" s="668">
        <f t="shared" si="40"/>
        <v>3.0856398047534928E-2</v>
      </c>
      <c r="AF54" s="669">
        <f t="shared" si="40"/>
        <v>0.11616666603781423</v>
      </c>
      <c r="AG54" s="668">
        <f t="shared" si="40"/>
        <v>0.14534943136195744</v>
      </c>
      <c r="AH54" s="668">
        <f t="shared" si="40"/>
        <v>0.14169449935246381</v>
      </c>
      <c r="AI54" s="668">
        <f t="shared" si="40"/>
        <v>2.932175459705455E-2</v>
      </c>
      <c r="AJ54" s="668">
        <f t="shared" si="40"/>
        <v>5.9284967809359213E-2</v>
      </c>
      <c r="AK54" s="669">
        <f t="shared" si="40"/>
        <v>9.1903549781793714E-2</v>
      </c>
      <c r="AL54" s="668">
        <f t="shared" si="40"/>
        <v>0.18730959937797143</v>
      </c>
      <c r="AM54" s="668">
        <f t="shared" si="40"/>
        <v>0.16733334129362754</v>
      </c>
      <c r="AN54" s="1187">
        <f t="shared" ref="AN54:BJ54" si="41">IFERROR(AN53/AI53-1,"--")</f>
        <v>0.35012197601138451</v>
      </c>
      <c r="AO54" s="668">
        <f>IFERROR(AO53/AJ53-1,"--")</f>
        <v>0.40180507174003055</v>
      </c>
      <c r="AP54" s="669">
        <f>IFERROR(AP53/AK53-1,"--")</f>
        <v>0.27632132950267474</v>
      </c>
      <c r="AQ54" s="668">
        <f t="shared" ref="AQ54" si="42">IFERROR(AQ53/AL53-1,"--")</f>
        <v>1.2500429424142223</v>
      </c>
      <c r="AR54" s="1187">
        <f t="shared" si="41"/>
        <v>0.22203696695068675</v>
      </c>
      <c r="AS54" s="1187">
        <f t="shared" si="41"/>
        <v>8.0745341614905097E-3</v>
      </c>
      <c r="AT54" s="668">
        <f t="shared" si="41"/>
        <v>6.6881069991608921E-3</v>
      </c>
      <c r="AU54" s="669">
        <f t="shared" si="41"/>
        <v>0.33904104895100806</v>
      </c>
      <c r="AV54" s="668">
        <f t="shared" si="41"/>
        <v>-0.45814944934421609</v>
      </c>
      <c r="AW54" s="668">
        <f t="shared" si="41"/>
        <v>-3.6982518262220765E-3</v>
      </c>
      <c r="AX54" s="668">
        <f t="shared" si="41"/>
        <v>7.7203207317854794E-2</v>
      </c>
      <c r="AY54" s="668">
        <f t="shared" si="41"/>
        <v>9.3258259035865265E-2</v>
      </c>
      <c r="AZ54" s="669">
        <f t="shared" si="41"/>
        <v>-0.14018870319069632</v>
      </c>
      <c r="BA54" s="668">
        <f t="shared" si="41"/>
        <v>0.11123479769699118</v>
      </c>
      <c r="BB54" s="668">
        <f t="shared" si="41"/>
        <v>0.1107426598186958</v>
      </c>
      <c r="BC54" s="668">
        <f t="shared" si="41"/>
        <v>0.10106019153186652</v>
      </c>
      <c r="BD54" s="668">
        <f t="shared" si="41"/>
        <v>9.8859280893295098E-2</v>
      </c>
      <c r="BE54" s="669">
        <f t="shared" si="41"/>
        <v>0.10533533886124724</v>
      </c>
      <c r="BF54" s="668">
        <f t="shared" si="41"/>
        <v>0.16168414216696814</v>
      </c>
      <c r="BG54" s="668">
        <f t="shared" si="41"/>
        <v>0.15701718332652659</v>
      </c>
      <c r="BH54" s="668">
        <f t="shared" si="41"/>
        <v>0.17054717197226532</v>
      </c>
      <c r="BI54" s="668">
        <f t="shared" si="41"/>
        <v>0.18075346532905967</v>
      </c>
      <c r="BJ54" s="669">
        <f t="shared" si="41"/>
        <v>0.16771345162703644</v>
      </c>
      <c r="BK54" s="668">
        <f>IFERROR(BK53/BF53-1,"--")</f>
        <v>0.17557852987695166</v>
      </c>
      <c r="BL54" s="668">
        <f>IFERROR(BL53/BG53-1,"--")</f>
        <v>0.15849938105619876</v>
      </c>
      <c r="BM54" s="668">
        <f>IFERROR(BM53/BH53-1,"--")</f>
        <v>0.15835845150128325</v>
      </c>
      <c r="BN54" s="668">
        <f>IFERROR(BN53/BI53-1,"--")</f>
        <v>0.15194274233029947</v>
      </c>
      <c r="BO54" s="669">
        <f>IFERROR(BO53/BJ53-1,"--")</f>
        <v>0.16079325856239457</v>
      </c>
    </row>
    <row r="55" spans="1:67" s="92" customFormat="1">
      <c r="A55" s="684"/>
      <c r="B55" s="1079" t="s">
        <v>205</v>
      </c>
      <c r="C55" s="667" t="s">
        <v>36</v>
      </c>
      <c r="D55" s="668" t="str">
        <f>IFERROR(D53/C53-1,"--")</f>
        <v>--</v>
      </c>
      <c r="E55" s="668" t="str">
        <f>IFERROR(E53/D53-1,"--")</f>
        <v>--</v>
      </c>
      <c r="F55" s="668" t="str">
        <f>IFERROR(F53/E53-1,"--")</f>
        <v>--</v>
      </c>
      <c r="G55" s="670"/>
      <c r="H55" s="667" t="str">
        <f>IFERROR(H53/F53-1,"--")</f>
        <v>--</v>
      </c>
      <c r="I55" s="668">
        <f>IFERROR(I53/H53-1,"--")</f>
        <v>0.14476945959345544</v>
      </c>
      <c r="J55" s="668">
        <f>IFERROR(J53/I53-1,"--")</f>
        <v>0.26649343149992788</v>
      </c>
      <c r="K55" s="668">
        <f>IFERROR(K53/J53-1,"--")</f>
        <v>0.63045708423572333</v>
      </c>
      <c r="L55" s="670"/>
      <c r="M55" s="667">
        <f>IFERROR(M53/K53-1,"--")</f>
        <v>0.48713646532438459</v>
      </c>
      <c r="N55" s="668">
        <f>IFERROR(N53/M53-1,"--")</f>
        <v>0.30796352012034611</v>
      </c>
      <c r="O55" s="668">
        <f>IFERROR(O53/N53-1,"--")</f>
        <v>8.9674010710563135E-2</v>
      </c>
      <c r="P55" s="668">
        <f>IFERROR(P53/O53-1,"--")</f>
        <v>-7.2201332541724339E-2</v>
      </c>
      <c r="Q55" s="670"/>
      <c r="R55" s="667">
        <f>IFERROR(R53/P53-1,"--")</f>
        <v>0.12005403675921644</v>
      </c>
      <c r="S55" s="668">
        <f>IFERROR(S53/R53-1,"--")</f>
        <v>-1.015679553101001E-2</v>
      </c>
      <c r="T55" s="668">
        <f>IFERROR(T53/S53-1,"--")</f>
        <v>0.71653947284037689</v>
      </c>
      <c r="U55" s="668">
        <f>IFERROR(U53/T53-1,"--")</f>
        <v>0.11916237017111264</v>
      </c>
      <c r="V55" s="670"/>
      <c r="W55" s="667">
        <f>IFERROR(W53/U53-1,"--")</f>
        <v>1.0882809500759372E-2</v>
      </c>
      <c r="X55" s="668">
        <f>IFERROR(X53/W53-1,"--")</f>
        <v>7.7027227845384072E-2</v>
      </c>
      <c r="Y55" s="668">
        <f>IFERROR(Y53/X53-1,"--")</f>
        <v>-1.7983074753173289E-2</v>
      </c>
      <c r="Z55" s="668">
        <f>IFERROR(Z53/Y53-1,"--")</f>
        <v>0.17378815080789933</v>
      </c>
      <c r="AA55" s="670"/>
      <c r="AB55" s="667">
        <f>IFERROR(AB53/Z53-1,"--")</f>
        <v>-8.8978147818106867E-2</v>
      </c>
      <c r="AC55" s="668">
        <f>IFERROR(AC53/AB53-1,"--")</f>
        <v>7.0922814137845513E-2</v>
      </c>
      <c r="AD55" s="668">
        <f>IFERROR(AD53/AC53-1,"--")</f>
        <v>4.235566764365073E-2</v>
      </c>
      <c r="AE55" s="668">
        <f>IFERROR(AE53/AD53-1,"--")</f>
        <v>1.3666919515576303E-2</v>
      </c>
      <c r="AF55" s="670"/>
      <c r="AG55" s="667">
        <f>IFERROR(AG53/AE53-1,"--")</f>
        <v>1.2205349194266191E-2</v>
      </c>
      <c r="AH55" s="668">
        <f>IFERROR(AH53/AG53-1,"--")</f>
        <v>6.7505385389978523E-2</v>
      </c>
      <c r="AI55" s="668">
        <f>IFERROR(AI53/AH53-1,"--")</f>
        <v>-6.0239525248062642E-2</v>
      </c>
      <c r="AJ55" s="668">
        <f>IFERROR(AJ53/AI53-1,"--")</f>
        <v>4.3174425696279828E-2</v>
      </c>
      <c r="AK55" s="670"/>
      <c r="AL55" s="667">
        <f>IFERROR(AL53/AJ53-1,"--")</f>
        <v>0.13453996248568845</v>
      </c>
      <c r="AM55" s="668">
        <f>IFERROR(AM53/AL53-1,"--")</f>
        <v>4.9544810409241302E-2</v>
      </c>
      <c r="AN55" s="1187">
        <f>IFERROR(AN53/AM53-1,"--")</f>
        <v>8.6914272270695481E-2</v>
      </c>
      <c r="AO55" s="668">
        <f>IFERROR(AO53/AN53-1,"--")</f>
        <v>8.3107472237906821E-2</v>
      </c>
      <c r="AP55" s="670"/>
      <c r="AQ55" s="667">
        <f>IFERROR(AQ53/AO53-1,"--")</f>
        <v>0.82105464371671122</v>
      </c>
      <c r="AR55" s="1187">
        <f>IFERROR(AR53/AQ53-1,"--")</f>
        <v>-0.429974187330321</v>
      </c>
      <c r="AS55" s="1187">
        <f>IFERROR(AS53/AR53-1,"--")</f>
        <v>-0.10338997237800285</v>
      </c>
      <c r="AT55" s="668">
        <f>IFERROR(AT53/AS53-1,"--")</f>
        <v>8.1617850619321031E-2</v>
      </c>
      <c r="AU55" s="670"/>
      <c r="AV55" s="667">
        <f>IFERROR(AV53/AT53-1,"--")</f>
        <v>-1.9816113241323263E-2</v>
      </c>
      <c r="AW55" s="668">
        <f>IFERROR(AW53/AV53-1,"--")</f>
        <v>4.8107661752207376E-2</v>
      </c>
      <c r="AX55" s="668">
        <f>IFERROR(AX53/AW53-1,"--")</f>
        <v>-3.0583656770516332E-2</v>
      </c>
      <c r="AY55" s="668">
        <f>IFERROR(AY53/AX53-1,"--")</f>
        <v>9.7738699882344404E-2</v>
      </c>
      <c r="AZ55" s="670"/>
      <c r="BA55" s="667">
        <f>IFERROR(BA53/AY53-1,"--")</f>
        <v>-3.6988661135776146E-3</v>
      </c>
      <c r="BB55" s="668">
        <f>IFERROR(BB53/BA53-1,"--")</f>
        <v>4.7643481291022249E-2</v>
      </c>
      <c r="BC55" s="668">
        <f>IFERROR(BC53/BB53-1,"--")</f>
        <v>-3.9034167712074574E-2</v>
      </c>
      <c r="BD55" s="668">
        <f>IFERROR(BD53/BC53-1,"--")</f>
        <v>9.5544428577720275E-2</v>
      </c>
      <c r="BE55" s="670"/>
      <c r="BF55" s="667">
        <f>IFERROR(BF53/BD53-1,"--")</f>
        <v>5.3262458790858114E-2</v>
      </c>
      <c r="BG55" s="668">
        <f>IFERROR(BG53/BF53-1,"--")</f>
        <v>4.3434670281928156E-2</v>
      </c>
      <c r="BH55" s="668">
        <f>IFERROR(BH53/BG53-1,"--")</f>
        <v>-2.7796774709477168E-2</v>
      </c>
      <c r="BI55" s="668">
        <f>IFERROR(BI53/BH53-1,"--")</f>
        <v>0.10509675426881215</v>
      </c>
      <c r="BJ55" s="670"/>
      <c r="BK55" s="667">
        <f>IFERROR(BK53/BI53-1,"--")</f>
        <v>4.8646283273768187E-2</v>
      </c>
      <c r="BL55" s="668">
        <f>IFERROR(BL53/BK53-1,"--")</f>
        <v>2.8275346114666089E-2</v>
      </c>
      <c r="BM55" s="668">
        <f>IFERROR(BM53/BL53-1,"--")</f>
        <v>-2.7915041641741412E-2</v>
      </c>
      <c r="BN55" s="668">
        <f>IFERROR(BN53/BM53-1,"--")</f>
        <v>9.8976041485996147E-2</v>
      </c>
      <c r="BO55" s="670"/>
    </row>
    <row r="56" spans="1:67" s="92" customFormat="1">
      <c r="A56" s="685"/>
      <c r="B56" s="1079" t="s">
        <v>333</v>
      </c>
      <c r="C56" s="668" t="str">
        <f t="shared" ref="C56:AH56" si="43">IFERROR(C53/C$10,"--")</f>
        <v>--</v>
      </c>
      <c r="D56" s="668" t="str">
        <f t="shared" si="43"/>
        <v>--</v>
      </c>
      <c r="E56" s="668" t="str">
        <f t="shared" si="43"/>
        <v>--</v>
      </c>
      <c r="F56" s="668" t="str">
        <f t="shared" si="43"/>
        <v>--</v>
      </c>
      <c r="G56" s="669" t="str">
        <f t="shared" si="43"/>
        <v>--</v>
      </c>
      <c r="H56" s="533">
        <f t="shared" si="43"/>
        <v>0.45146608968141461</v>
      </c>
      <c r="I56" s="533">
        <f t="shared" si="43"/>
        <v>0.38687517453225351</v>
      </c>
      <c r="J56" s="533">
        <f t="shared" si="43"/>
        <v>0.30589260808926078</v>
      </c>
      <c r="K56" s="533">
        <f t="shared" si="43"/>
        <v>0.3899885489939473</v>
      </c>
      <c r="L56" s="682">
        <f t="shared" si="43"/>
        <v>0.37298533093331682</v>
      </c>
      <c r="M56" s="533">
        <f t="shared" si="43"/>
        <v>0.48671776684589863</v>
      </c>
      <c r="N56" s="533">
        <f t="shared" si="43"/>
        <v>0.46111138732826201</v>
      </c>
      <c r="O56" s="533">
        <f t="shared" si="43"/>
        <v>0.41524680874376818</v>
      </c>
      <c r="P56" s="533">
        <f t="shared" si="43"/>
        <v>0.32077042375587284</v>
      </c>
      <c r="Q56" s="682">
        <f t="shared" si="43"/>
        <v>0.40620514602565461</v>
      </c>
      <c r="R56" s="533">
        <f t="shared" si="43"/>
        <v>0.28953728805771262</v>
      </c>
      <c r="S56" s="533">
        <f t="shared" si="43"/>
        <v>0.2342258440046566</v>
      </c>
      <c r="T56" s="533">
        <f t="shared" si="43"/>
        <v>0.33536310329273789</v>
      </c>
      <c r="U56" s="533">
        <f t="shared" si="43"/>
        <v>0.31455122988475576</v>
      </c>
      <c r="V56" s="682">
        <f t="shared" si="43"/>
        <v>0.29750071362336561</v>
      </c>
      <c r="W56" s="533">
        <f t="shared" si="43"/>
        <v>0.26456660579955793</v>
      </c>
      <c r="X56" s="533">
        <f t="shared" si="43"/>
        <v>0.23963438379414984</v>
      </c>
      <c r="Y56" s="533">
        <f t="shared" si="43"/>
        <v>0.19152855062626892</v>
      </c>
      <c r="Z56" s="533">
        <f t="shared" si="43"/>
        <v>0.19591478317968386</v>
      </c>
      <c r="AA56" s="682">
        <f t="shared" si="43"/>
        <v>0.21736006829997204</v>
      </c>
      <c r="AB56" s="533">
        <f t="shared" si="43"/>
        <v>0.16217259234180376</v>
      </c>
      <c r="AC56" s="533">
        <f t="shared" si="43"/>
        <v>0.14752196087264305</v>
      </c>
      <c r="AD56" s="533">
        <f t="shared" si="43"/>
        <v>0.13726778546141311</v>
      </c>
      <c r="AE56" s="533">
        <f t="shared" si="43"/>
        <v>0.13158815100541246</v>
      </c>
      <c r="AF56" s="682">
        <f t="shared" si="43"/>
        <v>0.14320901949450518</v>
      </c>
      <c r="AG56" s="533">
        <f t="shared" si="43"/>
        <v>0.1258068085420278</v>
      </c>
      <c r="AH56" s="533">
        <f t="shared" si="43"/>
        <v>0.12425335821891997</v>
      </c>
      <c r="AI56" s="533">
        <f t="shared" ref="AI56:BO56" si="44">IFERROR(AI53/AI$10,"--")</f>
        <v>0.10720089134304857</v>
      </c>
      <c r="AJ56" s="533">
        <f t="shared" si="44"/>
        <v>0.10597922547983152</v>
      </c>
      <c r="AK56" s="682">
        <f t="shared" si="44"/>
        <v>0.11509327134366108</v>
      </c>
      <c r="AL56" s="533">
        <f t="shared" si="44"/>
        <v>0.11240133750206648</v>
      </c>
      <c r="AM56" s="533">
        <f t="shared" si="44"/>
        <v>0.1125234944286696</v>
      </c>
      <c r="AN56" s="1118">
        <f t="shared" si="44"/>
        <v>0.11279129258863765</v>
      </c>
      <c r="AO56" s="533">
        <f t="shared" si="44"/>
        <v>0.11663406872928848</v>
      </c>
      <c r="AP56" s="682">
        <f t="shared" si="44"/>
        <v>0.11368366830318585</v>
      </c>
      <c r="AQ56" s="533">
        <f t="shared" ref="AQ56" si="45">IFERROR(AQ53/AQ$10,"--")</f>
        <v>0.20112487213000227</v>
      </c>
      <c r="AR56" s="1118">
        <f t="shared" si="44"/>
        <v>0.10434343637251314</v>
      </c>
      <c r="AS56" s="1118">
        <f t="shared" si="44"/>
        <v>8.8314951904883227E-2</v>
      </c>
      <c r="AT56" s="533">
        <f t="shared" si="44"/>
        <v>9.2777432250732123E-2</v>
      </c>
      <c r="AU56" s="682">
        <f t="shared" si="44"/>
        <v>0.11874915633810953</v>
      </c>
      <c r="AV56" s="533">
        <f t="shared" si="44"/>
        <v>8.6491913460332581E-2</v>
      </c>
      <c r="AW56" s="533">
        <f t="shared" si="44"/>
        <v>8.4116742362813135E-2</v>
      </c>
      <c r="AX56" s="533">
        <f t="shared" si="44"/>
        <v>7.6806731614095639E-2</v>
      </c>
      <c r="AY56" s="533">
        <f t="shared" si="44"/>
        <v>8.1760580998303134E-2</v>
      </c>
      <c r="AZ56" s="682">
        <f t="shared" si="44"/>
        <v>8.2124638847243858E-2</v>
      </c>
      <c r="BA56" s="533">
        <f t="shared" si="44"/>
        <v>7.7456977016760312E-2</v>
      </c>
      <c r="BB56" s="533">
        <f t="shared" si="44"/>
        <v>7.5084234658871749E-2</v>
      </c>
      <c r="BC56" s="533">
        <f t="shared" si="44"/>
        <v>6.7776030487533667E-2</v>
      </c>
      <c r="BD56" s="533">
        <f t="shared" si="44"/>
        <v>7.273110323605006E-2</v>
      </c>
      <c r="BE56" s="682">
        <f t="shared" si="44"/>
        <v>7.3086979403826177E-2</v>
      </c>
      <c r="BF56" s="533">
        <f t="shared" si="44"/>
        <v>7.3428765031161455E-2</v>
      </c>
      <c r="BG56" s="533">
        <f t="shared" si="44"/>
        <v>7.1058144030308301E-2</v>
      </c>
      <c r="BH56" s="533">
        <f t="shared" si="44"/>
        <v>6.3751426907269135E-2</v>
      </c>
      <c r="BI56" s="533">
        <f t="shared" si="44"/>
        <v>6.8706980556021771E-2</v>
      </c>
      <c r="BJ56" s="682">
        <f t="shared" si="44"/>
        <v>6.9036977121379503E-2</v>
      </c>
      <c r="BK56" s="533">
        <f t="shared" si="44"/>
        <v>6.9427540448361011E-2</v>
      </c>
      <c r="BL56" s="533">
        <f t="shared" si="44"/>
        <v>6.7057068025703603E-2</v>
      </c>
      <c r="BM56" s="533">
        <f t="shared" si="44"/>
        <v>5.9750404643226507E-2</v>
      </c>
      <c r="BN56" s="533">
        <f t="shared" si="44"/>
        <v>6.4706027667432442E-2</v>
      </c>
      <c r="BO56" s="682">
        <f t="shared" si="44"/>
        <v>6.5039469509237557E-2</v>
      </c>
    </row>
    <row r="57" spans="1:67">
      <c r="A57" s="620"/>
      <c r="B57" s="1162"/>
      <c r="C57" s="576"/>
      <c r="D57" s="468"/>
      <c r="E57" s="468"/>
      <c r="F57" s="624"/>
      <c r="G57" s="625"/>
      <c r="H57" s="576"/>
      <c r="I57" s="468"/>
      <c r="J57" s="468"/>
      <c r="K57" s="626"/>
      <c r="L57" s="625"/>
      <c r="M57" s="576"/>
      <c r="N57" s="468"/>
      <c r="O57" s="468"/>
      <c r="P57" s="626"/>
      <c r="Q57" s="625"/>
      <c r="R57" s="576"/>
      <c r="S57" s="468"/>
      <c r="T57" s="628"/>
      <c r="U57" s="468"/>
      <c r="V57" s="413"/>
      <c r="W57" s="576"/>
      <c r="X57" s="628"/>
      <c r="Y57" s="628"/>
      <c r="Z57" s="468"/>
      <c r="AA57" s="413"/>
      <c r="AB57" s="576"/>
      <c r="AC57" s="628"/>
      <c r="AD57" s="628"/>
      <c r="AE57" s="468"/>
      <c r="AF57" s="413"/>
      <c r="AG57" s="576"/>
      <c r="AH57" s="628"/>
      <c r="AI57" s="628"/>
      <c r="AJ57" s="468"/>
      <c r="AK57" s="413"/>
      <c r="AL57" s="576"/>
      <c r="AM57" s="468"/>
      <c r="AN57" s="1338"/>
      <c r="AO57" s="468"/>
      <c r="AP57" s="413"/>
      <c r="AQ57" s="576"/>
      <c r="AR57" s="587"/>
      <c r="AS57" s="587"/>
      <c r="AT57" s="468"/>
      <c r="AU57" s="413"/>
      <c r="AV57" s="576"/>
      <c r="AW57" s="468"/>
      <c r="AX57" s="468"/>
      <c r="AY57" s="468"/>
      <c r="AZ57" s="413"/>
      <c r="BA57" s="576"/>
      <c r="BB57" s="468"/>
      <c r="BC57" s="468"/>
      <c r="BD57" s="468"/>
      <c r="BE57" s="413"/>
      <c r="BF57" s="576"/>
      <c r="BG57" s="468"/>
      <c r="BH57" s="468"/>
      <c r="BI57" s="468"/>
      <c r="BJ57" s="413"/>
      <c r="BK57" s="576"/>
      <c r="BL57" s="468"/>
      <c r="BM57" s="468"/>
      <c r="BN57" s="468"/>
      <c r="BO57" s="413"/>
    </row>
    <row r="58" spans="1:67" s="997" customFormat="1">
      <c r="A58" s="995"/>
      <c r="B58" s="1192" t="s">
        <v>46</v>
      </c>
      <c r="C58" s="1193"/>
      <c r="D58" s="1193"/>
      <c r="E58" s="1193"/>
      <c r="F58" s="1193"/>
      <c r="G58" s="1194">
        <f>SUM(C58:F58)</f>
        <v>0</v>
      </c>
      <c r="H58" s="1193">
        <v>0</v>
      </c>
      <c r="I58" s="1193">
        <v>0</v>
      </c>
      <c r="J58" s="1193">
        <v>0</v>
      </c>
      <c r="K58" s="1193">
        <v>0</v>
      </c>
      <c r="L58" s="1195">
        <f>SUM(H58:K58)</f>
        <v>0</v>
      </c>
      <c r="M58" s="1193">
        <v>0</v>
      </c>
      <c r="N58" s="1193">
        <v>0</v>
      </c>
      <c r="O58" s="1193">
        <v>0</v>
      </c>
      <c r="P58" s="1193">
        <v>0</v>
      </c>
      <c r="Q58" s="1195">
        <f>SUM(M58:P58)</f>
        <v>0</v>
      </c>
      <c r="R58" s="1193">
        <v>0</v>
      </c>
      <c r="S58" s="1193">
        <v>0</v>
      </c>
      <c r="T58" s="1193">
        <v>0</v>
      </c>
      <c r="U58" s="1193">
        <v>0</v>
      </c>
      <c r="V58" s="1195">
        <f>SUM(R58:U58)</f>
        <v>0</v>
      </c>
      <c r="W58" s="1193">
        <v>0</v>
      </c>
      <c r="X58" s="1193">
        <v>0</v>
      </c>
      <c r="Y58" s="1193">
        <v>0</v>
      </c>
      <c r="Z58" s="1193">
        <v>0</v>
      </c>
      <c r="AA58" s="1195">
        <f>SUM(W58:Z58)</f>
        <v>0</v>
      </c>
      <c r="AB58" s="1193">
        <v>0</v>
      </c>
      <c r="AC58" s="1193">
        <v>0</v>
      </c>
      <c r="AD58" s="1193">
        <v>0</v>
      </c>
      <c r="AE58" s="1193">
        <v>0</v>
      </c>
      <c r="AF58" s="1195">
        <f>SUM(AB58:AE58)</f>
        <v>0</v>
      </c>
      <c r="AG58" s="1193">
        <v>0</v>
      </c>
      <c r="AH58" s="1193">
        <v>0</v>
      </c>
      <c r="AI58" s="1193">
        <v>0</v>
      </c>
      <c r="AJ58" s="1193">
        <v>0</v>
      </c>
      <c r="AK58" s="1195">
        <f>SUM(AG58:AJ58)</f>
        <v>0</v>
      </c>
      <c r="AL58" s="1193">
        <v>0</v>
      </c>
      <c r="AM58" s="1193">
        <v>0</v>
      </c>
      <c r="AN58" s="1196">
        <v>0</v>
      </c>
      <c r="AO58" s="1193">
        <v>0</v>
      </c>
      <c r="AP58" s="1195">
        <f>SUM(AL58:AO58)</f>
        <v>0</v>
      </c>
      <c r="AQ58" s="1193">
        <v>0</v>
      </c>
      <c r="AR58" s="1196">
        <v>0</v>
      </c>
      <c r="AS58" s="1196">
        <v>0</v>
      </c>
      <c r="AT58" s="1197">
        <f>'IS (Non-GAAP)'!AT58</f>
        <v>0</v>
      </c>
      <c r="AU58" s="1195">
        <f>SUM(AQ58:AT58)</f>
        <v>0</v>
      </c>
      <c r="AV58" s="1197">
        <f>'IS (Non-GAAP)'!AV58</f>
        <v>0</v>
      </c>
      <c r="AW58" s="1197">
        <f>'IS (Non-GAAP)'!AW58</f>
        <v>0</v>
      </c>
      <c r="AX58" s="1197">
        <f>'IS (Non-GAAP)'!AX58</f>
        <v>0</v>
      </c>
      <c r="AY58" s="1197">
        <f>'IS (Non-GAAP)'!AY58</f>
        <v>0</v>
      </c>
      <c r="AZ58" s="1195">
        <f>SUM(AV58:AY58)</f>
        <v>0</v>
      </c>
      <c r="BA58" s="1197">
        <f>'IS (Non-GAAP)'!BA58</f>
        <v>0</v>
      </c>
      <c r="BB58" s="1197">
        <f>'IS (Non-GAAP)'!BB58</f>
        <v>0</v>
      </c>
      <c r="BC58" s="1197">
        <f>'IS (Non-GAAP)'!BC58</f>
        <v>0</v>
      </c>
      <c r="BD58" s="1197">
        <f>'IS (Non-GAAP)'!BD58</f>
        <v>0</v>
      </c>
      <c r="BE58" s="1195">
        <f>SUM(BA58:BD58)</f>
        <v>0</v>
      </c>
      <c r="BF58" s="1197">
        <f>'IS (Non-GAAP)'!BF58</f>
        <v>0</v>
      </c>
      <c r="BG58" s="1197">
        <f>'IS (Non-GAAP)'!BG58</f>
        <v>0</v>
      </c>
      <c r="BH58" s="1197">
        <f>'IS (Non-GAAP)'!BH58</f>
        <v>0</v>
      </c>
      <c r="BI58" s="1197">
        <f>'IS (Non-GAAP)'!BI58</f>
        <v>0</v>
      </c>
      <c r="BJ58" s="1195">
        <f>SUM(BF58:BI58)</f>
        <v>0</v>
      </c>
      <c r="BK58" s="1197">
        <f>'IS (Non-GAAP)'!BK58</f>
        <v>0</v>
      </c>
      <c r="BL58" s="1197">
        <f>'IS (Non-GAAP)'!BL58</f>
        <v>0</v>
      </c>
      <c r="BM58" s="1197">
        <f>'IS (Non-GAAP)'!BM58</f>
        <v>0</v>
      </c>
      <c r="BN58" s="1197">
        <f>'IS (Non-GAAP)'!BN58</f>
        <v>0</v>
      </c>
      <c r="BO58" s="1195">
        <f>SUM(BK58:BN58)</f>
        <v>0</v>
      </c>
    </row>
    <row r="59" spans="1:67" s="92" customFormat="1">
      <c r="A59" s="683"/>
      <c r="B59" s="1079" t="s">
        <v>204</v>
      </c>
      <c r="C59" s="667" t="s">
        <v>36</v>
      </c>
      <c r="D59" s="668" t="s">
        <v>36</v>
      </c>
      <c r="E59" s="668" t="s">
        <v>36</v>
      </c>
      <c r="F59" s="668" t="s">
        <v>36</v>
      </c>
      <c r="G59" s="669" t="s">
        <v>36</v>
      </c>
      <c r="H59" s="668" t="str">
        <f t="shared" ref="H59:AM59" si="46">IFERROR(H58/C58-1,"--")</f>
        <v>--</v>
      </c>
      <c r="I59" s="668" t="str">
        <f t="shared" si="46"/>
        <v>--</v>
      </c>
      <c r="J59" s="668" t="str">
        <f t="shared" si="46"/>
        <v>--</v>
      </c>
      <c r="K59" s="668" t="str">
        <f t="shared" si="46"/>
        <v>--</v>
      </c>
      <c r="L59" s="669" t="str">
        <f t="shared" si="46"/>
        <v>--</v>
      </c>
      <c r="M59" s="668" t="str">
        <f t="shared" si="46"/>
        <v>--</v>
      </c>
      <c r="N59" s="668" t="str">
        <f t="shared" si="46"/>
        <v>--</v>
      </c>
      <c r="O59" s="668" t="str">
        <f t="shared" si="46"/>
        <v>--</v>
      </c>
      <c r="P59" s="668" t="str">
        <f t="shared" si="46"/>
        <v>--</v>
      </c>
      <c r="Q59" s="669" t="str">
        <f t="shared" si="46"/>
        <v>--</v>
      </c>
      <c r="R59" s="668" t="str">
        <f t="shared" si="46"/>
        <v>--</v>
      </c>
      <c r="S59" s="668" t="str">
        <f t="shared" si="46"/>
        <v>--</v>
      </c>
      <c r="T59" s="668" t="str">
        <f t="shared" si="46"/>
        <v>--</v>
      </c>
      <c r="U59" s="668" t="str">
        <f t="shared" si="46"/>
        <v>--</v>
      </c>
      <c r="V59" s="669" t="str">
        <f t="shared" si="46"/>
        <v>--</v>
      </c>
      <c r="W59" s="668" t="str">
        <f t="shared" si="46"/>
        <v>--</v>
      </c>
      <c r="X59" s="668" t="str">
        <f t="shared" si="46"/>
        <v>--</v>
      </c>
      <c r="Y59" s="668" t="str">
        <f t="shared" si="46"/>
        <v>--</v>
      </c>
      <c r="Z59" s="668" t="str">
        <f t="shared" si="46"/>
        <v>--</v>
      </c>
      <c r="AA59" s="669" t="str">
        <f t="shared" si="46"/>
        <v>--</v>
      </c>
      <c r="AB59" s="668" t="str">
        <f t="shared" si="46"/>
        <v>--</v>
      </c>
      <c r="AC59" s="668" t="str">
        <f t="shared" si="46"/>
        <v>--</v>
      </c>
      <c r="AD59" s="668" t="str">
        <f t="shared" si="46"/>
        <v>--</v>
      </c>
      <c r="AE59" s="668" t="str">
        <f t="shared" si="46"/>
        <v>--</v>
      </c>
      <c r="AF59" s="669" t="str">
        <f t="shared" si="46"/>
        <v>--</v>
      </c>
      <c r="AG59" s="668" t="str">
        <f t="shared" si="46"/>
        <v>--</v>
      </c>
      <c r="AH59" s="668" t="str">
        <f t="shared" si="46"/>
        <v>--</v>
      </c>
      <c r="AI59" s="668" t="str">
        <f t="shared" si="46"/>
        <v>--</v>
      </c>
      <c r="AJ59" s="668" t="str">
        <f t="shared" si="46"/>
        <v>--</v>
      </c>
      <c r="AK59" s="669" t="str">
        <f t="shared" si="46"/>
        <v>--</v>
      </c>
      <c r="AL59" s="668" t="str">
        <f t="shared" si="46"/>
        <v>--</v>
      </c>
      <c r="AM59" s="668" t="str">
        <f t="shared" si="46"/>
        <v>--</v>
      </c>
      <c r="AN59" s="1187" t="str">
        <f t="shared" ref="AN59:BJ59" si="47">IFERROR(AN58/AI58-1,"--")</f>
        <v>--</v>
      </c>
      <c r="AO59" s="668" t="str">
        <f>IFERROR(AO58/AJ58-1,"--")</f>
        <v>--</v>
      </c>
      <c r="AP59" s="669" t="str">
        <f>IFERROR(AP58/AK58-1,"--")</f>
        <v>--</v>
      </c>
      <c r="AQ59" s="668" t="str">
        <f t="shared" ref="AQ59:AR59" si="48">IFERROR(AQ58/AL58-1,"--")</f>
        <v>--</v>
      </c>
      <c r="AR59" s="1187" t="str">
        <f t="shared" si="48"/>
        <v>--</v>
      </c>
      <c r="AS59" s="1187" t="str">
        <f t="shared" si="47"/>
        <v>--</v>
      </c>
      <c r="AT59" s="668" t="str">
        <f t="shared" si="47"/>
        <v>--</v>
      </c>
      <c r="AU59" s="669" t="str">
        <f t="shared" si="47"/>
        <v>--</v>
      </c>
      <c r="AV59" s="668" t="str">
        <f t="shared" si="47"/>
        <v>--</v>
      </c>
      <c r="AW59" s="668" t="str">
        <f t="shared" si="47"/>
        <v>--</v>
      </c>
      <c r="AX59" s="668" t="str">
        <f t="shared" si="47"/>
        <v>--</v>
      </c>
      <c r="AY59" s="668" t="str">
        <f t="shared" si="47"/>
        <v>--</v>
      </c>
      <c r="AZ59" s="669" t="str">
        <f t="shared" si="47"/>
        <v>--</v>
      </c>
      <c r="BA59" s="668" t="str">
        <f t="shared" si="47"/>
        <v>--</v>
      </c>
      <c r="BB59" s="668" t="str">
        <f t="shared" si="47"/>
        <v>--</v>
      </c>
      <c r="BC59" s="668" t="str">
        <f t="shared" si="47"/>
        <v>--</v>
      </c>
      <c r="BD59" s="668" t="str">
        <f t="shared" si="47"/>
        <v>--</v>
      </c>
      <c r="BE59" s="669" t="str">
        <f t="shared" si="47"/>
        <v>--</v>
      </c>
      <c r="BF59" s="668" t="str">
        <f t="shared" si="47"/>
        <v>--</v>
      </c>
      <c r="BG59" s="668" t="str">
        <f t="shared" si="47"/>
        <v>--</v>
      </c>
      <c r="BH59" s="668" t="str">
        <f t="shared" si="47"/>
        <v>--</v>
      </c>
      <c r="BI59" s="668" t="str">
        <f t="shared" si="47"/>
        <v>--</v>
      </c>
      <c r="BJ59" s="669" t="str">
        <f t="shared" si="47"/>
        <v>--</v>
      </c>
      <c r="BK59" s="668" t="str">
        <f>IFERROR(BK58/BF58-1,"--")</f>
        <v>--</v>
      </c>
      <c r="BL59" s="668" t="str">
        <f>IFERROR(BL58/BG58-1,"--")</f>
        <v>--</v>
      </c>
      <c r="BM59" s="668" t="str">
        <f>IFERROR(BM58/BH58-1,"--")</f>
        <v>--</v>
      </c>
      <c r="BN59" s="668" t="str">
        <f>IFERROR(BN58/BI58-1,"--")</f>
        <v>--</v>
      </c>
      <c r="BO59" s="669" t="str">
        <f>IFERROR(BO58/BJ58-1,"--")</f>
        <v>--</v>
      </c>
    </row>
    <row r="60" spans="1:67" s="92" customFormat="1">
      <c r="A60" s="684"/>
      <c r="B60" s="1079" t="s">
        <v>205</v>
      </c>
      <c r="C60" s="667" t="s">
        <v>36</v>
      </c>
      <c r="D60" s="668" t="str">
        <f>IFERROR(D58/C58-1,"--")</f>
        <v>--</v>
      </c>
      <c r="E60" s="668" t="str">
        <f>IFERROR(E58/D58-1,"--")</f>
        <v>--</v>
      </c>
      <c r="F60" s="668" t="str">
        <f>IFERROR(F58/E58-1,"--")</f>
        <v>--</v>
      </c>
      <c r="G60" s="670"/>
      <c r="H60" s="667" t="str">
        <f>IFERROR(H58/F58-1,"--")</f>
        <v>--</v>
      </c>
      <c r="I60" s="668" t="str">
        <f>IFERROR(I58/H58-1,"--")</f>
        <v>--</v>
      </c>
      <c r="J60" s="668" t="str">
        <f>IFERROR(J58/I58-1,"--")</f>
        <v>--</v>
      </c>
      <c r="K60" s="668" t="str">
        <f>IFERROR(K58/J58-1,"--")</f>
        <v>--</v>
      </c>
      <c r="L60" s="670"/>
      <c r="M60" s="667" t="str">
        <f>IFERROR(M58/K58-1,"--")</f>
        <v>--</v>
      </c>
      <c r="N60" s="668" t="str">
        <f>IFERROR(N58/M58-1,"--")</f>
        <v>--</v>
      </c>
      <c r="O60" s="668" t="str">
        <f>IFERROR(O58/N58-1,"--")</f>
        <v>--</v>
      </c>
      <c r="P60" s="668" t="str">
        <f>IFERROR(P58/O58-1,"--")</f>
        <v>--</v>
      </c>
      <c r="Q60" s="670"/>
      <c r="R60" s="667" t="str">
        <f>IFERROR(R58/P58-1,"--")</f>
        <v>--</v>
      </c>
      <c r="S60" s="668" t="str">
        <f>IFERROR(S58/R58-1,"--")</f>
        <v>--</v>
      </c>
      <c r="T60" s="668" t="str">
        <f>IFERROR(T58/S58-1,"--")</f>
        <v>--</v>
      </c>
      <c r="U60" s="668" t="str">
        <f>IFERROR(U58/T58-1,"--")</f>
        <v>--</v>
      </c>
      <c r="V60" s="670"/>
      <c r="W60" s="667" t="str">
        <f>IFERROR(W58/U58-1,"--")</f>
        <v>--</v>
      </c>
      <c r="X60" s="668" t="str">
        <f>IFERROR(X58/W58-1,"--")</f>
        <v>--</v>
      </c>
      <c r="Y60" s="668" t="str">
        <f>IFERROR(Y58/X58-1,"--")</f>
        <v>--</v>
      </c>
      <c r="Z60" s="668" t="str">
        <f>IFERROR(Z58/Y58-1,"--")</f>
        <v>--</v>
      </c>
      <c r="AA60" s="670"/>
      <c r="AB60" s="667" t="str">
        <f>IFERROR(AB58/Z58-1,"--")</f>
        <v>--</v>
      </c>
      <c r="AC60" s="668" t="str">
        <f>IFERROR(AC58/AB58-1,"--")</f>
        <v>--</v>
      </c>
      <c r="AD60" s="668" t="str">
        <f>IFERROR(AD58/AC58-1,"--")</f>
        <v>--</v>
      </c>
      <c r="AE60" s="668" t="str">
        <f>IFERROR(AE58/AD58-1,"--")</f>
        <v>--</v>
      </c>
      <c r="AF60" s="670"/>
      <c r="AG60" s="667" t="str">
        <f>IFERROR(AG58/AE58-1,"--")</f>
        <v>--</v>
      </c>
      <c r="AH60" s="668" t="str">
        <f>IFERROR(AH58/AG58-1,"--")</f>
        <v>--</v>
      </c>
      <c r="AI60" s="668" t="str">
        <f>IFERROR(AI58/AH58-1,"--")</f>
        <v>--</v>
      </c>
      <c r="AJ60" s="668" t="str">
        <f>IFERROR(AJ58/AI58-1,"--")</f>
        <v>--</v>
      </c>
      <c r="AK60" s="670"/>
      <c r="AL60" s="667" t="str">
        <f>IFERROR(AL58/AJ58-1,"--")</f>
        <v>--</v>
      </c>
      <c r="AM60" s="668" t="str">
        <f>IFERROR(AM58/AL58-1,"--")</f>
        <v>--</v>
      </c>
      <c r="AN60" s="1187" t="str">
        <f>IFERROR(AN58/AM58-1,"--")</f>
        <v>--</v>
      </c>
      <c r="AO60" s="668" t="str">
        <f>IFERROR(AO58/AN58-1,"--")</f>
        <v>--</v>
      </c>
      <c r="AP60" s="670"/>
      <c r="AQ60" s="667" t="str">
        <f>IFERROR(AQ58/AO58-1,"--")</f>
        <v>--</v>
      </c>
      <c r="AR60" s="1187" t="str">
        <f>IFERROR(AR58/AQ58-1,"--")</f>
        <v>--</v>
      </c>
      <c r="AS60" s="1187" t="str">
        <f>IFERROR(AS58/AR58-1,"--")</f>
        <v>--</v>
      </c>
      <c r="AT60" s="668" t="str">
        <f>IFERROR(AT58/AS58-1,"--")</f>
        <v>--</v>
      </c>
      <c r="AU60" s="670"/>
      <c r="AV60" s="667" t="str">
        <f>IFERROR(AV58/AT58-1,"--")</f>
        <v>--</v>
      </c>
      <c r="AW60" s="668" t="str">
        <f>IFERROR(AW58/AV58-1,"--")</f>
        <v>--</v>
      </c>
      <c r="AX60" s="668" t="str">
        <f>IFERROR(AX58/AW58-1,"--")</f>
        <v>--</v>
      </c>
      <c r="AY60" s="668" t="str">
        <f>IFERROR(AY58/AX58-1,"--")</f>
        <v>--</v>
      </c>
      <c r="AZ60" s="670"/>
      <c r="BA60" s="667" t="str">
        <f>IFERROR(BA58/AY58-1,"--")</f>
        <v>--</v>
      </c>
      <c r="BB60" s="668" t="str">
        <f>IFERROR(BB58/BA58-1,"--")</f>
        <v>--</v>
      </c>
      <c r="BC60" s="668" t="str">
        <f>IFERROR(BC58/BB58-1,"--")</f>
        <v>--</v>
      </c>
      <c r="BD60" s="668" t="str">
        <f>IFERROR(BD58/BC58-1,"--")</f>
        <v>--</v>
      </c>
      <c r="BE60" s="670"/>
      <c r="BF60" s="667" t="str">
        <f>IFERROR(BF58/BD58-1,"--")</f>
        <v>--</v>
      </c>
      <c r="BG60" s="668" t="str">
        <f>IFERROR(BG58/BF58-1,"--")</f>
        <v>--</v>
      </c>
      <c r="BH60" s="668" t="str">
        <f>IFERROR(BH58/BG58-1,"--")</f>
        <v>--</v>
      </c>
      <c r="BI60" s="668" t="str">
        <f>IFERROR(BI58/BH58-1,"--")</f>
        <v>--</v>
      </c>
      <c r="BJ60" s="670"/>
      <c r="BK60" s="667" t="str">
        <f>IFERROR(BK58/BI58-1,"--")</f>
        <v>--</v>
      </c>
      <c r="BL60" s="668" t="str">
        <f>IFERROR(BL58/BK58-1,"--")</f>
        <v>--</v>
      </c>
      <c r="BM60" s="668" t="str">
        <f>IFERROR(BM58/BL58-1,"--")</f>
        <v>--</v>
      </c>
      <c r="BN60" s="668" t="str">
        <f>IFERROR(BN58/BM58-1,"--")</f>
        <v>--</v>
      </c>
      <c r="BO60" s="670"/>
    </row>
    <row r="61" spans="1:67" s="92" customFormat="1">
      <c r="A61" s="684"/>
      <c r="B61" s="1079" t="s">
        <v>333</v>
      </c>
      <c r="C61" s="668" t="str">
        <f t="shared" ref="C61:AH61" si="49">IFERROR(C58/C$10,"--")</f>
        <v>--</v>
      </c>
      <c r="D61" s="668" t="str">
        <f t="shared" si="49"/>
        <v>--</v>
      </c>
      <c r="E61" s="668" t="str">
        <f t="shared" si="49"/>
        <v>--</v>
      </c>
      <c r="F61" s="668" t="str">
        <f t="shared" si="49"/>
        <v>--</v>
      </c>
      <c r="G61" s="669" t="str">
        <f t="shared" si="49"/>
        <v>--</v>
      </c>
      <c r="H61" s="533">
        <f t="shared" si="49"/>
        <v>0</v>
      </c>
      <c r="I61" s="533">
        <f t="shared" si="49"/>
        <v>0</v>
      </c>
      <c r="J61" s="533">
        <f t="shared" si="49"/>
        <v>0</v>
      </c>
      <c r="K61" s="533">
        <f t="shared" si="49"/>
        <v>0</v>
      </c>
      <c r="L61" s="682">
        <f t="shared" si="49"/>
        <v>0</v>
      </c>
      <c r="M61" s="533">
        <f t="shared" si="49"/>
        <v>0</v>
      </c>
      <c r="N61" s="533">
        <f t="shared" si="49"/>
        <v>0</v>
      </c>
      <c r="O61" s="533">
        <f t="shared" si="49"/>
        <v>0</v>
      </c>
      <c r="P61" s="533">
        <f t="shared" si="49"/>
        <v>0</v>
      </c>
      <c r="Q61" s="682">
        <f t="shared" si="49"/>
        <v>0</v>
      </c>
      <c r="R61" s="533">
        <f t="shared" si="49"/>
        <v>0</v>
      </c>
      <c r="S61" s="533">
        <f t="shared" si="49"/>
        <v>0</v>
      </c>
      <c r="T61" s="533">
        <f t="shared" si="49"/>
        <v>0</v>
      </c>
      <c r="U61" s="533">
        <f t="shared" si="49"/>
        <v>0</v>
      </c>
      <c r="V61" s="682">
        <f t="shared" si="49"/>
        <v>0</v>
      </c>
      <c r="W61" s="533">
        <f t="shared" si="49"/>
        <v>0</v>
      </c>
      <c r="X61" s="533">
        <f t="shared" si="49"/>
        <v>0</v>
      </c>
      <c r="Y61" s="533">
        <f t="shared" si="49"/>
        <v>0</v>
      </c>
      <c r="Z61" s="533">
        <f t="shared" si="49"/>
        <v>0</v>
      </c>
      <c r="AA61" s="682">
        <f t="shared" si="49"/>
        <v>0</v>
      </c>
      <c r="AB61" s="533">
        <f t="shared" si="49"/>
        <v>0</v>
      </c>
      <c r="AC61" s="533">
        <f t="shared" si="49"/>
        <v>0</v>
      </c>
      <c r="AD61" s="533">
        <f t="shared" si="49"/>
        <v>0</v>
      </c>
      <c r="AE61" s="533">
        <f t="shared" si="49"/>
        <v>0</v>
      </c>
      <c r="AF61" s="682">
        <f t="shared" si="49"/>
        <v>0</v>
      </c>
      <c r="AG61" s="533">
        <f t="shared" si="49"/>
        <v>0</v>
      </c>
      <c r="AH61" s="533">
        <f t="shared" si="49"/>
        <v>0</v>
      </c>
      <c r="AI61" s="533">
        <f t="shared" ref="AI61:BO61" si="50">IFERROR(AI58/AI$10,"--")</f>
        <v>0</v>
      </c>
      <c r="AJ61" s="533">
        <f t="shared" si="50"/>
        <v>0</v>
      </c>
      <c r="AK61" s="682">
        <f t="shared" si="50"/>
        <v>0</v>
      </c>
      <c r="AL61" s="533">
        <f t="shared" si="50"/>
        <v>0</v>
      </c>
      <c r="AM61" s="533">
        <f t="shared" si="50"/>
        <v>0</v>
      </c>
      <c r="AN61" s="1118">
        <f t="shared" si="50"/>
        <v>0</v>
      </c>
      <c r="AO61" s="533">
        <f t="shared" si="50"/>
        <v>0</v>
      </c>
      <c r="AP61" s="682">
        <f t="shared" si="50"/>
        <v>0</v>
      </c>
      <c r="AQ61" s="533">
        <f t="shared" ref="AQ61:AR61" si="51">IFERROR(AQ58/AQ$10,"--")</f>
        <v>0</v>
      </c>
      <c r="AR61" s="1118">
        <f t="shared" si="51"/>
        <v>0</v>
      </c>
      <c r="AS61" s="1118">
        <f t="shared" si="50"/>
        <v>0</v>
      </c>
      <c r="AT61" s="533">
        <f t="shared" si="50"/>
        <v>0</v>
      </c>
      <c r="AU61" s="682">
        <f t="shared" si="50"/>
        <v>0</v>
      </c>
      <c r="AV61" s="533">
        <f t="shared" si="50"/>
        <v>0</v>
      </c>
      <c r="AW61" s="533">
        <f t="shared" si="50"/>
        <v>0</v>
      </c>
      <c r="AX61" s="533">
        <f t="shared" si="50"/>
        <v>0</v>
      </c>
      <c r="AY61" s="533">
        <f t="shared" si="50"/>
        <v>0</v>
      </c>
      <c r="AZ61" s="682">
        <f t="shared" si="50"/>
        <v>0</v>
      </c>
      <c r="BA61" s="533">
        <f t="shared" si="50"/>
        <v>0</v>
      </c>
      <c r="BB61" s="533">
        <f t="shared" si="50"/>
        <v>0</v>
      </c>
      <c r="BC61" s="533">
        <f t="shared" si="50"/>
        <v>0</v>
      </c>
      <c r="BD61" s="533">
        <f t="shared" si="50"/>
        <v>0</v>
      </c>
      <c r="BE61" s="682">
        <f t="shared" si="50"/>
        <v>0</v>
      </c>
      <c r="BF61" s="533">
        <f t="shared" si="50"/>
        <v>0</v>
      </c>
      <c r="BG61" s="533">
        <f t="shared" si="50"/>
        <v>0</v>
      </c>
      <c r="BH61" s="533">
        <f t="shared" si="50"/>
        <v>0</v>
      </c>
      <c r="BI61" s="533">
        <f t="shared" si="50"/>
        <v>0</v>
      </c>
      <c r="BJ61" s="682">
        <f t="shared" si="50"/>
        <v>0</v>
      </c>
      <c r="BK61" s="533">
        <f t="shared" si="50"/>
        <v>0</v>
      </c>
      <c r="BL61" s="533">
        <f t="shared" si="50"/>
        <v>0</v>
      </c>
      <c r="BM61" s="533">
        <f t="shared" si="50"/>
        <v>0</v>
      </c>
      <c r="BN61" s="533">
        <f t="shared" si="50"/>
        <v>0</v>
      </c>
      <c r="BO61" s="682">
        <f t="shared" si="50"/>
        <v>0</v>
      </c>
    </row>
    <row r="62" spans="1:67">
      <c r="A62" s="620"/>
      <c r="B62" s="1162"/>
      <c r="C62" s="576"/>
      <c r="D62" s="468"/>
      <c r="E62" s="468"/>
      <c r="F62" s="624"/>
      <c r="G62" s="625"/>
      <c r="H62" s="576"/>
      <c r="I62" s="468"/>
      <c r="J62" s="468"/>
      <c r="K62" s="626"/>
      <c r="L62" s="625"/>
      <c r="M62" s="576"/>
      <c r="N62" s="468"/>
      <c r="O62" s="468"/>
      <c r="P62" s="626"/>
      <c r="Q62" s="625"/>
      <c r="R62" s="576"/>
      <c r="S62" s="468"/>
      <c r="T62" s="468"/>
      <c r="U62" s="468"/>
      <c r="V62" s="413"/>
      <c r="W62" s="576"/>
      <c r="X62" s="468"/>
      <c r="Y62" s="468"/>
      <c r="Z62" s="468"/>
      <c r="AA62" s="413"/>
      <c r="AB62" s="576"/>
      <c r="AC62" s="468"/>
      <c r="AD62" s="468"/>
      <c r="AE62" s="468"/>
      <c r="AF62" s="413"/>
      <c r="AG62" s="576"/>
      <c r="AH62" s="468"/>
      <c r="AI62" s="468"/>
      <c r="AJ62" s="468"/>
      <c r="AK62" s="413"/>
      <c r="AL62" s="576"/>
      <c r="AM62" s="468"/>
      <c r="AN62" s="587"/>
      <c r="AO62" s="468"/>
      <c r="AP62" s="413"/>
      <c r="AQ62" s="576"/>
      <c r="AR62" s="587"/>
      <c r="AS62" s="587"/>
      <c r="AT62" s="468"/>
      <c r="AU62" s="413"/>
      <c r="AV62" s="576"/>
      <c r="AW62" s="468"/>
      <c r="AX62" s="468"/>
      <c r="AY62" s="468"/>
      <c r="AZ62" s="413"/>
      <c r="BA62" s="576"/>
      <c r="BB62" s="468"/>
      <c r="BC62" s="468"/>
      <c r="BD62" s="468"/>
      <c r="BE62" s="413"/>
      <c r="BF62" s="576"/>
      <c r="BG62" s="468"/>
      <c r="BH62" s="468"/>
      <c r="BI62" s="468"/>
      <c r="BJ62" s="413"/>
      <c r="BK62" s="576"/>
      <c r="BL62" s="468"/>
      <c r="BM62" s="468"/>
      <c r="BN62" s="468"/>
      <c r="BO62" s="413"/>
    </row>
    <row r="63" spans="1:67" s="256" customFormat="1">
      <c r="A63" s="376"/>
      <c r="B63" s="1078" t="s">
        <v>4</v>
      </c>
      <c r="C63" s="612">
        <f>SUM(C43,C48,C53,C58)</f>
        <v>0</v>
      </c>
      <c r="D63" s="612">
        <f t="shared" ref="D63:K63" si="52">SUM(D43,D48,D53,D58)</f>
        <v>0</v>
      </c>
      <c r="E63" s="612">
        <f t="shared" si="52"/>
        <v>0</v>
      </c>
      <c r="F63" s="612">
        <f t="shared" si="52"/>
        <v>0</v>
      </c>
      <c r="G63" s="609">
        <f>SUM(C63:F63)</f>
        <v>0</v>
      </c>
      <c r="H63" s="612">
        <f>SUM(H43,H48,H53,H58)</f>
        <v>47.881</v>
      </c>
      <c r="I63" s="612">
        <f t="shared" si="52"/>
        <v>40.588000000000001</v>
      </c>
      <c r="J63" s="612">
        <f t="shared" si="52"/>
        <v>53.849999999999994</v>
      </c>
      <c r="K63" s="612">
        <f t="shared" si="52"/>
        <v>88.058999999999997</v>
      </c>
      <c r="L63" s="609">
        <f>SUM(H63:K63)</f>
        <v>230.37799999999999</v>
      </c>
      <c r="M63" s="612">
        <f>SUM(M43,M48,M53,M58)</f>
        <v>106.94200000000001</v>
      </c>
      <c r="N63" s="612">
        <f>SUM(N43,N48,N53,N58)</f>
        <v>127.4</v>
      </c>
      <c r="O63" s="612">
        <f>SUM(O43,O48,O53,O58)</f>
        <v>133.655</v>
      </c>
      <c r="P63" s="612">
        <f>SUM(P43,P48,P53,P58)</f>
        <v>138.28200000000001</v>
      </c>
      <c r="Q63" s="609">
        <f>SUM(M63:P63)</f>
        <v>506.279</v>
      </c>
      <c r="R63" s="612">
        <f>SUM(R43,R48,R53,R58)</f>
        <v>162.661</v>
      </c>
      <c r="S63" s="612">
        <f>SUM(S43,S48,S53,S58)</f>
        <v>160.38200000000001</v>
      </c>
      <c r="T63" s="612">
        <f>SUM(T43,T48,T53,T58)</f>
        <v>262.39699999999999</v>
      </c>
      <c r="U63" s="612">
        <f>SUM(U43,U48,U53,U58)</f>
        <v>307.95800000000003</v>
      </c>
      <c r="V63" s="609">
        <f>SUM(R63:U63)</f>
        <v>893.39800000000014</v>
      </c>
      <c r="W63" s="612">
        <f>SUM(W43,W48,W53,W58)</f>
        <v>337.16300000000001</v>
      </c>
      <c r="X63" s="612">
        <f>SUM(X43,X48,X53,X58)</f>
        <v>366.21800000000002</v>
      </c>
      <c r="Y63" s="612">
        <f>SUM(Y43,Y48,Y53,Y58)</f>
        <v>370.92599999999999</v>
      </c>
      <c r="Z63" s="612">
        <f>SUM(Z43,Z48,Z53,Z58)</f>
        <v>401.62300000000005</v>
      </c>
      <c r="AA63" s="609">
        <f>SUM(W63:Z63)</f>
        <v>1475.93</v>
      </c>
      <c r="AB63" s="612">
        <f>SUM(AB43,AB48,AB53,AB58)</f>
        <v>463.20700000000005</v>
      </c>
      <c r="AC63" s="612">
        <f>SUM(AC43,AC48,AC53,AC58)</f>
        <v>531.74799999999993</v>
      </c>
      <c r="AD63" s="612">
        <f>SUM(AD43,AD48,AD53,AD58)</f>
        <v>572.32600000000002</v>
      </c>
      <c r="AE63" s="612">
        <f>SUM(AE43,AE48,AE53,AE58)</f>
        <v>623.10500000000002</v>
      </c>
      <c r="AF63" s="609">
        <f>SUM(AB63:AE63)</f>
        <v>2190.386</v>
      </c>
      <c r="AG63" s="612">
        <f>SUM(AG43,AG48,AG53,AG58)</f>
        <v>687.423</v>
      </c>
      <c r="AH63" s="612">
        <f>SUM(AH43,AH48,AH53,AH58)</f>
        <v>741.03300000000002</v>
      </c>
      <c r="AI63" s="612">
        <f>SUM(AI43,AI48,AI53,AI58)</f>
        <v>765.84799999999996</v>
      </c>
      <c r="AJ63" s="612">
        <f>SUM(AJ43,AJ48,AJ53,AJ58)</f>
        <v>808.4</v>
      </c>
      <c r="AK63" s="609">
        <f>SUM(AG63:AJ63)</f>
        <v>3002.7040000000002</v>
      </c>
      <c r="AL63" s="612">
        <f>SUM(AL43,AL48,AL53,AL58)</f>
        <v>904.76400000000001</v>
      </c>
      <c r="AM63" s="612">
        <f>SUM(AM43,AM48,AM53,AM58)</f>
        <v>936.04800000000012</v>
      </c>
      <c r="AN63" s="1337">
        <f>SUM(AN43,AN48,AN53,AN58)</f>
        <v>986.65699999999993</v>
      </c>
      <c r="AO63" s="612">
        <f>SUM(AO43,AO48,AO53,AO58)</f>
        <v>1040.2639999999999</v>
      </c>
      <c r="AP63" s="609">
        <f>SUM(AL63:AO63)</f>
        <v>3867.7330000000002</v>
      </c>
      <c r="AQ63" s="612">
        <f>SUM(AQ43,AQ48,AQ53,AQ58)</f>
        <v>1140.5450000000001</v>
      </c>
      <c r="AR63" s="1337">
        <f>SUM(AR43,AR48,AR53,AR58)</f>
        <v>1113.43</v>
      </c>
      <c r="AS63" s="1337">
        <f>SUM(AS43,AS48,AS53,AS58)</f>
        <v>1151.509</v>
      </c>
      <c r="AT63" s="612">
        <f>SUM(AT43,AT48,AT53,AT58)</f>
        <v>1214.1879613812175</v>
      </c>
      <c r="AU63" s="609">
        <f>SUM(AQ63:AT63)</f>
        <v>4619.6719613812184</v>
      </c>
      <c r="AV63" s="612">
        <f>SUM(AV43,AV48,AV53,AV58)</f>
        <v>1241.0558983769495</v>
      </c>
      <c r="AW63" s="612">
        <f>SUM(AW43,AW48,AW53,AW58)</f>
        <v>1310.2977051567159</v>
      </c>
      <c r="AX63" s="612">
        <f>SUM(AX43,AX48,AX53,AX58)</f>
        <v>1385.1597478600072</v>
      </c>
      <c r="AY63" s="612">
        <f>SUM(AY43,AY48,AY53,AY58)</f>
        <v>1460.9416894078099</v>
      </c>
      <c r="AZ63" s="609">
        <f>SUM(AV63:AY63)</f>
        <v>5397.455040801482</v>
      </c>
      <c r="BA63" s="612">
        <f>SUM(BA43,BA48,BA53,BA58)</f>
        <v>1481.6979581426663</v>
      </c>
      <c r="BB63" s="612">
        <f>SUM(BB43,BB48,BB53,BB58)</f>
        <v>1567.957852969417</v>
      </c>
      <c r="BC63" s="612">
        <f>SUM(BC43,BC48,BC53,BC58)</f>
        <v>1662.1480862063504</v>
      </c>
      <c r="BD63" s="612">
        <f>SUM(BD43,BD48,BD53,BD58)</f>
        <v>1737.323982560529</v>
      </c>
      <c r="BE63" s="609">
        <f>SUM(BA63:BD63)</f>
        <v>6449.1278798789626</v>
      </c>
      <c r="BF63" s="612">
        <f>SUM(BF43,BF48,BF53,BF58)</f>
        <v>1744.8948372316745</v>
      </c>
      <c r="BG63" s="612">
        <f>SUM(BG43,BG48,BG53,BG58)</f>
        <v>1841.0855094537801</v>
      </c>
      <c r="BH63" s="612">
        <f>SUM(BH43,BH48,BH53,BH58)</f>
        <v>1986.612222855819</v>
      </c>
      <c r="BI63" s="612">
        <f>SUM(BI43,BI48,BI53,BI58)</f>
        <v>2087.7034666614741</v>
      </c>
      <c r="BJ63" s="609">
        <f>SUM(BF63:BI63)</f>
        <v>7660.2960362027479</v>
      </c>
      <c r="BK63" s="612">
        <f>SUM(BK43,BK48,BK53,BK58)</f>
        <v>2088.4841523181526</v>
      </c>
      <c r="BL63" s="612">
        <f>SUM(BL43,BL48,BL53,BL58)</f>
        <v>2173.9719924253632</v>
      </c>
      <c r="BM63" s="612">
        <f>SUM(BM43,BM48,BM53,BM58)</f>
        <v>2361.2926822959812</v>
      </c>
      <c r="BN63" s="612">
        <f>SUM(BN43,BN48,BN53,BN58)</f>
        <v>2458.2359523515265</v>
      </c>
      <c r="BO63" s="609">
        <f>SUM(BK63:BN63)</f>
        <v>9081.984779391023</v>
      </c>
    </row>
    <row r="64" spans="1:67" s="92" customFormat="1">
      <c r="A64" s="575"/>
      <c r="B64" s="1079" t="s">
        <v>204</v>
      </c>
      <c r="C64" s="667" t="s">
        <v>36</v>
      </c>
      <c r="D64" s="668" t="s">
        <v>36</v>
      </c>
      <c r="E64" s="668" t="s">
        <v>36</v>
      </c>
      <c r="F64" s="668" t="s">
        <v>36</v>
      </c>
      <c r="G64" s="669" t="s">
        <v>36</v>
      </c>
      <c r="H64" s="668" t="str">
        <f t="shared" ref="H64:AM64" si="53">IFERROR(H63/C63-1,"--")</f>
        <v>--</v>
      </c>
      <c r="I64" s="668" t="str">
        <f t="shared" si="53"/>
        <v>--</v>
      </c>
      <c r="J64" s="668" t="str">
        <f t="shared" si="53"/>
        <v>--</v>
      </c>
      <c r="K64" s="668" t="str">
        <f t="shared" si="53"/>
        <v>--</v>
      </c>
      <c r="L64" s="669" t="str">
        <f t="shared" si="53"/>
        <v>--</v>
      </c>
      <c r="M64" s="668">
        <f t="shared" si="53"/>
        <v>1.2334955410288009</v>
      </c>
      <c r="N64" s="668">
        <f t="shared" si="53"/>
        <v>2.1388587759929045</v>
      </c>
      <c r="O64" s="668">
        <f t="shared" si="53"/>
        <v>1.4819870009285054</v>
      </c>
      <c r="P64" s="668">
        <f t="shared" si="53"/>
        <v>0.57033352638571877</v>
      </c>
      <c r="Q64" s="669">
        <f t="shared" si="53"/>
        <v>1.1976013334606606</v>
      </c>
      <c r="R64" s="668">
        <f t="shared" si="53"/>
        <v>0.52102074021432165</v>
      </c>
      <c r="S64" s="668">
        <f t="shared" si="53"/>
        <v>0.25888540031397178</v>
      </c>
      <c r="T64" s="668">
        <f t="shared" si="53"/>
        <v>0.96324118065167785</v>
      </c>
      <c r="U64" s="668">
        <f t="shared" si="53"/>
        <v>1.2270288251543948</v>
      </c>
      <c r="V64" s="669">
        <f t="shared" si="53"/>
        <v>0.76463570481888476</v>
      </c>
      <c r="W64" s="668">
        <f t="shared" si="53"/>
        <v>1.0727955686980901</v>
      </c>
      <c r="X64" s="668">
        <f t="shared" si="53"/>
        <v>1.2834108565799154</v>
      </c>
      <c r="Y64" s="668">
        <f t="shared" si="53"/>
        <v>0.41360610067950465</v>
      </c>
      <c r="Z64" s="668">
        <f t="shared" si="53"/>
        <v>0.30414861766864321</v>
      </c>
      <c r="AA64" s="669">
        <f t="shared" si="53"/>
        <v>0.65204085972881054</v>
      </c>
      <c r="AB64" s="668">
        <f t="shared" si="53"/>
        <v>0.37383698685798872</v>
      </c>
      <c r="AC64" s="668">
        <f t="shared" si="53"/>
        <v>0.45199853639089271</v>
      </c>
      <c r="AD64" s="668">
        <f t="shared" si="53"/>
        <v>0.54296544324204832</v>
      </c>
      <c r="AE64" s="668">
        <f t="shared" si="53"/>
        <v>0.5514674209395376</v>
      </c>
      <c r="AF64" s="669">
        <f t="shared" si="53"/>
        <v>0.48407173781954427</v>
      </c>
      <c r="AG64" s="668">
        <f t="shared" si="53"/>
        <v>0.48405140682243553</v>
      </c>
      <c r="AH64" s="668">
        <f t="shared" si="53"/>
        <v>0.39357928943785425</v>
      </c>
      <c r="AI64" s="668">
        <f t="shared" si="53"/>
        <v>0.33813246296691024</v>
      </c>
      <c r="AJ64" s="668">
        <f t="shared" si="53"/>
        <v>0.2973736368669806</v>
      </c>
      <c r="AK64" s="669">
        <f t="shared" si="53"/>
        <v>0.37085609568359201</v>
      </c>
      <c r="AL64" s="668">
        <f t="shared" si="53"/>
        <v>0.31616777442709942</v>
      </c>
      <c r="AM64" s="668">
        <f t="shared" si="53"/>
        <v>0.26316641768990068</v>
      </c>
      <c r="AN64" s="1187">
        <f t="shared" ref="AN64:BJ64" si="54">IFERROR(AN63/AI63-1,"--")</f>
        <v>0.28831961433600406</v>
      </c>
      <c r="AO64" s="668">
        <f>IFERROR(AO63/AJ63-1,"--")</f>
        <v>0.28681840672934178</v>
      </c>
      <c r="AP64" s="669">
        <f>IFERROR(AP63/AK63-1,"--")</f>
        <v>0.28808334088208487</v>
      </c>
      <c r="AQ64" s="668">
        <f t="shared" ref="AQ64:AR64" si="55">IFERROR(AQ63/AL63-1,"--")</f>
        <v>0.26059944913811783</v>
      </c>
      <c r="AR64" s="1187">
        <f t="shared" si="55"/>
        <v>0.18950096576243936</v>
      </c>
      <c r="AS64" s="1187">
        <f t="shared" si="54"/>
        <v>0.16708136667555196</v>
      </c>
      <c r="AT64" s="668">
        <f t="shared" si="54"/>
        <v>0.16719213717019676</v>
      </c>
      <c r="AU64" s="669">
        <f t="shared" si="54"/>
        <v>0.19441335825953288</v>
      </c>
      <c r="AV64" s="668">
        <f t="shared" si="54"/>
        <v>8.8125324627217116E-2</v>
      </c>
      <c r="AW64" s="668">
        <f t="shared" si="54"/>
        <v>0.17681192814700153</v>
      </c>
      <c r="AX64" s="668">
        <f t="shared" si="54"/>
        <v>0.20290831236230655</v>
      </c>
      <c r="AY64" s="668">
        <f t="shared" si="54"/>
        <v>0.20322531261625598</v>
      </c>
      <c r="AZ64" s="669">
        <f t="shared" si="54"/>
        <v>0.1683632703625384</v>
      </c>
      <c r="BA64" s="668">
        <f t="shared" si="54"/>
        <v>0.19390106447294442</v>
      </c>
      <c r="BB64" s="668">
        <f t="shared" si="54"/>
        <v>0.1966424475893318</v>
      </c>
      <c r="BC64" s="668">
        <f t="shared" si="54"/>
        <v>0.19996851538190774</v>
      </c>
      <c r="BD64" s="668">
        <f t="shared" si="54"/>
        <v>0.18918092019452892</v>
      </c>
      <c r="BE64" s="669">
        <f t="shared" si="54"/>
        <v>0.19484605821215228</v>
      </c>
      <c r="BF64" s="668">
        <f t="shared" si="54"/>
        <v>0.17763193749617501</v>
      </c>
      <c r="BG64" s="668">
        <f t="shared" si="54"/>
        <v>0.17419323865568881</v>
      </c>
      <c r="BH64" s="668">
        <f t="shared" si="54"/>
        <v>0.19520771906071155</v>
      </c>
      <c r="BI64" s="668">
        <f t="shared" si="54"/>
        <v>0.20167768799492625</v>
      </c>
      <c r="BJ64" s="669">
        <f t="shared" si="54"/>
        <v>0.18780340208520041</v>
      </c>
      <c r="BK64" s="668">
        <f>IFERROR(BK63/BF63-1,"--")</f>
        <v>0.19691118785794126</v>
      </c>
      <c r="BL64" s="668">
        <f>IFERROR(BL63/BG63-1,"--")</f>
        <v>0.18080989789026414</v>
      </c>
      <c r="BM64" s="668">
        <f>IFERROR(BM63/BH63-1,"--")</f>
        <v>0.18860271528056294</v>
      </c>
      <c r="BN64" s="668">
        <f>IFERROR(BN63/BI63-1,"--")</f>
        <v>0.17748329281772235</v>
      </c>
      <c r="BO64" s="669">
        <f>IFERROR(BO63/BJ63-1,"--")</f>
        <v>0.18559188006172866</v>
      </c>
    </row>
    <row r="65" spans="1:67" s="92" customFormat="1">
      <c r="A65" s="575"/>
      <c r="B65" s="1079" t="s">
        <v>205</v>
      </c>
      <c r="C65" s="667" t="s">
        <v>36</v>
      </c>
      <c r="D65" s="668" t="str">
        <f>IFERROR(D63/C63-1,"--")</f>
        <v>--</v>
      </c>
      <c r="E65" s="668" t="str">
        <f>IFERROR(E63/D63-1,"--")</f>
        <v>--</v>
      </c>
      <c r="F65" s="668" t="str">
        <f>IFERROR(F63/E63-1,"--")</f>
        <v>--</v>
      </c>
      <c r="G65" s="670"/>
      <c r="H65" s="667" t="str">
        <f>IFERROR(H63/F63-1,"--")</f>
        <v>--</v>
      </c>
      <c r="I65" s="668">
        <f>IFERROR(I63/H63-1,"--")</f>
        <v>-0.15231511455483382</v>
      </c>
      <c r="J65" s="668">
        <f>IFERROR(J63/I63-1,"--")</f>
        <v>0.32674682172070546</v>
      </c>
      <c r="K65" s="668">
        <f>IFERROR(K63/J63-1,"--")</f>
        <v>0.63526462395543182</v>
      </c>
      <c r="L65" s="670"/>
      <c r="M65" s="667">
        <f>IFERROR(M63/K63-1,"--")</f>
        <v>0.21443577601380914</v>
      </c>
      <c r="N65" s="668">
        <f>IFERROR(N63/M63-1,"--")</f>
        <v>0.19129995698602986</v>
      </c>
      <c r="O65" s="668">
        <f>IFERROR(O63/N63-1,"--")</f>
        <v>4.9097331240188335E-2</v>
      </c>
      <c r="P65" s="668">
        <f>IFERROR(P63/O63-1,"--")</f>
        <v>3.4618981706632912E-2</v>
      </c>
      <c r="Q65" s="670"/>
      <c r="R65" s="667">
        <f>IFERROR(R63/P63-1,"--")</f>
        <v>0.17629915679553365</v>
      </c>
      <c r="S65" s="668">
        <f>IFERROR(S63/R63-1,"--")</f>
        <v>-1.4010733980487022E-2</v>
      </c>
      <c r="T65" s="668">
        <f>IFERROR(T63/S63-1,"--")</f>
        <v>0.63607512064944927</v>
      </c>
      <c r="U65" s="668">
        <f>IFERROR(U63/T63-1,"--")</f>
        <v>0.17363384489914147</v>
      </c>
      <c r="V65" s="670"/>
      <c r="W65" s="667">
        <f>IFERROR(W63/U63-1,"--")</f>
        <v>9.4834360529682638E-2</v>
      </c>
      <c r="X65" s="668">
        <f>IFERROR(X63/W63-1,"--")</f>
        <v>8.6174936158475379E-2</v>
      </c>
      <c r="Y65" s="668">
        <f>IFERROR(Y63/X63-1,"--")</f>
        <v>1.2855730739613991E-2</v>
      </c>
      <c r="Z65" s="668">
        <f>IFERROR(Z63/Y63-1,"--")</f>
        <v>8.2757746828208578E-2</v>
      </c>
      <c r="AA65" s="670"/>
      <c r="AB65" s="667">
        <f>IFERROR(AB63/Z63-1,"--")</f>
        <v>0.15333783174768367</v>
      </c>
      <c r="AC65" s="668">
        <f>IFERROR(AC63/AB63-1,"--")</f>
        <v>0.14797056175748602</v>
      </c>
      <c r="AD65" s="668">
        <f>IFERROR(AD63/AC63-1,"--")</f>
        <v>7.6310583208587746E-2</v>
      </c>
      <c r="AE65" s="668">
        <f>IFERROR(AE63/AD63-1,"--")</f>
        <v>8.8723909100757226E-2</v>
      </c>
      <c r="AF65" s="670"/>
      <c r="AG65" s="667">
        <f>IFERROR(AG63/AE63-1,"--")</f>
        <v>0.1032217684017942</v>
      </c>
      <c r="AH65" s="668">
        <f>IFERROR(AH63/AG63-1,"--")</f>
        <v>7.7986916352813296E-2</v>
      </c>
      <c r="AI65" s="668">
        <f>IFERROR(AI63/AH63-1,"--")</f>
        <v>3.348703768927952E-2</v>
      </c>
      <c r="AJ65" s="668">
        <f>IFERROR(AJ63/AI63-1,"--")</f>
        <v>5.5561939183754516E-2</v>
      </c>
      <c r="AK65" s="670"/>
      <c r="AL65" s="667">
        <f>IFERROR(AL63/AJ63-1,"--")</f>
        <v>0.11920336467095494</v>
      </c>
      <c r="AM65" s="668">
        <f>IFERROR(AM63/AL63-1,"--")</f>
        <v>3.4576972558590047E-2</v>
      </c>
      <c r="AN65" s="1187">
        <f>IFERROR(AN63/AM63-1,"--")</f>
        <v>5.4066671794608556E-2</v>
      </c>
      <c r="AO65" s="668">
        <f>IFERROR(AO63/AN63-1,"--")</f>
        <v>5.433195122519785E-2</v>
      </c>
      <c r="AP65" s="670"/>
      <c r="AQ65" s="667">
        <f>IFERROR(AQ63/AO63-1,"--")</f>
        <v>9.6399567802019748E-2</v>
      </c>
      <c r="AR65" s="1187">
        <f>IFERROR(AR63/AQ63-1,"--")</f>
        <v>-2.377372221174967E-2</v>
      </c>
      <c r="AS65" s="1187">
        <f>IFERROR(AS63/AR63-1,"--")</f>
        <v>3.4199725173562623E-2</v>
      </c>
      <c r="AT65" s="668">
        <f>IFERROR(AT63/AS63-1,"--")</f>
        <v>5.443202040211359E-2</v>
      </c>
      <c r="AU65" s="670"/>
      <c r="AV65" s="667">
        <f>IFERROR(AV63/AT63-1,"--")</f>
        <v>2.2128317731933356E-2</v>
      </c>
      <c r="AW65" s="668">
        <f>IFERROR(AW63/AV63-1,"--")</f>
        <v>5.5792657583208616E-2</v>
      </c>
      <c r="AX65" s="668">
        <f>IFERROR(AX63/AW63-1,"--")</f>
        <v>5.7133613535816696E-2</v>
      </c>
      <c r="AY65" s="668">
        <f>IFERROR(AY63/AX63-1,"--")</f>
        <v>5.4709892967133467E-2</v>
      </c>
      <c r="AZ65" s="670"/>
      <c r="BA65" s="667">
        <f>IFERROR(BA63/AY63-1,"--")</f>
        <v>1.4207458713338506E-2</v>
      </c>
      <c r="BB65" s="668">
        <f>IFERROR(BB63/BA63-1,"--")</f>
        <v>5.821692224971331E-2</v>
      </c>
      <c r="BC65" s="668">
        <f>IFERROR(BC63/BB63-1,"--")</f>
        <v>6.0071916511374779E-2</v>
      </c>
      <c r="BD65" s="668">
        <f>IFERROR(BD63/BC63-1,"--")</f>
        <v>4.522815805525382E-2</v>
      </c>
      <c r="BE65" s="670"/>
      <c r="BF65" s="667">
        <f>IFERROR(BF63/BD63-1,"--")</f>
        <v>4.3577678931177033E-3</v>
      </c>
      <c r="BG65" s="668">
        <f>IFERROR(BG63/BF63-1,"--")</f>
        <v>5.5126916631099032E-2</v>
      </c>
      <c r="BH65" s="668">
        <f>IFERROR(BH63/BG63-1,"--")</f>
        <v>7.9043973055447303E-2</v>
      </c>
      <c r="BI65" s="668">
        <f>IFERROR(BI63/BH63-1,"--")</f>
        <v>5.0886248782026078E-2</v>
      </c>
      <c r="BJ65" s="670"/>
      <c r="BK65" s="667">
        <f>IFERROR(BK63/BI63-1,"--")</f>
        <v>3.7394470486118436E-4</v>
      </c>
      <c r="BL65" s="668">
        <f>IFERROR(BL63/BK63-1,"--")</f>
        <v>4.0932960880896152E-2</v>
      </c>
      <c r="BM65" s="668">
        <f>IFERROR(BM63/BL63-1,"--")</f>
        <v>8.6165180841007993E-2</v>
      </c>
      <c r="BN65" s="668">
        <f>IFERROR(BN63/BM63-1,"--")</f>
        <v>4.1055168968415767E-2</v>
      </c>
      <c r="BO65" s="670"/>
    </row>
    <row r="66" spans="1:67">
      <c r="A66" s="107"/>
      <c r="B66" s="1079"/>
      <c r="C66" s="448"/>
      <c r="D66" s="384"/>
      <c r="E66" s="384"/>
      <c r="F66" s="384"/>
      <c r="G66" s="629"/>
      <c r="H66" s="448"/>
      <c r="I66" s="384"/>
      <c r="J66" s="384"/>
      <c r="K66" s="384"/>
      <c r="L66" s="629"/>
      <c r="M66" s="448"/>
      <c r="N66" s="384"/>
      <c r="O66" s="384"/>
      <c r="P66" s="384"/>
      <c r="Q66" s="629"/>
      <c r="R66" s="448"/>
      <c r="S66" s="384"/>
      <c r="T66" s="384"/>
      <c r="U66" s="395"/>
      <c r="V66" s="629"/>
      <c r="W66" s="448"/>
      <c r="X66" s="384"/>
      <c r="Y66" s="384"/>
      <c r="Z66" s="395"/>
      <c r="AA66" s="629"/>
      <c r="AB66" s="448"/>
      <c r="AC66" s="384"/>
      <c r="AD66" s="384"/>
      <c r="AE66" s="395"/>
      <c r="AF66" s="629"/>
      <c r="AG66" s="448"/>
      <c r="AH66" s="384"/>
      <c r="AI66" s="384"/>
      <c r="AJ66" s="395"/>
      <c r="AK66" s="629"/>
      <c r="AL66" s="448"/>
      <c r="AM66" s="384"/>
      <c r="AN66" s="1116"/>
      <c r="AO66" s="395"/>
      <c r="AP66" s="629"/>
      <c r="AQ66" s="448"/>
      <c r="AR66" s="1116"/>
      <c r="AS66" s="1116"/>
      <c r="AT66" s="395"/>
      <c r="AU66" s="629"/>
      <c r="AV66" s="448"/>
      <c r="AW66" s="384"/>
      <c r="AX66" s="384"/>
      <c r="AY66" s="395"/>
      <c r="AZ66" s="629"/>
      <c r="BA66" s="448"/>
      <c r="BB66" s="384"/>
      <c r="BC66" s="384"/>
      <c r="BD66" s="395"/>
      <c r="BE66" s="629"/>
      <c r="BF66" s="448"/>
      <c r="BG66" s="384"/>
      <c r="BH66" s="384"/>
      <c r="BI66" s="395"/>
      <c r="BJ66" s="629"/>
      <c r="BK66" s="448"/>
      <c r="BL66" s="384"/>
      <c r="BM66" s="384"/>
      <c r="BN66" s="395"/>
      <c r="BO66" s="629"/>
    </row>
    <row r="67" spans="1:67" s="256" customFormat="1">
      <c r="A67" s="376"/>
      <c r="B67" s="985" t="s">
        <v>334</v>
      </c>
      <c r="C67" s="612">
        <f>C38-C63</f>
        <v>0</v>
      </c>
      <c r="D67" s="612">
        <f t="shared" ref="D67:K67" si="56">D38-D63</f>
        <v>0</v>
      </c>
      <c r="E67" s="612">
        <f t="shared" si="56"/>
        <v>0</v>
      </c>
      <c r="F67" s="612">
        <f t="shared" si="56"/>
        <v>0</v>
      </c>
      <c r="G67" s="609">
        <f>SUM(C67:F67)</f>
        <v>0</v>
      </c>
      <c r="H67" s="612">
        <f>H38-H63</f>
        <v>-41.917000000000002</v>
      </c>
      <c r="I67" s="612">
        <f t="shared" si="56"/>
        <v>-32.417999999999999</v>
      </c>
      <c r="J67" s="612">
        <f t="shared" si="56"/>
        <v>-38.993999999999993</v>
      </c>
      <c r="K67" s="612">
        <f t="shared" si="56"/>
        <v>-71.77</v>
      </c>
      <c r="L67" s="609">
        <f>SUM(H67:K67)</f>
        <v>-185.09899999999999</v>
      </c>
      <c r="M67" s="612">
        <f>M38-M63</f>
        <v>-87.275000000000006</v>
      </c>
      <c r="N67" s="612">
        <f>N38-N63</f>
        <v>-95.569000000000003</v>
      </c>
      <c r="O67" s="612">
        <f>O38-O63</f>
        <v>-90.132000000000005</v>
      </c>
      <c r="P67" s="612">
        <f>P38-P63</f>
        <v>-85.111999999999995</v>
      </c>
      <c r="Q67" s="609">
        <f>SUM(M67:P67)</f>
        <v>-358.08799999999997</v>
      </c>
      <c r="R67" s="612">
        <f>R38-R63</f>
        <v>-96.403000000000006</v>
      </c>
      <c r="S67" s="612">
        <f>S38-S63</f>
        <v>-77.683000000000021</v>
      </c>
      <c r="T67" s="612">
        <f>T38-T63</f>
        <v>-169.45399999999995</v>
      </c>
      <c r="U67" s="612">
        <f>U38-U63</f>
        <v>-200.39700000000002</v>
      </c>
      <c r="V67" s="609">
        <f>SUM(R67:U67)</f>
        <v>-543.93700000000001</v>
      </c>
      <c r="W67" s="612">
        <f>W38-W63</f>
        <v>-205.595</v>
      </c>
      <c r="X67" s="612">
        <f>X38-X63</f>
        <v>-200.14100000000005</v>
      </c>
      <c r="Y67" s="612">
        <f>Y38-Y63</f>
        <v>-157.27099999999996</v>
      </c>
      <c r="Z67" s="612">
        <f>Z38-Z63</f>
        <v>-152.02900000000005</v>
      </c>
      <c r="AA67" s="609">
        <f>SUM(W67:Z67)</f>
        <v>-715.03600000000006</v>
      </c>
      <c r="AB67" s="612">
        <f>AB38-AB63</f>
        <v>-188.76600000000002</v>
      </c>
      <c r="AC67" s="612">
        <f>AC38-AC63</f>
        <v>-207.73199999999997</v>
      </c>
      <c r="AD67" s="612">
        <f>AD38-AD63</f>
        <v>-206.01900000000012</v>
      </c>
      <c r="AE67" s="612">
        <f>AE38-AE63</f>
        <v>-239.75000000000006</v>
      </c>
      <c r="AF67" s="609">
        <f>SUM(AB67:AE67)</f>
        <v>-842.26700000000005</v>
      </c>
      <c r="AG67" s="612">
        <f>AG38-AG63</f>
        <v>-273.23799999999994</v>
      </c>
      <c r="AH67" s="612">
        <f>AH38-AH63</f>
        <v>-285.4070000000001</v>
      </c>
      <c r="AI67" s="612">
        <f>AI38-AI63</f>
        <v>-260.62299999999993</v>
      </c>
      <c r="AJ67" s="612">
        <f>AJ38-AJ63</f>
        <v>-275.50499999999988</v>
      </c>
      <c r="AK67" s="609">
        <f>SUM(AG67:AJ67)</f>
        <v>-1094.7729999999997</v>
      </c>
      <c r="AL67" s="612">
        <f>AL38-AL63</f>
        <v>-348.572</v>
      </c>
      <c r="AM67" s="612">
        <f>AM38-AM63</f>
        <v>-355.30300000000011</v>
      </c>
      <c r="AN67" s="1337">
        <f>AN38-AN63</f>
        <v>-365.45699999999988</v>
      </c>
      <c r="AO67" s="612">
        <f>AO38-AO63</f>
        <v>-386.67799999999988</v>
      </c>
      <c r="AP67" s="609">
        <f>SUM(AL67:AO67)</f>
        <v>-1456.0099999999998</v>
      </c>
      <c r="AQ67" s="612">
        <f>AQ38-AQ63</f>
        <v>-447.25700000000006</v>
      </c>
      <c r="AR67" s="1337">
        <f>AR38-AR63</f>
        <v>-340.27599999999995</v>
      </c>
      <c r="AS67" s="1337">
        <f>AS38-AS63</f>
        <v>-329.47300000000018</v>
      </c>
      <c r="AT67" s="612">
        <f>AT38-AT63</f>
        <v>-384.4377259983936</v>
      </c>
      <c r="AU67" s="609">
        <f>SUM(AQ67:AT67)</f>
        <v>-1501.4437259983938</v>
      </c>
      <c r="AV67" s="612">
        <f>AV38-AV63</f>
        <v>-339.65181818096175</v>
      </c>
      <c r="AW67" s="612">
        <f>AW38-AW63</f>
        <v>-329.11683661780603</v>
      </c>
      <c r="AX67" s="612">
        <f>AX38-AX63</f>
        <v>-344.88131478503942</v>
      </c>
      <c r="AY67" s="612">
        <f>AY38-AY63</f>
        <v>-407.83085415096593</v>
      </c>
      <c r="AZ67" s="609">
        <f>SUM(AV67:AY67)</f>
        <v>-1421.4808237347731</v>
      </c>
      <c r="BA67" s="612">
        <f>BA38-BA63</f>
        <v>-334.79464310973322</v>
      </c>
      <c r="BB67" s="612">
        <f>BB38-BB63</f>
        <v>-316.16849336276823</v>
      </c>
      <c r="BC67" s="612">
        <f>BC38-BC63</f>
        <v>-331.92219354232748</v>
      </c>
      <c r="BD67" s="612">
        <f>BD38-BD63</f>
        <v>-405.03253227481378</v>
      </c>
      <c r="BE67" s="609">
        <f>SUM(BA67:BD67)</f>
        <v>-1387.9178622896427</v>
      </c>
      <c r="BF67" s="612">
        <f>BF38-BF63</f>
        <v>-307.19839753898486</v>
      </c>
      <c r="BG67" s="612">
        <f>BG38-BG63</f>
        <v>-276.05207812398794</v>
      </c>
      <c r="BH67" s="612">
        <f>BH38-BH63</f>
        <v>-293.45365444158688</v>
      </c>
      <c r="BI67" s="612">
        <f>BI38-BI63</f>
        <v>-384.42017048314256</v>
      </c>
      <c r="BJ67" s="609">
        <f>SUM(BF67:BI67)</f>
        <v>-1261.1243005877022</v>
      </c>
      <c r="BK67" s="612">
        <f>BK38-BK63</f>
        <v>-269.01268516331493</v>
      </c>
      <c r="BL67" s="612">
        <f>BL38-BL63</f>
        <v>-218.82472658400866</v>
      </c>
      <c r="BM67" s="612">
        <f>BM38-BM63</f>
        <v>-231.82006312065096</v>
      </c>
      <c r="BN67" s="612">
        <f>BN38-BN63</f>
        <v>-338.87502015363452</v>
      </c>
      <c r="BO67" s="609">
        <f>SUM(BK67:BN67)</f>
        <v>-1058.5324950216091</v>
      </c>
    </row>
    <row r="68" spans="1:67" s="92" customFormat="1">
      <c r="A68" s="575"/>
      <c r="B68" s="1079" t="s">
        <v>204</v>
      </c>
      <c r="C68" s="667" t="s">
        <v>36</v>
      </c>
      <c r="D68" s="668" t="s">
        <v>36</v>
      </c>
      <c r="E68" s="668" t="s">
        <v>36</v>
      </c>
      <c r="F68" s="668" t="s">
        <v>36</v>
      </c>
      <c r="G68" s="669" t="s">
        <v>36</v>
      </c>
      <c r="H68" s="668" t="str">
        <f t="shared" ref="H68:AM68" si="57">IFERROR(H67/C67-1,"--")</f>
        <v>--</v>
      </c>
      <c r="I68" s="668" t="str">
        <f t="shared" si="57"/>
        <v>--</v>
      </c>
      <c r="J68" s="668" t="str">
        <f t="shared" si="57"/>
        <v>--</v>
      </c>
      <c r="K68" s="668" t="str">
        <f t="shared" si="57"/>
        <v>--</v>
      </c>
      <c r="L68" s="669" t="str">
        <f t="shared" si="57"/>
        <v>--</v>
      </c>
      <c r="M68" s="668">
        <f t="shared" si="57"/>
        <v>1.0820907984827159</v>
      </c>
      <c r="N68" s="668">
        <f t="shared" si="57"/>
        <v>1.9480227034363629</v>
      </c>
      <c r="O68" s="668">
        <f t="shared" si="57"/>
        <v>1.311432528081244</v>
      </c>
      <c r="P68" s="668">
        <f t="shared" si="57"/>
        <v>0.1858994008638708</v>
      </c>
      <c r="Q68" s="669">
        <f t="shared" si="57"/>
        <v>0.93457555146165028</v>
      </c>
      <c r="R68" s="668">
        <f t="shared" si="57"/>
        <v>0.10458894299627608</v>
      </c>
      <c r="S68" s="668">
        <f t="shared" si="57"/>
        <v>-0.18715273781247033</v>
      </c>
      <c r="T68" s="668">
        <f t="shared" si="57"/>
        <v>0.88006479385789671</v>
      </c>
      <c r="U68" s="668">
        <f t="shared" si="57"/>
        <v>1.3545093523827432</v>
      </c>
      <c r="V68" s="669">
        <f t="shared" si="57"/>
        <v>0.51900370858559919</v>
      </c>
      <c r="W68" s="668">
        <f t="shared" si="57"/>
        <v>1.13266184662303</v>
      </c>
      <c r="X68" s="668">
        <f t="shared" si="57"/>
        <v>1.5763809327652125</v>
      </c>
      <c r="Y68" s="668">
        <f t="shared" si="57"/>
        <v>-7.1895617689756497E-2</v>
      </c>
      <c r="Z68" s="668">
        <f t="shared" si="57"/>
        <v>-0.24136089861624654</v>
      </c>
      <c r="AA68" s="669">
        <f t="shared" si="57"/>
        <v>0.31455664902369218</v>
      </c>
      <c r="AB68" s="668">
        <f t="shared" si="57"/>
        <v>-8.185510348014291E-2</v>
      </c>
      <c r="AC68" s="668">
        <f t="shared" si="57"/>
        <v>3.7928260576293393E-2</v>
      </c>
      <c r="AD68" s="668">
        <f t="shared" si="57"/>
        <v>0.30996178570747412</v>
      </c>
      <c r="AE68" s="668">
        <f t="shared" si="57"/>
        <v>0.57700175624387429</v>
      </c>
      <c r="AF68" s="669">
        <f t="shared" si="57"/>
        <v>0.17793649550512147</v>
      </c>
      <c r="AG68" s="668">
        <f t="shared" si="57"/>
        <v>0.44749584141211818</v>
      </c>
      <c r="AH68" s="668">
        <f t="shared" si="57"/>
        <v>0.37391928061155788</v>
      </c>
      <c r="AI68" s="668">
        <f t="shared" si="57"/>
        <v>0.26504351540391791</v>
      </c>
      <c r="AJ68" s="668">
        <f t="shared" si="57"/>
        <v>0.14913451511991571</v>
      </c>
      <c r="AK68" s="669">
        <f t="shared" si="57"/>
        <v>0.29979329595009618</v>
      </c>
      <c r="AL68" s="668">
        <f t="shared" si="57"/>
        <v>0.27570835681713413</v>
      </c>
      <c r="AM68" s="668">
        <f t="shared" si="57"/>
        <v>0.24489938929318478</v>
      </c>
      <c r="AN68" s="1187">
        <f t="shared" ref="AN68:BJ68" si="58">IFERROR(AN67/AI67-1,"--")</f>
        <v>0.40224385414948016</v>
      </c>
      <c r="AO68" s="668">
        <f>IFERROR(AO67/AJ67-1,"--")</f>
        <v>0.40352443694306839</v>
      </c>
      <c r="AP68" s="669">
        <f>IFERROR(AP67/AK67-1,"--")</f>
        <v>0.32996520739915969</v>
      </c>
      <c r="AQ68" s="668">
        <f t="shared" ref="AQ68:AR68" si="59">IFERROR(AQ67/AL67-1,"--")</f>
        <v>0.2831122407996054</v>
      </c>
      <c r="AR68" s="1187">
        <f t="shared" si="59"/>
        <v>-4.2293479086864316E-2</v>
      </c>
      <c r="AS68" s="1187">
        <f t="shared" si="58"/>
        <v>-9.846302027324616E-2</v>
      </c>
      <c r="AT68" s="668">
        <f t="shared" si="58"/>
        <v>-5.7936422594672132E-3</v>
      </c>
      <c r="AU68" s="669">
        <f t="shared" si="58"/>
        <v>3.1204267826727916E-2</v>
      </c>
      <c r="AV68" s="668">
        <f t="shared" si="58"/>
        <v>-0.24058915079929055</v>
      </c>
      <c r="AW68" s="668">
        <f t="shared" si="58"/>
        <v>-3.27944473962134E-2</v>
      </c>
      <c r="AX68" s="668">
        <f t="shared" si="58"/>
        <v>4.676654774454736E-2</v>
      </c>
      <c r="AY68" s="668">
        <f t="shared" si="58"/>
        <v>6.0850240677654099E-2</v>
      </c>
      <c r="AZ68" s="669">
        <f t="shared" si="58"/>
        <v>-5.325734216941691E-2</v>
      </c>
      <c r="BA68" s="668">
        <f t="shared" si="58"/>
        <v>-1.430045361523935E-2</v>
      </c>
      <c r="BB68" s="668">
        <f t="shared" si="58"/>
        <v>-3.9342694795266087E-2</v>
      </c>
      <c r="BC68" s="668">
        <f t="shared" si="58"/>
        <v>-3.7575596842030157E-2</v>
      </c>
      <c r="BD68" s="668">
        <f t="shared" si="58"/>
        <v>-6.8614766334386124E-3</v>
      </c>
      <c r="BE68" s="669">
        <f t="shared" si="58"/>
        <v>-2.3611265720031138E-2</v>
      </c>
      <c r="BF68" s="668">
        <f t="shared" si="58"/>
        <v>-8.242738089959023E-2</v>
      </c>
      <c r="BG68" s="668">
        <f t="shared" si="58"/>
        <v>-0.12688302623737768</v>
      </c>
      <c r="BH68" s="668">
        <f t="shared" si="58"/>
        <v>-0.11589625475235055</v>
      </c>
      <c r="BI68" s="668">
        <f t="shared" si="58"/>
        <v>-5.0890632601545582E-2</v>
      </c>
      <c r="BJ68" s="669">
        <f t="shared" si="58"/>
        <v>-9.1355234446489186E-2</v>
      </c>
      <c r="BK68" s="668">
        <f>IFERROR(BK67/BF67-1,"--")</f>
        <v>-0.1243030975473236</v>
      </c>
      <c r="BL68" s="668">
        <f>IFERROR(BL67/BG67-1,"--")</f>
        <v>-0.20730636019438253</v>
      </c>
      <c r="BM68" s="668">
        <f>IFERROR(BM67/BH67-1,"--")</f>
        <v>-0.21002836525658031</v>
      </c>
      <c r="BN68" s="668">
        <f>IFERROR(BN67/BI67-1,"--")</f>
        <v>-0.11847752492348806</v>
      </c>
      <c r="BO68" s="669">
        <f>IFERROR(BO67/BJ67-1,"--")</f>
        <v>-0.16064380447802207</v>
      </c>
    </row>
    <row r="69" spans="1:67" s="92" customFormat="1">
      <c r="A69" s="575"/>
      <c r="B69" s="1079" t="s">
        <v>205</v>
      </c>
      <c r="C69" s="667" t="s">
        <v>36</v>
      </c>
      <c r="D69" s="668" t="str">
        <f>IFERROR(D67/C67-1,"--")</f>
        <v>--</v>
      </c>
      <c r="E69" s="668" t="str">
        <f>IFERROR(E67/D67-1,"--")</f>
        <v>--</v>
      </c>
      <c r="F69" s="668" t="str">
        <f>IFERROR(F67/E67-1,"--")</f>
        <v>--</v>
      </c>
      <c r="G69" s="670"/>
      <c r="H69" s="667" t="str">
        <f>IFERROR(H67/F67-1,"--")</f>
        <v>--</v>
      </c>
      <c r="I69" s="668">
        <f>IFERROR(I67/H67-1,"--")</f>
        <v>-0.22661450008349837</v>
      </c>
      <c r="J69" s="668">
        <f>IFERROR(J67/I67-1,"--")</f>
        <v>0.20285026836942421</v>
      </c>
      <c r="K69" s="668">
        <f>IFERROR(K67/J67-1,"--")</f>
        <v>0.84053957019028602</v>
      </c>
      <c r="L69" s="670"/>
      <c r="M69" s="667">
        <f>IFERROR(M67/K67-1,"--")</f>
        <v>0.21603734150759379</v>
      </c>
      <c r="N69" s="668">
        <f>IFERROR(N67/M67-1,"--")</f>
        <v>9.5032941850472508E-2</v>
      </c>
      <c r="O69" s="668">
        <f>IFERROR(O67/N67-1,"--")</f>
        <v>-5.6890832801431368E-2</v>
      </c>
      <c r="P69" s="668">
        <f>IFERROR(P67/O67-1,"--")</f>
        <v>-5.5696090178848912E-2</v>
      </c>
      <c r="Q69" s="670"/>
      <c r="R69" s="667">
        <f>IFERROR(R67/P67-1,"--")</f>
        <v>0.13266049440736927</v>
      </c>
      <c r="S69" s="668">
        <f>IFERROR(S67/R67-1,"--")</f>
        <v>-0.19418482827297889</v>
      </c>
      <c r="T69" s="668">
        <f>IFERROR(T67/S67-1,"--")</f>
        <v>1.1813524194482694</v>
      </c>
      <c r="U69" s="668">
        <f>IFERROR(U67/T67-1,"--")</f>
        <v>0.18260412855406227</v>
      </c>
      <c r="V69" s="670"/>
      <c r="W69" s="667">
        <f>IFERROR(W67/U67-1,"--")</f>
        <v>2.5938512053573559E-2</v>
      </c>
      <c r="X69" s="668">
        <f>IFERROR(X67/W67-1,"--")</f>
        <v>-2.6527882487414334E-2</v>
      </c>
      <c r="Y69" s="668">
        <f>IFERROR(Y67/X67-1,"--")</f>
        <v>-0.21419898971225326</v>
      </c>
      <c r="Z69" s="668">
        <f>IFERROR(Z67/Y67-1,"--")</f>
        <v>-3.3331001901176327E-2</v>
      </c>
      <c r="AA69" s="670"/>
      <c r="AB69" s="667">
        <f>IFERROR(AB67/Z67-1,"--")</f>
        <v>0.24164468621118318</v>
      </c>
      <c r="AC69" s="668">
        <f>IFERROR(AC67/AB67-1,"--")</f>
        <v>0.10047360223769086</v>
      </c>
      <c r="AD69" s="668">
        <f>IFERROR(AD67/AC67-1,"--")</f>
        <v>-8.2462018369815482E-3</v>
      </c>
      <c r="AE69" s="668">
        <f>IFERROR(AE67/AD67-1,"--")</f>
        <v>0.16372761735568031</v>
      </c>
      <c r="AF69" s="670"/>
      <c r="AG69" s="667">
        <f>IFERROR(AG67/AE67-1,"--")</f>
        <v>0.13967883211678789</v>
      </c>
      <c r="AH69" s="668">
        <f>IFERROR(AH67/AG67-1,"--")</f>
        <v>4.4536265087579796E-2</v>
      </c>
      <c r="AI69" s="668">
        <f>IFERROR(AI67/AH67-1,"--")</f>
        <v>-8.6837393616835401E-2</v>
      </c>
      <c r="AJ69" s="668">
        <f>IFERROR(AJ67/AI67-1,"--")</f>
        <v>5.7101637230789093E-2</v>
      </c>
      <c r="AK69" s="670"/>
      <c r="AL69" s="667">
        <f>IFERROR(AL67/AJ67-1,"--")</f>
        <v>0.26521115769223846</v>
      </c>
      <c r="AM69" s="668">
        <f>IFERROR(AM67/AL67-1,"--")</f>
        <v>1.9310214245550794E-2</v>
      </c>
      <c r="AN69" s="1187">
        <f>IFERROR(AN67/AM67-1,"--")</f>
        <v>2.8578424612231812E-2</v>
      </c>
      <c r="AO69" s="668">
        <f>IFERROR(AO67/AN67-1,"--")</f>
        <v>5.8067022932930534E-2</v>
      </c>
      <c r="AP69" s="670"/>
      <c r="AQ69" s="667">
        <f>IFERROR(AQ67/AO67-1,"--")</f>
        <v>0.15666523567412738</v>
      </c>
      <c r="AR69" s="1187">
        <f>IFERROR(AR67/AQ67-1,"--")</f>
        <v>-0.23919357326995461</v>
      </c>
      <c r="AS69" s="1187">
        <f>IFERROR(AS67/AR67-1,"--")</f>
        <v>-3.1747757702570212E-2</v>
      </c>
      <c r="AT69" s="668">
        <f>IFERROR(AT67/AS67-1,"--")</f>
        <v>0.16682619212619354</v>
      </c>
      <c r="AU69" s="670"/>
      <c r="AV69" s="667">
        <f>IFERROR(AV67/AT67-1,"--")</f>
        <v>-0.11649717181403518</v>
      </c>
      <c r="AW69" s="668">
        <f>IFERROR(AW67/AV67-1,"--")</f>
        <v>-3.1017003293481116E-2</v>
      </c>
      <c r="AX69" s="668">
        <f>IFERROR(AX67/AW67-1,"--")</f>
        <v>4.7899336689177785E-2</v>
      </c>
      <c r="AY69" s="668">
        <f>IFERROR(AY67/AX67-1,"--")</f>
        <v>0.18252522438092145</v>
      </c>
      <c r="AZ69" s="670"/>
      <c r="BA69" s="667">
        <f>IFERROR(BA67/AY67-1,"--")</f>
        <v>-0.17908456483333424</v>
      </c>
      <c r="BB69" s="668">
        <f>IFERROR(BB67/BA67-1,"--")</f>
        <v>-5.5634551299735158E-2</v>
      </c>
      <c r="BC69" s="668">
        <f>IFERROR(BC67/BB67-1,"--")</f>
        <v>4.9826913529564143E-2</v>
      </c>
      <c r="BD69" s="668">
        <f>IFERROR(BD67/BC67-1,"--")</f>
        <v>0.22026348389735828</v>
      </c>
      <c r="BE69" s="670"/>
      <c r="BF69" s="667">
        <f>IFERROR(BF67/BD67-1,"--")</f>
        <v>-0.24154636218072634</v>
      </c>
      <c r="BG69" s="668">
        <f>IFERROR(BG67/BF67-1,"--")</f>
        <v>-0.10138828738859007</v>
      </c>
      <c r="BH69" s="668">
        <f>IFERROR(BH67/BG67-1,"--")</f>
        <v>6.3037295121477266E-2</v>
      </c>
      <c r="BI69" s="668">
        <f>IFERROR(BI67/BH67-1,"--")</f>
        <v>0.30998597108853843</v>
      </c>
      <c r="BJ69" s="670"/>
      <c r="BK69" s="667">
        <f>IFERROR(BK67/BI67-1,"--")</f>
        <v>-0.30021183637368065</v>
      </c>
      <c r="BL69" s="668">
        <f>IFERROR(BL67/BK67-1,"--")</f>
        <v>-0.18656353899756684</v>
      </c>
      <c r="BM69" s="668">
        <f>IFERROR(BM67/BL67-1,"--")</f>
        <v>5.9386965721413887E-2</v>
      </c>
      <c r="BN69" s="668">
        <f>IFERROR(BN67/BM67-1,"--")</f>
        <v>0.46180194928713614</v>
      </c>
      <c r="BO69" s="670"/>
    </row>
    <row r="70" spans="1:67" s="92" customFormat="1">
      <c r="A70" s="575"/>
      <c r="B70" s="1079" t="s">
        <v>335</v>
      </c>
      <c r="C70" s="668" t="str">
        <f t="shared" ref="C70:AH70" si="60">IFERROR(C67/C$10,"--")</f>
        <v>--</v>
      </c>
      <c r="D70" s="668" t="str">
        <f t="shared" si="60"/>
        <v>--</v>
      </c>
      <c r="E70" s="668" t="str">
        <f t="shared" si="60"/>
        <v>--</v>
      </c>
      <c r="F70" s="668" t="str">
        <f t="shared" si="60"/>
        <v>--</v>
      </c>
      <c r="G70" s="669" t="str">
        <f t="shared" si="60"/>
        <v>--</v>
      </c>
      <c r="H70" s="533">
        <f t="shared" si="60"/>
        <v>-3.1274341565321198</v>
      </c>
      <c r="I70" s="533">
        <f t="shared" si="60"/>
        <v>-1.8105557106953363</v>
      </c>
      <c r="J70" s="533">
        <f t="shared" si="60"/>
        <v>-1.3596234309623429</v>
      </c>
      <c r="K70" s="533">
        <f t="shared" si="60"/>
        <v>-1.9567588200010901</v>
      </c>
      <c r="L70" s="682">
        <f t="shared" si="60"/>
        <v>-1.9148304471065318</v>
      </c>
      <c r="M70" s="533">
        <f t="shared" si="60"/>
        <v>-1.9969111085688138</v>
      </c>
      <c r="N70" s="533">
        <f t="shared" si="60"/>
        <v>-1.5838678135202773</v>
      </c>
      <c r="O70" s="533">
        <f t="shared" si="60"/>
        <v>-1.2344820029584178</v>
      </c>
      <c r="P70" s="533">
        <f t="shared" si="60"/>
        <v>-0.97057884413629503</v>
      </c>
      <c r="Q70" s="682">
        <f t="shared" si="60"/>
        <v>-1.3525616812969314</v>
      </c>
      <c r="R70" s="533">
        <f t="shared" si="60"/>
        <v>-0.88593484354179119</v>
      </c>
      <c r="S70" s="533">
        <f t="shared" si="60"/>
        <v>-0.58344661834841738</v>
      </c>
      <c r="T70" s="533">
        <f t="shared" si="60"/>
        <v>-1.0615822182127996</v>
      </c>
      <c r="U70" s="668">
        <f t="shared" si="60"/>
        <v>-1.0521460635812354</v>
      </c>
      <c r="V70" s="682">
        <f t="shared" si="60"/>
        <v>-0.91873645593523512</v>
      </c>
      <c r="W70" s="533">
        <f t="shared" si="60"/>
        <v>-0.89813204959067594</v>
      </c>
      <c r="X70" s="533">
        <f t="shared" si="60"/>
        <v>-0.73527726140530081</v>
      </c>
      <c r="Y70" s="533">
        <f t="shared" si="60"/>
        <v>-0.47025035806016591</v>
      </c>
      <c r="Z70" s="668">
        <f t="shared" si="60"/>
        <v>-0.39614200023972457</v>
      </c>
      <c r="AA70" s="682">
        <f t="shared" si="60"/>
        <v>-0.58641857352457549</v>
      </c>
      <c r="AB70" s="533">
        <f t="shared" si="60"/>
        <v>-0.44691988796579313</v>
      </c>
      <c r="AC70" s="533">
        <f t="shared" si="60"/>
        <v>-0.41776336958620242</v>
      </c>
      <c r="AD70" s="533">
        <f t="shared" si="60"/>
        <v>-0.36985393911975728</v>
      </c>
      <c r="AE70" s="668">
        <f t="shared" si="60"/>
        <v>-0.40703754762211991</v>
      </c>
      <c r="AF70" s="682">
        <f t="shared" si="60"/>
        <v>-0.4077473581070255</v>
      </c>
      <c r="AG70" s="533">
        <f t="shared" si="60"/>
        <v>-0.43816298614975319</v>
      </c>
      <c r="AH70" s="533">
        <f t="shared" si="60"/>
        <v>-0.42344121373613186</v>
      </c>
      <c r="AI70" s="533">
        <f t="shared" ref="AI70:BO70" si="61">IFERROR(AI67/AI$10,"--")</f>
        <v>-0.35498853812384812</v>
      </c>
      <c r="AJ70" s="668">
        <f t="shared" si="61"/>
        <v>-0.35562844407957139</v>
      </c>
      <c r="AK70" s="682">
        <f t="shared" si="61"/>
        <v>-0.39008633206828874</v>
      </c>
      <c r="AL70" s="533">
        <f t="shared" si="61"/>
        <v>-0.4206205073192158</v>
      </c>
      <c r="AM70" s="533">
        <f t="shared" si="61"/>
        <v>-0.4089475071447235</v>
      </c>
      <c r="AN70" s="1118">
        <f t="shared" si="61"/>
        <v>-0.38791988909811531</v>
      </c>
      <c r="AO70" s="668">
        <f t="shared" si="61"/>
        <v>-0.39186233874155063</v>
      </c>
      <c r="AP70" s="682">
        <f t="shared" si="61"/>
        <v>-0.40150331072502826</v>
      </c>
      <c r="AQ70" s="533">
        <f t="shared" ref="AQ70:AS70" si="62">IFERROR(AQ67/AQ$10,"--")</f>
        <v>-0.42919888606759216</v>
      </c>
      <c r="AR70" s="1118">
        <f t="shared" si="62"/>
        <v>-0.29719232573108961</v>
      </c>
      <c r="AS70" s="1118">
        <f t="shared" si="62"/>
        <v>-0.27163868023075122</v>
      </c>
      <c r="AT70" s="668">
        <f t="shared" si="61"/>
        <v>-0.30784495934007738</v>
      </c>
      <c r="AU70" s="682">
        <f t="shared" si="61"/>
        <v>-0.3229775946272333</v>
      </c>
      <c r="AV70" s="533">
        <f t="shared" si="61"/>
        <v>-0.25868162980448572</v>
      </c>
      <c r="AW70" s="533">
        <f t="shared" si="61"/>
        <v>-0.23258558194187839</v>
      </c>
      <c r="AX70" s="533">
        <f t="shared" si="61"/>
        <v>-0.22956668191357987</v>
      </c>
      <c r="AY70" s="668">
        <f t="shared" si="61"/>
        <v>-0.2632479388554993</v>
      </c>
      <c r="AZ70" s="682">
        <f t="shared" si="61"/>
        <v>-0.24594847528449584</v>
      </c>
      <c r="BA70" s="533">
        <f t="shared" si="61"/>
        <v>-0.20548936535804807</v>
      </c>
      <c r="BB70" s="533">
        <f t="shared" si="61"/>
        <v>-0.1795577439206355</v>
      </c>
      <c r="BC70" s="533">
        <f t="shared" si="61"/>
        <v>-0.17706848318068463</v>
      </c>
      <c r="BD70" s="668">
        <f t="shared" si="61"/>
        <v>-0.21164544865360735</v>
      </c>
      <c r="BE70" s="682">
        <f t="shared" si="61"/>
        <v>-0.19334786459265418</v>
      </c>
      <c r="BF70" s="533">
        <f t="shared" si="61"/>
        <v>-0.15386768370463808</v>
      </c>
      <c r="BG70" s="533">
        <f t="shared" si="61"/>
        <v>-0.12823360862512212</v>
      </c>
      <c r="BH70" s="533">
        <f t="shared" si="61"/>
        <v>-0.12579673160124955</v>
      </c>
      <c r="BI70" s="668">
        <f t="shared" si="61"/>
        <v>-0.16071138816033517</v>
      </c>
      <c r="BJ70" s="682">
        <f t="shared" si="61"/>
        <v>-0.14211469240497185</v>
      </c>
      <c r="BK70" s="533">
        <f t="shared" si="61"/>
        <v>-0.10837151379768759</v>
      </c>
      <c r="BL70" s="533">
        <f t="shared" si="61"/>
        <v>-8.280224885909257E-2</v>
      </c>
      <c r="BM70" s="533">
        <f t="shared" si="61"/>
        <v>-8.0406067922756674E-2</v>
      </c>
      <c r="BN70" s="668">
        <f t="shared" si="61"/>
        <v>-0.11582252401188094</v>
      </c>
      <c r="BO70" s="682">
        <f t="shared" si="61"/>
        <v>-9.6811205042148268E-2</v>
      </c>
    </row>
    <row r="71" spans="1:67">
      <c r="A71" s="107"/>
      <c r="B71" s="1079"/>
      <c r="C71" s="448"/>
      <c r="D71" s="384"/>
      <c r="E71" s="384"/>
      <c r="F71" s="384"/>
      <c r="G71" s="629"/>
      <c r="H71" s="448"/>
      <c r="I71" s="384"/>
      <c r="J71" s="384"/>
      <c r="K71" s="384"/>
      <c r="L71" s="629"/>
      <c r="M71" s="448"/>
      <c r="N71" s="384"/>
      <c r="O71" s="384"/>
      <c r="P71" s="384"/>
      <c r="Q71" s="629"/>
      <c r="R71" s="448"/>
      <c r="S71" s="384"/>
      <c r="T71" s="384"/>
      <c r="U71" s="384"/>
      <c r="V71" s="629"/>
      <c r="W71" s="448"/>
      <c r="X71" s="384"/>
      <c r="Y71" s="384"/>
      <c r="Z71" s="384"/>
      <c r="AA71" s="629"/>
      <c r="AB71" s="448"/>
      <c r="AC71" s="384"/>
      <c r="AD71" s="384"/>
      <c r="AE71" s="384"/>
      <c r="AF71" s="629"/>
      <c r="AG71" s="448"/>
      <c r="AH71" s="384"/>
      <c r="AI71" s="384"/>
      <c r="AJ71" s="384"/>
      <c r="AK71" s="629"/>
      <c r="AL71" s="630"/>
      <c r="AM71" s="630"/>
      <c r="AN71" s="1339"/>
      <c r="AO71" s="384"/>
      <c r="AP71" s="629"/>
      <c r="AQ71" s="630"/>
      <c r="AR71" s="1339"/>
      <c r="AS71" s="1339"/>
      <c r="AT71" s="630"/>
      <c r="AU71" s="629"/>
      <c r="AV71" s="630"/>
      <c r="AW71" s="630"/>
      <c r="AX71" s="630"/>
      <c r="AY71" s="630"/>
      <c r="AZ71" s="629"/>
      <c r="BA71" s="630"/>
      <c r="BB71" s="630"/>
      <c r="BC71" s="630"/>
      <c r="BD71" s="630"/>
      <c r="BE71" s="629"/>
      <c r="BF71" s="630"/>
      <c r="BG71" s="630"/>
      <c r="BH71" s="630"/>
      <c r="BI71" s="630"/>
      <c r="BJ71" s="629"/>
      <c r="BK71" s="630"/>
      <c r="BL71" s="630"/>
      <c r="BM71" s="630"/>
      <c r="BN71" s="630"/>
      <c r="BO71" s="629"/>
    </row>
    <row r="72" spans="1:67" s="377" customFormat="1">
      <c r="A72" s="351"/>
      <c r="B72" s="1040" t="s">
        <v>43</v>
      </c>
      <c r="C72" s="640"/>
      <c r="D72" s="641"/>
      <c r="E72" s="641"/>
      <c r="F72" s="641"/>
      <c r="G72" s="702"/>
      <c r="H72" s="640"/>
      <c r="I72" s="641"/>
      <c r="J72" s="373">
        <v>2.0249999999999999</v>
      </c>
      <c r="K72" s="373">
        <v>4.1959999999999997</v>
      </c>
      <c r="L72" s="567">
        <f>SUM(H72:K72)</f>
        <v>6.2210000000000001</v>
      </c>
      <c r="M72" s="387">
        <v>3.5939999999999999</v>
      </c>
      <c r="N72" s="387">
        <v>3.1669999999999998</v>
      </c>
      <c r="O72" s="387">
        <v>2.4910000000000001</v>
      </c>
      <c r="P72" s="387">
        <v>2.2989999999999999</v>
      </c>
      <c r="Q72" s="567">
        <f>SUM(M72:P72)</f>
        <v>11.550999999999998</v>
      </c>
      <c r="R72" s="387">
        <v>2.448</v>
      </c>
      <c r="S72" s="387">
        <v>1.6890000000000001</v>
      </c>
      <c r="T72" s="387">
        <v>1.5169999999999999</v>
      </c>
      <c r="U72" s="387">
        <v>1.853</v>
      </c>
      <c r="V72" s="702"/>
      <c r="W72" s="387">
        <v>2.6120000000000001</v>
      </c>
      <c r="X72" s="387">
        <v>2.19</v>
      </c>
      <c r="Y72" s="387">
        <v>1.9850000000000001</v>
      </c>
      <c r="Z72" s="387">
        <v>2.3420000000000001</v>
      </c>
      <c r="AA72" s="702"/>
      <c r="AB72" s="387">
        <v>4.7590000000000003</v>
      </c>
      <c r="AC72" s="387">
        <v>11.692</v>
      </c>
      <c r="AD72" s="387">
        <v>21.856999999999999</v>
      </c>
      <c r="AE72" s="387">
        <v>35.530999999999999</v>
      </c>
      <c r="AF72" s="702"/>
      <c r="AG72" s="387">
        <v>43.131</v>
      </c>
      <c r="AH72" s="387">
        <v>50.28</v>
      </c>
      <c r="AI72" s="387">
        <v>53.491</v>
      </c>
      <c r="AJ72" s="387">
        <v>53.761000000000003</v>
      </c>
      <c r="AK72" s="702">
        <f>SUM(AG72:AJ72)</f>
        <v>200.66299999999998</v>
      </c>
      <c r="AL72" s="959">
        <v>54.779000000000003</v>
      </c>
      <c r="AM72" s="959">
        <v>49.265000000000001</v>
      </c>
      <c r="AN72" s="1198">
        <v>48.655000000000001</v>
      </c>
      <c r="AO72" s="387">
        <v>56.31</v>
      </c>
      <c r="AP72" s="702">
        <f>SUM(AL72:AO72)</f>
        <v>209.00900000000001</v>
      </c>
      <c r="AQ72" s="1198">
        <v>53.162999999999997</v>
      </c>
      <c r="AR72" s="1347">
        <v>49.466999999999999</v>
      </c>
      <c r="AS72" s="387">
        <v>45.481000000000002</v>
      </c>
      <c r="AT72" s="911">
        <f>'IS (Non-GAAP)'!AT73</f>
        <v>45.481000000000002</v>
      </c>
      <c r="AU72" s="702">
        <f>SUM(AQ72:AT72)</f>
        <v>193.59199999999998</v>
      </c>
      <c r="AV72" s="912">
        <f>'IS (Non-GAAP)'!AV73</f>
        <v>52.542540525129894</v>
      </c>
      <c r="AW72" s="911">
        <f>'IS (Non-GAAP)'!AW73</f>
        <v>55.844677180931917</v>
      </c>
      <c r="AX72" s="911">
        <f>'IS (Non-GAAP)'!AX73</f>
        <v>53.309249718532655</v>
      </c>
      <c r="AY72" s="911">
        <f>'IS (Non-GAAP)'!AY73</f>
        <v>51.684825699739662</v>
      </c>
      <c r="AZ72" s="702">
        <f>SUM(AV72:AY72)</f>
        <v>213.38129312433412</v>
      </c>
      <c r="BA72" s="912">
        <f>'IS (Non-GAAP)'!BA73</f>
        <v>59.057246650052136</v>
      </c>
      <c r="BB72" s="911">
        <f>'IS (Non-GAAP)'!BB73</f>
        <v>66.004471089273181</v>
      </c>
      <c r="BC72" s="911">
        <f>'IS (Non-GAAP)'!BC73</f>
        <v>67.824140136541331</v>
      </c>
      <c r="BD72" s="911">
        <f>'IS (Non-GAAP)'!BD73</f>
        <v>70.684396903418872</v>
      </c>
      <c r="BE72" s="702">
        <f>SUM(BA72:BD72)</f>
        <v>263.57025477928551</v>
      </c>
      <c r="BF72" s="912">
        <f>'IS (Non-GAAP)'!BF73</f>
        <v>84.006502170553347</v>
      </c>
      <c r="BG72" s="911">
        <f>'IS (Non-GAAP)'!BG73</f>
        <v>93.330040509118817</v>
      </c>
      <c r="BH72" s="911">
        <f>'IS (Non-GAAP)'!BH73</f>
        <v>95.979834804964938</v>
      </c>
      <c r="BI72" s="911">
        <f>'IS (Non-GAAP)'!BI73</f>
        <v>100.5912085140731</v>
      </c>
      <c r="BJ72" s="702">
        <f>SUM(BF72:BI72)</f>
        <v>373.9075859987102</v>
      </c>
      <c r="BK72" s="912">
        <f>'IS (Non-GAAP)'!BK73</f>
        <v>117.15835588688617</v>
      </c>
      <c r="BL72" s="911">
        <f>'IS (Non-GAAP)'!BL73</f>
        <v>128.13913592022269</v>
      </c>
      <c r="BM72" s="911">
        <f>'IS (Non-GAAP)'!BM73</f>
        <v>132.32356618682232</v>
      </c>
      <c r="BN72" s="911">
        <f>'IS (Non-GAAP)'!BN73</f>
        <v>139.1887529686677</v>
      </c>
      <c r="BO72" s="702">
        <f>SUM(BK72:BN72)</f>
        <v>516.80981096259893</v>
      </c>
    </row>
    <row r="73" spans="1:67" s="377" customFormat="1">
      <c r="A73" s="351"/>
      <c r="B73" s="1040" t="s">
        <v>466</v>
      </c>
      <c r="C73" s="640"/>
      <c r="D73" s="641"/>
      <c r="E73" s="641"/>
      <c r="F73" s="641"/>
      <c r="G73" s="702"/>
      <c r="H73" s="640"/>
      <c r="I73" s="641"/>
      <c r="J73" s="373"/>
      <c r="K73" s="373"/>
      <c r="L73" s="567"/>
      <c r="M73" s="387"/>
      <c r="N73" s="387"/>
      <c r="O73" s="387"/>
      <c r="P73" s="387"/>
      <c r="Q73" s="567"/>
      <c r="R73" s="387"/>
      <c r="S73" s="387"/>
      <c r="T73" s="387"/>
      <c r="U73" s="387"/>
      <c r="V73" s="702"/>
      <c r="W73" s="387"/>
      <c r="X73" s="387"/>
      <c r="Y73" s="387"/>
      <c r="Z73" s="387"/>
      <c r="AA73" s="702"/>
      <c r="AB73" s="387"/>
      <c r="AC73" s="387"/>
      <c r="AD73" s="387"/>
      <c r="AE73" s="387"/>
      <c r="AF73" s="702"/>
      <c r="AG73" s="387"/>
      <c r="AH73" s="387"/>
      <c r="AI73" s="387"/>
      <c r="AJ73" s="387"/>
      <c r="AK73" s="702"/>
      <c r="AL73" s="959"/>
      <c r="AM73" s="959"/>
      <c r="AN73" s="1198">
        <v>-0.68899999999999995</v>
      </c>
      <c r="AO73" s="387">
        <v>-2.0699999999999998</v>
      </c>
      <c r="AP73" s="702"/>
      <c r="AQ73" s="1198">
        <v>-2.0710000000000002</v>
      </c>
      <c r="AR73" s="1347">
        <v>-2.0739999999999998</v>
      </c>
      <c r="AS73" s="387">
        <v>-2.0750000000000002</v>
      </c>
      <c r="AT73" s="911"/>
      <c r="AU73" s="702"/>
      <c r="AV73" s="911"/>
      <c r="AW73" s="911"/>
      <c r="AX73" s="911"/>
      <c r="AY73" s="911"/>
      <c r="AZ73" s="702"/>
      <c r="BA73" s="911"/>
      <c r="BB73" s="911"/>
      <c r="BC73" s="911"/>
      <c r="BD73" s="911"/>
      <c r="BE73" s="702"/>
      <c r="BF73" s="911"/>
      <c r="BG73" s="911"/>
      <c r="BH73" s="911"/>
      <c r="BI73" s="911"/>
      <c r="BJ73" s="702"/>
      <c r="BK73" s="911"/>
      <c r="BL73" s="911"/>
      <c r="BM73" s="911"/>
      <c r="BN73" s="911"/>
      <c r="BO73" s="702"/>
    </row>
    <row r="74" spans="1:67" s="377" customFormat="1">
      <c r="A74" s="351"/>
      <c r="B74" s="1040" t="s">
        <v>436</v>
      </c>
      <c r="C74" s="373"/>
      <c r="D74" s="631"/>
      <c r="E74" s="631"/>
      <c r="F74" s="631"/>
      <c r="G74" s="908">
        <f>SUM(C74:F74)</f>
        <v>0</v>
      </c>
      <c r="H74" s="373">
        <v>1.0760000000000001</v>
      </c>
      <c r="I74" s="373">
        <v>1.161</v>
      </c>
      <c r="J74" s="373">
        <v>-0.18</v>
      </c>
      <c r="K74" s="373">
        <v>-2.1000000000000001E-2</v>
      </c>
      <c r="L74" s="632">
        <f>SUM(H74:K74)</f>
        <v>2.036</v>
      </c>
      <c r="M74" s="373">
        <v>-0.28699999999999998</v>
      </c>
      <c r="N74" s="373">
        <v>-0.49199999999999999</v>
      </c>
      <c r="O74" s="373">
        <v>-0.04</v>
      </c>
      <c r="P74" s="373">
        <v>-0.186</v>
      </c>
      <c r="Q74" s="632">
        <f>SUM(M74:P74)</f>
        <v>-1.0049999999999999</v>
      </c>
      <c r="R74" s="373">
        <v>6.7000000000000004E-2</v>
      </c>
      <c r="S74" s="373">
        <v>-1.109</v>
      </c>
      <c r="T74" s="631">
        <v>-0.51900000000000002</v>
      </c>
      <c r="U74" s="631">
        <v>0.95099999999999996</v>
      </c>
      <c r="V74" s="632">
        <f>SUM(R74:U74)</f>
        <v>-0.61</v>
      </c>
      <c r="W74" s="631">
        <v>-0.48799999999999999</v>
      </c>
      <c r="X74" s="631">
        <v>8.7460000000000004</v>
      </c>
      <c r="Y74" s="631">
        <v>1.609</v>
      </c>
      <c r="Z74" s="631">
        <v>19.079999999999998</v>
      </c>
      <c r="AA74" s="632">
        <f>SUM(W74:Z74)</f>
        <v>28.946999999999999</v>
      </c>
      <c r="AB74" s="631">
        <v>-8.4809999999999999</v>
      </c>
      <c r="AC74" s="631">
        <v>-22.92</v>
      </c>
      <c r="AD74" s="631">
        <v>-13.271000000000001</v>
      </c>
      <c r="AE74" s="631">
        <v>-2.8929999999999998</v>
      </c>
      <c r="AF74" s="632">
        <f>SUM(AB74:AE74)</f>
        <v>-47.565000000000005</v>
      </c>
      <c r="AG74" s="631">
        <v>-2.5619999999999998</v>
      </c>
      <c r="AH74" s="631">
        <v>4.0860000000000003</v>
      </c>
      <c r="AI74" s="631">
        <v>-4.17</v>
      </c>
      <c r="AJ74" s="631">
        <v>47.533000000000001</v>
      </c>
      <c r="AK74" s="632">
        <f>SUM(AG74:AJ74)</f>
        <v>44.887</v>
      </c>
      <c r="AL74" s="631">
        <v>-21.302</v>
      </c>
      <c r="AM74" s="631">
        <v>-7.9459999999999997</v>
      </c>
      <c r="AN74" s="1199">
        <v>-8.4740000000000002</v>
      </c>
      <c r="AO74" s="631">
        <v>2.383</v>
      </c>
      <c r="AP74" s="632">
        <f>SUM(AL74:AO74)</f>
        <v>-35.338999999999992</v>
      </c>
      <c r="AQ74" s="1199">
        <v>-28.058</v>
      </c>
      <c r="AR74" s="1199">
        <v>-4.9850000000000003</v>
      </c>
      <c r="AS74" s="631">
        <v>-1.8540000000000001</v>
      </c>
      <c r="AT74" s="909"/>
      <c r="AU74" s="632"/>
      <c r="AV74" s="909"/>
      <c r="AW74" s="909"/>
      <c r="AX74" s="909"/>
      <c r="AY74" s="909"/>
      <c r="AZ74" s="632"/>
      <c r="BA74" s="909"/>
      <c r="BB74" s="909"/>
      <c r="BC74" s="909"/>
      <c r="BD74" s="909"/>
      <c r="BE74" s="632"/>
      <c r="BF74" s="909"/>
      <c r="BG74" s="909"/>
      <c r="BH74" s="909"/>
      <c r="BI74" s="909"/>
      <c r="BJ74" s="632"/>
      <c r="BK74" s="909"/>
      <c r="BL74" s="909"/>
      <c r="BM74" s="909"/>
      <c r="BN74" s="909"/>
      <c r="BO74" s="632"/>
    </row>
    <row r="75" spans="1:67" s="377" customFormat="1">
      <c r="A75" s="351"/>
      <c r="B75" s="985" t="s">
        <v>336</v>
      </c>
      <c r="C75" s="612">
        <f>C67+C74</f>
        <v>0</v>
      </c>
      <c r="D75" s="612">
        <f>D67+D74</f>
        <v>0</v>
      </c>
      <c r="E75" s="612">
        <f>E67+E74</f>
        <v>0</v>
      </c>
      <c r="F75" s="612">
        <f>F67+F74</f>
        <v>0</v>
      </c>
      <c r="G75" s="633">
        <f>SUM(C75:F75)</f>
        <v>0</v>
      </c>
      <c r="H75" s="612">
        <f>SUM(H67,H72:H74)</f>
        <v>-40.841000000000001</v>
      </c>
      <c r="I75" s="612">
        <f>SUM(I67,I72:I74)</f>
        <v>-31.256999999999998</v>
      </c>
      <c r="J75" s="612">
        <f>SUM(J67,J72:J74)</f>
        <v>-37.148999999999994</v>
      </c>
      <c r="K75" s="612">
        <f>SUM(K67,K72:K74)</f>
        <v>-67.594999999999999</v>
      </c>
      <c r="L75" s="910">
        <f>SUM(H75:K75)</f>
        <v>-176.84199999999998</v>
      </c>
      <c r="M75" s="612">
        <f>SUM(M67,M72:M74)</f>
        <v>-83.968000000000018</v>
      </c>
      <c r="N75" s="612">
        <f>SUM(N67,N72:N74)</f>
        <v>-92.894000000000005</v>
      </c>
      <c r="O75" s="612">
        <f>SUM(O67,O72:O74)</f>
        <v>-87.681000000000012</v>
      </c>
      <c r="P75" s="612">
        <f>SUM(P67,P72:P74)</f>
        <v>-82.998999999999995</v>
      </c>
      <c r="Q75" s="633">
        <f>SUM(M75:P75)</f>
        <v>-347.54200000000003</v>
      </c>
      <c r="R75" s="612">
        <f>SUM(R67,R72:R74)</f>
        <v>-93.888000000000019</v>
      </c>
      <c r="S75" s="612">
        <f>SUM(S67,S72:S74)</f>
        <v>-77.103000000000023</v>
      </c>
      <c r="T75" s="612">
        <f>SUM(T67,T72:T74)</f>
        <v>-168.45599999999996</v>
      </c>
      <c r="U75" s="612">
        <f>SUM(U67,U72:U74)</f>
        <v>-197.59300000000002</v>
      </c>
      <c r="V75" s="633">
        <f>SUM(R75:U75)</f>
        <v>-537.04</v>
      </c>
      <c r="W75" s="612">
        <f>SUM(W67,W72:W74)</f>
        <v>-203.471</v>
      </c>
      <c r="X75" s="612">
        <f>SUM(X67,X72:X74)</f>
        <v>-189.20500000000004</v>
      </c>
      <c r="Y75" s="612">
        <f>SUM(Y67,Y72:Y74)</f>
        <v>-153.67699999999994</v>
      </c>
      <c r="Z75" s="612">
        <f>SUM(Z67,Z72:Z74)</f>
        <v>-130.60700000000003</v>
      </c>
      <c r="AA75" s="633">
        <f>SUM(W75:Z75)</f>
        <v>-676.96</v>
      </c>
      <c r="AB75" s="612">
        <f>SUM(AB67,AB72:AB74)</f>
        <v>-192.488</v>
      </c>
      <c r="AC75" s="612">
        <f>SUM(AC67,AC72:AC74)</f>
        <v>-218.95999999999998</v>
      </c>
      <c r="AD75" s="612">
        <f>SUM(AD67,AD72:AD74)</f>
        <v>-197.43300000000011</v>
      </c>
      <c r="AE75" s="612">
        <f>SUM(AE67,AE72:AE74)</f>
        <v>-207.11200000000005</v>
      </c>
      <c r="AF75" s="633">
        <f>SUM(AB75:AE75)</f>
        <v>-815.99300000000017</v>
      </c>
      <c r="AG75" s="612">
        <f>SUM(AG67,AG72:AG74)</f>
        <v>-232.66899999999995</v>
      </c>
      <c r="AH75" s="612">
        <f>SUM(AH67,AH72:AH74)</f>
        <v>-231.04100000000008</v>
      </c>
      <c r="AI75" s="612">
        <f>SUM(AI67,AI72:AI74)</f>
        <v>-211.30199999999994</v>
      </c>
      <c r="AJ75" s="612">
        <f>SUM(AJ67,AJ72:AJ74)</f>
        <v>-174.2109999999999</v>
      </c>
      <c r="AK75" s="633">
        <f>SUM(AG75:AJ75)</f>
        <v>-849.22299999999984</v>
      </c>
      <c r="AL75" s="612">
        <f>SUM(AL67,AL72:AL74)</f>
        <v>-315.09500000000003</v>
      </c>
      <c r="AM75" s="612">
        <f>SUM(AM67,AM72:AM74)</f>
        <v>-313.98400000000015</v>
      </c>
      <c r="AN75" s="1337">
        <f>SUM(AN67,AN72:AN74)</f>
        <v>-325.96499999999992</v>
      </c>
      <c r="AO75" s="612">
        <f>SUM(AO67,AO72:AO74)</f>
        <v>-330.05499999999989</v>
      </c>
      <c r="AP75" s="633">
        <f>SUM(AL75:AO75)</f>
        <v>-1285.0989999999999</v>
      </c>
      <c r="AQ75" s="1337">
        <f>SUM(AQ67,AQ72:AQ74)</f>
        <v>-424.22300000000007</v>
      </c>
      <c r="AR75" s="1337">
        <f>SUM(AR67,AR72:AR74)</f>
        <v>-297.86799999999999</v>
      </c>
      <c r="AS75" s="1337">
        <f>SUM(AS67,AS72:AS74)</f>
        <v>-287.92100000000016</v>
      </c>
      <c r="AT75" s="612">
        <f>SUM(AT67,AT72:AT74)</f>
        <v>-338.95672599839361</v>
      </c>
      <c r="AU75" s="633">
        <f>SUM(AQ75:AT75)</f>
        <v>-1348.9687259983939</v>
      </c>
      <c r="AV75" s="612">
        <f>SUM(AV67,AV72:AV74)</f>
        <v>-287.10927765583187</v>
      </c>
      <c r="AW75" s="612">
        <f>SUM(AW67,AW72:AW74)</f>
        <v>-273.27215943687412</v>
      </c>
      <c r="AX75" s="612">
        <f>SUM(AX67,AX72:AX74)</f>
        <v>-291.57206506650675</v>
      </c>
      <c r="AY75" s="612">
        <f>SUM(AY67,AY72:AY74)</f>
        <v>-356.14602845122624</v>
      </c>
      <c r="AZ75" s="633">
        <f>SUM(AV75:AY75)</f>
        <v>-1208.0995306104389</v>
      </c>
      <c r="BA75" s="612">
        <f>SUM(BA67,BA72:BA74)</f>
        <v>-275.73739645968107</v>
      </c>
      <c r="BB75" s="612">
        <f>SUM(BB67,BB72:BB74)</f>
        <v>-250.16402227349505</v>
      </c>
      <c r="BC75" s="612">
        <f>SUM(BC67,BC72:BC74)</f>
        <v>-264.09805340578612</v>
      </c>
      <c r="BD75" s="612">
        <f>SUM(BD67,BD72:BD74)</f>
        <v>-334.3481353713949</v>
      </c>
      <c r="BE75" s="633">
        <f>SUM(BA75:BD75)</f>
        <v>-1124.3476075103572</v>
      </c>
      <c r="BF75" s="612">
        <f>SUM(BF67,BF72:BF74)</f>
        <v>-223.19189536843152</v>
      </c>
      <c r="BG75" s="612">
        <f>SUM(BG67,BG72:BG74)</f>
        <v>-182.72203761486912</v>
      </c>
      <c r="BH75" s="612">
        <f>SUM(BH67,BH72:BH74)</f>
        <v>-197.47381963662195</v>
      </c>
      <c r="BI75" s="612">
        <f>SUM(BI67,BI72:BI74)</f>
        <v>-283.82896196906944</v>
      </c>
      <c r="BJ75" s="633">
        <f>SUM(BF75:BI75)</f>
        <v>-887.21671458899209</v>
      </c>
      <c r="BK75" s="612">
        <f>SUM(BK67,BK72:BK74)</f>
        <v>-151.85432927642876</v>
      </c>
      <c r="BL75" s="612">
        <f>SUM(BL67,BL72:BL74)</f>
        <v>-90.685590663785973</v>
      </c>
      <c r="BM75" s="612">
        <f>SUM(BM67,BM72:BM74)</f>
        <v>-99.496496933828638</v>
      </c>
      <c r="BN75" s="612">
        <f>SUM(BN67,BN72:BN74)</f>
        <v>-199.68626718496682</v>
      </c>
      <c r="BO75" s="633">
        <f>SUM(BK75:BN75)</f>
        <v>-541.72268405901013</v>
      </c>
    </row>
    <row r="76" spans="1:67">
      <c r="A76" s="620"/>
      <c r="B76" s="1079"/>
      <c r="C76" s="448"/>
      <c r="D76" s="384"/>
      <c r="E76" s="384"/>
      <c r="F76" s="384"/>
      <c r="G76" s="424"/>
      <c r="H76" s="448"/>
      <c r="I76" s="384"/>
      <c r="J76" s="384"/>
      <c r="K76" s="384"/>
      <c r="L76" s="424"/>
      <c r="M76" s="448"/>
      <c r="N76" s="384"/>
      <c r="O76" s="384"/>
      <c r="P76" s="384"/>
      <c r="Q76" s="424"/>
      <c r="R76" s="448"/>
      <c r="S76" s="384"/>
      <c r="T76" s="384"/>
      <c r="U76" s="384"/>
      <c r="V76" s="424"/>
      <c r="W76" s="448"/>
      <c r="X76" s="384"/>
      <c r="Y76" s="384"/>
      <c r="Z76" s="384"/>
      <c r="AA76" s="424"/>
      <c r="AB76" s="448"/>
      <c r="AC76" s="384"/>
      <c r="AD76" s="384"/>
      <c r="AE76" s="384"/>
      <c r="AF76" s="424"/>
      <c r="AG76" s="448"/>
      <c r="AH76" s="384"/>
      <c r="AI76" s="384"/>
      <c r="AJ76" s="384"/>
      <c r="AK76" s="424"/>
      <c r="AL76" s="448"/>
      <c r="AM76" s="384"/>
      <c r="AN76" s="1116"/>
      <c r="AO76" s="384"/>
      <c r="AP76" s="424"/>
      <c r="AQ76" s="448"/>
      <c r="AR76" s="1116"/>
      <c r="AS76" s="1116"/>
      <c r="AT76" s="384"/>
      <c r="AU76" s="424"/>
      <c r="AV76" s="448"/>
      <c r="AW76" s="384"/>
      <c r="AX76" s="384"/>
      <c r="AY76" s="384"/>
      <c r="AZ76" s="424"/>
      <c r="BA76" s="448"/>
      <c r="BB76" s="384"/>
      <c r="BC76" s="384"/>
      <c r="BD76" s="384"/>
      <c r="BE76" s="424"/>
      <c r="BF76" s="448"/>
      <c r="BG76" s="384"/>
      <c r="BH76" s="384"/>
      <c r="BI76" s="384"/>
      <c r="BJ76" s="424"/>
      <c r="BK76" s="448"/>
      <c r="BL76" s="384"/>
      <c r="BM76" s="384"/>
      <c r="BN76" s="384"/>
      <c r="BO76" s="424"/>
    </row>
    <row r="77" spans="1:67" s="377" customFormat="1">
      <c r="A77" s="351"/>
      <c r="B77" s="1200" t="s">
        <v>337</v>
      </c>
      <c r="C77" s="373"/>
      <c r="D77" s="631"/>
      <c r="E77" s="631"/>
      <c r="F77" s="631"/>
      <c r="G77" s="567">
        <f>SUM(C77:F77)</f>
        <v>0</v>
      </c>
      <c r="H77" s="373">
        <v>-0.17100000000000001</v>
      </c>
      <c r="I77" s="373">
        <v>-0.155</v>
      </c>
      <c r="J77" s="373">
        <v>-0.19900000000000001</v>
      </c>
      <c r="K77" s="373">
        <v>-0.308</v>
      </c>
      <c r="L77" s="567">
        <f>SUM(H77:K77)</f>
        <v>-0.83299999999999996</v>
      </c>
      <c r="M77" s="373">
        <v>0.159</v>
      </c>
      <c r="N77" s="373">
        <v>-0.52100000000000002</v>
      </c>
      <c r="O77" s="373">
        <v>-0.376</v>
      </c>
      <c r="P77" s="373">
        <v>-0.255</v>
      </c>
      <c r="Q77" s="567">
        <f>SUM(M77:P77)</f>
        <v>-0.99299999999999999</v>
      </c>
      <c r="R77" s="373">
        <v>0.24399999999999999</v>
      </c>
      <c r="S77" s="373">
        <v>-0.53100000000000003</v>
      </c>
      <c r="T77" s="634">
        <v>-0.433</v>
      </c>
      <c r="U77" s="634">
        <v>-1.3420000000000001</v>
      </c>
      <c r="V77" s="567">
        <f>SUM(R77:U77)</f>
        <v>-2.0620000000000003</v>
      </c>
      <c r="W77" s="634">
        <v>0.251</v>
      </c>
      <c r="X77" s="634">
        <v>-0.51400000000000001</v>
      </c>
      <c r="Y77" s="634">
        <v>-1.179</v>
      </c>
      <c r="Z77" s="634">
        <v>-1.546</v>
      </c>
      <c r="AA77" s="567">
        <f>SUM(W77:Z77)</f>
        <v>-2.9880000000000004</v>
      </c>
      <c r="AB77" s="634">
        <v>26.693999999999999</v>
      </c>
      <c r="AC77" s="634">
        <v>-3.8460000000000001</v>
      </c>
      <c r="AD77" s="634">
        <v>-4.0090000000000003</v>
      </c>
      <c r="AE77" s="634">
        <v>-0.372</v>
      </c>
      <c r="AF77" s="567">
        <f>SUM(AB77:AE77)</f>
        <v>18.466999999999999</v>
      </c>
      <c r="AG77" s="634">
        <v>6.6050000000000004</v>
      </c>
      <c r="AH77" s="634">
        <v>3.7210000000000001</v>
      </c>
      <c r="AI77" s="634">
        <v>-3.3919999999999999</v>
      </c>
      <c r="AJ77" s="634">
        <v>4.2990000000000004</v>
      </c>
      <c r="AK77" s="567">
        <f>SUM(AG77:AJ77)</f>
        <v>11.233000000000001</v>
      </c>
      <c r="AL77" s="921">
        <v>-2.7210000000000001</v>
      </c>
      <c r="AM77" s="959">
        <v>-3.786</v>
      </c>
      <c r="AN77" s="1198">
        <v>-1.9370000000000001</v>
      </c>
      <c r="AO77" s="634">
        <v>4.3310000000000004</v>
      </c>
      <c r="AP77" s="567">
        <f>SUM(AL77:AO77)</f>
        <v>-4.1129999999999987</v>
      </c>
      <c r="AQ77" s="1346">
        <v>-5.7290000000000001</v>
      </c>
      <c r="AR77" s="1347">
        <v>-6.2E-2</v>
      </c>
      <c r="AS77" s="387">
        <v>-3.6819999999999999</v>
      </c>
      <c r="AT77" s="911">
        <f>'IS (Non-GAAP)'!AT78</f>
        <v>-33.029948619244635</v>
      </c>
      <c r="AU77" s="702">
        <f>SUM(AQ77:AT77)</f>
        <v>-42.502948619244634</v>
      </c>
      <c r="AV77" s="912">
        <f>'IS (Non-GAAP)'!AV78</f>
        <v>-49.907912166070723</v>
      </c>
      <c r="AW77" s="911">
        <f>'IS (Non-GAAP)'!AW78</f>
        <v>-60.633083648151668</v>
      </c>
      <c r="AX77" s="911">
        <f>'IS (Non-GAAP)'!AX78</f>
        <v>-61.809910893451722</v>
      </c>
      <c r="AY77" s="911">
        <f>'IS (Non-GAAP)'!AY78</f>
        <v>-47.790356608462893</v>
      </c>
      <c r="AZ77" s="702">
        <f>SUM(AV77:AY77)</f>
        <v>-220.14126331613701</v>
      </c>
      <c r="BA77" s="912">
        <f>'IS (Non-GAAP)'!BA78</f>
        <v>-70.589567869639183</v>
      </c>
      <c r="BB77" s="911">
        <f>'IS (Non-GAAP)'!BB78</f>
        <v>-85.77281455652934</v>
      </c>
      <c r="BC77" s="911">
        <f>'IS (Non-GAAP)'!BC78</f>
        <v>-89.316436407520925</v>
      </c>
      <c r="BD77" s="911">
        <f>'IS (Non-GAAP)'!BD78</f>
        <v>-72.564066754399889</v>
      </c>
      <c r="BE77" s="702">
        <f>SUM(BA77:BD77)</f>
        <v>-318.24288558808934</v>
      </c>
      <c r="BF77" s="912">
        <f>'IS (Non-GAAP)'!BF78</f>
        <v>-101.89670173993976</v>
      </c>
      <c r="BG77" s="911">
        <f>'IS (Non-GAAP)'!BG78</f>
        <v>-121.59076488651506</v>
      </c>
      <c r="BH77" s="911">
        <f>'IS (Non-GAAP)'!BH78</f>
        <v>-128.91846812385859</v>
      </c>
      <c r="BI77" s="911">
        <f>'IS (Non-GAAP)'!BI78</f>
        <v>-108.87687568793345</v>
      </c>
      <c r="BJ77" s="702">
        <f>SUM(BF77:BI77)</f>
        <v>-461.28281043824688</v>
      </c>
      <c r="BK77" s="912">
        <f>'IS (Non-GAAP)'!BK78</f>
        <v>-145.49104044494277</v>
      </c>
      <c r="BL77" s="911">
        <f>'IS (Non-GAAP)'!BL78</f>
        <v>-169.27078837121226</v>
      </c>
      <c r="BM77" s="911">
        <f>'IS (Non-GAAP)'!BM78</f>
        <v>-180.86136908957644</v>
      </c>
      <c r="BN77" s="911">
        <f>'IS (Non-GAAP)'!BN78</f>
        <v>-155.22764333543878</v>
      </c>
      <c r="BO77" s="702">
        <f>SUM(BK77:BN77)</f>
        <v>-650.8508412411702</v>
      </c>
    </row>
    <row r="78" spans="1:67" s="92" customFormat="1">
      <c r="A78" s="575"/>
      <c r="B78" s="1079" t="s">
        <v>338</v>
      </c>
      <c r="C78" s="687" t="str">
        <f t="shared" ref="C78:L78" si="63">IFERROR(IF(AND(C75&gt;=0,C77&gt;=0),-1*(C77/C75),IF(AND(C75&gt;=0,C77&lt;0),-1*(C77/C75),IF(AND(C75&lt;0,C77&gt;=0),(C77/C75),C77/C75))),"--")</f>
        <v>--</v>
      </c>
      <c r="D78" s="687" t="str">
        <f t="shared" si="63"/>
        <v>--</v>
      </c>
      <c r="E78" s="687" t="str">
        <f t="shared" si="63"/>
        <v>--</v>
      </c>
      <c r="F78" s="687" t="str">
        <f t="shared" si="63"/>
        <v>--</v>
      </c>
      <c r="G78" s="688" t="str">
        <f t="shared" si="63"/>
        <v>--</v>
      </c>
      <c r="H78" s="689">
        <f t="shared" si="63"/>
        <v>4.1869689772532507E-3</v>
      </c>
      <c r="I78" s="687">
        <f t="shared" si="63"/>
        <v>4.958889208817225E-3</v>
      </c>
      <c r="J78" s="687">
        <f t="shared" si="63"/>
        <v>5.3568063743304004E-3</v>
      </c>
      <c r="K78" s="687">
        <f t="shared" si="63"/>
        <v>4.5565500406834821E-3</v>
      </c>
      <c r="L78" s="688">
        <f t="shared" si="63"/>
        <v>4.7104194704877802E-3</v>
      </c>
      <c r="M78" s="689">
        <f t="shared" ref="M78:S78" si="64">IFERROR(IF(AND(M75&gt;=0,M77&gt;=0),-1*(M77/M75),IF(AND(M75&gt;=0,M77&lt;0),-1*(M77/M75),IF(AND(M75&lt;0,M77&gt;=0),(M77/M75),M77/M75))),"--")</f>
        <v>-1.8935785060975607E-3</v>
      </c>
      <c r="N78" s="687">
        <f t="shared" si="64"/>
        <v>5.6085430705965942E-3</v>
      </c>
      <c r="O78" s="687">
        <f t="shared" si="64"/>
        <v>4.2882722596685706E-3</v>
      </c>
      <c r="P78" s="687">
        <f t="shared" si="64"/>
        <v>3.0723261726044895E-3</v>
      </c>
      <c r="Q78" s="688">
        <f t="shared" si="64"/>
        <v>2.8572086251445867E-3</v>
      </c>
      <c r="R78" s="689">
        <f t="shared" si="64"/>
        <v>-2.5988411724608036E-3</v>
      </c>
      <c r="S78" s="687">
        <f t="shared" si="64"/>
        <v>6.8868915606396623E-3</v>
      </c>
      <c r="T78" s="687">
        <f t="shared" ref="T78:AA78" si="65">IFERROR(IF(AND(T75&gt;=0,T77&gt;=0),-1*(T77/T75),IF(AND(T75&gt;=0,T77&lt;0),-1*(T77/T75),IF(AND(T75&lt;0,T77&gt;=0),(T77/T75),T77/T75))),"--")</f>
        <v>2.5704041411407138E-3</v>
      </c>
      <c r="U78" s="687">
        <f t="shared" si="65"/>
        <v>6.7917385737348993E-3</v>
      </c>
      <c r="V78" s="690">
        <f t="shared" si="65"/>
        <v>3.8395650230895286E-3</v>
      </c>
      <c r="W78" s="687">
        <f t="shared" si="65"/>
        <v>-1.2335910277140232E-3</v>
      </c>
      <c r="X78" s="687">
        <f t="shared" si="65"/>
        <v>2.7166301101979331E-3</v>
      </c>
      <c r="Y78" s="687">
        <f t="shared" si="65"/>
        <v>7.6719352928544971E-3</v>
      </c>
      <c r="Z78" s="687">
        <f t="shared" si="65"/>
        <v>1.18370378310504E-2</v>
      </c>
      <c r="AA78" s="690">
        <f t="shared" si="65"/>
        <v>4.413850153627984E-3</v>
      </c>
      <c r="AB78" s="687">
        <f t="shared" ref="AB78:AO78" si="66">IFERROR(IF(AND(AB75&gt;=0,AB77&gt;=0),-1*(AB77/AB75),IF(AND(AB75&gt;=0,AB77&lt;0),-1*(AB77/AB75),IF(AND(AB75&lt;0,AB77&gt;=0),(AB77/AB75),AB77/AB75))),"--")</f>
        <v>-0.13867877478076554</v>
      </c>
      <c r="AC78" s="687">
        <f t="shared" si="66"/>
        <v>1.7564852027767631E-2</v>
      </c>
      <c r="AD78" s="687">
        <f t="shared" si="66"/>
        <v>2.0305622666930038E-2</v>
      </c>
      <c r="AE78" s="687">
        <f t="shared" si="66"/>
        <v>1.7961296303449336E-3</v>
      </c>
      <c r="AF78" s="690">
        <f t="shared" si="66"/>
        <v>-2.2631321592219537E-2</v>
      </c>
      <c r="AG78" s="687">
        <f t="shared" si="66"/>
        <v>-2.8387967455913772E-2</v>
      </c>
      <c r="AH78" s="687">
        <f t="shared" si="66"/>
        <v>-1.6105366579957665E-2</v>
      </c>
      <c r="AI78" s="687">
        <f t="shared" si="66"/>
        <v>1.6052853262155591E-2</v>
      </c>
      <c r="AJ78" s="687">
        <f t="shared" si="66"/>
        <v>-2.4676972177417055E-2</v>
      </c>
      <c r="AK78" s="690">
        <f t="shared" si="66"/>
        <v>-1.3227385504160865E-2</v>
      </c>
      <c r="AL78" s="687">
        <f t="shared" si="66"/>
        <v>8.6354908837017411E-3</v>
      </c>
      <c r="AM78" s="687">
        <f t="shared" si="66"/>
        <v>1.205793925805136E-2</v>
      </c>
      <c r="AN78" s="1266">
        <f>IFERROR(IF(AND(AN75&gt;=0,AN77&gt;=0),-1*(AN77/AN75),IF(AND(AN75&gt;=0,AN77&lt;0),-1*(AN77/AN75),IF(AND(AN75&lt;0,AN77&gt;=0),(AN77/AN75),AN77/AN75))),"--")</f>
        <v>5.9423557743929576E-3</v>
      </c>
      <c r="AO78" s="687">
        <f t="shared" si="66"/>
        <v>-1.3122055415006596E-2</v>
      </c>
      <c r="AP78" s="690">
        <f>IFERROR(IF(AND(AP75&gt;=0,AP77&gt;=0),-1*(AP77/AP75),IF(AND(AP75&gt;=0,AP77&lt;0),-1*(AP77/AP75),IF(AND(AP75&lt;0,AP77&gt;=0),(AP77/AP75),AP77/AP75))),"--")</f>
        <v>3.2005316321933163E-3</v>
      </c>
      <c r="AQ78" s="687">
        <f>IFERROR(IF(AND(AQ75&gt;=0,AQ77&gt;=0),-1*(AQ77/AQ75),IF(AND(AQ75&gt;=0,AQ77&lt;0),-1*(AQ77/AQ75),IF(AND(AQ75&lt;0,AQ77&gt;=0),(AQ77/AQ75),AQ77/AQ75))),"--")</f>
        <v>1.3504689750437858E-2</v>
      </c>
      <c r="AR78" s="1266">
        <f t="shared" ref="AR78" si="67">IFERROR(IF(AND(AR75&gt;=0,AR77&gt;=0),-1*(AR77/AR75),IF(AND(AR75&gt;=0,AR77&lt;0),-1*(AR77/AR75),IF(AND(AR75&lt;0,AR77&gt;=0),(AR77/AR75),AR77/AR75))),"--")</f>
        <v>2.0814589012582756E-4</v>
      </c>
      <c r="AS78" s="1266">
        <f>IFERROR(IF(AND(AS75&gt;=0,AS77&gt;=0),-1*(AS77/AS75),IF(AND(AS75&gt;=0,AS77&lt;0),-1*(AS77/AS75),IF(AND(AS75&lt;0,AS77&gt;=0),(AS77/AS75),AS77/AS75))),"--")</f>
        <v>1.278823010478568E-2</v>
      </c>
      <c r="AT78" s="687">
        <f>IFERROR(IF(AND(AT75&gt;=0,AT77&gt;=0),-1*(AT77/AT75),IF(AND(AT75&gt;=0,AT77&lt;0),-1*(AT77/AT75),IF(AND(AT75&lt;0,AT77&gt;=0),(AT77/AT75),AT77/AT75))),"--")</f>
        <v>9.7445915911405084E-2</v>
      </c>
      <c r="AU78" s="690">
        <f t="shared" ref="AU78:AZ78" si="68">IFERROR(IF(AND(AU75&gt;=0,AU77&gt;=0),-1*(AU77/AU75),IF(AND(AU75&gt;=0,AU77&lt;0),-1*(AU77/AU75),IF(AND(AU75&lt;0,AU77&gt;=0),(AU77/AU75),AU77/AU75))),"--")</f>
        <v>3.150773461244441E-2</v>
      </c>
      <c r="AV78" s="687">
        <f t="shared" si="68"/>
        <v>0.17382897750137186</v>
      </c>
      <c r="AW78" s="687">
        <f t="shared" si="68"/>
        <v>0.22187801264899037</v>
      </c>
      <c r="AX78" s="687">
        <f t="shared" si="68"/>
        <v>0.21198845259525481</v>
      </c>
      <c r="AY78" s="687">
        <f t="shared" si="68"/>
        <v>0.13418753205332382</v>
      </c>
      <c r="AZ78" s="690">
        <f t="shared" si="68"/>
        <v>0.18222113140371982</v>
      </c>
      <c r="BA78" s="687">
        <f t="shared" ref="BA78:BJ78" si="69">IFERROR(IF(AND(BA75&gt;=0,BA77&gt;=0),-1*(BA77/BA75),IF(AND(BA75&gt;=0,BA77&lt;0),-1*(BA77/BA75),IF(AND(BA75&lt;0,BA77&gt;=0),(BA77/BA75),BA77/BA75))),"--")</f>
        <v>0.2560028809148524</v>
      </c>
      <c r="BB78" s="687">
        <f t="shared" si="69"/>
        <v>0.34286630738115131</v>
      </c>
      <c r="BC78" s="687">
        <f t="shared" si="69"/>
        <v>0.33819422466657262</v>
      </c>
      <c r="BD78" s="687">
        <f t="shared" si="69"/>
        <v>0.21703146833403306</v>
      </c>
      <c r="BE78" s="690">
        <f t="shared" si="69"/>
        <v>0.28304670500680346</v>
      </c>
      <c r="BF78" s="687">
        <f t="shared" si="69"/>
        <v>0.456543019054231</v>
      </c>
      <c r="BG78" s="687">
        <f t="shared" si="69"/>
        <v>0.66544116119587615</v>
      </c>
      <c r="BH78" s="687">
        <f t="shared" si="69"/>
        <v>0.65283827679580864</v>
      </c>
      <c r="BI78" s="687">
        <f t="shared" si="69"/>
        <v>0.38360030256460725</v>
      </c>
      <c r="BJ78" s="690">
        <f t="shared" si="69"/>
        <v>0.51992123553706793</v>
      </c>
      <c r="BK78" s="687">
        <f>IFERROR(IF(AND(BK75&gt;=0,BK77&gt;=0),-1*(BK77/BK75),IF(AND(BK75&gt;=0,BK77&lt;0),-1*(BK77/BK75),IF(AND(BK75&lt;0,BK77&gt;=0),(BK77/BK75),BK77/BK75))),"--")</f>
        <v>0.95809609866372303</v>
      </c>
      <c r="BL78" s="687">
        <f>IFERROR(IF(AND(BL75&gt;=0,BL77&gt;=0),-1*(BL77/BL75),IF(AND(BL75&gt;=0,BL77&lt;0),-1*(BL77/BL75),IF(AND(BL75&lt;0,BL77&gt;=0),(BL77/BL75),BL77/BL75))),"--")</f>
        <v>1.8665676336473176</v>
      </c>
      <c r="BM78" s="687">
        <f>IFERROR(IF(AND(BM75&gt;=0,BM77&gt;=0),-1*(BM77/BM75),IF(AND(BM75&gt;=0,BM77&lt;0),-1*(BM77/BM75),IF(AND(BM75&lt;0,BM77&gt;=0),(BM77/BM75),BM77/BM75))),"--")</f>
        <v>1.8177661994458008</v>
      </c>
      <c r="BN78" s="687">
        <f>IFERROR(IF(AND(BN75&gt;=0,BN77&gt;=0),-1*(BN77/BN75),IF(AND(BN75&gt;=0,BN77&lt;0),-1*(BN77/BN75),IF(AND(BN75&lt;0,BN77&gt;=0),(BN77/BN75),BN77/BN75))),"--")</f>
        <v>0.77735762966440458</v>
      </c>
      <c r="BO78" s="690">
        <f>IFERROR(IF(AND(BO75&gt;=0,BO77&gt;=0),-1*(BO77/BO75),IF(AND(BO75&gt;=0,BO77&lt;0),-1*(BO77/BO75),IF(AND(BO75&lt;0,BO77&gt;=0),(BO77/BO75),BO77/BO75))),"--")</f>
        <v>1.2014465341648359</v>
      </c>
    </row>
    <row r="79" spans="1:67">
      <c r="A79" s="107"/>
      <c r="C79" s="448"/>
      <c r="D79" s="384"/>
      <c r="E79" s="384"/>
      <c r="F79" s="384"/>
      <c r="G79" s="635"/>
      <c r="H79" s="448"/>
      <c r="I79" s="384"/>
      <c r="J79" s="384"/>
      <c r="K79" s="384"/>
      <c r="L79" s="635"/>
      <c r="M79" s="448"/>
      <c r="N79" s="384"/>
      <c r="O79" s="384"/>
      <c r="P79" s="384"/>
      <c r="Q79" s="635"/>
      <c r="R79" s="448"/>
      <c r="S79" s="384"/>
      <c r="T79" s="384"/>
      <c r="U79" s="384"/>
      <c r="V79" s="635"/>
      <c r="W79" s="448"/>
      <c r="X79" s="384"/>
      <c r="Y79" s="384"/>
      <c r="Z79" s="384"/>
      <c r="AA79" s="635"/>
      <c r="AB79" s="448"/>
      <c r="AC79" s="384"/>
      <c r="AD79" s="384"/>
      <c r="AE79" s="384"/>
      <c r="AF79" s="635"/>
      <c r="AG79" s="448"/>
      <c r="AH79" s="384"/>
      <c r="AI79" s="384"/>
      <c r="AJ79" s="384"/>
      <c r="AK79" s="635"/>
      <c r="AL79" s="448"/>
      <c r="AM79" s="384"/>
      <c r="AN79" s="1116"/>
      <c r="AO79" s="384"/>
      <c r="AP79" s="635"/>
      <c r="AQ79" s="448"/>
      <c r="AR79" s="1116"/>
      <c r="AS79" s="1116"/>
      <c r="AT79" s="384"/>
      <c r="AU79" s="635"/>
      <c r="AV79" s="448"/>
      <c r="AW79" s="384"/>
      <c r="AX79" s="384"/>
      <c r="AY79" s="384"/>
      <c r="AZ79" s="635"/>
      <c r="BA79" s="448"/>
      <c r="BB79" s="384"/>
      <c r="BC79" s="384"/>
      <c r="BD79" s="384"/>
      <c r="BE79" s="635"/>
      <c r="BF79" s="448"/>
      <c r="BG79" s="384"/>
      <c r="BH79" s="384"/>
      <c r="BI79" s="384"/>
      <c r="BJ79" s="635"/>
      <c r="BK79" s="448"/>
      <c r="BL79" s="384"/>
      <c r="BM79" s="384"/>
      <c r="BN79" s="384"/>
      <c r="BO79" s="635"/>
    </row>
    <row r="80" spans="1:67" s="377" customFormat="1">
      <c r="A80" s="636"/>
      <c r="B80" s="1078" t="s">
        <v>339</v>
      </c>
      <c r="C80" s="637">
        <f>C75+C77</f>
        <v>0</v>
      </c>
      <c r="D80" s="637">
        <f>D75+D77</f>
        <v>0</v>
      </c>
      <c r="E80" s="637">
        <f>E75+E77</f>
        <v>0</v>
      </c>
      <c r="F80" s="637">
        <f>F75+F77</f>
        <v>0</v>
      </c>
      <c r="G80" s="638">
        <f>SUM(C80:F80)</f>
        <v>0</v>
      </c>
      <c r="H80" s="637">
        <f>H75+H77</f>
        <v>-41.012</v>
      </c>
      <c r="I80" s="637">
        <f>I75+I77</f>
        <v>-31.411999999999999</v>
      </c>
      <c r="J80" s="637">
        <f>J75+J77</f>
        <v>-37.347999999999992</v>
      </c>
      <c r="K80" s="637">
        <f>K75+K77</f>
        <v>-67.903000000000006</v>
      </c>
      <c r="L80" s="638">
        <f>SUM(H80:K80)</f>
        <v>-177.67500000000001</v>
      </c>
      <c r="M80" s="637">
        <f>M75+M77</f>
        <v>-83.809000000000012</v>
      </c>
      <c r="N80" s="637">
        <f>N75+N77</f>
        <v>-93.415000000000006</v>
      </c>
      <c r="O80" s="637">
        <f>O75+O77</f>
        <v>-88.057000000000016</v>
      </c>
      <c r="P80" s="637">
        <f>P75+P77</f>
        <v>-83.253999999999991</v>
      </c>
      <c r="Q80" s="638">
        <f>SUM(M80:P80)</f>
        <v>-348.53500000000008</v>
      </c>
      <c r="R80" s="637">
        <f>R75+R77</f>
        <v>-93.64400000000002</v>
      </c>
      <c r="S80" s="637">
        <f>S75+S77</f>
        <v>-77.634000000000029</v>
      </c>
      <c r="T80" s="637">
        <f>T75+T77</f>
        <v>-168.88899999999995</v>
      </c>
      <c r="U80" s="637">
        <f>U75+U77</f>
        <v>-198.93500000000003</v>
      </c>
      <c r="V80" s="638">
        <f>SUM(R80:U80)</f>
        <v>-539.10200000000009</v>
      </c>
      <c r="W80" s="637">
        <f>W75+W77</f>
        <v>-203.22</v>
      </c>
      <c r="X80" s="637">
        <f>X75+X77</f>
        <v>-189.71900000000005</v>
      </c>
      <c r="Y80" s="637">
        <f>Y75+Y77</f>
        <v>-154.85599999999994</v>
      </c>
      <c r="Z80" s="637">
        <f>Z75+Z77</f>
        <v>-132.15300000000002</v>
      </c>
      <c r="AA80" s="638">
        <f>SUM(W80:Z80)</f>
        <v>-679.94800000000009</v>
      </c>
      <c r="AB80" s="637">
        <f>AB75+AB77</f>
        <v>-165.79400000000001</v>
      </c>
      <c r="AC80" s="637">
        <f>AC75+AC77</f>
        <v>-222.80599999999998</v>
      </c>
      <c r="AD80" s="637">
        <f>AD75+AD77</f>
        <v>-201.44200000000012</v>
      </c>
      <c r="AE80" s="637">
        <f>AE75+AE77</f>
        <v>-207.48400000000007</v>
      </c>
      <c r="AF80" s="638">
        <f>SUM(AB80:AE80)</f>
        <v>-797.52600000000018</v>
      </c>
      <c r="AG80" s="637">
        <f>AG75+AG77</f>
        <v>-226.06399999999996</v>
      </c>
      <c r="AH80" s="637">
        <f>AH75+AH77</f>
        <v>-227.32000000000008</v>
      </c>
      <c r="AI80" s="637">
        <f>AI75+AI77</f>
        <v>-214.69399999999993</v>
      </c>
      <c r="AJ80" s="637">
        <f>AJ75+AJ77</f>
        <v>-169.91199999999989</v>
      </c>
      <c r="AK80" s="638">
        <f>SUM(AG80:AJ80)</f>
        <v>-837.9899999999999</v>
      </c>
      <c r="AL80" s="637">
        <f>AL75+AL77</f>
        <v>-317.81600000000003</v>
      </c>
      <c r="AM80" s="637">
        <f>AM75+AM77</f>
        <v>-317.77000000000015</v>
      </c>
      <c r="AN80" s="1119">
        <f>AN75+AN77</f>
        <v>-327.90199999999993</v>
      </c>
      <c r="AO80" s="637">
        <f>AO75+AO77</f>
        <v>-325.72399999999988</v>
      </c>
      <c r="AP80" s="638">
        <f>SUM(AL80:AO80)</f>
        <v>-1289.212</v>
      </c>
      <c r="AQ80" s="637">
        <f>AQ75+AQ77</f>
        <v>-429.95200000000006</v>
      </c>
      <c r="AR80" s="1119">
        <f>AR75+AR77</f>
        <v>-297.93</v>
      </c>
      <c r="AS80" s="1119">
        <f>AS75+AS77</f>
        <v>-291.60300000000018</v>
      </c>
      <c r="AT80" s="637">
        <f>AT75+AT77</f>
        <v>-371.98667461763824</v>
      </c>
      <c r="AU80" s="638">
        <f>SUM(AQ80:AT80)</f>
        <v>-1391.4716746176384</v>
      </c>
      <c r="AV80" s="637">
        <f>AV75+AV77</f>
        <v>-337.0171898219026</v>
      </c>
      <c r="AW80" s="637">
        <f>AW75+AW77</f>
        <v>-333.9052430850258</v>
      </c>
      <c r="AX80" s="637">
        <f>AX75+AX77</f>
        <v>-353.38197595995848</v>
      </c>
      <c r="AY80" s="637">
        <f>AY75+AY77</f>
        <v>-403.93638505968914</v>
      </c>
      <c r="AZ80" s="638">
        <f>SUM(AV80:AY80)</f>
        <v>-1428.2407939265761</v>
      </c>
      <c r="BA80" s="637">
        <f>BA75+BA77</f>
        <v>-346.32696432932028</v>
      </c>
      <c r="BB80" s="637">
        <f>BB75+BB77</f>
        <v>-335.93683683002439</v>
      </c>
      <c r="BC80" s="637">
        <f>BC75+BC77</f>
        <v>-353.41448981330706</v>
      </c>
      <c r="BD80" s="637">
        <f>BD75+BD77</f>
        <v>-406.91220212579481</v>
      </c>
      <c r="BE80" s="638">
        <f>SUM(BA80:BD80)</f>
        <v>-1442.5904930984466</v>
      </c>
      <c r="BF80" s="637">
        <f>BF75+BF77</f>
        <v>-325.08859710837129</v>
      </c>
      <c r="BG80" s="637">
        <f>BG75+BG77</f>
        <v>-304.31280250138417</v>
      </c>
      <c r="BH80" s="637">
        <f>BH75+BH77</f>
        <v>-326.39228776048054</v>
      </c>
      <c r="BI80" s="637">
        <f>BI75+BI77</f>
        <v>-392.70583765700292</v>
      </c>
      <c r="BJ80" s="638">
        <f>SUM(BF80:BI80)</f>
        <v>-1348.4995250272391</v>
      </c>
      <c r="BK80" s="637">
        <f>BK75+BK77</f>
        <v>-297.34536972137153</v>
      </c>
      <c r="BL80" s="637">
        <f>BL75+BL77</f>
        <v>-259.95637903499824</v>
      </c>
      <c r="BM80" s="637">
        <f>BM75+BM77</f>
        <v>-280.35786602340511</v>
      </c>
      <c r="BN80" s="637">
        <f>BN75+BN77</f>
        <v>-354.91391052040558</v>
      </c>
      <c r="BO80" s="638">
        <f>SUM(BK80:BN80)</f>
        <v>-1192.5735253001803</v>
      </c>
    </row>
    <row r="81" spans="1:67" s="92" customFormat="1">
      <c r="B81" s="1162" t="s">
        <v>340</v>
      </c>
      <c r="C81" s="686" t="str">
        <f t="shared" ref="C81:AH81" si="70">IFERROR(C80/C10,"--")</f>
        <v>--</v>
      </c>
      <c r="D81" s="533" t="str">
        <f t="shared" si="70"/>
        <v>--</v>
      </c>
      <c r="E81" s="533" t="str">
        <f t="shared" si="70"/>
        <v>--</v>
      </c>
      <c r="F81" s="533" t="str">
        <f t="shared" si="70"/>
        <v>--</v>
      </c>
      <c r="G81" s="682" t="str">
        <f t="shared" si="70"/>
        <v>--</v>
      </c>
      <c r="H81" s="686">
        <f t="shared" si="70"/>
        <v>-3.0599119600089533</v>
      </c>
      <c r="I81" s="533">
        <f t="shared" si="70"/>
        <v>-1.7543702876291538</v>
      </c>
      <c r="J81" s="533">
        <f t="shared" si="70"/>
        <v>-1.3022315202231518</v>
      </c>
      <c r="K81" s="533">
        <f t="shared" si="70"/>
        <v>-1.8513277714161076</v>
      </c>
      <c r="L81" s="682">
        <f t="shared" si="70"/>
        <v>-1.8380299174477066</v>
      </c>
      <c r="M81" s="686">
        <f t="shared" si="70"/>
        <v>-1.9176066811577626</v>
      </c>
      <c r="N81" s="533">
        <f t="shared" si="70"/>
        <v>-1.5481695089411494</v>
      </c>
      <c r="O81" s="533">
        <f t="shared" si="70"/>
        <v>-1.2060620172026519</v>
      </c>
      <c r="P81" s="533">
        <f t="shared" si="70"/>
        <v>-0.94939105049491379</v>
      </c>
      <c r="Q81" s="682">
        <f t="shared" si="70"/>
        <v>-1.3164783114508896</v>
      </c>
      <c r="R81" s="533">
        <f t="shared" si="70"/>
        <v>-0.86057988328814983</v>
      </c>
      <c r="S81" s="533">
        <f t="shared" si="70"/>
        <v>-0.58307859852041033</v>
      </c>
      <c r="T81" s="533">
        <f t="shared" si="70"/>
        <v>-1.0580426502280353</v>
      </c>
      <c r="U81" s="533">
        <f t="shared" si="70"/>
        <v>-1.0444701126191165</v>
      </c>
      <c r="V81" s="682">
        <f t="shared" si="70"/>
        <v>-0.91056990215336919</v>
      </c>
      <c r="W81" s="533">
        <f t="shared" si="70"/>
        <v>-0.88775697423486544</v>
      </c>
      <c r="X81" s="533">
        <f t="shared" si="70"/>
        <v>-0.69698895656838056</v>
      </c>
      <c r="Y81" s="533">
        <f t="shared" si="70"/>
        <v>-0.4630293534584573</v>
      </c>
      <c r="Z81" s="533">
        <f t="shared" si="70"/>
        <v>-0.34435110247176731</v>
      </c>
      <c r="AA81" s="682">
        <f t="shared" si="70"/>
        <v>-0.5576420435207291</v>
      </c>
      <c r="AB81" s="533">
        <f t="shared" si="70"/>
        <v>-0.39253168423021467</v>
      </c>
      <c r="AC81" s="533">
        <f t="shared" si="70"/>
        <v>-0.44807822253684276</v>
      </c>
      <c r="AD81" s="533">
        <f t="shared" si="70"/>
        <v>-0.36163711698514284</v>
      </c>
      <c r="AE81" s="533">
        <f t="shared" si="70"/>
        <v>-0.35225767896070043</v>
      </c>
      <c r="AF81" s="682">
        <f t="shared" si="70"/>
        <v>-0.38608792641960765</v>
      </c>
      <c r="AG81" s="533">
        <f t="shared" si="70"/>
        <v>-0.36251501365460809</v>
      </c>
      <c r="AH81" s="533">
        <f t="shared" si="70"/>
        <v>-0.33726102270265795</v>
      </c>
      <c r="AI81" s="533">
        <f t="shared" ref="AI81:BN81" si="71">IFERROR(AI80/AI10,"--")</f>
        <v>-0.29242971343266494</v>
      </c>
      <c r="AJ81" s="533">
        <f t="shared" si="71"/>
        <v>-0.2193264738950223</v>
      </c>
      <c r="AK81" s="682">
        <f t="shared" si="71"/>
        <v>-0.29859016016096979</v>
      </c>
      <c r="AL81" s="533">
        <f t="shared" si="71"/>
        <v>-0.38350735903676691</v>
      </c>
      <c r="AM81" s="533">
        <f t="shared" si="71"/>
        <v>-0.36574768393562346</v>
      </c>
      <c r="AN81" s="1118">
        <f t="shared" si="71"/>
        <v>-0.3480565633577965</v>
      </c>
      <c r="AO81" s="533">
        <f t="shared" si="71"/>
        <v>-0.33009110532342884</v>
      </c>
      <c r="AP81" s="682">
        <f t="shared" si="71"/>
        <v>-0.35550778238228808</v>
      </c>
      <c r="AQ81" s="533">
        <f t="shared" si="71"/>
        <v>-0.41259257979759595</v>
      </c>
      <c r="AR81" s="1118">
        <f t="shared" ref="AR81:AS81" si="72">IFERROR(AR80/AR10,"--")</f>
        <v>-0.26020791829298434</v>
      </c>
      <c r="AS81" s="1118">
        <f t="shared" si="72"/>
        <v>-0.24041622248660058</v>
      </c>
      <c r="AT81" s="533">
        <f t="shared" si="71"/>
        <v>-0.29787457103831672</v>
      </c>
      <c r="AU81" s="682">
        <f t="shared" si="71"/>
        <v>-0.29932135762270579</v>
      </c>
      <c r="AV81" s="533">
        <f t="shared" si="71"/>
        <v>-0.25667507508765675</v>
      </c>
      <c r="AW81" s="533">
        <f t="shared" si="71"/>
        <v>-0.23596953007469873</v>
      </c>
      <c r="AX81" s="533">
        <f t="shared" si="71"/>
        <v>-0.23522505914753961</v>
      </c>
      <c r="AY81" s="533">
        <f t="shared" si="71"/>
        <v>-0.26073412473187352</v>
      </c>
      <c r="AZ81" s="682">
        <f t="shared" si="71"/>
        <v>-0.24711810369866907</v>
      </c>
      <c r="BA81" s="533">
        <f t="shared" si="71"/>
        <v>-0.21256764279554391</v>
      </c>
      <c r="BB81" s="533">
        <f t="shared" si="71"/>
        <v>-0.19078453984921029</v>
      </c>
      <c r="BC81" s="533">
        <f t="shared" si="71"/>
        <v>-0.18853384577111032</v>
      </c>
      <c r="BD81" s="533">
        <f t="shared" si="71"/>
        <v>-0.21262765017380925</v>
      </c>
      <c r="BE81" s="682">
        <f t="shared" si="71"/>
        <v>-0.20096419168646804</v>
      </c>
      <c r="BF81" s="533">
        <f t="shared" si="71"/>
        <v>-0.16282841914729568</v>
      </c>
      <c r="BG81" s="533">
        <f t="shared" si="71"/>
        <v>-0.14136147454774625</v>
      </c>
      <c r="BH81" s="533">
        <f t="shared" si="71"/>
        <v>-0.1399167548219985</v>
      </c>
      <c r="BI81" s="533">
        <f t="shared" si="71"/>
        <v>-0.16417530908746042</v>
      </c>
      <c r="BJ81" s="682">
        <f t="shared" si="71"/>
        <v>-0.15196090910165555</v>
      </c>
      <c r="BK81" s="533">
        <f t="shared" si="71"/>
        <v>-0.11978530981866302</v>
      </c>
      <c r="BL81" s="533">
        <f t="shared" si="71"/>
        <v>-9.8366272977386301E-2</v>
      </c>
      <c r="BM81" s="533">
        <f t="shared" si="71"/>
        <v>-9.7241253904864891E-2</v>
      </c>
      <c r="BN81" s="533">
        <f t="shared" si="71"/>
        <v>-0.1213043820838836</v>
      </c>
      <c r="BO81" s="682">
        <f>IFERROR(BO80/BO10,"--")</f>
        <v>-0.10907032200586006</v>
      </c>
    </row>
    <row r="82" spans="1:67">
      <c r="B82" s="1079"/>
      <c r="C82" s="448"/>
      <c r="D82" s="384"/>
      <c r="E82" s="384"/>
      <c r="F82" s="384"/>
      <c r="G82" s="639"/>
      <c r="H82" s="448"/>
      <c r="I82" s="384"/>
      <c r="J82" s="384"/>
      <c r="K82" s="384"/>
      <c r="L82" s="639"/>
      <c r="M82" s="448"/>
      <c r="N82" s="384"/>
      <c r="O82" s="384"/>
      <c r="P82" s="384"/>
      <c r="Q82" s="639"/>
      <c r="R82" s="448"/>
      <c r="S82" s="384"/>
      <c r="T82" s="384"/>
      <c r="U82" s="384"/>
      <c r="V82" s="639"/>
      <c r="W82" s="448"/>
      <c r="X82" s="384"/>
      <c r="Y82" s="384"/>
      <c r="Z82" s="384"/>
      <c r="AA82" s="639"/>
      <c r="AB82" s="448"/>
      <c r="AC82" s="384"/>
      <c r="AD82" s="384"/>
      <c r="AE82" s="384"/>
      <c r="AF82" s="639"/>
      <c r="AG82" s="448"/>
      <c r="AH82" s="384"/>
      <c r="AI82" s="384"/>
      <c r="AJ82" s="384"/>
      <c r="AK82" s="639"/>
      <c r="AL82" s="448"/>
      <c r="AM82" s="384"/>
      <c r="AN82" s="1116"/>
      <c r="AO82" s="384"/>
      <c r="AP82" s="639"/>
      <c r="AQ82" s="448"/>
      <c r="AR82" s="1116"/>
      <c r="AS82" s="1116"/>
      <c r="AT82" s="384"/>
      <c r="AU82" s="639"/>
      <c r="AV82" s="448"/>
      <c r="AW82" s="384"/>
      <c r="AX82" s="384"/>
      <c r="AY82" s="384"/>
      <c r="AZ82" s="639"/>
      <c r="BA82" s="448"/>
      <c r="BB82" s="384"/>
      <c r="BC82" s="384"/>
      <c r="BD82" s="384"/>
      <c r="BE82" s="639"/>
      <c r="BF82" s="448"/>
      <c r="BG82" s="384"/>
      <c r="BH82" s="384"/>
      <c r="BI82" s="384"/>
      <c r="BJ82" s="639"/>
      <c r="BK82" s="448"/>
      <c r="BL82" s="384"/>
      <c r="BM82" s="384"/>
      <c r="BN82" s="384"/>
      <c r="BO82" s="639"/>
    </row>
    <row r="83" spans="1:67">
      <c r="B83" s="1164" t="s">
        <v>341</v>
      </c>
      <c r="C83" s="448"/>
      <c r="D83" s="384"/>
      <c r="E83" s="384"/>
      <c r="F83" s="384"/>
      <c r="G83" s="639"/>
      <c r="H83" s="448"/>
      <c r="I83" s="384"/>
      <c r="J83" s="384"/>
      <c r="K83" s="384"/>
      <c r="L83" s="639"/>
      <c r="M83" s="448"/>
      <c r="N83" s="384"/>
      <c r="O83" s="384"/>
      <c r="P83" s="384"/>
      <c r="Q83" s="639"/>
      <c r="R83" s="448"/>
      <c r="S83" s="384"/>
      <c r="T83" s="384"/>
      <c r="U83" s="384"/>
      <c r="V83" s="639"/>
      <c r="W83" s="448"/>
      <c r="X83" s="384"/>
      <c r="Y83" s="384"/>
      <c r="Z83" s="384"/>
      <c r="AA83" s="639"/>
      <c r="AB83" s="448"/>
      <c r="AC83" s="384"/>
      <c r="AD83" s="384"/>
      <c r="AE83" s="384"/>
      <c r="AF83" s="639"/>
      <c r="AG83" s="448"/>
      <c r="AH83" s="384"/>
      <c r="AI83" s="384"/>
      <c r="AJ83" s="384"/>
      <c r="AK83" s="639"/>
      <c r="AL83" s="448"/>
      <c r="AM83" s="384"/>
      <c r="AN83" s="1116"/>
      <c r="AO83" s="384"/>
      <c r="AP83" s="639"/>
      <c r="AQ83" s="448"/>
      <c r="AR83" s="1116"/>
      <c r="AS83" s="1116"/>
      <c r="AT83" s="384"/>
      <c r="AU83" s="639"/>
      <c r="AV83" s="448"/>
      <c r="AW83" s="384"/>
      <c r="AX83" s="384"/>
      <c r="AY83" s="384"/>
      <c r="AZ83" s="639"/>
      <c r="BA83" s="448"/>
      <c r="BB83" s="384"/>
      <c r="BC83" s="384"/>
      <c r="BD83" s="384"/>
      <c r="BE83" s="639"/>
      <c r="BF83" s="448"/>
      <c r="BG83" s="384"/>
      <c r="BH83" s="384"/>
      <c r="BI83" s="384"/>
      <c r="BJ83" s="639"/>
      <c r="BK83" s="448"/>
      <c r="BL83" s="384"/>
      <c r="BM83" s="384"/>
      <c r="BN83" s="384"/>
      <c r="BO83" s="639"/>
    </row>
    <row r="84" spans="1:67" s="377" customFormat="1" hidden="1" outlineLevel="1">
      <c r="B84" s="1165" t="s">
        <v>345</v>
      </c>
      <c r="C84" s="640"/>
      <c r="D84" s="641"/>
      <c r="E84" s="641"/>
      <c r="F84" s="641"/>
      <c r="G84" s="567"/>
      <c r="H84" s="640"/>
      <c r="I84" s="641"/>
      <c r="J84" s="641"/>
      <c r="K84" s="634"/>
      <c r="L84" s="567"/>
      <c r="M84" s="387"/>
      <c r="N84" s="634"/>
      <c r="O84" s="634"/>
      <c r="P84" s="634"/>
      <c r="Q84" s="567"/>
      <c r="R84" s="634"/>
      <c r="S84" s="634"/>
      <c r="T84" s="634"/>
      <c r="U84" s="634"/>
      <c r="V84" s="567"/>
      <c r="W84" s="634"/>
      <c r="X84" s="634"/>
      <c r="Y84" s="634"/>
      <c r="Z84" s="634"/>
      <c r="AA84" s="567"/>
      <c r="AB84" s="634"/>
      <c r="AC84" s="634"/>
      <c r="AD84" s="634">
        <v>-0.50600000000000001</v>
      </c>
      <c r="AE84" s="634">
        <v>-0.315</v>
      </c>
      <c r="AF84" s="567">
        <f>SUM(AB84:AE84)</f>
        <v>-0.82099999999999995</v>
      </c>
      <c r="AG84" s="634">
        <v>-0.437</v>
      </c>
      <c r="AH84" s="634">
        <v>-0.45300000000000001</v>
      </c>
      <c r="AI84" s="634">
        <v>-0.443</v>
      </c>
      <c r="AJ84" s="634">
        <v>-0.56000000000000005</v>
      </c>
      <c r="AK84" s="567">
        <f>SUM(AG84:AJ84)</f>
        <v>-1.893</v>
      </c>
      <c r="AL84" s="387">
        <v>-0.82799999999999996</v>
      </c>
      <c r="AM84" s="634">
        <v>-0.871</v>
      </c>
      <c r="AN84" s="1201">
        <v>-3.6230000000000002</v>
      </c>
      <c r="AO84" s="634">
        <v>1.75</v>
      </c>
      <c r="AP84" s="567">
        <f>SUM(AL84:AO84)</f>
        <v>-3.5720000000000001</v>
      </c>
      <c r="AQ84" s="1347">
        <v>0.14000000000000001</v>
      </c>
      <c r="AR84" s="1201">
        <v>8.6999999999999994E-2</v>
      </c>
      <c r="AS84" s="634">
        <v>2.3540000000000001</v>
      </c>
      <c r="AT84" s="641"/>
      <c r="AU84" s="567"/>
      <c r="AV84" s="640"/>
      <c r="AW84" s="641"/>
      <c r="AX84" s="641"/>
      <c r="AY84" s="641"/>
      <c r="AZ84" s="567"/>
      <c r="BA84" s="640"/>
      <c r="BB84" s="641"/>
      <c r="BC84" s="641"/>
      <c r="BD84" s="641"/>
      <c r="BE84" s="567"/>
      <c r="BF84" s="640"/>
      <c r="BG84" s="641"/>
      <c r="BH84" s="641"/>
      <c r="BI84" s="641"/>
      <c r="BJ84" s="567"/>
      <c r="BK84" s="640"/>
      <c r="BL84" s="641"/>
      <c r="BM84" s="641"/>
      <c r="BN84" s="641"/>
      <c r="BO84" s="567"/>
    </row>
    <row r="85" spans="1:67" s="377" customFormat="1" hidden="1" outlineLevel="1">
      <c r="A85" s="636"/>
      <c r="B85" s="1078" t="s">
        <v>342</v>
      </c>
      <c r="C85" s="637"/>
      <c r="D85" s="637"/>
      <c r="E85" s="637"/>
      <c r="F85" s="637"/>
      <c r="G85" s="638"/>
      <c r="H85" s="637"/>
      <c r="I85" s="637"/>
      <c r="J85" s="637"/>
      <c r="K85" s="637"/>
      <c r="L85" s="638"/>
      <c r="M85" s="637"/>
      <c r="N85" s="637"/>
      <c r="O85" s="637"/>
      <c r="P85" s="637"/>
      <c r="Q85" s="638"/>
      <c r="R85" s="637">
        <f>R80-R84</f>
        <v>-93.64400000000002</v>
      </c>
      <c r="S85" s="637">
        <f>S80-S84</f>
        <v>-77.634000000000029</v>
      </c>
      <c r="T85" s="637">
        <f>T80-T84</f>
        <v>-168.88899999999995</v>
      </c>
      <c r="U85" s="637">
        <f>U80-U84</f>
        <v>-198.93500000000003</v>
      </c>
      <c r="V85" s="638">
        <f>SUM(R85:U85)</f>
        <v>-539.10200000000009</v>
      </c>
      <c r="W85" s="637">
        <f>W80-W84</f>
        <v>-203.22</v>
      </c>
      <c r="X85" s="637">
        <f>X80-X84</f>
        <v>-189.71900000000005</v>
      </c>
      <c r="Y85" s="637">
        <f>Y80-Y84</f>
        <v>-154.85599999999994</v>
      </c>
      <c r="Z85" s="637">
        <f>Z80-Z84</f>
        <v>-132.15300000000002</v>
      </c>
      <c r="AA85" s="638">
        <f>SUM(W85:Z85)</f>
        <v>-679.94800000000009</v>
      </c>
      <c r="AB85" s="637">
        <f>AB80-AB84</f>
        <v>-165.79400000000001</v>
      </c>
      <c r="AC85" s="637">
        <f>AC80-AC84</f>
        <v>-222.80599999999998</v>
      </c>
      <c r="AD85" s="637">
        <f>AD80-AD84</f>
        <v>-200.93600000000012</v>
      </c>
      <c r="AE85" s="637">
        <f>AE80-AE84</f>
        <v>-207.16900000000007</v>
      </c>
      <c r="AF85" s="638">
        <f>SUM(AB85:AE85)</f>
        <v>-796.70500000000027</v>
      </c>
      <c r="AG85" s="637">
        <f>AG80-AG84</f>
        <v>-225.62699999999995</v>
      </c>
      <c r="AH85" s="637">
        <f>AH80-AH84</f>
        <v>-226.86700000000008</v>
      </c>
      <c r="AI85" s="637">
        <f>AI80-AI84</f>
        <v>-214.25099999999992</v>
      </c>
      <c r="AJ85" s="637">
        <f>AJ80-AJ84</f>
        <v>-169.35199999999989</v>
      </c>
      <c r="AK85" s="638">
        <f>SUM(AG85:AJ85)</f>
        <v>-836.09699999999975</v>
      </c>
      <c r="AL85" s="637">
        <f>AL80-AL84</f>
        <v>-316.98800000000006</v>
      </c>
      <c r="AM85" s="637">
        <f>AM80-AM84</f>
        <v>-316.89900000000017</v>
      </c>
      <c r="AN85" s="1119">
        <f>AN80-AN84</f>
        <v>-324.27899999999994</v>
      </c>
      <c r="AO85" s="637">
        <f>AO80-AO84</f>
        <v>-327.47399999999988</v>
      </c>
      <c r="AP85" s="638">
        <f>SUM(AL85:AO85)</f>
        <v>-1285.6400000000001</v>
      </c>
      <c r="AQ85" s="637">
        <f>AQ80-AQ84</f>
        <v>-430.09200000000004</v>
      </c>
      <c r="AR85" s="1119">
        <f>AR80-AR84</f>
        <v>-298.017</v>
      </c>
      <c r="AS85" s="637">
        <f>AS80-AS84</f>
        <v>-293.95700000000016</v>
      </c>
      <c r="AT85" s="637">
        <f>AT80-AT84</f>
        <v>-371.98667461763824</v>
      </c>
      <c r="AU85" s="638">
        <f>SUM(AQ85:AT85)</f>
        <v>-1394.0526746176386</v>
      </c>
      <c r="AV85" s="637">
        <f>AV80-AV84</f>
        <v>-337.0171898219026</v>
      </c>
      <c r="AW85" s="637">
        <f>AW80-AW84</f>
        <v>-333.9052430850258</v>
      </c>
      <c r="AX85" s="637">
        <f>AX80-AX84</f>
        <v>-353.38197595995848</v>
      </c>
      <c r="AY85" s="637">
        <f>AY80-AY84</f>
        <v>-403.93638505968914</v>
      </c>
      <c r="AZ85" s="638">
        <f>SUM(AV85:AY85)</f>
        <v>-1428.2407939265761</v>
      </c>
      <c r="BA85" s="637">
        <f>BA80-BA84</f>
        <v>-346.32696432932028</v>
      </c>
      <c r="BB85" s="637">
        <f>BB80-BB84</f>
        <v>-335.93683683002439</v>
      </c>
      <c r="BC85" s="637">
        <f>BC80-BC84</f>
        <v>-353.41448981330706</v>
      </c>
      <c r="BD85" s="637">
        <f>BD80-BD84</f>
        <v>-406.91220212579481</v>
      </c>
      <c r="BE85" s="638">
        <f>SUM(BA85:BD85)</f>
        <v>-1442.5904930984466</v>
      </c>
      <c r="BF85" s="637">
        <f>BF80-BF84</f>
        <v>-325.08859710837129</v>
      </c>
      <c r="BG85" s="637">
        <f>BG80-BG84</f>
        <v>-304.31280250138417</v>
      </c>
      <c r="BH85" s="637">
        <f>BH80-BH84</f>
        <v>-326.39228776048054</v>
      </c>
      <c r="BI85" s="637">
        <f>BI80-BI84</f>
        <v>-392.70583765700292</v>
      </c>
      <c r="BJ85" s="638">
        <f>SUM(BF85:BI85)</f>
        <v>-1348.4995250272391</v>
      </c>
      <c r="BK85" s="637">
        <f>BK80-BK84</f>
        <v>-297.34536972137153</v>
      </c>
      <c r="BL85" s="637">
        <f>BL80-BL84</f>
        <v>-259.95637903499824</v>
      </c>
      <c r="BM85" s="637">
        <f>BM80-BM84</f>
        <v>-280.35786602340511</v>
      </c>
      <c r="BN85" s="637">
        <f>BN80-BN84</f>
        <v>-354.91391052040558</v>
      </c>
      <c r="BO85" s="638">
        <f>SUM(BK85:BN85)</f>
        <v>-1192.5735253001803</v>
      </c>
    </row>
    <row r="86" spans="1:67" collapsed="1">
      <c r="B86" s="1079"/>
      <c r="C86" s="448"/>
      <c r="D86" s="384"/>
      <c r="E86" s="384"/>
      <c r="F86" s="384"/>
      <c r="G86" s="639"/>
      <c r="H86" s="448"/>
      <c r="I86" s="384"/>
      <c r="J86" s="384"/>
      <c r="K86" s="384"/>
      <c r="L86" s="639"/>
      <c r="M86" s="448"/>
      <c r="N86" s="384"/>
      <c r="O86" s="384"/>
      <c r="P86" s="384"/>
      <c r="Q86" s="639"/>
      <c r="R86" s="448"/>
      <c r="S86" s="384"/>
      <c r="T86" s="384"/>
      <c r="U86" s="384"/>
      <c r="V86" s="639"/>
      <c r="W86" s="448"/>
      <c r="X86" s="384"/>
      <c r="Y86" s="384"/>
      <c r="Z86" s="384"/>
      <c r="AA86" s="639"/>
      <c r="AB86" s="448"/>
      <c r="AC86" s="384"/>
      <c r="AD86" s="384"/>
      <c r="AE86" s="384"/>
      <c r="AF86" s="639"/>
      <c r="AG86" s="448"/>
      <c r="AH86" s="384"/>
      <c r="AI86" s="384"/>
      <c r="AJ86" s="384"/>
      <c r="AK86" s="639"/>
      <c r="AL86" s="448"/>
      <c r="AM86" s="384"/>
      <c r="AN86" s="1116"/>
      <c r="AO86" s="384"/>
      <c r="AP86" s="639"/>
      <c r="AQ86" s="448"/>
      <c r="AR86" s="1116"/>
      <c r="AS86" s="384"/>
      <c r="AT86" s="384"/>
      <c r="AU86" s="639"/>
      <c r="AV86" s="448"/>
      <c r="AW86" s="384"/>
      <c r="AX86" s="384"/>
      <c r="AY86" s="384"/>
      <c r="AZ86" s="639"/>
      <c r="BA86" s="448"/>
      <c r="BB86" s="384"/>
      <c r="BC86" s="384"/>
      <c r="BD86" s="384"/>
      <c r="BE86" s="639"/>
      <c r="BF86" s="448"/>
      <c r="BG86" s="384"/>
      <c r="BH86" s="384"/>
      <c r="BI86" s="384"/>
      <c r="BJ86" s="639"/>
      <c r="BK86" s="448"/>
      <c r="BL86" s="384"/>
      <c r="BM86" s="384"/>
      <c r="BN86" s="384"/>
      <c r="BO86" s="639"/>
    </row>
    <row r="87" spans="1:67">
      <c r="B87" s="1166" t="s">
        <v>42</v>
      </c>
      <c r="C87" s="642" t="str">
        <f t="shared" ref="C87:AK87" si="73">IFERROR(C80/C90,"--")</f>
        <v>--</v>
      </c>
      <c r="D87" s="642" t="str">
        <f t="shared" si="73"/>
        <v>--</v>
      </c>
      <c r="E87" s="642" t="str">
        <f t="shared" si="73"/>
        <v>--</v>
      </c>
      <c r="F87" s="642" t="str">
        <f t="shared" si="73"/>
        <v>--</v>
      </c>
      <c r="G87" s="643" t="str">
        <f t="shared" si="73"/>
        <v>--</v>
      </c>
      <c r="H87" s="642" t="str">
        <f t="shared" si="73"/>
        <v>--</v>
      </c>
      <c r="I87" s="642" t="str">
        <f t="shared" si="73"/>
        <v>--</v>
      </c>
      <c r="J87" s="642" t="str">
        <f t="shared" si="73"/>
        <v>--</v>
      </c>
      <c r="K87" s="642" t="str">
        <f t="shared" si="73"/>
        <v>--</v>
      </c>
      <c r="L87" s="643" t="str">
        <f t="shared" si="73"/>
        <v>--</v>
      </c>
      <c r="M87" s="642" t="str">
        <f t="shared" si="73"/>
        <v>--</v>
      </c>
      <c r="N87" s="642" t="str">
        <f t="shared" si="73"/>
        <v>--</v>
      </c>
      <c r="O87" s="642" t="str">
        <f t="shared" si="73"/>
        <v>--</v>
      </c>
      <c r="P87" s="642" t="str">
        <f t="shared" si="73"/>
        <v>--</v>
      </c>
      <c r="Q87" s="643" t="str">
        <f t="shared" si="73"/>
        <v>--</v>
      </c>
      <c r="R87" s="642">
        <f t="shared" si="73"/>
        <v>-0.39825293847739329</v>
      </c>
      <c r="S87" s="642">
        <f t="shared" si="73"/>
        <v>-0.32199917046868531</v>
      </c>
      <c r="T87" s="642">
        <f t="shared" si="73"/>
        <v>-1.0121101563988821</v>
      </c>
      <c r="U87" s="642">
        <f t="shared" si="73"/>
        <v>-0.70017512244406388</v>
      </c>
      <c r="V87" s="643">
        <f t="shared" si="73"/>
        <v>-2.3256527910284892</v>
      </c>
      <c r="W87" s="642">
        <f t="shared" si="73"/>
        <v>-0.69742576724298722</v>
      </c>
      <c r="X87" s="642">
        <f t="shared" si="73"/>
        <v>-0.63724589765668793</v>
      </c>
      <c r="Y87" s="642">
        <f t="shared" si="73"/>
        <v>-0.51106463212189501</v>
      </c>
      <c r="Z87" s="642">
        <f t="shared" si="73"/>
        <v>-0.42810429665457006</v>
      </c>
      <c r="AA87" s="643">
        <f t="shared" si="73"/>
        <v>-2.2649774933709326</v>
      </c>
      <c r="AB87" s="642">
        <f t="shared" si="73"/>
        <v>-0.52740002735708313</v>
      </c>
      <c r="AC87" s="642">
        <f t="shared" si="73"/>
        <v>-0.69986430285592227</v>
      </c>
      <c r="AD87" s="642">
        <f t="shared" si="73"/>
        <v>-0.62924078904212322</v>
      </c>
      <c r="AE87" s="642">
        <f t="shared" si="73"/>
        <v>-0.64451236937910839</v>
      </c>
      <c r="AF87" s="643">
        <f t="shared" si="73"/>
        <v>-2.5024820046816076</v>
      </c>
      <c r="AG87" s="642">
        <f t="shared" si="73"/>
        <v>-0.69739046202920185</v>
      </c>
      <c r="AH87" s="642">
        <f t="shared" si="73"/>
        <v>-0.69445674920188827</v>
      </c>
      <c r="AI87" s="642">
        <f t="shared" si="73"/>
        <v>-0.65195104916340207</v>
      </c>
      <c r="AJ87" s="642">
        <f t="shared" si="73"/>
        <v>-0.5132068177081599</v>
      </c>
      <c r="AK87" s="643">
        <f t="shared" si="73"/>
        <v>-2.5550793097849578</v>
      </c>
      <c r="AL87" s="642">
        <f>IFERROR(AL80/AL90,"--")</f>
        <v>-0.9527315458775002</v>
      </c>
      <c r="AM87" s="642">
        <f>IFERROR(AM80/AM90,"--")</f>
        <v>-0.94941455209276382</v>
      </c>
      <c r="AN87" s="1120">
        <f>IFERROR(AN80/AN90,"--")</f>
        <v>-0.98836813248091215</v>
      </c>
      <c r="AO87" s="642">
        <f>IFERROR(AO80/AO90,"--")</f>
        <v>-0.98277776436795439</v>
      </c>
      <c r="AP87" s="643">
        <f>IFERROR(AP80/AP90,"--")</f>
        <v>-3.8730253147254401</v>
      </c>
      <c r="AQ87" s="642">
        <f t="shared" ref="AQ87:AZ87" si="74">IFERROR(AQ80/AQ90,"--")</f>
        <v>-1.2924784387522286</v>
      </c>
      <c r="AR87" s="1120">
        <f t="shared" si="74"/>
        <v>-0.88877287710872133</v>
      </c>
      <c r="AS87" s="642">
        <f>IFERROR(AS80/AS90,"--")</f>
        <v>-0.85854472866026055</v>
      </c>
      <c r="AT87" s="642">
        <f t="shared" si="74"/>
        <v>-1.0920687085395222</v>
      </c>
      <c r="AU87" s="643">
        <f t="shared" si="74"/>
        <v>-4.1285498107256009</v>
      </c>
      <c r="AV87" s="642">
        <f t="shared" si="74"/>
        <v>-0.98672913766039916</v>
      </c>
      <c r="AW87" s="642">
        <f t="shared" si="74"/>
        <v>-0.97491979216338553</v>
      </c>
      <c r="AX87" s="642">
        <f t="shared" si="74"/>
        <v>-1.0288852667056403</v>
      </c>
      <c r="AY87" s="642">
        <f t="shared" si="74"/>
        <v>-1.172709118550419</v>
      </c>
      <c r="AZ87" s="643">
        <f t="shared" si="74"/>
        <v>-4.1641094737585833</v>
      </c>
      <c r="BA87" s="642">
        <f t="shared" ref="BA87:BJ87" si="75">IFERROR(BA80/BA90,"--")</f>
        <v>-1.0004233008152588</v>
      </c>
      <c r="BB87" s="642">
        <f t="shared" si="75"/>
        <v>-0.9648355044310577</v>
      </c>
      <c r="BC87" s="642">
        <f t="shared" si="75"/>
        <v>-1.00923542180413</v>
      </c>
      <c r="BD87" s="642">
        <f t="shared" si="75"/>
        <v>-1.1554083425202561</v>
      </c>
      <c r="BE87" s="643">
        <f t="shared" si="75"/>
        <v>-4.1313612854801498</v>
      </c>
      <c r="BF87" s="642">
        <f t="shared" si="75"/>
        <v>-0.91786155688090842</v>
      </c>
      <c r="BG87" s="642">
        <f t="shared" si="75"/>
        <v>-0.85437823191901785</v>
      </c>
      <c r="BH87" s="642">
        <f t="shared" si="75"/>
        <v>-0.91125104607578955</v>
      </c>
      <c r="BI87" s="642">
        <f t="shared" si="75"/>
        <v>-1.090303107686551</v>
      </c>
      <c r="BJ87" s="643">
        <f t="shared" si="75"/>
        <v>-3.7754015263630047</v>
      </c>
      <c r="BK87" s="642">
        <f>IFERROR(BK80/BK90,"--")</f>
        <v>-0.8209868575994862</v>
      </c>
      <c r="BL87" s="642">
        <f>IFERROR(BL80/BL90,"--")</f>
        <v>-0.71381205733934661</v>
      </c>
      <c r="BM87" s="642">
        <f>IFERROR(BM80/BM90,"--")</f>
        <v>-0.76562766935220172</v>
      </c>
      <c r="BN87" s="642">
        <f>IFERROR(BN80/BN90,"--")</f>
        <v>-0.96396735290594004</v>
      </c>
      <c r="BO87" s="643">
        <f>IFERROR(BO80/BO90,"--")</f>
        <v>-3.2657104291660692</v>
      </c>
    </row>
    <row r="88" spans="1:67">
      <c r="B88" s="1166" t="s">
        <v>41</v>
      </c>
      <c r="C88" s="642" t="str">
        <f>IFERROR(C$80/C91,"--")</f>
        <v>--</v>
      </c>
      <c r="D88" s="642" t="str">
        <f t="shared" ref="D88:K88" si="76">IFERROR(D$80/D91,"--")</f>
        <v>--</v>
      </c>
      <c r="E88" s="642" t="str">
        <f t="shared" si="76"/>
        <v>--</v>
      </c>
      <c r="F88" s="642" t="str">
        <f t="shared" si="76"/>
        <v>--</v>
      </c>
      <c r="G88" s="643" t="str">
        <f>IFERROR(G80/G91,"--")</f>
        <v>--</v>
      </c>
      <c r="H88" s="642" t="str">
        <f>IFERROR(H$80/H91,"--")</f>
        <v>--</v>
      </c>
      <c r="I88" s="642" t="str">
        <f t="shared" si="76"/>
        <v>--</v>
      </c>
      <c r="J88" s="642" t="str">
        <f t="shared" si="76"/>
        <v>--</v>
      </c>
      <c r="K88" s="642" t="str">
        <f t="shared" si="76"/>
        <v>--</v>
      </c>
      <c r="L88" s="643" t="str">
        <f>IFERROR(L80/L91,"--")</f>
        <v>--</v>
      </c>
      <c r="M88" s="642" t="str">
        <f>IFERROR(M$80/M91,"--")</f>
        <v>--</v>
      </c>
      <c r="N88" s="642" t="str">
        <f>IFERROR(N$80/N91,"--")</f>
        <v>--</v>
      </c>
      <c r="O88" s="642" t="str">
        <f>IFERROR(O$80/O91,"--")</f>
        <v>--</v>
      </c>
      <c r="P88" s="642" t="str">
        <f>IFERROR(P$80/P91,"--")</f>
        <v>--</v>
      </c>
      <c r="Q88" s="643" t="str">
        <f>IFERROR(Q80/Q91,"--")</f>
        <v>--</v>
      </c>
      <c r="R88" s="642" t="str">
        <f>IFERROR(R$80/R91,"--")</f>
        <v>--</v>
      </c>
      <c r="S88" s="642" t="str">
        <f>IFERROR(S$80/S91,"--")</f>
        <v>--</v>
      </c>
      <c r="T88" s="642">
        <f>IFERROR(T$80/T91,"--")</f>
        <v>-1.0121101563988821</v>
      </c>
      <c r="U88" s="642">
        <f>IFERROR(U$80/U91,"--")</f>
        <v>-0.70017512244406388</v>
      </c>
      <c r="V88" s="643">
        <f>IFERROR(V80/V91,"--")</f>
        <v>-2.3907493624852778</v>
      </c>
      <c r="W88" s="642">
        <f>IFERROR(W$80/W91,"--")</f>
        <v>-0.69742576724298722</v>
      </c>
      <c r="X88" s="642">
        <f>IFERROR(X$80/X91,"--")</f>
        <v>-0.63724589765668793</v>
      </c>
      <c r="Y88" s="642">
        <f>IFERROR(Y$80/Y91,"--")</f>
        <v>-0.51106463212189501</v>
      </c>
      <c r="Z88" s="642">
        <f>IFERROR(Z$80/Z91,"--")</f>
        <v>-0.42810429665457006</v>
      </c>
      <c r="AA88" s="643">
        <f>IFERROR(AA80/AA91,"--")</f>
        <v>-2.2649774933709326</v>
      </c>
      <c r="AB88" s="642">
        <f>IFERROR(AB$80/AB91,"--")</f>
        <v>-0.52740002735708313</v>
      </c>
      <c r="AC88" s="642">
        <f>IFERROR(AC$80/AC91,"--")</f>
        <v>-0.69986430285592227</v>
      </c>
      <c r="AD88" s="642">
        <f>IFERROR(AD$80/AD91,"--")</f>
        <v>-0.62924078904212322</v>
      </c>
      <c r="AE88" s="642">
        <f>IFERROR(AE$80/AE91,"--")</f>
        <v>-0.64451236937910839</v>
      </c>
      <c r="AF88" s="643">
        <f>IFERROR(AF80/AF91,"--")</f>
        <v>-2.5024820046816076</v>
      </c>
      <c r="AG88" s="642">
        <f>IFERROR(AG$80/AG91,"--")</f>
        <v>-0.69739046202920185</v>
      </c>
      <c r="AH88" s="642">
        <f>IFERROR(AH$80/AH91,"--")</f>
        <v>-0.69445674920188827</v>
      </c>
      <c r="AI88" s="642">
        <f>IFERROR(AI$80/AI91,"--")</f>
        <v>-0.65195104916340207</v>
      </c>
      <c r="AJ88" s="642">
        <f>IFERROR(AJ$80/AJ91,"--")</f>
        <v>-0.5132068177081599</v>
      </c>
      <c r="AK88" s="643">
        <f>IFERROR(AK80/AK91,"--")</f>
        <v>-2.5550793097849578</v>
      </c>
      <c r="AL88" s="642">
        <f>IFERROR(AL$80/AL91,"--")</f>
        <v>-0.9527315458775002</v>
      </c>
      <c r="AM88" s="642">
        <f>IFERROR(AM$80/AM91,"--")</f>
        <v>-0.94941455209276382</v>
      </c>
      <c r="AN88" s="1120">
        <f>IFERROR(AN$80/AN91,"--")</f>
        <v>-0.98836813248091215</v>
      </c>
      <c r="AO88" s="642">
        <f>IFERROR(AO$80/AO91,"--")</f>
        <v>-0.98277776436795439</v>
      </c>
      <c r="AP88" s="643">
        <f>IFERROR(AP80/AP91,"--")</f>
        <v>-3.8730253147254401</v>
      </c>
      <c r="AQ88" s="642">
        <f>IFERROR(AQ$80/AQ91,"--")</f>
        <v>-1.2924784387522286</v>
      </c>
      <c r="AR88" s="1120">
        <f>IFERROR(AR$80/AR91,"--")</f>
        <v>-0.88877287710872133</v>
      </c>
      <c r="AS88" s="642">
        <f>IFERROR(AS$80/AS91,"--")</f>
        <v>-0.78103832030277021</v>
      </c>
      <c r="AT88" s="642">
        <f>IFERROR(AT$80/AT91,"--")</f>
        <v>-0.99031208163754314</v>
      </c>
      <c r="AU88" s="643">
        <f>IFERROR(AU80/AU91,"--")</f>
        <v>-3.9283508669789415</v>
      </c>
      <c r="AV88" s="642">
        <f>IFERROR(AV$80/AV91,"--")</f>
        <v>-0.88793919703822166</v>
      </c>
      <c r="AW88" s="642">
        <f>IFERROR(AW$80/AW91,"--")</f>
        <v>-0.87755466718941944</v>
      </c>
      <c r="AX88" s="642">
        <f>IFERROR(AX$80/AX91,"--")</f>
        <v>-0.92639080776294735</v>
      </c>
      <c r="AY88" s="642">
        <f>IFERROR(AY$80/AY91,"--")</f>
        <v>-1.056188602157494</v>
      </c>
      <c r="AZ88" s="643">
        <f>IFERROR(AZ80/AZ91,"--")</f>
        <v>-3.7487787049586045</v>
      </c>
      <c r="BA88" s="642">
        <f>IFERROR(BA$80/BA91,"--")</f>
        <v>-0.90146957264284899</v>
      </c>
      <c r="BB88" s="642">
        <f>IFERROR(BB$80/BB91,"--")</f>
        <v>-0.86989607531443425</v>
      </c>
      <c r="BC88" s="642">
        <f>IFERROR(BC$80/BC91,"--")</f>
        <v>-0.91043871936266851</v>
      </c>
      <c r="BD88" s="642">
        <f>IFERROR(BD$80/BD91,"--")</f>
        <v>-1.0428821518033475</v>
      </c>
      <c r="BE88" s="643">
        <f>IFERROR(BE80/BE91,"--")</f>
        <v>-3.7258869423639167</v>
      </c>
      <c r="BF88" s="642">
        <f>IFERROR(BF$80/BF91,"--")</f>
        <v>-0.82892611579190012</v>
      </c>
      <c r="BG88" s="642">
        <f>IFERROR(BG$80/BG91,"--")</f>
        <v>-0.77201398782690345</v>
      </c>
      <c r="BH88" s="642">
        <f>IFERROR(BH$80/BH91,"--")</f>
        <v>-0.82384758671862324</v>
      </c>
      <c r="BI88" s="642">
        <f>IFERROR(BI$80/BI91,"--")</f>
        <v>-0.98625098608547035</v>
      </c>
      <c r="BJ88" s="643">
        <f>IFERROR(BJ80/BJ91,"--")</f>
        <v>-3.4123641677060643</v>
      </c>
      <c r="BK88" s="642">
        <f>IFERROR(BK$80/BK91,"--")</f>
        <v>-0.7430282704928417</v>
      </c>
      <c r="BL88" s="642">
        <f>IFERROR(BL$80/BL91,"--")</f>
        <v>-0.646367556230104</v>
      </c>
      <c r="BM88" s="642">
        <f>IFERROR(BM$80/BM91,"--")</f>
        <v>-0.69364533281881835</v>
      </c>
      <c r="BN88" s="642">
        <f>IFERROR(BN$80/BN91,"--")</f>
        <v>-0.87378388497611148</v>
      </c>
      <c r="BO88" s="643">
        <f>IFERROR(BO80/BO91,"--")</f>
        <v>-2.9579152378701119</v>
      </c>
    </row>
    <row r="89" spans="1:67">
      <c r="B89" s="988"/>
      <c r="C89" s="645"/>
      <c r="D89" s="645"/>
      <c r="E89" s="645"/>
      <c r="F89" s="645"/>
      <c r="G89" s="375"/>
      <c r="H89" s="645"/>
      <c r="I89" s="645"/>
      <c r="J89" s="645"/>
      <c r="K89" s="645"/>
      <c r="L89" s="375"/>
      <c r="M89" s="645"/>
      <c r="N89" s="645"/>
      <c r="O89" s="645"/>
      <c r="P89" s="645"/>
      <c r="Q89" s="375"/>
      <c r="R89" s="645"/>
      <c r="S89" s="645"/>
      <c r="T89" s="645"/>
      <c r="U89" s="645"/>
      <c r="V89" s="375"/>
      <c r="W89" s="645"/>
      <c r="X89" s="645"/>
      <c r="Y89" s="645"/>
      <c r="Z89" s="645"/>
      <c r="AA89" s="375"/>
      <c r="AB89" s="645"/>
      <c r="AC89" s="645"/>
      <c r="AD89" s="645"/>
      <c r="AE89" s="645"/>
      <c r="AF89" s="375"/>
      <c r="AG89" s="645"/>
      <c r="AH89" s="645"/>
      <c r="AI89" s="645"/>
      <c r="AJ89" s="645"/>
      <c r="AK89" s="375"/>
      <c r="AL89" s="645"/>
      <c r="AM89" s="645"/>
      <c r="AN89" s="1340"/>
      <c r="AO89" s="645"/>
      <c r="AP89" s="375"/>
      <c r="AQ89" s="645"/>
      <c r="AR89" s="1340"/>
      <c r="AS89" s="645"/>
      <c r="AT89" s="645"/>
      <c r="AU89" s="375"/>
      <c r="AV89" s="645"/>
      <c r="AW89" s="645"/>
      <c r="AX89" s="645"/>
      <c r="AY89" s="645"/>
      <c r="AZ89" s="375"/>
      <c r="BA89" s="645"/>
      <c r="BB89" s="645"/>
      <c r="BC89" s="645"/>
      <c r="BD89" s="645"/>
      <c r="BE89" s="375"/>
      <c r="BF89" s="645"/>
      <c r="BG89" s="645"/>
      <c r="BH89" s="645"/>
      <c r="BI89" s="645"/>
      <c r="BJ89" s="375"/>
      <c r="BK89" s="645"/>
      <c r="BL89" s="645"/>
      <c r="BM89" s="645"/>
      <c r="BN89" s="645"/>
      <c r="BO89" s="375"/>
    </row>
    <row r="90" spans="1:67" s="997" customFormat="1">
      <c r="B90" s="1202" t="s">
        <v>343</v>
      </c>
      <c r="C90" s="1000"/>
      <c r="D90" s="1000"/>
      <c r="E90" s="1000"/>
      <c r="F90" s="1000"/>
      <c r="G90" s="1043"/>
      <c r="H90" s="1000"/>
      <c r="I90" s="1000"/>
      <c r="J90" s="1000"/>
      <c r="K90" s="1000"/>
      <c r="L90" s="1043"/>
      <c r="M90" s="1000"/>
      <c r="N90" s="1000"/>
      <c r="O90" s="1000"/>
      <c r="P90" s="1000"/>
      <c r="Q90" s="1043"/>
      <c r="R90" s="1000">
        <v>235.13699700000001</v>
      </c>
      <c r="S90" s="1000">
        <v>241.1</v>
      </c>
      <c r="T90" s="1000">
        <v>166.8682</v>
      </c>
      <c r="U90" s="1000">
        <v>284.12177700000001</v>
      </c>
      <c r="V90" s="1043">
        <f>IFERROR(AVERAGE(R90:U90),"--")</f>
        <v>231.80674349999998</v>
      </c>
      <c r="W90" s="1000">
        <v>291.38585</v>
      </c>
      <c r="X90" s="1000">
        <v>297.71709900000002</v>
      </c>
      <c r="Y90" s="1000">
        <v>303.006685</v>
      </c>
      <c r="Z90" s="1000">
        <v>308.693468</v>
      </c>
      <c r="AA90" s="1043">
        <f>IFERROR(AVERAGE(W90:Z90),"--")</f>
        <v>300.20077550000002</v>
      </c>
      <c r="AB90" s="1000">
        <v>314.36099999999999</v>
      </c>
      <c r="AC90" s="1000">
        <v>318.35599999999999</v>
      </c>
      <c r="AD90" s="1000">
        <v>320.13499999999999</v>
      </c>
      <c r="AE90" s="1000">
        <v>321.92399999999998</v>
      </c>
      <c r="AF90" s="1043">
        <f>IFERROR(AVERAGE(AB90:AE90),"--")</f>
        <v>318.69399999999996</v>
      </c>
      <c r="AG90" s="1000">
        <v>324.15699999999998</v>
      </c>
      <c r="AH90" s="1000">
        <v>327.33499999999998</v>
      </c>
      <c r="AI90" s="1000">
        <v>329.31</v>
      </c>
      <c r="AJ90" s="1000">
        <v>331.07900000000001</v>
      </c>
      <c r="AK90" s="1043">
        <f>IFERROR(AVERAGE(AG90:AJ90),"--")</f>
        <v>327.97024999999996</v>
      </c>
      <c r="AL90" s="1000">
        <v>333.584</v>
      </c>
      <c r="AM90" s="1000">
        <v>334.70100000000002</v>
      </c>
      <c r="AN90" s="1204">
        <v>331.76100000000002</v>
      </c>
      <c r="AO90" s="1000">
        <v>331.43200000000002</v>
      </c>
      <c r="AP90" s="1043">
        <f>IFERROR(AVERAGE(AL90:AO90),"--")</f>
        <v>332.86950000000002</v>
      </c>
      <c r="AQ90" s="1204">
        <v>332.65699999999998</v>
      </c>
      <c r="AR90" s="1204">
        <v>335.21499999999997</v>
      </c>
      <c r="AS90" s="1000">
        <v>339.64800000000002</v>
      </c>
      <c r="AT90" s="1203">
        <f>'IS (Non-GAAP)'!AT91</f>
        <v>340.6257057901737</v>
      </c>
      <c r="AU90" s="1043">
        <f>IFERROR(AVERAGE(AQ90:AT90),"--")</f>
        <v>337.03642644754342</v>
      </c>
      <c r="AV90" s="1203">
        <f>'IS (Non-GAAP)'!AV91</f>
        <v>341.54985087497562</v>
      </c>
      <c r="AW90" s="1203">
        <f>'IS (Non-GAAP)'!AW91</f>
        <v>342.49509115419318</v>
      </c>
      <c r="AX90" s="1203">
        <f>'IS (Non-GAAP)'!AX91</f>
        <v>343.46101299656334</v>
      </c>
      <c r="AY90" s="1203">
        <f>'IS (Non-GAAP)'!AY91</f>
        <v>344.44721088123993</v>
      </c>
      <c r="AZ90" s="1043">
        <f>IFERROR(AVERAGE(AV90:AY90),"--")</f>
        <v>342.98829147674303</v>
      </c>
      <c r="BA90" s="1203">
        <f>'IS (Non-GAAP)'!BA91</f>
        <v>346.18042587282167</v>
      </c>
      <c r="BB90" s="1203">
        <f>'IS (Non-GAAP)'!BB91</f>
        <v>348.18042587282167</v>
      </c>
      <c r="BC90" s="1203">
        <f>'IS (Non-GAAP)'!BC91</f>
        <v>350.18042587282167</v>
      </c>
      <c r="BD90" s="1203">
        <f>'IS (Non-GAAP)'!BD91</f>
        <v>352.18042587282167</v>
      </c>
      <c r="BE90" s="1043">
        <f>IFERROR(AVERAGE(BA90:BD90),"--")</f>
        <v>349.18042587282167</v>
      </c>
      <c r="BF90" s="1203">
        <f>'IS (Non-GAAP)'!BF91</f>
        <v>354.18042587282167</v>
      </c>
      <c r="BG90" s="1203">
        <f>'IS (Non-GAAP)'!BG91</f>
        <v>356.18042587282167</v>
      </c>
      <c r="BH90" s="1203">
        <f>'IS (Non-GAAP)'!BH91</f>
        <v>358.18042587282167</v>
      </c>
      <c r="BI90" s="1203">
        <f>'IS (Non-GAAP)'!BI91</f>
        <v>360.18042587282167</v>
      </c>
      <c r="BJ90" s="1043">
        <f>IFERROR(AVERAGE(BF90:BI90),"--")</f>
        <v>357.18042587282167</v>
      </c>
      <c r="BK90" s="1203">
        <f>'IS (Non-GAAP)'!BK91</f>
        <v>362.18042587282167</v>
      </c>
      <c r="BL90" s="1203">
        <f>'IS (Non-GAAP)'!BL91</f>
        <v>364.18042587282167</v>
      </c>
      <c r="BM90" s="1203">
        <f>'IS (Non-GAAP)'!BM91</f>
        <v>366.18042587282167</v>
      </c>
      <c r="BN90" s="1203">
        <f>'IS (Non-GAAP)'!BN91</f>
        <v>368.18042587282167</v>
      </c>
      <c r="BO90" s="1043">
        <f>IFERROR(AVERAGE(BK90:BN90),"--")</f>
        <v>365.18042587282167</v>
      </c>
    </row>
    <row r="91" spans="1:67" s="997" customFormat="1">
      <c r="A91" s="995" t="s">
        <v>83</v>
      </c>
      <c r="B91" s="1202" t="s">
        <v>344</v>
      </c>
      <c r="C91" s="1000"/>
      <c r="D91" s="1000"/>
      <c r="E91" s="1000"/>
      <c r="F91" s="1000"/>
      <c r="G91" s="1043"/>
      <c r="H91" s="1000"/>
      <c r="I91" s="1000"/>
      <c r="J91" s="1000"/>
      <c r="K91" s="1000"/>
      <c r="L91" s="1043"/>
      <c r="M91" s="1000"/>
      <c r="N91" s="1000"/>
      <c r="O91" s="1000"/>
      <c r="P91" s="1000"/>
      <c r="Q91" s="1043"/>
      <c r="R91" s="1000"/>
      <c r="S91" s="1000"/>
      <c r="T91" s="1000">
        <v>166.8682</v>
      </c>
      <c r="U91" s="1000">
        <v>284.12177700000001</v>
      </c>
      <c r="V91" s="1043">
        <f>IFERROR(AVERAGE(R91:U91),"--")</f>
        <v>225.49498850000001</v>
      </c>
      <c r="W91" s="1000">
        <v>291.38585</v>
      </c>
      <c r="X91" s="1000">
        <v>297.71709900000002</v>
      </c>
      <c r="Y91" s="1000">
        <v>303.006685</v>
      </c>
      <c r="Z91" s="1000">
        <v>308.693468</v>
      </c>
      <c r="AA91" s="1043">
        <f>IFERROR(AVERAGE(W91:Z91),"--")</f>
        <v>300.20077550000002</v>
      </c>
      <c r="AB91" s="1000">
        <v>314.36099999999999</v>
      </c>
      <c r="AC91" s="1000">
        <v>318.35599999999999</v>
      </c>
      <c r="AD91" s="1000">
        <v>320.13499999999999</v>
      </c>
      <c r="AE91" s="1000">
        <v>321.92399999999998</v>
      </c>
      <c r="AF91" s="1043">
        <f>IFERROR(AVERAGE(AB91:AE91),"--")</f>
        <v>318.69399999999996</v>
      </c>
      <c r="AG91" s="1000">
        <v>324.15699999999998</v>
      </c>
      <c r="AH91" s="1000">
        <v>327.33499999999998</v>
      </c>
      <c r="AI91" s="1000">
        <v>329.31</v>
      </c>
      <c r="AJ91" s="1000">
        <v>331.07900000000001</v>
      </c>
      <c r="AK91" s="1043">
        <f>IFERROR(AVERAGE(AG91:AJ91),"--")</f>
        <v>327.97024999999996</v>
      </c>
      <c r="AL91" s="1000">
        <v>333.584</v>
      </c>
      <c r="AM91" s="1000">
        <v>334.70100000000002</v>
      </c>
      <c r="AN91" s="1204">
        <v>331.76100000000002</v>
      </c>
      <c r="AO91" s="1000">
        <v>331.43200000000002</v>
      </c>
      <c r="AP91" s="1043">
        <f>IFERROR(AVERAGE(AL91:AO91),"--")</f>
        <v>332.86950000000002</v>
      </c>
      <c r="AQ91" s="1204">
        <v>332.65699999999998</v>
      </c>
      <c r="AR91" s="1204">
        <v>335.21499999999997</v>
      </c>
      <c r="AS91" s="1000">
        <v>373.35300000000001</v>
      </c>
      <c r="AT91" s="1203">
        <f>'IS (Non-GAAP)'!AT92</f>
        <v>375.6257057901737</v>
      </c>
      <c r="AU91" s="1043">
        <f>IFERROR(AVERAGE(AQ91:AT91),"--")</f>
        <v>354.2126764475434</v>
      </c>
      <c r="AV91" s="1203">
        <f>'IS (Non-GAAP)'!AV92</f>
        <v>379.54985087497562</v>
      </c>
      <c r="AW91" s="1203">
        <f>'IS (Non-GAAP)'!AW92</f>
        <v>380.49509115419318</v>
      </c>
      <c r="AX91" s="1203">
        <f>'IS (Non-GAAP)'!AX92</f>
        <v>381.46101299656334</v>
      </c>
      <c r="AY91" s="1203">
        <f>'IS (Non-GAAP)'!AY92</f>
        <v>382.44721088123993</v>
      </c>
      <c r="AZ91" s="1043">
        <f>IFERROR(AVERAGE(AV91:AY91),"--")</f>
        <v>380.98829147674303</v>
      </c>
      <c r="BA91" s="1203">
        <f>'IS (Non-GAAP)'!BA92</f>
        <v>384.18042587282167</v>
      </c>
      <c r="BB91" s="1203">
        <f>'IS (Non-GAAP)'!BB92</f>
        <v>386.18042587282167</v>
      </c>
      <c r="BC91" s="1203">
        <f>'IS (Non-GAAP)'!BC92</f>
        <v>388.18042587282167</v>
      </c>
      <c r="BD91" s="1203">
        <f>'IS (Non-GAAP)'!BD92</f>
        <v>390.18042587282167</v>
      </c>
      <c r="BE91" s="1043">
        <f>IFERROR(AVERAGE(BA91:BD91),"--")</f>
        <v>387.18042587282167</v>
      </c>
      <c r="BF91" s="1203">
        <f>'IS (Non-GAAP)'!BF92</f>
        <v>392.18042587282167</v>
      </c>
      <c r="BG91" s="1203">
        <f>'IS (Non-GAAP)'!BG92</f>
        <v>394.18042587282167</v>
      </c>
      <c r="BH91" s="1203">
        <f>'IS (Non-GAAP)'!BH92</f>
        <v>396.18042587282167</v>
      </c>
      <c r="BI91" s="1203">
        <f>'IS (Non-GAAP)'!BI92</f>
        <v>398.18042587282167</v>
      </c>
      <c r="BJ91" s="1043">
        <f>IFERROR(AVERAGE(BF91:BI91),"--")</f>
        <v>395.18042587282167</v>
      </c>
      <c r="BK91" s="1203">
        <f>'IS (Non-GAAP)'!BK92</f>
        <v>400.18042587282167</v>
      </c>
      <c r="BL91" s="1203">
        <f>'IS (Non-GAAP)'!BL92</f>
        <v>402.18042587282167</v>
      </c>
      <c r="BM91" s="1203">
        <f>'IS (Non-GAAP)'!BM92</f>
        <v>404.18042587282167</v>
      </c>
      <c r="BN91" s="1203">
        <f>'IS (Non-GAAP)'!BN92</f>
        <v>406.18042587282167</v>
      </c>
      <c r="BO91" s="1043">
        <f>IFERROR(AVERAGE(BK91:BN91),"--")</f>
        <v>403.18042587282167</v>
      </c>
    </row>
    <row r="92" spans="1:67">
      <c r="B92" s="1063"/>
      <c r="C92" s="558"/>
      <c r="D92" s="580"/>
      <c r="E92" s="580"/>
      <c r="F92" s="580"/>
      <c r="G92" s="646"/>
      <c r="H92" s="558"/>
      <c r="I92" s="580"/>
      <c r="J92" s="580"/>
      <c r="K92" s="580"/>
      <c r="L92" s="646"/>
      <c r="M92" s="558"/>
      <c r="N92" s="580"/>
      <c r="O92" s="580"/>
      <c r="P92" s="580"/>
      <c r="Q92" s="646"/>
      <c r="R92" s="558"/>
      <c r="S92" s="580"/>
      <c r="T92" s="580"/>
      <c r="U92" s="580"/>
      <c r="V92" s="646"/>
      <c r="W92" s="558"/>
      <c r="X92" s="580"/>
      <c r="Y92" s="580"/>
      <c r="Z92" s="580"/>
      <c r="AA92" s="646"/>
      <c r="AB92" s="558"/>
      <c r="AC92" s="580"/>
      <c r="AD92" s="580"/>
      <c r="AE92" s="580"/>
      <c r="AF92" s="646"/>
      <c r="AG92" s="558"/>
      <c r="AH92" s="580"/>
      <c r="AI92" s="580"/>
      <c r="AJ92" s="580"/>
      <c r="AK92" s="646"/>
      <c r="AL92" s="558"/>
      <c r="AM92" s="580"/>
      <c r="AN92" s="582"/>
      <c r="AO92" s="580"/>
      <c r="AP92" s="646"/>
      <c r="AQ92" s="558"/>
      <c r="AR92" s="580"/>
      <c r="AS92" s="580"/>
      <c r="AT92" s="580"/>
      <c r="AU92" s="646"/>
      <c r="AV92" s="558"/>
      <c r="AW92" s="580"/>
      <c r="AX92" s="580"/>
      <c r="AY92" s="580"/>
      <c r="AZ92" s="646"/>
      <c r="BA92" s="558"/>
      <c r="BB92" s="580"/>
      <c r="BC92" s="580"/>
      <c r="BD92" s="580"/>
      <c r="BE92" s="646"/>
      <c r="BF92" s="558"/>
      <c r="BG92" s="580"/>
      <c r="BH92" s="580"/>
      <c r="BI92" s="580"/>
      <c r="BJ92" s="646"/>
      <c r="BK92" s="558"/>
      <c r="BL92" s="580"/>
      <c r="BM92" s="580"/>
      <c r="BN92" s="580"/>
      <c r="BO92" s="646"/>
    </row>
    <row r="93" spans="1:67">
      <c r="B93" s="1063"/>
      <c r="C93" s="558"/>
      <c r="D93" s="580"/>
      <c r="E93" s="580"/>
      <c r="F93" s="580"/>
      <c r="G93" s="580"/>
      <c r="H93" s="558"/>
      <c r="I93" s="580"/>
      <c r="J93" s="580"/>
      <c r="K93" s="580"/>
      <c r="L93" s="580"/>
      <c r="M93" s="558"/>
      <c r="N93" s="580"/>
      <c r="O93" s="580"/>
      <c r="P93" s="580"/>
      <c r="Q93" s="580"/>
      <c r="R93" s="558"/>
      <c r="S93" s="580"/>
      <c r="T93" s="580"/>
      <c r="U93" s="580"/>
      <c r="V93" s="580"/>
      <c r="W93" s="558"/>
      <c r="X93" s="580"/>
      <c r="Y93" s="580"/>
      <c r="Z93" s="580"/>
      <c r="AA93" s="580"/>
      <c r="AB93" s="558"/>
      <c r="AC93" s="580"/>
      <c r="AD93" s="580"/>
      <c r="AE93" s="580"/>
      <c r="AF93" s="580"/>
      <c r="AG93" s="558"/>
      <c r="AH93" s="580"/>
      <c r="AI93" s="580"/>
      <c r="AJ93" s="580"/>
      <c r="AK93" s="580"/>
      <c r="AL93" s="558"/>
      <c r="AM93" s="580"/>
      <c r="AN93" s="582"/>
      <c r="AO93" s="580"/>
      <c r="AP93" s="580"/>
      <c r="AQ93" s="558"/>
      <c r="AR93" s="580"/>
      <c r="AS93" s="580"/>
      <c r="AT93" s="580"/>
      <c r="AU93" s="580"/>
      <c r="AV93" s="558"/>
      <c r="AW93" s="580"/>
      <c r="AX93" s="580"/>
      <c r="AY93" s="580"/>
      <c r="AZ93" s="580"/>
      <c r="BA93" s="558"/>
      <c r="BB93" s="580"/>
      <c r="BC93" s="580"/>
      <c r="BD93" s="580"/>
      <c r="BE93" s="580"/>
      <c r="BF93" s="558"/>
      <c r="BG93" s="580"/>
      <c r="BH93" s="580"/>
      <c r="BI93" s="580"/>
      <c r="BJ93" s="580"/>
      <c r="BK93" s="558"/>
      <c r="BL93" s="580"/>
      <c r="BM93" s="580"/>
      <c r="BN93" s="580"/>
      <c r="BO93" s="580"/>
    </row>
  </sheetData>
  <pageMargins left="0.7" right="0.7" top="0.75" bottom="0.75" header="0.3" footer="0.3"/>
  <pageSetup orientation="portrait" r:id="rId1"/>
  <customProperties>
    <customPr name="Qube.Worksheet.Visibility" r:id="rId2"/>
    <customPr name="QXL_SHEET_ID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B7C4-A382-49C4-9E21-D95FE888690A}">
  <sheetPr>
    <tabColor theme="4"/>
    <pageSetUpPr autoPageBreaks="0"/>
  </sheetPr>
  <dimension ref="A1:BO614"/>
  <sheetViews>
    <sheetView showGridLines="0" zoomScaleNormal="100" workbookViewId="0">
      <pane xSplit="2" ySplit="8" topLeftCell="AQ9" activePane="bottomRight" state="frozen"/>
      <selection activeCell="A90" sqref="A90"/>
      <selection pane="topRight" activeCell="A90" sqref="A90"/>
      <selection pane="bottomLeft" activeCell="A90" sqref="A90"/>
      <selection pane="bottomRight" activeCell="B2" sqref="B2"/>
    </sheetView>
  </sheetViews>
  <sheetFormatPr defaultColWidth="9.140625" defaultRowHeight="12.75" outlineLevelRow="1" outlineLevelCol="1"/>
  <cols>
    <col min="1" max="1" width="3.7109375" style="107" customWidth="1"/>
    <col min="2" max="2" width="35.7109375" style="1040" customWidth="1"/>
    <col min="3" max="3" width="9.42578125" style="362" hidden="1" customWidth="1" outlineLevel="1"/>
    <col min="4" max="6" width="9.42578125" style="466" hidden="1" customWidth="1" outlineLevel="1"/>
    <col min="7" max="7" width="9.42578125" style="466" customWidth="1" collapsed="1"/>
    <col min="8" max="8" width="9.42578125" style="362" hidden="1" customWidth="1" outlineLevel="1"/>
    <col min="9" max="11" width="9.42578125" style="466" hidden="1" customWidth="1" outlineLevel="1"/>
    <col min="12" max="12" width="9.42578125" style="466" customWidth="1" collapsed="1"/>
    <col min="13" max="13" width="9.42578125" style="362" hidden="1" customWidth="1" outlineLevel="1"/>
    <col min="14" max="16" width="9.42578125" style="466" hidden="1" customWidth="1" outlineLevel="1"/>
    <col min="17" max="17" width="9.42578125" style="466" customWidth="1" collapsed="1"/>
    <col min="18" max="18" width="9.42578125" style="362" hidden="1" customWidth="1" outlineLevel="1"/>
    <col min="19" max="21" width="9.42578125" style="466" hidden="1" customWidth="1" outlineLevel="1"/>
    <col min="22" max="22" width="9.42578125" style="466" customWidth="1" collapsed="1"/>
    <col min="23" max="23" width="9.42578125" style="362" hidden="1" customWidth="1" outlineLevel="1"/>
    <col min="24" max="26" width="9.42578125" style="466" hidden="1" customWidth="1" outlineLevel="1"/>
    <col min="27" max="27" width="10.28515625" style="466" bestFit="1" customWidth="1" collapsed="1"/>
    <col min="28" max="28" width="9.42578125" style="362" hidden="1" customWidth="1" outlineLevel="1"/>
    <col min="29" max="31" width="9.42578125" style="466" hidden="1" customWidth="1" outlineLevel="1"/>
    <col min="32" max="32" width="10.28515625" style="466" bestFit="1" customWidth="1" collapsed="1"/>
    <col min="33" max="33" width="9.42578125" style="362" hidden="1" customWidth="1" outlineLevel="1"/>
    <col min="34" max="36" width="9.42578125" style="466" hidden="1" customWidth="1" outlineLevel="1"/>
    <col min="37" max="37" width="10.28515625" style="466" bestFit="1" customWidth="1" collapsed="1"/>
    <col min="38" max="38" width="9.42578125" style="362" hidden="1" customWidth="1" outlineLevel="1"/>
    <col min="39" max="39" width="9.42578125" style="466" hidden="1" customWidth="1" outlineLevel="1"/>
    <col min="40" max="40" width="9.42578125" style="1273" hidden="1" customWidth="1" outlineLevel="1"/>
    <col min="41" max="41" width="9.42578125" style="466" hidden="1" customWidth="1" outlineLevel="1"/>
    <col min="42" max="42" width="10.28515625" style="466" bestFit="1" customWidth="1" collapsed="1"/>
    <col min="43" max="43" width="10.5703125" style="362" customWidth="1" outlineLevel="1"/>
    <col min="44" max="44" width="10.28515625" style="1273" customWidth="1" outlineLevel="1"/>
    <col min="45" max="46" width="10.28515625" style="466" customWidth="1" outlineLevel="1"/>
    <col min="47" max="47" width="10.28515625" style="466" bestFit="1" customWidth="1"/>
    <col min="48" max="48" width="10.28515625" style="362" customWidth="1" outlineLevel="1"/>
    <col min="49" max="51" width="10.28515625" style="466" customWidth="1" outlineLevel="1"/>
    <col min="52" max="52" width="10.28515625" style="466" bestFit="1" customWidth="1"/>
    <col min="53" max="53" width="10.28515625" style="362" customWidth="1" outlineLevel="1"/>
    <col min="54" max="56" width="10.28515625" style="466" customWidth="1" outlineLevel="1"/>
    <col min="57" max="57" width="10.28515625" style="466" bestFit="1" customWidth="1"/>
    <col min="58" max="58" width="10.28515625" style="362" hidden="1" customWidth="1" outlineLevel="1"/>
    <col min="59" max="61" width="10.28515625" style="466" hidden="1" customWidth="1" outlineLevel="1"/>
    <col min="62" max="62" width="10.28515625" style="466" bestFit="1" customWidth="1" collapsed="1"/>
    <col min="63" max="63" width="10.28515625" style="362" hidden="1" customWidth="1" outlineLevel="1"/>
    <col min="64" max="66" width="10.28515625" style="466" hidden="1" customWidth="1" outlineLevel="1"/>
    <col min="67" max="67" width="11.28515625" style="466" bestFit="1" customWidth="1" collapsed="1"/>
    <col min="68" max="16384" width="9.140625" style="58"/>
  </cols>
  <sheetData>
    <row r="1" spans="1:67" s="363" customFormat="1">
      <c r="A1" s="107"/>
      <c r="B1" s="1040"/>
      <c r="C1" s="362"/>
      <c r="H1" s="362"/>
      <c r="M1" s="362"/>
      <c r="R1" s="362"/>
      <c r="W1" s="362"/>
      <c r="AB1" s="362"/>
      <c r="AG1" s="362"/>
      <c r="AL1" s="362"/>
      <c r="AN1" s="1257"/>
      <c r="AQ1" s="362"/>
      <c r="AR1" s="1257"/>
      <c r="AV1" s="362"/>
      <c r="BA1" s="362"/>
      <c r="BF1" s="362"/>
      <c r="BK1" s="362"/>
    </row>
    <row r="2" spans="1:67" s="363" customFormat="1">
      <c r="A2" s="107"/>
      <c r="B2" s="1077" t="s">
        <v>29</v>
      </c>
      <c r="C2" s="362"/>
      <c r="H2" s="362"/>
      <c r="M2" s="362"/>
      <c r="R2" s="362"/>
      <c r="W2" s="362"/>
      <c r="AB2" s="362"/>
      <c r="AG2" s="362"/>
      <c r="AL2" s="362"/>
      <c r="AN2" s="1257"/>
      <c r="AP2" s="823"/>
      <c r="AQ2" s="362"/>
      <c r="AR2" s="1257"/>
      <c r="AV2" s="362"/>
      <c r="BA2" s="362"/>
      <c r="BF2" s="362"/>
      <c r="BK2" s="362"/>
    </row>
    <row r="3" spans="1:67" s="363" customFormat="1">
      <c r="A3" s="107"/>
      <c r="B3" s="1077" t="s">
        <v>198</v>
      </c>
      <c r="C3" s="362"/>
      <c r="H3" s="362"/>
      <c r="M3" s="362"/>
      <c r="R3" s="362"/>
      <c r="W3" s="608"/>
      <c r="Y3" s="647"/>
      <c r="AB3" s="362"/>
      <c r="AG3" s="362"/>
      <c r="AL3" s="697"/>
      <c r="AM3" s="365"/>
      <c r="AN3" s="1258"/>
      <c r="AO3" s="365"/>
      <c r="AP3" s="365"/>
      <c r="AQ3" s="697"/>
      <c r="AR3" s="1258"/>
      <c r="AS3" s="365"/>
      <c r="AT3" s="365"/>
      <c r="AU3" s="365"/>
      <c r="AV3" s="365"/>
      <c r="AW3" s="365"/>
      <c r="AX3" s="365"/>
      <c r="AY3" s="365"/>
      <c r="AZ3" s="365"/>
      <c r="BA3" s="697"/>
      <c r="BB3" s="697"/>
      <c r="BC3" s="697"/>
      <c r="BD3" s="697"/>
      <c r="BE3" s="365"/>
      <c r="BF3" s="365"/>
      <c r="BG3" s="365"/>
      <c r="BH3" s="365"/>
      <c r="BI3" s="365"/>
      <c r="BJ3" s="365"/>
      <c r="BK3" s="365"/>
      <c r="BL3" s="365"/>
      <c r="BM3" s="365"/>
      <c r="BN3" s="365"/>
      <c r="BO3" s="365"/>
    </row>
    <row r="4" spans="1:67" s="363" customFormat="1">
      <c r="A4" s="107"/>
      <c r="B4" s="1077" t="s">
        <v>28</v>
      </c>
      <c r="C4" s="362"/>
      <c r="H4" s="362"/>
      <c r="M4" s="556"/>
      <c r="N4" s="557"/>
      <c r="O4" s="557"/>
      <c r="R4" s="362"/>
      <c r="T4" s="364"/>
      <c r="W4" s="362"/>
      <c r="Y4" s="364"/>
      <c r="AB4" s="362"/>
      <c r="AG4" s="362"/>
      <c r="AL4" s="362"/>
      <c r="AN4" s="1257"/>
      <c r="AP4" s="648"/>
      <c r="AQ4" s="362"/>
      <c r="AR4" s="1257"/>
      <c r="AV4" s="362"/>
      <c r="BA4" s="362"/>
      <c r="BF4" s="362"/>
      <c r="BK4" s="362"/>
    </row>
    <row r="5" spans="1:67" s="363" customFormat="1">
      <c r="A5" s="107"/>
      <c r="B5" s="1040"/>
      <c r="C5" s="556"/>
      <c r="D5" s="557"/>
      <c r="E5" s="557"/>
      <c r="F5" s="557"/>
      <c r="G5" s="557"/>
      <c r="H5" s="556"/>
      <c r="I5" s="557"/>
      <c r="J5" s="557"/>
      <c r="K5" s="466"/>
      <c r="M5" s="556"/>
      <c r="N5" s="557"/>
      <c r="O5" s="557"/>
      <c r="P5" s="466"/>
      <c r="R5" s="556"/>
      <c r="S5" s="557"/>
      <c r="T5" s="557"/>
      <c r="W5" s="362"/>
      <c r="AB5" s="362"/>
      <c r="AG5" s="362"/>
      <c r="AK5" s="823"/>
      <c r="AL5" s="362"/>
      <c r="AN5" s="1257"/>
      <c r="AQ5" s="362"/>
      <c r="AR5" s="1257"/>
      <c r="AV5" s="362"/>
      <c r="AZ5" s="1409"/>
      <c r="BA5" s="362"/>
      <c r="BE5" s="1409"/>
      <c r="BF5" s="362"/>
      <c r="BJ5" s="1409"/>
      <c r="BK5" s="362"/>
      <c r="BO5" s="1409"/>
    </row>
    <row r="6" spans="1:67" s="60" customFormat="1" ht="15">
      <c r="A6" s="107"/>
      <c r="B6" s="1040"/>
      <c r="C6" s="60" t="str">
        <f>Dates!M3</f>
        <v>2018 (A)</v>
      </c>
      <c r="G6" s="58"/>
      <c r="H6" s="60" t="str">
        <f>Dates!R3</f>
        <v>2019 (A)</v>
      </c>
      <c r="L6" s="58"/>
      <c r="M6" s="60" t="str">
        <f>Dates!W3</f>
        <v>2020 (A)</v>
      </c>
      <c r="Q6" s="58"/>
      <c r="R6" s="60" t="str">
        <f>Dates!AB3</f>
        <v>2021 (A)</v>
      </c>
      <c r="V6" s="58"/>
      <c r="W6" s="60" t="str">
        <f>Dates!AG3</f>
        <v>2022 (A)</v>
      </c>
      <c r="AA6" s="58"/>
      <c r="AB6" s="60" t="str">
        <f>Dates!AL3</f>
        <v>2023 (A)</v>
      </c>
      <c r="AF6" s="58"/>
      <c r="AG6" s="60" t="str">
        <f>Dates!AQ3</f>
        <v>2024 (A)</v>
      </c>
      <c r="AK6" s="58"/>
      <c r="AL6" s="60" t="str">
        <f>Dates!AV3</f>
        <v>2025 (A)</v>
      </c>
      <c r="AN6" s="1259"/>
      <c r="AP6" s="58"/>
      <c r="AQ6" s="60" t="str">
        <f>Dates!BA3</f>
        <v>2026 (E)</v>
      </c>
      <c r="AR6" s="1259"/>
      <c r="AU6" s="58"/>
      <c r="AV6" s="60" t="str">
        <f>Dates!BF3</f>
        <v>2027 (E)</v>
      </c>
      <c r="AZ6" s="58"/>
      <c r="BA6" s="60" t="str">
        <f>Dates!BK3</f>
        <v>2028 (E)</v>
      </c>
      <c r="BE6" s="58"/>
      <c r="BF6" s="60" t="str">
        <f>Dates!BP3</f>
        <v>2029 (E)</v>
      </c>
      <c r="BJ6" s="58"/>
      <c r="BK6" s="60" t="str">
        <f>Dates!BU3</f>
        <v>2030 (E)</v>
      </c>
      <c r="BO6" s="58"/>
    </row>
    <row r="7" spans="1:67" s="366" customFormat="1">
      <c r="A7" s="107"/>
      <c r="B7" s="1040"/>
      <c r="C7" s="366" t="str">
        <f>Dates!M4</f>
        <v>1Q18 (A)</v>
      </c>
      <c r="D7" s="366" t="str">
        <f>Dates!N4</f>
        <v>2Q18 (A)</v>
      </c>
      <c r="E7" s="366" t="str">
        <f>Dates!O4</f>
        <v>3Q18 (A)</v>
      </c>
      <c r="F7" s="366" t="str">
        <f>Dates!P4</f>
        <v>4Q18 (A)</v>
      </c>
      <c r="G7" s="367" t="str">
        <f>Dates!Q4</f>
        <v>FY18 (A)</v>
      </c>
      <c r="H7" s="366" t="str">
        <f>Dates!R4</f>
        <v>1Q19 (A)</v>
      </c>
      <c r="I7" s="366" t="str">
        <f>Dates!S4</f>
        <v>2Q19 (A)</v>
      </c>
      <c r="J7" s="366" t="str">
        <f>Dates!T4</f>
        <v>3Q19 (A)</v>
      </c>
      <c r="K7" s="366" t="str">
        <f>Dates!U4</f>
        <v>4Q19 (A)</v>
      </c>
      <c r="L7" s="367" t="str">
        <f>Dates!V4</f>
        <v>FY19 (A)</v>
      </c>
      <c r="M7" s="366" t="str">
        <f>Dates!W4</f>
        <v>1Q20 (A)</v>
      </c>
      <c r="N7" s="366" t="str">
        <f>Dates!X4</f>
        <v>2Q20 (A)</v>
      </c>
      <c r="O7" s="366" t="str">
        <f>Dates!Y4</f>
        <v>3Q20 (A)</v>
      </c>
      <c r="P7" s="366" t="str">
        <f>Dates!Z4</f>
        <v>4Q20 (A)</v>
      </c>
      <c r="Q7" s="367" t="str">
        <f>Dates!AA4</f>
        <v>FY20 (A)</v>
      </c>
      <c r="R7" s="366" t="str">
        <f>Dates!AB4</f>
        <v>1Q21 (A)</v>
      </c>
      <c r="S7" s="366" t="str">
        <f>Dates!AC4</f>
        <v>2Q21 (A)</v>
      </c>
      <c r="T7" s="366" t="str">
        <f>Dates!AD4</f>
        <v>3Q21 (A)</v>
      </c>
      <c r="U7" s="366" t="str">
        <f>Dates!AE4</f>
        <v>4Q21 (A)</v>
      </c>
      <c r="V7" s="367" t="str">
        <f>Dates!AF4</f>
        <v>FY21 (A)</v>
      </c>
      <c r="W7" s="366" t="str">
        <f>Dates!AG4</f>
        <v>1Q22 (A)</v>
      </c>
      <c r="X7" s="366" t="str">
        <f>Dates!AH4</f>
        <v>2Q22 (A)</v>
      </c>
      <c r="Y7" s="366" t="str">
        <f>Dates!AI4</f>
        <v>3Q22 (A)</v>
      </c>
      <c r="Z7" s="366" t="str">
        <f>Dates!AJ4</f>
        <v>4Q22 (A)</v>
      </c>
      <c r="AA7" s="367" t="str">
        <f>Dates!AK4</f>
        <v>FY22 (A)</v>
      </c>
      <c r="AB7" s="366" t="str">
        <f>Dates!AL4</f>
        <v>1Q23 (A)</v>
      </c>
      <c r="AC7" s="366" t="str">
        <f>Dates!AM4</f>
        <v>2Q23 (A)</v>
      </c>
      <c r="AD7" s="366" t="str">
        <f>Dates!AN4</f>
        <v>3Q23 (A)</v>
      </c>
      <c r="AE7" s="366" t="str">
        <f>Dates!AO4</f>
        <v>4Q23 (A)</v>
      </c>
      <c r="AF7" s="367" t="str">
        <f>Dates!AP4</f>
        <v>FY23 (A)</v>
      </c>
      <c r="AG7" s="366" t="str">
        <f>Dates!AQ4</f>
        <v>1Q24 (A)</v>
      </c>
      <c r="AH7" s="366" t="str">
        <f>Dates!AR4</f>
        <v>2Q24 (A)</v>
      </c>
      <c r="AI7" s="366" t="str">
        <f>Dates!AS4</f>
        <v>3Q24 (A)</v>
      </c>
      <c r="AJ7" s="366" t="str">
        <f>Dates!AT4</f>
        <v>4Q24 (A)</v>
      </c>
      <c r="AK7" s="367" t="str">
        <f>Dates!AU4</f>
        <v>FY24 (A)</v>
      </c>
      <c r="AL7" s="366" t="str">
        <f>Dates!AV4</f>
        <v>1Q25 (A)</v>
      </c>
      <c r="AM7" s="366" t="str">
        <f>Dates!AW4</f>
        <v>2Q25 (A)</v>
      </c>
      <c r="AN7" s="1260" t="str">
        <f>Dates!AX4</f>
        <v>3Q25 (A)</v>
      </c>
      <c r="AO7" s="366" t="str">
        <f>Dates!AY4</f>
        <v>4Q25 (A)</v>
      </c>
      <c r="AP7" s="367" t="str">
        <f>Dates!AZ4</f>
        <v>FY25 (A)</v>
      </c>
      <c r="AQ7" s="366" t="str">
        <f>Dates!BA4</f>
        <v>1Q26 (A)</v>
      </c>
      <c r="AR7" s="1260" t="str">
        <f>Dates!BB4</f>
        <v>2Q26 (A)</v>
      </c>
      <c r="AS7" s="366" t="str">
        <f>Dates!BC4</f>
        <v>3Q26 (A)</v>
      </c>
      <c r="AT7" s="366" t="str">
        <f>Dates!BD4</f>
        <v>4Q26 (E)</v>
      </c>
      <c r="AU7" s="367" t="str">
        <f>Dates!BE4</f>
        <v>FY26 (E)</v>
      </c>
      <c r="AV7" s="366" t="str">
        <f>Dates!BF4</f>
        <v>1Q27 (E)</v>
      </c>
      <c r="AW7" s="366" t="str">
        <f>Dates!BG4</f>
        <v>2Q27 (E)</v>
      </c>
      <c r="AX7" s="366" t="str">
        <f>Dates!BH4</f>
        <v>3Q27 (E)</v>
      </c>
      <c r="AY7" s="366" t="str">
        <f>Dates!BI4</f>
        <v>4Q27 (E)</v>
      </c>
      <c r="AZ7" s="367" t="str">
        <f>Dates!BJ4</f>
        <v>FY27 (E)</v>
      </c>
      <c r="BA7" s="366" t="str">
        <f>Dates!BK4</f>
        <v>1Q28 (E)</v>
      </c>
      <c r="BB7" s="366" t="str">
        <f>Dates!BL4</f>
        <v>2Q28 (E)</v>
      </c>
      <c r="BC7" s="366" t="str">
        <f>Dates!BM4</f>
        <v>3Q28 (E)</v>
      </c>
      <c r="BD7" s="366" t="str">
        <f>Dates!BN4</f>
        <v>4Q28 (E)</v>
      </c>
      <c r="BE7" s="367" t="str">
        <f>Dates!BO4</f>
        <v>FY28 (E)</v>
      </c>
      <c r="BF7" s="366" t="str">
        <f>Dates!BP4</f>
        <v>1Q29 (E)</v>
      </c>
      <c r="BG7" s="366" t="str">
        <f>Dates!BQ4</f>
        <v>2Q29 (E)</v>
      </c>
      <c r="BH7" s="366" t="str">
        <f>Dates!BR4</f>
        <v>3Q29 (E)</v>
      </c>
      <c r="BI7" s="366" t="str">
        <f>Dates!BS4</f>
        <v>4Q29 (E)</v>
      </c>
      <c r="BJ7" s="367" t="str">
        <f>Dates!BT4</f>
        <v>FY29 (E)</v>
      </c>
      <c r="BK7" s="366" t="str">
        <f>Dates!BU4</f>
        <v>1Q30 (E)</v>
      </c>
      <c r="BL7" s="366" t="str">
        <f>Dates!BV4</f>
        <v>2Q30 (E)</v>
      </c>
      <c r="BM7" s="366" t="str">
        <f>Dates!BW4</f>
        <v>3Q30 (E)</v>
      </c>
      <c r="BN7" s="366" t="str">
        <f>Dates!BX4</f>
        <v>4Q30 (E)</v>
      </c>
      <c r="BO7" s="367" t="str">
        <f>Dates!BY4</f>
        <v>FY30 (E)</v>
      </c>
    </row>
    <row r="8" spans="1:67" s="368" customFormat="1">
      <c r="A8" s="107"/>
      <c r="B8" s="1040"/>
      <c r="C8" s="368">
        <f>Dates!M5</f>
        <v>42855</v>
      </c>
      <c r="D8" s="368">
        <f>Dates!N5</f>
        <v>42947</v>
      </c>
      <c r="E8" s="368">
        <f>Dates!O5</f>
        <v>43039</v>
      </c>
      <c r="F8" s="368">
        <f>Dates!P5</f>
        <v>43131</v>
      </c>
      <c r="G8" s="369">
        <f>Dates!Q5</f>
        <v>43131</v>
      </c>
      <c r="H8" s="368">
        <f>Dates!R5</f>
        <v>43220</v>
      </c>
      <c r="I8" s="368">
        <f>Dates!S5</f>
        <v>43312</v>
      </c>
      <c r="J8" s="368">
        <f>Dates!T5</f>
        <v>43404</v>
      </c>
      <c r="K8" s="368">
        <f>Dates!U5</f>
        <v>43496</v>
      </c>
      <c r="L8" s="369">
        <f>Dates!V5</f>
        <v>43496</v>
      </c>
      <c r="M8" s="368">
        <f>Dates!W5</f>
        <v>43585</v>
      </c>
      <c r="N8" s="368">
        <f>Dates!X5</f>
        <v>43677</v>
      </c>
      <c r="O8" s="368">
        <f>Dates!Y5</f>
        <v>43769</v>
      </c>
      <c r="P8" s="368">
        <f>Dates!Z5</f>
        <v>43861</v>
      </c>
      <c r="Q8" s="369">
        <f>Dates!AA5</f>
        <v>43861</v>
      </c>
      <c r="R8" s="368">
        <f>Dates!AB5</f>
        <v>43951</v>
      </c>
      <c r="S8" s="368">
        <f>Dates!AC5</f>
        <v>44043</v>
      </c>
      <c r="T8" s="368">
        <f>Dates!AD5</f>
        <v>44135</v>
      </c>
      <c r="U8" s="368">
        <f>Dates!AE5</f>
        <v>44227</v>
      </c>
      <c r="V8" s="369">
        <f>Dates!AF5</f>
        <v>44227</v>
      </c>
      <c r="W8" s="368">
        <f>Dates!AG5</f>
        <v>44316</v>
      </c>
      <c r="X8" s="368">
        <f>Dates!AH5</f>
        <v>44408</v>
      </c>
      <c r="Y8" s="368">
        <f>Dates!AI5</f>
        <v>44500</v>
      </c>
      <c r="Z8" s="368">
        <f>Dates!AJ5</f>
        <v>44592</v>
      </c>
      <c r="AA8" s="369">
        <f>Dates!AK5</f>
        <v>44592</v>
      </c>
      <c r="AB8" s="368">
        <f>Dates!AL5</f>
        <v>44681</v>
      </c>
      <c r="AC8" s="368">
        <f>Dates!AM5</f>
        <v>44773</v>
      </c>
      <c r="AD8" s="368">
        <f>Dates!AN5</f>
        <v>44865</v>
      </c>
      <c r="AE8" s="368">
        <f>Dates!AO5</f>
        <v>44957</v>
      </c>
      <c r="AF8" s="369">
        <f>Dates!AP5</f>
        <v>44957</v>
      </c>
      <c r="AG8" s="368">
        <f>Dates!AQ5</f>
        <v>45046</v>
      </c>
      <c r="AH8" s="368">
        <f>Dates!AR5</f>
        <v>45138</v>
      </c>
      <c r="AI8" s="368">
        <f>Dates!AS5</f>
        <v>45230</v>
      </c>
      <c r="AJ8" s="368">
        <f>Dates!AT5</f>
        <v>45322</v>
      </c>
      <c r="AK8" s="369">
        <f>Dates!AU5</f>
        <v>45322</v>
      </c>
      <c r="AL8" s="368">
        <f>Dates!AV5</f>
        <v>45412</v>
      </c>
      <c r="AM8" s="368">
        <f>Dates!AW5</f>
        <v>45504</v>
      </c>
      <c r="AN8" s="1185">
        <f>Dates!AX5</f>
        <v>45596</v>
      </c>
      <c r="AO8" s="368">
        <f>Dates!AY5</f>
        <v>45688</v>
      </c>
      <c r="AP8" s="369">
        <f>Dates!AZ5</f>
        <v>45688</v>
      </c>
      <c r="AQ8" s="368">
        <f>Dates!BA5</f>
        <v>45777</v>
      </c>
      <c r="AR8" s="1185">
        <f>Dates!BB5</f>
        <v>45869</v>
      </c>
      <c r="AS8" s="368">
        <f>Dates!BC5</f>
        <v>45961</v>
      </c>
      <c r="AT8" s="368">
        <f>Dates!BD5</f>
        <v>46053</v>
      </c>
      <c r="AU8" s="369">
        <f>Dates!BE5</f>
        <v>46053</v>
      </c>
      <c r="AV8" s="368">
        <f>Dates!BF5</f>
        <v>46142</v>
      </c>
      <c r="AW8" s="368">
        <f>Dates!BG5</f>
        <v>46234</v>
      </c>
      <c r="AX8" s="368">
        <f>Dates!BH5</f>
        <v>46326</v>
      </c>
      <c r="AY8" s="368">
        <f>Dates!BI5</f>
        <v>46418</v>
      </c>
      <c r="AZ8" s="369">
        <f>Dates!BJ5</f>
        <v>46418</v>
      </c>
      <c r="BA8" s="368">
        <f>Dates!BK5</f>
        <v>46507</v>
      </c>
      <c r="BB8" s="368">
        <f>Dates!BL5</f>
        <v>46599</v>
      </c>
      <c r="BC8" s="368">
        <f>Dates!BM5</f>
        <v>46691</v>
      </c>
      <c r="BD8" s="368">
        <f>Dates!BN5</f>
        <v>46783</v>
      </c>
      <c r="BE8" s="369">
        <f>Dates!BO5</f>
        <v>46783</v>
      </c>
      <c r="BF8" s="368">
        <f>Dates!BP5</f>
        <v>46873</v>
      </c>
      <c r="BG8" s="368">
        <f>Dates!BQ5</f>
        <v>46965</v>
      </c>
      <c r="BH8" s="368">
        <f>Dates!BR5</f>
        <v>47057</v>
      </c>
      <c r="BI8" s="368">
        <f>Dates!BS5</f>
        <v>47149</v>
      </c>
      <c r="BJ8" s="369">
        <f>Dates!BT5</f>
        <v>47149</v>
      </c>
      <c r="BK8" s="368">
        <f>Dates!BU5</f>
        <v>47238</v>
      </c>
      <c r="BL8" s="368">
        <f>Dates!BV5</f>
        <v>47330</v>
      </c>
      <c r="BM8" s="368">
        <f>Dates!BW5</f>
        <v>47422</v>
      </c>
      <c r="BN8" s="368">
        <f>Dates!BX5</f>
        <v>47514</v>
      </c>
      <c r="BO8" s="369">
        <f>Dates!BY5</f>
        <v>47514</v>
      </c>
    </row>
    <row r="9" spans="1:67" s="368" customFormat="1">
      <c r="A9" s="107"/>
      <c r="B9" s="1040"/>
      <c r="G9" s="369"/>
      <c r="L9" s="369"/>
      <c r="Q9" s="369"/>
      <c r="V9" s="369"/>
      <c r="AA9" s="369"/>
      <c r="AF9" s="369"/>
      <c r="AK9" s="369"/>
      <c r="AN9" s="1185"/>
      <c r="AP9" s="369"/>
      <c r="AR9" s="1185"/>
      <c r="AU9" s="369"/>
      <c r="AZ9" s="369"/>
      <c r="BE9" s="369"/>
      <c r="BJ9" s="369"/>
      <c r="BO9" s="369"/>
    </row>
    <row r="10" spans="1:67" s="1132" customFormat="1">
      <c r="A10" s="1036" t="s">
        <v>59</v>
      </c>
      <c r="B10" s="1158" t="s">
        <v>2</v>
      </c>
      <c r="C10" s="1139">
        <f>SUM(C14,C19)</f>
        <v>0</v>
      </c>
      <c r="D10" s="1139">
        <f>SUM(D14,D19)</f>
        <v>0</v>
      </c>
      <c r="E10" s="1139">
        <f>SUM(E14,E19)</f>
        <v>0</v>
      </c>
      <c r="F10" s="1139">
        <f>SUM(F14,F19)</f>
        <v>0</v>
      </c>
      <c r="G10" s="1140">
        <f>SUM(C10:F10)</f>
        <v>0</v>
      </c>
      <c r="H10" s="1139">
        <f>SUM(H14,H19)</f>
        <v>13.403</v>
      </c>
      <c r="I10" s="1139">
        <f>SUM(I14,I19)</f>
        <v>17.905000000000001</v>
      </c>
      <c r="J10" s="1139">
        <f>SUM(J14,J19)</f>
        <v>28.68</v>
      </c>
      <c r="K10" s="1139">
        <f>SUM(K14,K19)</f>
        <v>36.678000000000004</v>
      </c>
      <c r="L10" s="1140">
        <f>SUM(H10:K10)</f>
        <v>96.665999999999997</v>
      </c>
      <c r="M10" s="1139">
        <f>SUM(M14,M19)</f>
        <v>43.704999999999998</v>
      </c>
      <c r="N10" s="1139">
        <f>SUM(N14,N19)</f>
        <v>60.338999999999999</v>
      </c>
      <c r="O10" s="1139">
        <f>SUM(O14,O19)</f>
        <v>73.012</v>
      </c>
      <c r="P10" s="1139">
        <f>SUM(P14,P19)</f>
        <v>87.692000000000007</v>
      </c>
      <c r="Q10" s="1140">
        <f>SUM(M10:P10)</f>
        <v>264.74799999999999</v>
      </c>
      <c r="R10" s="1139">
        <f>SUM(R14,R19)</f>
        <v>108.815</v>
      </c>
      <c r="S10" s="1139">
        <f>SUM(S14,S19)</f>
        <v>133.14499999999998</v>
      </c>
      <c r="T10" s="1139">
        <f>SUM(T14,T19)</f>
        <v>159.62400000000002</v>
      </c>
      <c r="U10" s="1139">
        <f>SUM(U14,U19)</f>
        <v>190.465</v>
      </c>
      <c r="V10" s="1140">
        <f>SUM(R10:U10)</f>
        <v>592.04899999999998</v>
      </c>
      <c r="W10" s="1139">
        <f>SUM(W14,W19)</f>
        <v>228.91400000000002</v>
      </c>
      <c r="X10" s="1139">
        <f>SUM(X14,X19)</f>
        <v>272.19799999999998</v>
      </c>
      <c r="Y10" s="1139">
        <f>SUM(Y14,Y19)</f>
        <v>334.44100000000003</v>
      </c>
      <c r="Z10" s="1139">
        <f>SUM(Z14,Z19)</f>
        <v>383.774</v>
      </c>
      <c r="AA10" s="1140">
        <f>SUM(W10:Z10)</f>
        <v>1219.327</v>
      </c>
      <c r="AB10" s="1139">
        <f>SUM(AB14,AB19)</f>
        <v>422.37100000000004</v>
      </c>
      <c r="AC10" s="1139">
        <f>SUM(AC14,AC19)</f>
        <v>497.24799999999999</v>
      </c>
      <c r="AD10" s="1139">
        <f>SUM(AD14,AD19)</f>
        <v>557.02799999999991</v>
      </c>
      <c r="AE10" s="1139">
        <f>SUM(AE14,AE19)</f>
        <v>589.01199999999994</v>
      </c>
      <c r="AF10" s="1140">
        <f>SUM(AB10:AE10)</f>
        <v>2065.6589999999997</v>
      </c>
      <c r="AG10" s="1139">
        <f>SUM(AG14,AG19)</f>
        <v>623.59900000000005</v>
      </c>
      <c r="AH10" s="1139">
        <f>SUM(AH14,AH19)</f>
        <v>674.01799999999992</v>
      </c>
      <c r="AI10" s="1139">
        <f>SUM(AI14,AI19)</f>
        <v>734.173</v>
      </c>
      <c r="AJ10" s="1139">
        <f>SUM(AJ14,AJ19)</f>
        <v>774.69900000000007</v>
      </c>
      <c r="AK10" s="1140">
        <f>SUM(AG10:AJ10)</f>
        <v>2806.489</v>
      </c>
      <c r="AL10" s="1139">
        <f>SUM(AL14,AL19)</f>
        <v>828.70899999999995</v>
      </c>
      <c r="AM10" s="1139">
        <f>SUM(AM14,AM19)</f>
        <v>868.82299999999998</v>
      </c>
      <c r="AN10" s="1141">
        <f>SUM(AN14,AN19)</f>
        <v>942.09400000000005</v>
      </c>
      <c r="AO10" s="1139">
        <f>SUM(AO14,AO19)</f>
        <v>986.77</v>
      </c>
      <c r="AP10" s="1140">
        <f>SUM(AL10:AO10)</f>
        <v>3626.3960000000002</v>
      </c>
      <c r="AQ10" s="1139">
        <f>SUM(AQ14,AQ19)</f>
        <v>1042.0740000000001</v>
      </c>
      <c r="AR10" s="1141">
        <f>SUM(AR14,AR19)</f>
        <v>1144.9690000000001</v>
      </c>
      <c r="AS10" s="1141">
        <f>SUM(AS14,AS19)</f>
        <v>1212.9089999999999</v>
      </c>
      <c r="AT10" s="1139">
        <f>SUM(AT14,AT19)</f>
        <v>1248.8030560010045</v>
      </c>
      <c r="AU10" s="1140">
        <f>SUM(AQ10:AT10)</f>
        <v>4648.755056001005</v>
      </c>
      <c r="AV10" s="1139">
        <f>SUM(AV14,AV19)</f>
        <v>1313.0109719722818</v>
      </c>
      <c r="AW10" s="1139">
        <f>SUM(AW14,AW19)</f>
        <v>1415.0354199515693</v>
      </c>
      <c r="AX10" s="1139">
        <f>SUM(AX14,AX19)</f>
        <v>1502.3143250154637</v>
      </c>
      <c r="AY10" s="1139">
        <f>SUM(AY14,AY19)</f>
        <v>1549.2271503589259</v>
      </c>
      <c r="AZ10" s="1140">
        <f>SUM(AV10:AY10)</f>
        <v>5779.5878672982399</v>
      </c>
      <c r="BA10" s="1139">
        <f>SUM(BA14,BA19)</f>
        <v>1629.2553267969927</v>
      </c>
      <c r="BB10" s="1139">
        <f>SUM(BB14,BB19)</f>
        <v>1760.8179210723133</v>
      </c>
      <c r="BC10" s="1139">
        <f>SUM(BC14,BC19)</f>
        <v>1874.5413502166089</v>
      </c>
      <c r="BD10" s="1139">
        <f>SUM(BD14,BD19)</f>
        <v>1913.7313599297675</v>
      </c>
      <c r="BE10" s="1140">
        <f>SUM(BA10:BD10)</f>
        <v>7178.3459580156823</v>
      </c>
      <c r="BF10" s="1139">
        <f>SUM(BF14,BF19)</f>
        <v>1996.5101842221654</v>
      </c>
      <c r="BG10" s="1139">
        <f>SUM(BG14,BG19)</f>
        <v>2152.7279867089919</v>
      </c>
      <c r="BH10" s="1139">
        <f>SUM(BH14,BH19)</f>
        <v>2332.7605630627686</v>
      </c>
      <c r="BI10" s="1139">
        <f>SUM(BI14,BI19)</f>
        <v>2391.9908531909532</v>
      </c>
      <c r="BJ10" s="1140">
        <f>SUM(BF10:BI10)</f>
        <v>8873.9895871848785</v>
      </c>
      <c r="BK10" s="1139">
        <f>SUM(BK14,BK19)</f>
        <v>2482.3191606008099</v>
      </c>
      <c r="BL10" s="1139">
        <f>SUM(BL14,BL19)</f>
        <v>2642.738930392944</v>
      </c>
      <c r="BM10" s="1139">
        <f>SUM(BM14,BM19)</f>
        <v>2883.1165247796034</v>
      </c>
      <c r="BN10" s="1139">
        <f>SUM(BN14,BN19)</f>
        <v>2925.8127729876887</v>
      </c>
      <c r="BO10" s="1140">
        <f>SUM(BK10:BN10)</f>
        <v>10933.987388761047</v>
      </c>
    </row>
    <row r="11" spans="1:67" s="668" customFormat="1">
      <c r="A11" s="666" t="s">
        <v>81</v>
      </c>
      <c r="B11" s="1079" t="s">
        <v>204</v>
      </c>
      <c r="C11" s="667" t="s">
        <v>36</v>
      </c>
      <c r="D11" s="668" t="s">
        <v>36</v>
      </c>
      <c r="E11" s="668" t="s">
        <v>36</v>
      </c>
      <c r="F11" s="668" t="s">
        <v>36</v>
      </c>
      <c r="G11" s="669" t="s">
        <v>36</v>
      </c>
      <c r="H11" s="667" t="str">
        <f t="shared" ref="H11:AM11" si="0">IFERROR(H10/C10-1,"--")</f>
        <v>--</v>
      </c>
      <c r="I11" s="668" t="str">
        <f t="shared" si="0"/>
        <v>--</v>
      </c>
      <c r="J11" s="668" t="str">
        <f t="shared" si="0"/>
        <v>--</v>
      </c>
      <c r="K11" s="668" t="str">
        <f t="shared" si="0"/>
        <v>--</v>
      </c>
      <c r="L11" s="669" t="str">
        <f t="shared" si="0"/>
        <v>--</v>
      </c>
      <c r="M11" s="667">
        <f t="shared" si="0"/>
        <v>2.2608371260165634</v>
      </c>
      <c r="N11" s="668">
        <f t="shared" si="0"/>
        <v>2.3699525272270314</v>
      </c>
      <c r="O11" s="668">
        <f t="shared" si="0"/>
        <v>1.5457461645746164</v>
      </c>
      <c r="P11" s="668">
        <f t="shared" si="0"/>
        <v>1.3908610065979605</v>
      </c>
      <c r="Q11" s="669">
        <f t="shared" si="0"/>
        <v>1.7387913020089796</v>
      </c>
      <c r="R11" s="667">
        <f t="shared" si="0"/>
        <v>1.4897608969225491</v>
      </c>
      <c r="S11" s="668">
        <f t="shared" si="0"/>
        <v>1.2066159531977658</v>
      </c>
      <c r="T11" s="668">
        <f t="shared" si="0"/>
        <v>1.1862707500136969</v>
      </c>
      <c r="U11" s="668">
        <f t="shared" si="0"/>
        <v>1.1719769192172604</v>
      </c>
      <c r="V11" s="669">
        <f t="shared" si="0"/>
        <v>1.2362737395561063</v>
      </c>
      <c r="W11" s="667">
        <f t="shared" si="0"/>
        <v>1.1036989385654552</v>
      </c>
      <c r="X11" s="668">
        <f t="shared" si="0"/>
        <v>1.0443726764054229</v>
      </c>
      <c r="Y11" s="668">
        <f t="shared" si="0"/>
        <v>1.0951799228186236</v>
      </c>
      <c r="Z11" s="668">
        <f t="shared" si="0"/>
        <v>1.0149318772477884</v>
      </c>
      <c r="AA11" s="669">
        <f t="shared" si="0"/>
        <v>1.0595035208234456</v>
      </c>
      <c r="AB11" s="667">
        <f t="shared" si="0"/>
        <v>0.84510776973011703</v>
      </c>
      <c r="AC11" s="668">
        <f t="shared" si="0"/>
        <v>0.8267878529599777</v>
      </c>
      <c r="AD11" s="668">
        <f t="shared" si="0"/>
        <v>0.6655493794122127</v>
      </c>
      <c r="AE11" s="668">
        <f t="shared" si="0"/>
        <v>0.53478870376836363</v>
      </c>
      <c r="AF11" s="669">
        <f t="shared" si="0"/>
        <v>0.69409764566847088</v>
      </c>
      <c r="AG11" s="667">
        <f t="shared" si="0"/>
        <v>0.47642475454043964</v>
      </c>
      <c r="AH11" s="668">
        <f t="shared" si="0"/>
        <v>0.35549665358131133</v>
      </c>
      <c r="AI11" s="668">
        <f t="shared" si="0"/>
        <v>0.31801812476213076</v>
      </c>
      <c r="AJ11" s="668">
        <f t="shared" si="0"/>
        <v>0.31525164173225706</v>
      </c>
      <c r="AK11" s="669">
        <f t="shared" si="0"/>
        <v>0.35864099544019634</v>
      </c>
      <c r="AL11" s="667">
        <f t="shared" si="0"/>
        <v>0.32891329203542652</v>
      </c>
      <c r="AM11" s="668">
        <f t="shared" si="0"/>
        <v>0.28902047126337882</v>
      </c>
      <c r="AN11" s="1187">
        <f t="shared" ref="AN11:BJ11" si="1">IFERROR(AN10/AI10-1,"--")</f>
        <v>0.2832043673630058</v>
      </c>
      <c r="AO11" s="668">
        <f>IFERROR(AO10/AJ10-1,"--")</f>
        <v>0.27374631953829787</v>
      </c>
      <c r="AP11" s="669">
        <f>IFERROR(AP10/AK10-1,"--")</f>
        <v>0.29214687818124352</v>
      </c>
      <c r="AQ11" s="667">
        <f t="shared" ref="AQ11:AR11" si="2">IFERROR(AQ10/AL10-1,"--")</f>
        <v>0.25746673440254675</v>
      </c>
      <c r="AR11" s="1187">
        <f t="shared" si="2"/>
        <v>0.31783919164202623</v>
      </c>
      <c r="AS11" s="1187">
        <f t="shared" si="1"/>
        <v>0.28746069925081774</v>
      </c>
      <c r="AT11" s="668">
        <f t="shared" si="1"/>
        <v>0.26554623265908428</v>
      </c>
      <c r="AU11" s="669">
        <f t="shared" si="1"/>
        <v>0.28192151546632105</v>
      </c>
      <c r="AV11" s="667">
        <f t="shared" si="1"/>
        <v>0.25999782354447154</v>
      </c>
      <c r="AW11" s="668">
        <f t="shared" si="1"/>
        <v>0.23587225501438835</v>
      </c>
      <c r="AX11" s="668">
        <f t="shared" si="1"/>
        <v>0.23860431822623451</v>
      </c>
      <c r="AY11" s="668">
        <f t="shared" si="1"/>
        <v>0.24056963419032473</v>
      </c>
      <c r="AZ11" s="669">
        <f t="shared" si="1"/>
        <v>0.24325497852106892</v>
      </c>
      <c r="BA11" s="667">
        <f t="shared" si="1"/>
        <v>0.24085431239746469</v>
      </c>
      <c r="BB11" s="668">
        <f t="shared" si="1"/>
        <v>0.2443631419011254</v>
      </c>
      <c r="BC11" s="668">
        <f t="shared" si="1"/>
        <v>0.24776907136082427</v>
      </c>
      <c r="BD11" s="668">
        <f t="shared" si="1"/>
        <v>0.23528132042250416</v>
      </c>
      <c r="BE11" s="669">
        <f t="shared" si="1"/>
        <v>0.24201692626421023</v>
      </c>
      <c r="BF11" s="667">
        <f t="shared" si="1"/>
        <v>0.22541270934321345</v>
      </c>
      <c r="BG11" s="668">
        <f t="shared" si="1"/>
        <v>0.22257273790012944</v>
      </c>
      <c r="BH11" s="668">
        <f t="shared" si="1"/>
        <v>0.24444337426496943</v>
      </c>
      <c r="BI11" s="668">
        <f t="shared" si="1"/>
        <v>0.24990941951159629</v>
      </c>
      <c r="BJ11" s="669">
        <f t="shared" si="1"/>
        <v>0.23621648205402535</v>
      </c>
      <c r="BK11" s="667">
        <f>IFERROR(BK10/BF10-1,"--")</f>
        <v>0.24332907501191348</v>
      </c>
      <c r="BL11" s="668">
        <f>IFERROR(BL10/BG10-1,"--")</f>
        <v>0.22762325138582051</v>
      </c>
      <c r="BM11" s="668">
        <f>IFERROR(BM10/BH10-1,"--")</f>
        <v>0.23592475388655054</v>
      </c>
      <c r="BN11" s="668">
        <f>IFERROR(BN10/BI10-1,"--")</f>
        <v>0.22317055229730864</v>
      </c>
      <c r="BO11" s="669">
        <f>IFERROR(BO10/BJ10-1,"--")</f>
        <v>0.23213885720026717</v>
      </c>
    </row>
    <row r="12" spans="1:67" s="92" customFormat="1">
      <c r="A12" s="666" t="s">
        <v>87</v>
      </c>
      <c r="B12" s="1079" t="s">
        <v>205</v>
      </c>
      <c r="C12" s="667" t="s">
        <v>36</v>
      </c>
      <c r="D12" s="668" t="str">
        <f>IFERROR(D10/C10-1,"--")</f>
        <v>--</v>
      </c>
      <c r="E12" s="668" t="str">
        <f>IFERROR(E10/D10-1,"--")</f>
        <v>--</v>
      </c>
      <c r="F12" s="668" t="str">
        <f>IFERROR(F10/E10-1,"--")</f>
        <v>--</v>
      </c>
      <c r="G12" s="670"/>
      <c r="H12" s="667" t="str">
        <f>IFERROR(H10/F10-1,"--")</f>
        <v>--</v>
      </c>
      <c r="I12" s="668">
        <f>IFERROR(I10/H10-1,"--")</f>
        <v>0.33589494889203908</v>
      </c>
      <c r="J12" s="668">
        <f>IFERROR(J10/I10-1,"--")</f>
        <v>0.60178721027645898</v>
      </c>
      <c r="K12" s="668">
        <f>IFERROR(K10/J10-1,"--")</f>
        <v>0.27887029288702947</v>
      </c>
      <c r="L12" s="670"/>
      <c r="M12" s="667">
        <f>IFERROR(M10/K10-1,"--")</f>
        <v>0.1915862369812964</v>
      </c>
      <c r="N12" s="668">
        <f>IFERROR(N10/M10-1,"--")</f>
        <v>0.38059718567669609</v>
      </c>
      <c r="O12" s="668">
        <f>IFERROR(O10/N10-1,"--")</f>
        <v>0.21002999718258519</v>
      </c>
      <c r="P12" s="668">
        <f>IFERROR(P10/O10-1,"--")</f>
        <v>0.20106283898537236</v>
      </c>
      <c r="Q12" s="670"/>
      <c r="R12" s="667">
        <f>IFERROR(R10/P10-1,"--")</f>
        <v>0.24087716097249445</v>
      </c>
      <c r="S12" s="668">
        <f>IFERROR(S10/R10-1,"--")</f>
        <v>0.22359049763359806</v>
      </c>
      <c r="T12" s="668">
        <f>IFERROR(T10/S10-1,"--")</f>
        <v>0.19887340868977454</v>
      </c>
      <c r="U12" s="668">
        <f>IFERROR(U10/T10-1,"--")</f>
        <v>0.19321029419134961</v>
      </c>
      <c r="V12" s="670"/>
      <c r="W12" s="667">
        <f>IFERROR(W10/U10-1,"--")</f>
        <v>0.20186910981020145</v>
      </c>
      <c r="X12" s="668">
        <f>IFERROR(X10/W10-1,"--")</f>
        <v>0.18908411018985283</v>
      </c>
      <c r="Y12" s="668">
        <f>IFERROR(Y10/X10-1,"--")</f>
        <v>0.22866810189641384</v>
      </c>
      <c r="Z12" s="668">
        <f>IFERROR(Z10/Y10-1,"--")</f>
        <v>0.1475088281640109</v>
      </c>
      <c r="AA12" s="670"/>
      <c r="AB12" s="667">
        <f>IFERROR(AB10/Z10-1,"--")</f>
        <v>0.10057221177046927</v>
      </c>
      <c r="AC12" s="668">
        <f>IFERROR(AC10/AB10-1,"--")</f>
        <v>0.17727779606080896</v>
      </c>
      <c r="AD12" s="668">
        <f>IFERROR(AD10/AC10-1,"--")</f>
        <v>0.1202217002381103</v>
      </c>
      <c r="AE12" s="668">
        <f>IFERROR(AE10/AD10-1,"--")</f>
        <v>5.7419016638301956E-2</v>
      </c>
      <c r="AF12" s="670"/>
      <c r="AG12" s="667">
        <f>IFERROR(AG10/AE10-1,"--")</f>
        <v>5.8720365629223448E-2</v>
      </c>
      <c r="AH12" s="668">
        <f>IFERROR(AH10/AG10-1,"--")</f>
        <v>8.0851637029565326E-2</v>
      </c>
      <c r="AI12" s="668">
        <f>IFERROR(AI10/AH10-1,"--")</f>
        <v>8.924835835244771E-2</v>
      </c>
      <c r="AJ12" s="668">
        <f>IFERROR(AJ10/AI10-1,"--")</f>
        <v>5.5199523817955898E-2</v>
      </c>
      <c r="AK12" s="670"/>
      <c r="AL12" s="667">
        <f>IFERROR(AL10/AJ10-1,"--")</f>
        <v>6.9717399919194234E-2</v>
      </c>
      <c r="AM12" s="668">
        <f>IFERROR(AM10/AL10-1,"--")</f>
        <v>4.84054113084329E-2</v>
      </c>
      <c r="AN12" s="1187">
        <f>IFERROR(AN10/AM10-1,"--")</f>
        <v>8.43336329724238E-2</v>
      </c>
      <c r="AO12" s="668">
        <f>IFERROR(AO10/AN10-1,"--")</f>
        <v>4.7422019458779996E-2</v>
      </c>
      <c r="AP12" s="670"/>
      <c r="AQ12" s="667">
        <f>IFERROR(AQ10/AO10-1,"--")</f>
        <v>5.6045481723197899E-2</v>
      </c>
      <c r="AR12" s="1187">
        <f>IFERROR(AR10/AQ10-1,"--")</f>
        <v>9.8740588480280556E-2</v>
      </c>
      <c r="AS12" s="1187">
        <f>IFERROR(AS10/AR10-1,"--")</f>
        <v>5.9337851068456793E-2</v>
      </c>
      <c r="AT12" s="668">
        <f>IFERROR(AT10/AS10-1,"--")</f>
        <v>2.9593362734553486E-2</v>
      </c>
      <c r="AU12" s="670"/>
      <c r="AV12" s="667">
        <f>IFERROR(AV10/AT10-1,"--")</f>
        <v>5.1415566019583636E-2</v>
      </c>
      <c r="AW12" s="668">
        <f>IFERROR(AW10/AV10-1,"--")</f>
        <v>7.7702662168950498E-2</v>
      </c>
      <c r="AX12" s="668">
        <f>IFERROR(AX10/AW10-1,"--")</f>
        <v>6.1679661041192491E-2</v>
      </c>
      <c r="AY12" s="668">
        <f>IFERROR(AY10/AX10-1,"--")</f>
        <v>3.1227037220043385E-2</v>
      </c>
      <c r="AZ12" s="670"/>
      <c r="BA12" s="667">
        <f>IFERROR(BA10/AY10-1,"--")</f>
        <v>5.1656838327114096E-2</v>
      </c>
      <c r="BB12" s="668">
        <f>IFERROR(BB10/BA10-1,"--")</f>
        <v>8.0750139104325713E-2</v>
      </c>
      <c r="BC12" s="668">
        <f>IFERROR(BC10/BB10-1,"--")</f>
        <v>6.4585570025911254E-2</v>
      </c>
      <c r="BD12" s="668">
        <f>IFERROR(BD10/BC10-1,"--")</f>
        <v>2.0906452508305584E-2</v>
      </c>
      <c r="BE12" s="670"/>
      <c r="BF12" s="667">
        <f>IFERROR(BF10/BD10-1,"--")</f>
        <v>4.3255195596228146E-2</v>
      </c>
      <c r="BG12" s="668">
        <f>IFERROR(BG10/BF10-1,"--")</f>
        <v>7.8245432315532382E-2</v>
      </c>
      <c r="BH12" s="668">
        <f>IFERROR(BH10/BG10-1,"--")</f>
        <v>8.3629969724602127E-2</v>
      </c>
      <c r="BI12" s="668">
        <f>IFERROR(BI10/BH10-1,"--")</f>
        <v>2.5390642771506267E-2</v>
      </c>
      <c r="BJ12" s="670"/>
      <c r="BK12" s="667">
        <f>IFERROR(BK10/BI10-1,"--")</f>
        <v>3.7762814723709015E-2</v>
      </c>
      <c r="BL12" s="668">
        <f>IFERROR(BL10/BK10-1,"--")</f>
        <v>6.4624957313428988E-2</v>
      </c>
      <c r="BM12" s="668">
        <f>IFERROR(BM10/BL10-1,"--")</f>
        <v>9.0957752815529869E-2</v>
      </c>
      <c r="BN12" s="668">
        <f>IFERROR(BN10/BM10-1,"--")</f>
        <v>1.4809060903755666E-2</v>
      </c>
      <c r="BO12" s="670"/>
    </row>
    <row r="13" spans="1:67" s="368" customFormat="1">
      <c r="A13" s="107"/>
      <c r="B13" s="1040"/>
      <c r="G13" s="369"/>
      <c r="L13" s="369"/>
      <c r="Q13" s="369"/>
      <c r="V13" s="369"/>
      <c r="AA13" s="369"/>
      <c r="AF13" s="369"/>
      <c r="AK13" s="369"/>
      <c r="AN13" s="1185"/>
      <c r="AP13" s="369"/>
      <c r="AR13" s="1185"/>
      <c r="AS13" s="1185"/>
      <c r="AU13" s="369"/>
      <c r="AZ13" s="369"/>
      <c r="BE13" s="369"/>
      <c r="BJ13" s="369"/>
      <c r="BO13" s="369"/>
    </row>
    <row r="14" spans="1:67" s="1039" customFormat="1">
      <c r="A14" s="1036"/>
      <c r="B14" s="1157" t="s">
        <v>0</v>
      </c>
      <c r="C14" s="1155"/>
      <c r="D14" s="1155"/>
      <c r="E14" s="1155"/>
      <c r="F14" s="1155"/>
      <c r="G14" s="1146">
        <f>SUM(C14:F14)</f>
        <v>0</v>
      </c>
      <c r="H14" s="1156">
        <f>'IS (GAAP)'!H14</f>
        <v>13.186</v>
      </c>
      <c r="I14" s="1156">
        <f>'IS (GAAP)'!I14</f>
        <v>17.675000000000001</v>
      </c>
      <c r="J14" s="1156">
        <f>'IS (GAAP)'!J14</f>
        <v>28.457000000000001</v>
      </c>
      <c r="K14" s="1156">
        <f>'IS (GAAP)'!K14</f>
        <v>36.365000000000002</v>
      </c>
      <c r="L14" s="1146">
        <f>SUM(H14:K14)</f>
        <v>95.682999999999993</v>
      </c>
      <c r="M14" s="1156">
        <f>'IS (GAAP)'!M14</f>
        <v>42.765999999999998</v>
      </c>
      <c r="N14" s="1156">
        <f>'IS (GAAP)'!N14</f>
        <v>57.817999999999998</v>
      </c>
      <c r="O14" s="1156">
        <f>'IS (GAAP)'!O14</f>
        <v>69.212999999999994</v>
      </c>
      <c r="P14" s="1156">
        <f>'IS (GAAP)'!P14</f>
        <v>82.432000000000002</v>
      </c>
      <c r="Q14" s="1146">
        <f>SUM(M14:P14)</f>
        <v>252.22899999999998</v>
      </c>
      <c r="R14" s="1156">
        <f>'IS (GAAP)'!R14</f>
        <v>101.81699999999999</v>
      </c>
      <c r="S14" s="1156">
        <f>'IS (GAAP)'!S14</f>
        <v>125.21599999999999</v>
      </c>
      <c r="T14" s="1156">
        <f>'IS (GAAP)'!T14</f>
        <v>148.47300000000001</v>
      </c>
      <c r="U14" s="1156">
        <f>'IS (GAAP)'!U14</f>
        <v>178.28800000000001</v>
      </c>
      <c r="V14" s="1146">
        <f>SUM(R14:U14)</f>
        <v>553.79399999999998</v>
      </c>
      <c r="W14" s="1156">
        <f>'IS (GAAP)'!W14</f>
        <v>213.83</v>
      </c>
      <c r="X14" s="1156">
        <f>'IS (GAAP)'!X14</f>
        <v>254.62299999999999</v>
      </c>
      <c r="Y14" s="1156">
        <f>'IS (GAAP)'!Y14</f>
        <v>312.45800000000003</v>
      </c>
      <c r="Z14" s="1156">
        <f>'IS (GAAP)'!Z14</f>
        <v>359.55799999999999</v>
      </c>
      <c r="AA14" s="1146">
        <f>SUM(W14:Z14)</f>
        <v>1140.4690000000001</v>
      </c>
      <c r="AB14" s="1156">
        <f>'IS (GAAP)'!AB14</f>
        <v>394.43400000000003</v>
      </c>
      <c r="AC14" s="1156">
        <f>'IS (GAAP)'!AC14</f>
        <v>466.26799999999997</v>
      </c>
      <c r="AD14" s="1156">
        <f>'IS (GAAP)'!AD14</f>
        <v>522.75199999999995</v>
      </c>
      <c r="AE14" s="1156">
        <f>'IS (GAAP)'!AE14</f>
        <v>555.32899999999995</v>
      </c>
      <c r="AF14" s="1146">
        <f>SUM(AB14:AE14)</f>
        <v>1938.7829999999999</v>
      </c>
      <c r="AG14" s="1156">
        <f>'IS (GAAP)'!AG14</f>
        <v>590.072</v>
      </c>
      <c r="AH14" s="1156">
        <f>'IS (GAAP)'!AH14</f>
        <v>640.20899999999995</v>
      </c>
      <c r="AI14" s="1156">
        <f>'IS (GAAP)'!AI14</f>
        <v>698.47799999999995</v>
      </c>
      <c r="AJ14" s="1156">
        <f>'IS (GAAP)'!AJ14</f>
        <v>738.09</v>
      </c>
      <c r="AK14" s="1146">
        <f>SUM(AG14:AJ14)</f>
        <v>2666.8490000000002</v>
      </c>
      <c r="AL14" s="1156">
        <f>'IS (GAAP)'!AL14</f>
        <v>789.58699999999999</v>
      </c>
      <c r="AM14" s="1156">
        <f>'IS (GAAP)'!AM14</f>
        <v>829.25</v>
      </c>
      <c r="AN14" s="1261">
        <f>'IS (GAAP)'!AN14</f>
        <v>900.28200000000004</v>
      </c>
      <c r="AO14" s="1156">
        <f>'IS (GAAP)'!AO14</f>
        <v>943.303</v>
      </c>
      <c r="AP14" s="1146">
        <f>SUM(AL14:AO14)</f>
        <v>3462.422</v>
      </c>
      <c r="AQ14" s="1156">
        <f>'IS (GAAP)'!AQ14</f>
        <v>996.81299999999999</v>
      </c>
      <c r="AR14" s="1261">
        <f>'IS (GAAP)'!AR14</f>
        <v>1090.4960000000001</v>
      </c>
      <c r="AS14" s="1261">
        <f>'IS (GAAP)'!AS14</f>
        <v>1158.377</v>
      </c>
      <c r="AT14" s="1156">
        <f>'IS (GAAP)'!AT14</f>
        <v>1198.8160060010046</v>
      </c>
      <c r="AU14" s="1146">
        <f>SUM(AQ14:AT14)</f>
        <v>4444.5020060010047</v>
      </c>
      <c r="AV14" s="1156">
        <f>'IS (GAAP)'!AV14</f>
        <v>1261.6397369722818</v>
      </c>
      <c r="AW14" s="1156">
        <f>'IS (GAAP)'!AW14</f>
        <v>1353.2085649515693</v>
      </c>
      <c r="AX14" s="1156">
        <f>'IS (GAAP)'!AX14</f>
        <v>1440.4205050154637</v>
      </c>
      <c r="AY14" s="1156">
        <f>'IS (GAAP)'!AY14</f>
        <v>1492.4918486089259</v>
      </c>
      <c r="AZ14" s="1146">
        <f>SUM(AV14:AY14)</f>
        <v>5547.7606555482407</v>
      </c>
      <c r="BA14" s="1156">
        <f>'IS (GAAP)'!BA14</f>
        <v>1571.2058312469926</v>
      </c>
      <c r="BB14" s="1156">
        <f>'IS (GAAP)'!BB14</f>
        <v>1690.9535749223132</v>
      </c>
      <c r="BC14" s="1156">
        <f>'IS (GAAP)'!BC14</f>
        <v>1804.6013336166088</v>
      </c>
      <c r="BD14" s="1156">
        <f>'IS (GAAP)'!BD14</f>
        <v>1849.6204689522674</v>
      </c>
      <c r="BE14" s="1146">
        <f>SUM(BA14:BD14)</f>
        <v>6916.3812087381821</v>
      </c>
      <c r="BF14" s="1156">
        <f>'IS (GAAP)'!BF14</f>
        <v>1931.2045017284154</v>
      </c>
      <c r="BG14" s="1156">
        <f>'IS (GAAP)'!BG14</f>
        <v>2074.1305972902419</v>
      </c>
      <c r="BH14" s="1156">
        <f>'IS (GAAP)'!BH14</f>
        <v>2254.0780443877684</v>
      </c>
      <c r="BI14" s="1156">
        <f>'IS (GAAP)'!BI14</f>
        <v>2319.8661008412655</v>
      </c>
      <c r="BJ14" s="1146">
        <f>SUM(BF14:BI14)</f>
        <v>8579.2792442476912</v>
      </c>
      <c r="BK14" s="1156">
        <f>'IS (GAAP)'!BK14</f>
        <v>2408.8502677953411</v>
      </c>
      <c r="BL14" s="1156">
        <f>'IS (GAAP)'!BL14</f>
        <v>2554.3168672968504</v>
      </c>
      <c r="BM14" s="1156">
        <f>'IS (GAAP)'!BM14</f>
        <v>2794.5986912702283</v>
      </c>
      <c r="BN14" s="1156">
        <f>'IS (GAAP)'!BN14</f>
        <v>2844.6724265942903</v>
      </c>
      <c r="BO14" s="1146">
        <f>SUM(BK14:BN14)</f>
        <v>10602.43825295671</v>
      </c>
    </row>
    <row r="15" spans="1:67" s="668" customFormat="1">
      <c r="A15" s="666"/>
      <c r="B15" s="1079" t="s">
        <v>204</v>
      </c>
      <c r="C15" s="667" t="s">
        <v>36</v>
      </c>
      <c r="D15" s="668" t="s">
        <v>36</v>
      </c>
      <c r="E15" s="668" t="s">
        <v>36</v>
      </c>
      <c r="F15" s="668" t="s">
        <v>36</v>
      </c>
      <c r="G15" s="669" t="s">
        <v>36</v>
      </c>
      <c r="H15" s="667" t="str">
        <f t="shared" ref="H15:AM15" si="3">IFERROR(H14/C14-1,"--")</f>
        <v>--</v>
      </c>
      <c r="I15" s="668" t="str">
        <f t="shared" si="3"/>
        <v>--</v>
      </c>
      <c r="J15" s="668" t="str">
        <f t="shared" si="3"/>
        <v>--</v>
      </c>
      <c r="K15" s="668" t="str">
        <f t="shared" si="3"/>
        <v>--</v>
      </c>
      <c r="L15" s="669" t="str">
        <f t="shared" si="3"/>
        <v>--</v>
      </c>
      <c r="M15" s="667">
        <f t="shared" si="3"/>
        <v>2.2432883361140603</v>
      </c>
      <c r="N15" s="668">
        <f t="shared" si="3"/>
        <v>2.2711739745403108</v>
      </c>
      <c r="O15" s="668">
        <f t="shared" si="3"/>
        <v>1.4321959447587584</v>
      </c>
      <c r="P15" s="668">
        <f t="shared" si="3"/>
        <v>1.2667949951876802</v>
      </c>
      <c r="Q15" s="669">
        <f t="shared" si="3"/>
        <v>1.6360900055391241</v>
      </c>
      <c r="R15" s="667">
        <f t="shared" si="3"/>
        <v>1.3807931534396483</v>
      </c>
      <c r="S15" s="668">
        <f t="shared" si="3"/>
        <v>1.1656923449444809</v>
      </c>
      <c r="T15" s="668">
        <f t="shared" si="3"/>
        <v>1.1451605912184131</v>
      </c>
      <c r="U15" s="668">
        <f t="shared" si="3"/>
        <v>1.1628493788819876</v>
      </c>
      <c r="V15" s="669">
        <f t="shared" si="3"/>
        <v>1.1956000301313487</v>
      </c>
      <c r="W15" s="667">
        <f t="shared" si="3"/>
        <v>1.1001404480587724</v>
      </c>
      <c r="X15" s="668">
        <f t="shared" si="3"/>
        <v>1.0334701635573729</v>
      </c>
      <c r="Y15" s="668">
        <f t="shared" si="3"/>
        <v>1.1044769082594144</v>
      </c>
      <c r="Z15" s="668">
        <f t="shared" si="3"/>
        <v>1.0167257471058062</v>
      </c>
      <c r="AA15" s="669">
        <f t="shared" si="3"/>
        <v>1.0593740632798481</v>
      </c>
      <c r="AB15" s="667">
        <f t="shared" si="3"/>
        <v>0.84461488098021786</v>
      </c>
      <c r="AC15" s="668">
        <f t="shared" si="3"/>
        <v>0.83120927803065703</v>
      </c>
      <c r="AD15" s="668">
        <f t="shared" si="3"/>
        <v>0.67303125540072561</v>
      </c>
      <c r="AE15" s="668">
        <f t="shared" si="3"/>
        <v>0.54447682988558155</v>
      </c>
      <c r="AF15" s="669">
        <f t="shared" si="3"/>
        <v>0.69998746129881639</v>
      </c>
      <c r="AG15" s="667">
        <f t="shared" si="3"/>
        <v>0.49599679540810371</v>
      </c>
      <c r="AH15" s="668">
        <f t="shared" si="3"/>
        <v>0.37304940506318252</v>
      </c>
      <c r="AI15" s="668">
        <f t="shared" si="3"/>
        <v>0.3361555766405484</v>
      </c>
      <c r="AJ15" s="668">
        <f t="shared" si="3"/>
        <v>0.32910400861471323</v>
      </c>
      <c r="AK15" s="669">
        <f t="shared" si="3"/>
        <v>0.37552732822600587</v>
      </c>
      <c r="AL15" s="667">
        <f t="shared" si="3"/>
        <v>0.33811975487737089</v>
      </c>
      <c r="AM15" s="668">
        <f t="shared" si="3"/>
        <v>0.2952801350808878</v>
      </c>
      <c r="AN15" s="1187">
        <f t="shared" ref="AN15:BJ15" si="4">IFERROR(AN14/AI14-1,"--")</f>
        <v>0.28891962237894409</v>
      </c>
      <c r="AO15" s="668">
        <f>IFERROR(AO14/AJ14-1,"--")</f>
        <v>0.27803248926282698</v>
      </c>
      <c r="AP15" s="669">
        <f>IFERROR(AP14/AK14-1,"--")</f>
        <v>0.29831947740573228</v>
      </c>
      <c r="AQ15" s="667">
        <f t="shared" ref="AQ15:AR15" si="5">IFERROR(AQ14/AL14-1,"--")</f>
        <v>0.26244859654477604</v>
      </c>
      <c r="AR15" s="1187">
        <f t="shared" si="5"/>
        <v>0.31503889056376244</v>
      </c>
      <c r="AS15" s="1187">
        <f t="shared" si="4"/>
        <v>0.28668239507176629</v>
      </c>
      <c r="AT15" s="668">
        <f t="shared" si="4"/>
        <v>0.27087055378919023</v>
      </c>
      <c r="AU15" s="669">
        <f t="shared" si="4"/>
        <v>0.28363960430040147</v>
      </c>
      <c r="AV15" s="667">
        <f t="shared" si="4"/>
        <v>0.26567343821988865</v>
      </c>
      <c r="AW15" s="668">
        <f t="shared" si="4"/>
        <v>0.2409110761997928</v>
      </c>
      <c r="AX15" s="668">
        <f t="shared" si="4"/>
        <v>0.24348161696534354</v>
      </c>
      <c r="AY15" s="668">
        <f t="shared" si="4"/>
        <v>0.24497157290013294</v>
      </c>
      <c r="AZ15" s="669">
        <f t="shared" si="4"/>
        <v>0.24822998123470463</v>
      </c>
      <c r="BA15" s="667">
        <f t="shared" si="4"/>
        <v>0.24536805967891917</v>
      </c>
      <c r="BB15" s="668">
        <f t="shared" si="4"/>
        <v>0.24958828869283112</v>
      </c>
      <c r="BC15" s="668">
        <f t="shared" si="4"/>
        <v>0.252829522582529</v>
      </c>
      <c r="BD15" s="668">
        <f t="shared" si="4"/>
        <v>0.23928346454702742</v>
      </c>
      <c r="BE15" s="669">
        <f t="shared" si="4"/>
        <v>0.24669783686886393</v>
      </c>
      <c r="BF15" s="667">
        <f t="shared" si="4"/>
        <v>0.22912253972206087</v>
      </c>
      <c r="BG15" s="668">
        <f t="shared" si="4"/>
        <v>0.22660410554768351</v>
      </c>
      <c r="BH15" s="668">
        <f t="shared" si="4"/>
        <v>0.24907258040775204</v>
      </c>
      <c r="BI15" s="668">
        <f t="shared" si="4"/>
        <v>0.25423898566356828</v>
      </c>
      <c r="BJ15" s="669">
        <f t="shared" si="4"/>
        <v>0.24042891583370185</v>
      </c>
      <c r="BK15" s="667">
        <f>IFERROR(BK14/BF14-1,"--")</f>
        <v>0.24733049536671858</v>
      </c>
      <c r="BL15" s="668">
        <f>IFERROR(BL14/BG14-1,"--")</f>
        <v>0.23151207095346371</v>
      </c>
      <c r="BM15" s="668">
        <f>IFERROR(BM14/BH14-1,"--")</f>
        <v>0.23979677555009915</v>
      </c>
      <c r="BN15" s="668">
        <f>IFERROR(BN14/BI14-1,"--")</f>
        <v>0.22622267964634313</v>
      </c>
      <c r="BO15" s="669">
        <f>IFERROR(BO14/BJ14-1,"--")</f>
        <v>0.2358192280622553</v>
      </c>
    </row>
    <row r="16" spans="1:67" s="92" customFormat="1">
      <c r="A16" s="666"/>
      <c r="B16" s="1079" t="s">
        <v>205</v>
      </c>
      <c r="C16" s="667" t="s">
        <v>36</v>
      </c>
      <c r="D16" s="668" t="str">
        <f>IFERROR(D14/C14-1,"--")</f>
        <v>--</v>
      </c>
      <c r="E16" s="668" t="str">
        <f>IFERROR(E14/D14-1,"--")</f>
        <v>--</v>
      </c>
      <c r="F16" s="668" t="str">
        <f>IFERROR(F14/E14-1,"--")</f>
        <v>--</v>
      </c>
      <c r="G16" s="670"/>
      <c r="H16" s="667" t="str">
        <f>IFERROR(H14/F14-1,"--")</f>
        <v>--</v>
      </c>
      <c r="I16" s="668">
        <f>IFERROR(I14/H14-1,"--")</f>
        <v>0.3404368269376612</v>
      </c>
      <c r="J16" s="668">
        <f>IFERROR(J14/I14-1,"--")</f>
        <v>0.61001414427157008</v>
      </c>
      <c r="K16" s="668">
        <f>IFERROR(K14/J14-1,"--")</f>
        <v>0.2778929613100467</v>
      </c>
      <c r="L16" s="670"/>
      <c r="M16" s="667">
        <f>IFERROR(M14/K14-1,"--")</f>
        <v>0.17602089921627928</v>
      </c>
      <c r="N16" s="668">
        <f>IFERROR(N14/M14-1,"--")</f>
        <v>0.35196183884394139</v>
      </c>
      <c r="O16" s="668">
        <f>IFERROR(O14/N14-1,"--")</f>
        <v>0.19708395309419213</v>
      </c>
      <c r="P16" s="668">
        <f>IFERROR(P14/O14-1,"--")</f>
        <v>0.19099013191163516</v>
      </c>
      <c r="Q16" s="670"/>
      <c r="R16" s="667">
        <f>IFERROR(R14/P14-1,"--")</f>
        <v>0.23516352872670798</v>
      </c>
      <c r="S16" s="668">
        <f>IFERROR(S14/R14-1,"--")</f>
        <v>0.22981427462997339</v>
      </c>
      <c r="T16" s="668">
        <f>IFERROR(T14/S14-1,"--")</f>
        <v>0.18573504983388722</v>
      </c>
      <c r="U16" s="668">
        <f>IFERROR(U14/T14-1,"--")</f>
        <v>0.20081092185111094</v>
      </c>
      <c r="V16" s="670"/>
      <c r="W16" s="667">
        <f>IFERROR(W14/U14-1,"--")</f>
        <v>0.19935161087678366</v>
      </c>
      <c r="X16" s="668">
        <f>IFERROR(X14/W14-1,"--")</f>
        <v>0.1907730440069213</v>
      </c>
      <c r="Y16" s="668">
        <f>IFERROR(Y14/X14-1,"--")</f>
        <v>0.2271397320744788</v>
      </c>
      <c r="Z16" s="668">
        <f>IFERROR(Z14/Y14-1,"--")</f>
        <v>0.15074025949087555</v>
      </c>
      <c r="AA16" s="670"/>
      <c r="AB16" s="667">
        <f>IFERROR(AB14/Z14-1,"--")</f>
        <v>9.6996868377285494E-2</v>
      </c>
      <c r="AC16" s="668">
        <f>IFERROR(AC14/AB14-1,"--")</f>
        <v>0.18211918850808995</v>
      </c>
      <c r="AD16" s="668">
        <f>IFERROR(AD14/AC14-1,"--")</f>
        <v>0.12114063156811095</v>
      </c>
      <c r="AE16" s="668">
        <f>IFERROR(AE14/AD14-1,"--")</f>
        <v>6.2318269466209664E-2</v>
      </c>
      <c r="AF16" s="670"/>
      <c r="AG16" s="667">
        <f>IFERROR(AG14/AE14-1,"--")</f>
        <v>6.2562913155985056E-2</v>
      </c>
      <c r="AH16" s="668">
        <f>IFERROR(AH14/AG14-1,"--")</f>
        <v>8.4967597174582021E-2</v>
      </c>
      <c r="AI16" s="668">
        <f>IFERROR(AI14/AH14-1,"--")</f>
        <v>9.1015590221318332E-2</v>
      </c>
      <c r="AJ16" s="668">
        <f>IFERROR(AJ14/AI14-1,"--")</f>
        <v>5.6711879257471454E-2</v>
      </c>
      <c r="AK16" s="670"/>
      <c r="AL16" s="667">
        <f>IFERROR(AL14/AJ14-1,"--")</f>
        <v>6.977062417862312E-2</v>
      </c>
      <c r="AM16" s="668">
        <f>IFERROR(AM14/AL14-1,"--")</f>
        <v>5.0232589948922657E-2</v>
      </c>
      <c r="AN16" s="1187">
        <f>IFERROR(AN14/AM14-1,"--")</f>
        <v>8.5658124811576863E-2</v>
      </c>
      <c r="AO16" s="668">
        <f>IFERROR(AO14/AN14-1,"--")</f>
        <v>4.7786138121166388E-2</v>
      </c>
      <c r="AP16" s="670"/>
      <c r="AQ16" s="667">
        <f>IFERROR(AQ14/AO14-1,"--")</f>
        <v>5.6726205683645725E-2</v>
      </c>
      <c r="AR16" s="1187">
        <f>IFERROR(AR14/AQ14-1,"--")</f>
        <v>9.398252229856574E-2</v>
      </c>
      <c r="AS16" s="1187">
        <f>IFERROR(AS14/AR14-1,"--")</f>
        <v>6.2247821174951534E-2</v>
      </c>
      <c r="AT16" s="668">
        <f>IFERROR(AT14/AS14-1,"--")</f>
        <v>3.4910056053430338E-2</v>
      </c>
      <c r="AU16" s="670"/>
      <c r="AV16" s="667">
        <f>IFERROR(AV14/AT14-1,"--")</f>
        <v>5.240481496476157E-2</v>
      </c>
      <c r="AW16" s="668">
        <f>IFERROR(AW14/AV14-1,"--")</f>
        <v>7.2579219959445052E-2</v>
      </c>
      <c r="AX16" s="668">
        <f>IFERROR(AX14/AW14-1,"--")</f>
        <v>6.4448261947718022E-2</v>
      </c>
      <c r="AY16" s="668">
        <f>IFERROR(AY14/AX14-1,"--")</f>
        <v>3.6150098816389198E-2</v>
      </c>
      <c r="AZ16" s="670"/>
      <c r="BA16" s="667">
        <f>IFERROR(BA14/AY14-1,"--")</f>
        <v>5.273997490266491E-2</v>
      </c>
      <c r="BB16" s="668">
        <f>IFERROR(BB14/BA14-1,"--")</f>
        <v>7.6213912457467448E-2</v>
      </c>
      <c r="BC16" s="668">
        <f>IFERROR(BC14/BB14-1,"--")</f>
        <v>6.7209271963316164E-2</v>
      </c>
      <c r="BD16" s="668">
        <f>IFERROR(BD14/BC14-1,"--")</f>
        <v>2.4946859174394875E-2</v>
      </c>
      <c r="BE16" s="670"/>
      <c r="BF16" s="667">
        <f>IFERROR(BF14/BD14-1,"--")</f>
        <v>4.4108526125017367E-2</v>
      </c>
      <c r="BG16" s="668">
        <f>IFERROR(BG14/BF14-1,"--")</f>
        <v>7.4008783344233331E-2</v>
      </c>
      <c r="BH16" s="668">
        <f>IFERROR(BH14/BG14-1,"--")</f>
        <v>8.6758011926838075E-2</v>
      </c>
      <c r="BI16" s="668">
        <f>IFERROR(BI14/BH14-1,"--")</f>
        <v>2.9186237192317721E-2</v>
      </c>
      <c r="BJ16" s="670"/>
      <c r="BK16" s="667">
        <f>IFERROR(BK14/BI14-1,"--")</f>
        <v>3.8357458183386761E-2</v>
      </c>
      <c r="BL16" s="668">
        <f>IFERROR(BL14/BK14-1,"--")</f>
        <v>6.0388394183854777E-2</v>
      </c>
      <c r="BM16" s="668">
        <f>IFERROR(BM14/BL14-1,"--")</f>
        <v>9.4068918014725389E-2</v>
      </c>
      <c r="BN16" s="668">
        <f>IFERROR(BN14/BM14-1,"--")</f>
        <v>1.7918041499297432E-2</v>
      </c>
      <c r="BO16" s="670"/>
    </row>
    <row r="17" spans="1:67" s="698" customFormat="1">
      <c r="A17" s="575"/>
      <c r="B17" s="1079" t="s">
        <v>371</v>
      </c>
      <c r="G17" s="699"/>
      <c r="H17" s="700">
        <f t="shared" ref="H17:AM17" si="6">IFERROR(H14/H$10,"--")</f>
        <v>0.98380959486682085</v>
      </c>
      <c r="I17" s="700">
        <f t="shared" si="6"/>
        <v>0.98715442613795024</v>
      </c>
      <c r="J17" s="700">
        <f t="shared" si="6"/>
        <v>0.99222454672245475</v>
      </c>
      <c r="K17" s="700">
        <f t="shared" si="6"/>
        <v>0.99146627406074483</v>
      </c>
      <c r="L17" s="701">
        <f t="shared" si="6"/>
        <v>0.98983096435147822</v>
      </c>
      <c r="M17" s="700">
        <f t="shared" si="6"/>
        <v>0.97851504404530376</v>
      </c>
      <c r="N17" s="700">
        <f t="shared" si="6"/>
        <v>0.95821939375859722</v>
      </c>
      <c r="O17" s="700">
        <f t="shared" si="6"/>
        <v>0.94796745740426225</v>
      </c>
      <c r="P17" s="700">
        <f t="shared" si="6"/>
        <v>0.94001733339415217</v>
      </c>
      <c r="Q17" s="701">
        <f t="shared" si="6"/>
        <v>0.95271352380376806</v>
      </c>
      <c r="R17" s="700">
        <f t="shared" si="6"/>
        <v>0.93568901346321731</v>
      </c>
      <c r="S17" s="700">
        <f t="shared" si="6"/>
        <v>0.94044838334146996</v>
      </c>
      <c r="T17" s="700">
        <f t="shared" si="6"/>
        <v>0.93014208389715824</v>
      </c>
      <c r="U17" s="700">
        <f t="shared" si="6"/>
        <v>0.93606699393589377</v>
      </c>
      <c r="V17" s="701">
        <f t="shared" si="6"/>
        <v>0.93538541573417067</v>
      </c>
      <c r="W17" s="700">
        <f t="shared" si="6"/>
        <v>0.93410625824545457</v>
      </c>
      <c r="X17" s="700">
        <f t="shared" si="6"/>
        <v>0.93543303036760006</v>
      </c>
      <c r="Y17" s="700">
        <f t="shared" si="6"/>
        <v>0.93426942270834012</v>
      </c>
      <c r="Z17" s="700">
        <f t="shared" si="6"/>
        <v>0.93690036323461201</v>
      </c>
      <c r="AA17" s="701">
        <f t="shared" si="6"/>
        <v>0.93532661870031586</v>
      </c>
      <c r="AB17" s="700">
        <f t="shared" si="6"/>
        <v>0.93385672785300122</v>
      </c>
      <c r="AC17" s="700">
        <f t="shared" si="6"/>
        <v>0.93769708475448865</v>
      </c>
      <c r="AD17" s="700">
        <f t="shared" si="6"/>
        <v>0.93846628894777284</v>
      </c>
      <c r="AE17" s="700">
        <f t="shared" si="6"/>
        <v>0.94281440785586712</v>
      </c>
      <c r="AF17" s="701">
        <f t="shared" si="6"/>
        <v>0.93857843913249972</v>
      </c>
      <c r="AG17" s="700">
        <f t="shared" si="6"/>
        <v>0.94623628325253883</v>
      </c>
      <c r="AH17" s="700">
        <f t="shared" si="6"/>
        <v>0.94983961852650822</v>
      </c>
      <c r="AI17" s="700">
        <f t="shared" si="6"/>
        <v>0.95138066913384167</v>
      </c>
      <c r="AJ17" s="700">
        <f t="shared" si="6"/>
        <v>0.95274422711272377</v>
      </c>
      <c r="AK17" s="701">
        <f t="shared" si="6"/>
        <v>0.95024388123381209</v>
      </c>
      <c r="AL17" s="700">
        <f t="shared" si="6"/>
        <v>0.95279163132052391</v>
      </c>
      <c r="AM17" s="700">
        <f t="shared" si="6"/>
        <v>0.95445217265196713</v>
      </c>
      <c r="AN17" s="1262">
        <f t="shared" ref="AN17:BO17" si="7">IFERROR(AN14/AN$10,"--")</f>
        <v>0.9556180168857884</v>
      </c>
      <c r="AO17" s="700">
        <f t="shared" si="7"/>
        <v>0.95595022142951247</v>
      </c>
      <c r="AP17" s="701">
        <f t="shared" si="7"/>
        <v>0.95478320624664259</v>
      </c>
      <c r="AQ17" s="700">
        <f t="shared" si="7"/>
        <v>0.95656642426545513</v>
      </c>
      <c r="AR17" s="1262">
        <f t="shared" si="7"/>
        <v>0.9524240394281418</v>
      </c>
      <c r="AS17" s="1262">
        <f t="shared" ref="AS17" si="8">IFERROR(AS14/AS$10,"--")</f>
        <v>0.95504032041975129</v>
      </c>
      <c r="AT17" s="700">
        <f t="shared" si="7"/>
        <v>0.95997203101018058</v>
      </c>
      <c r="AU17" s="701">
        <f t="shared" si="7"/>
        <v>0.95606284961468702</v>
      </c>
      <c r="AV17" s="700">
        <f t="shared" si="7"/>
        <v>0.960875243165078</v>
      </c>
      <c r="AW17" s="700">
        <f t="shared" si="7"/>
        <v>0.95630720324858287</v>
      </c>
      <c r="AX17" s="700">
        <f t="shared" si="7"/>
        <v>0.95880101855557898</v>
      </c>
      <c r="AY17" s="700">
        <f t="shared" si="7"/>
        <v>0.96337831948216535</v>
      </c>
      <c r="AZ17" s="701">
        <f t="shared" si="7"/>
        <v>0.95988862578563572</v>
      </c>
      <c r="BA17" s="700">
        <f t="shared" si="7"/>
        <v>0.96437053505657611</v>
      </c>
      <c r="BB17" s="700">
        <f t="shared" si="7"/>
        <v>0.96032278788515868</v>
      </c>
      <c r="BC17" s="700">
        <f t="shared" si="7"/>
        <v>0.96268953117949718</v>
      </c>
      <c r="BD17" s="700">
        <f t="shared" si="7"/>
        <v>0.96649953472056138</v>
      </c>
      <c r="BE17" s="701">
        <f t="shared" si="7"/>
        <v>0.96350625188453365</v>
      </c>
      <c r="BF17" s="700">
        <f t="shared" si="7"/>
        <v>0.96729008296083752</v>
      </c>
      <c r="BG17" s="700">
        <f t="shared" si="7"/>
        <v>0.96348940047046694</v>
      </c>
      <c r="BH17" s="700">
        <f t="shared" si="7"/>
        <v>0.96627064092180337</v>
      </c>
      <c r="BI17" s="700">
        <f t="shared" si="7"/>
        <v>0.96984739625844629</v>
      </c>
      <c r="BJ17" s="701">
        <f t="shared" si="7"/>
        <v>0.96678941979346189</v>
      </c>
      <c r="BK17" s="700">
        <f t="shared" si="7"/>
        <v>0.97040312383211558</v>
      </c>
      <c r="BL17" s="700">
        <f t="shared" si="7"/>
        <v>0.96654150658652227</v>
      </c>
      <c r="BM17" s="700">
        <f t="shared" si="7"/>
        <v>0.96929786474164736</v>
      </c>
      <c r="BN17" s="700">
        <f t="shared" si="7"/>
        <v>0.97226741671834926</v>
      </c>
      <c r="BO17" s="701">
        <f t="shared" si="7"/>
        <v>0.96967719789533202</v>
      </c>
    </row>
    <row r="18" spans="1:67" s="368" customFormat="1">
      <c r="A18" s="107"/>
      <c r="B18" s="1040"/>
      <c r="G18" s="369"/>
      <c r="L18" s="369"/>
      <c r="Q18" s="369"/>
      <c r="V18" s="369"/>
      <c r="AA18" s="369"/>
      <c r="AF18" s="369"/>
      <c r="AK18" s="369"/>
      <c r="AN18" s="1185"/>
      <c r="AP18" s="369"/>
      <c r="AR18" s="1185"/>
      <c r="AS18" s="1185"/>
      <c r="AU18" s="369"/>
      <c r="AZ18" s="369"/>
      <c r="BE18" s="369"/>
      <c r="BJ18" s="369"/>
      <c r="BO18" s="369"/>
    </row>
    <row r="19" spans="1:67" s="1039" customFormat="1">
      <c r="A19" s="1036"/>
      <c r="B19" s="1157" t="s">
        <v>372</v>
      </c>
      <c r="C19" s="1155"/>
      <c r="D19" s="1155"/>
      <c r="E19" s="1155"/>
      <c r="F19" s="1155"/>
      <c r="G19" s="1146">
        <f>SUM(C19:F19)</f>
        <v>0</v>
      </c>
      <c r="H19" s="1156">
        <f>'IS (GAAP)'!H19</f>
        <v>0.217</v>
      </c>
      <c r="I19" s="1156">
        <f>'IS (GAAP)'!I19</f>
        <v>0.23</v>
      </c>
      <c r="J19" s="1156">
        <f>'IS (GAAP)'!J19</f>
        <v>0.223</v>
      </c>
      <c r="K19" s="1156">
        <f>'IS (GAAP)'!K19</f>
        <v>0.313</v>
      </c>
      <c r="L19" s="1146">
        <f>SUM(H19:K19)</f>
        <v>0.9830000000000001</v>
      </c>
      <c r="M19" s="1156">
        <f>'IS (GAAP)'!M19</f>
        <v>0.93899999999999995</v>
      </c>
      <c r="N19" s="1156">
        <f>'IS (GAAP)'!N19</f>
        <v>2.5209999999999999</v>
      </c>
      <c r="O19" s="1156">
        <f>'IS (GAAP)'!O19</f>
        <v>3.7989999999999999</v>
      </c>
      <c r="P19" s="1156">
        <f>'IS (GAAP)'!P19</f>
        <v>5.26</v>
      </c>
      <c r="Q19" s="1146">
        <f>SUM(M19:P19)</f>
        <v>12.519</v>
      </c>
      <c r="R19" s="1156">
        <f>'IS (GAAP)'!R19</f>
        <v>6.9980000000000002</v>
      </c>
      <c r="S19" s="1156">
        <f>'IS (GAAP)'!S19</f>
        <v>7.9290000000000003</v>
      </c>
      <c r="T19" s="1156">
        <f>'IS (GAAP)'!T19</f>
        <v>11.151</v>
      </c>
      <c r="U19" s="1156">
        <f>'IS (GAAP)'!U19</f>
        <v>12.177</v>
      </c>
      <c r="V19" s="1146">
        <f>SUM(R19:U19)</f>
        <v>38.254999999999995</v>
      </c>
      <c r="W19" s="1156">
        <f>'IS (GAAP)'!W19</f>
        <v>15.084</v>
      </c>
      <c r="X19" s="1156">
        <f>'IS (GAAP)'!X19</f>
        <v>17.574999999999999</v>
      </c>
      <c r="Y19" s="1156">
        <f>'IS (GAAP)'!Y19</f>
        <v>21.983000000000001</v>
      </c>
      <c r="Z19" s="1156">
        <f>'IS (GAAP)'!Z19</f>
        <v>24.216000000000001</v>
      </c>
      <c r="AA19" s="1146">
        <f>SUM(W19:Z19)</f>
        <v>78.858000000000004</v>
      </c>
      <c r="AB19" s="1156">
        <f>'IS (GAAP)'!AB19</f>
        <v>27.937000000000001</v>
      </c>
      <c r="AC19" s="1156">
        <f>'IS (GAAP)'!AC19</f>
        <v>30.98</v>
      </c>
      <c r="AD19" s="1156">
        <f>'IS (GAAP)'!AD19</f>
        <v>34.276000000000003</v>
      </c>
      <c r="AE19" s="1156">
        <f>'IS (GAAP)'!AE19</f>
        <v>33.683</v>
      </c>
      <c r="AF19" s="1146">
        <f>SUM(AB19:AE19)</f>
        <v>126.876</v>
      </c>
      <c r="AG19" s="1156">
        <f>'IS (GAAP)'!AG19</f>
        <v>33.527000000000001</v>
      </c>
      <c r="AH19" s="1156">
        <f>'IS (GAAP)'!AH19</f>
        <v>33.808999999999997</v>
      </c>
      <c r="AI19" s="1156">
        <f>'IS (GAAP)'!AI19</f>
        <v>35.695</v>
      </c>
      <c r="AJ19" s="1156">
        <f>'IS (GAAP)'!AJ19</f>
        <v>36.609000000000002</v>
      </c>
      <c r="AK19" s="1146">
        <f>SUM(AG19:AJ19)</f>
        <v>139.64000000000001</v>
      </c>
      <c r="AL19" s="1156">
        <f>'IS (GAAP)'!AL19</f>
        <v>39.122</v>
      </c>
      <c r="AM19" s="1156">
        <f>'IS (GAAP)'!AM19</f>
        <v>39.573</v>
      </c>
      <c r="AN19" s="1261">
        <f>'IS (GAAP)'!AN19</f>
        <v>41.811999999999998</v>
      </c>
      <c r="AO19" s="1156">
        <f>'IS (GAAP)'!AO19</f>
        <v>43.466999999999999</v>
      </c>
      <c r="AP19" s="1146">
        <f>SUM(AL19:AO19)</f>
        <v>163.97399999999999</v>
      </c>
      <c r="AQ19" s="1156">
        <f>'IS (GAAP)'!AQ19</f>
        <v>45.261000000000003</v>
      </c>
      <c r="AR19" s="1261">
        <f>'IS (GAAP)'!AR19</f>
        <v>54.472999999999999</v>
      </c>
      <c r="AS19" s="1261">
        <f>'IS (GAAP)'!AS19</f>
        <v>54.531999999999996</v>
      </c>
      <c r="AT19" s="1156">
        <f>'IS (GAAP)'!AT19</f>
        <v>49.987049999999996</v>
      </c>
      <c r="AU19" s="1146">
        <f>SUM(AQ19:AT19)</f>
        <v>204.25305000000003</v>
      </c>
      <c r="AV19" s="1156">
        <f>'IS (GAAP)'!AV19</f>
        <v>51.371235000000006</v>
      </c>
      <c r="AW19" s="1156">
        <f>'IS (GAAP)'!AW19</f>
        <v>61.826855000000002</v>
      </c>
      <c r="AX19" s="1156">
        <f>'IS (GAAP)'!AX19</f>
        <v>61.893819999999998</v>
      </c>
      <c r="AY19" s="1156">
        <f>'IS (GAAP)'!AY19</f>
        <v>56.735301749999998</v>
      </c>
      <c r="AZ19" s="1146">
        <f>SUM(AV19:AY19)</f>
        <v>231.82721175</v>
      </c>
      <c r="BA19" s="1156">
        <f>'IS (GAAP)'!BA19</f>
        <v>58.049495550000003</v>
      </c>
      <c r="BB19" s="1156">
        <f>'IS (GAAP)'!BB19</f>
        <v>69.864346149999989</v>
      </c>
      <c r="BC19" s="1156">
        <f>'IS (GAAP)'!BC19</f>
        <v>69.940016599999993</v>
      </c>
      <c r="BD19" s="1156">
        <f>'IS (GAAP)'!BD19</f>
        <v>64.110890977499992</v>
      </c>
      <c r="BE19" s="1146">
        <f>SUM(BA19:BD19)</f>
        <v>261.9647492775</v>
      </c>
      <c r="BF19" s="1156">
        <f>'IS (GAAP)'!BF19</f>
        <v>65.305682493749998</v>
      </c>
      <c r="BG19" s="1156">
        <f>'IS (GAAP)'!BG19</f>
        <v>78.597389418749984</v>
      </c>
      <c r="BH19" s="1156">
        <f>'IS (GAAP)'!BH19</f>
        <v>78.682518674999997</v>
      </c>
      <c r="BI19" s="1156">
        <f>'IS (GAAP)'!BI19</f>
        <v>72.124752349687498</v>
      </c>
      <c r="BJ19" s="1146">
        <f>SUM(BF19:BI19)</f>
        <v>294.71034293718742</v>
      </c>
      <c r="BK19" s="1156">
        <f>'IS (GAAP)'!BK19</f>
        <v>73.468892805468755</v>
      </c>
      <c r="BL19" s="1156">
        <f>'IS (GAAP)'!BL19</f>
        <v>88.422063096093737</v>
      </c>
      <c r="BM19" s="1156">
        <f>'IS (GAAP)'!BM19</f>
        <v>88.517833509374995</v>
      </c>
      <c r="BN19" s="1156">
        <f>'IS (GAAP)'!BN19</f>
        <v>81.140346393398431</v>
      </c>
      <c r="BO19" s="1146">
        <f>SUM(BK19:BN19)</f>
        <v>331.54913580433595</v>
      </c>
    </row>
    <row r="20" spans="1:67" s="668" customFormat="1">
      <c r="A20" s="666"/>
      <c r="B20" s="1079" t="s">
        <v>204</v>
      </c>
      <c r="C20" s="667" t="s">
        <v>36</v>
      </c>
      <c r="D20" s="668" t="s">
        <v>36</v>
      </c>
      <c r="E20" s="668" t="s">
        <v>36</v>
      </c>
      <c r="F20" s="668" t="s">
        <v>36</v>
      </c>
      <c r="G20" s="669" t="s">
        <v>36</v>
      </c>
      <c r="H20" s="667" t="str">
        <f t="shared" ref="H20:AM20" si="9">IFERROR(H19/C19-1,"--")</f>
        <v>--</v>
      </c>
      <c r="I20" s="668" t="str">
        <f t="shared" si="9"/>
        <v>--</v>
      </c>
      <c r="J20" s="668" t="str">
        <f t="shared" si="9"/>
        <v>--</v>
      </c>
      <c r="K20" s="668" t="str">
        <f t="shared" si="9"/>
        <v>--</v>
      </c>
      <c r="L20" s="669" t="str">
        <f t="shared" si="9"/>
        <v>--</v>
      </c>
      <c r="M20" s="667">
        <f t="shared" si="9"/>
        <v>3.3271889400921655</v>
      </c>
      <c r="N20" s="668">
        <f t="shared" si="9"/>
        <v>9.96086956521739</v>
      </c>
      <c r="O20" s="668">
        <f t="shared" si="9"/>
        <v>16.035874439461882</v>
      </c>
      <c r="P20" s="668">
        <f t="shared" si="9"/>
        <v>15.80511182108626</v>
      </c>
      <c r="Q20" s="669">
        <f t="shared" si="9"/>
        <v>11.735503560528992</v>
      </c>
      <c r="R20" s="667">
        <f t="shared" si="9"/>
        <v>6.4526091586794472</v>
      </c>
      <c r="S20" s="668">
        <f t="shared" si="9"/>
        <v>2.1451804839349466</v>
      </c>
      <c r="T20" s="668">
        <f t="shared" si="9"/>
        <v>1.9352461173993154</v>
      </c>
      <c r="U20" s="668">
        <f t="shared" si="9"/>
        <v>1.3150190114068443</v>
      </c>
      <c r="V20" s="669">
        <f t="shared" si="9"/>
        <v>2.055755252016934</v>
      </c>
      <c r="W20" s="667">
        <f t="shared" si="9"/>
        <v>1.1554729922835096</v>
      </c>
      <c r="X20" s="668">
        <f t="shared" si="9"/>
        <v>1.2165468533232437</v>
      </c>
      <c r="Y20" s="668">
        <f t="shared" si="9"/>
        <v>0.97139270020625967</v>
      </c>
      <c r="Z20" s="668">
        <f t="shared" si="9"/>
        <v>0.98866715939886696</v>
      </c>
      <c r="AA20" s="669">
        <f t="shared" si="9"/>
        <v>1.0613775976996473</v>
      </c>
      <c r="AB20" s="667">
        <f t="shared" si="9"/>
        <v>0.85209493503049605</v>
      </c>
      <c r="AC20" s="668">
        <f t="shared" si="9"/>
        <v>0.76273115220483656</v>
      </c>
      <c r="AD20" s="668">
        <f t="shared" si="9"/>
        <v>0.55920484010371663</v>
      </c>
      <c r="AE20" s="668">
        <f t="shared" si="9"/>
        <v>0.39093987446316469</v>
      </c>
      <c r="AF20" s="669">
        <f t="shared" si="9"/>
        <v>0.60891729437723496</v>
      </c>
      <c r="AG20" s="667">
        <f t="shared" si="9"/>
        <v>0.20009306654257797</v>
      </c>
      <c r="AH20" s="668">
        <f t="shared" si="9"/>
        <v>9.1316978695932693E-2</v>
      </c>
      <c r="AI20" s="668">
        <f t="shared" si="9"/>
        <v>4.1399229781771352E-2</v>
      </c>
      <c r="AJ20" s="668">
        <f t="shared" si="9"/>
        <v>8.6868746845589762E-2</v>
      </c>
      <c r="AK20" s="669">
        <f t="shared" si="9"/>
        <v>0.10060216274157452</v>
      </c>
      <c r="AL20" s="667">
        <f t="shared" si="9"/>
        <v>0.16688042473230524</v>
      </c>
      <c r="AM20" s="668">
        <f t="shared" si="9"/>
        <v>0.17048714839243995</v>
      </c>
      <c r="AN20" s="1187">
        <f t="shared" ref="AN20:BJ20" si="10">IFERROR(AN19/AI19-1,"--")</f>
        <v>0.17136853901106597</v>
      </c>
      <c r="AO20" s="668">
        <f>IFERROR(AO19/AJ19-1,"--")</f>
        <v>0.18733098418421701</v>
      </c>
      <c r="AP20" s="669">
        <f>IFERROR(AP19/AK19-1,"--")</f>
        <v>0.17426238900028634</v>
      </c>
      <c r="AQ20" s="667">
        <f t="shared" ref="AQ20:AR20" si="11">IFERROR(AQ19/AL19-1,"--")</f>
        <v>0.15691938039977504</v>
      </c>
      <c r="AR20" s="1187">
        <f t="shared" si="11"/>
        <v>0.37651934399716969</v>
      </c>
      <c r="AS20" s="1187">
        <f t="shared" si="10"/>
        <v>0.30421888453075674</v>
      </c>
      <c r="AT20" s="668">
        <f t="shared" si="10"/>
        <v>0.14999999999999991</v>
      </c>
      <c r="AU20" s="669">
        <f t="shared" si="10"/>
        <v>0.24564290680229828</v>
      </c>
      <c r="AV20" s="667">
        <f t="shared" si="10"/>
        <v>0.13500000000000001</v>
      </c>
      <c r="AW20" s="668">
        <f t="shared" si="10"/>
        <v>0.13500000000000001</v>
      </c>
      <c r="AX20" s="668">
        <f t="shared" si="10"/>
        <v>0.13500000000000001</v>
      </c>
      <c r="AY20" s="668">
        <f t="shared" si="10"/>
        <v>0.13500000000000001</v>
      </c>
      <c r="AZ20" s="669">
        <f t="shared" si="10"/>
        <v>0.13499999999999979</v>
      </c>
      <c r="BA20" s="667">
        <f t="shared" si="10"/>
        <v>0.12999999999999989</v>
      </c>
      <c r="BB20" s="668">
        <f t="shared" si="10"/>
        <v>0.12999999999999989</v>
      </c>
      <c r="BC20" s="668">
        <f t="shared" si="10"/>
        <v>0.12999999999999989</v>
      </c>
      <c r="BD20" s="668">
        <f t="shared" si="10"/>
        <v>0.12999999999999989</v>
      </c>
      <c r="BE20" s="669">
        <f t="shared" si="10"/>
        <v>0.12999999999999989</v>
      </c>
      <c r="BF20" s="667">
        <f t="shared" si="10"/>
        <v>0.125</v>
      </c>
      <c r="BG20" s="668">
        <f t="shared" si="10"/>
        <v>0.125</v>
      </c>
      <c r="BH20" s="668">
        <f t="shared" si="10"/>
        <v>0.125</v>
      </c>
      <c r="BI20" s="668">
        <f t="shared" si="10"/>
        <v>0.125</v>
      </c>
      <c r="BJ20" s="669">
        <f t="shared" si="10"/>
        <v>0.12499999999999978</v>
      </c>
      <c r="BK20" s="667">
        <f>IFERROR(BK19/BF19-1,"--")</f>
        <v>0.125</v>
      </c>
      <c r="BL20" s="668">
        <f>IFERROR(BL19/BG19-1,"--")</f>
        <v>0.125</v>
      </c>
      <c r="BM20" s="668">
        <f>IFERROR(BM19/BH19-1,"--")</f>
        <v>0.125</v>
      </c>
      <c r="BN20" s="668">
        <f>IFERROR(BN19/BI19-1,"--")</f>
        <v>0.125</v>
      </c>
      <c r="BO20" s="669">
        <f>IFERROR(BO19/BJ19-1,"--")</f>
        <v>0.12500000000000044</v>
      </c>
    </row>
    <row r="21" spans="1:67" s="92" customFormat="1">
      <c r="A21" s="666"/>
      <c r="B21" s="1079" t="s">
        <v>205</v>
      </c>
      <c r="C21" s="667" t="s">
        <v>36</v>
      </c>
      <c r="D21" s="668" t="str">
        <f>IFERROR(D19/C19-1,"--")</f>
        <v>--</v>
      </c>
      <c r="E21" s="668" t="str">
        <f>IFERROR(E19/D19-1,"--")</f>
        <v>--</v>
      </c>
      <c r="F21" s="668" t="str">
        <f>IFERROR(F19/E19-1,"--")</f>
        <v>--</v>
      </c>
      <c r="G21" s="670"/>
      <c r="H21" s="667" t="str">
        <f>IFERROR(H19/F19-1,"--")</f>
        <v>--</v>
      </c>
      <c r="I21" s="668">
        <f>IFERROR(I19/H19-1,"--")</f>
        <v>5.9907834101382562E-2</v>
      </c>
      <c r="J21" s="668">
        <f>IFERROR(J19/I19-1,"--")</f>
        <v>-3.0434782608695699E-2</v>
      </c>
      <c r="K21" s="668">
        <f>IFERROR(K19/J19-1,"--")</f>
        <v>0.4035874439461884</v>
      </c>
      <c r="L21" s="670"/>
      <c r="M21" s="667">
        <f>IFERROR(M19/K19-1,"--")</f>
        <v>2</v>
      </c>
      <c r="N21" s="668">
        <f>IFERROR(N19/M19-1,"--")</f>
        <v>1.6847710330138446</v>
      </c>
      <c r="O21" s="668">
        <f>IFERROR(O19/N19-1,"--")</f>
        <v>0.5069416898056327</v>
      </c>
      <c r="P21" s="668">
        <f>IFERROR(P19/O19-1,"--")</f>
        <v>0.38457488812845475</v>
      </c>
      <c r="Q21" s="670"/>
      <c r="R21" s="667">
        <f>IFERROR(R19/P19-1,"--")</f>
        <v>0.33041825095057042</v>
      </c>
      <c r="S21" s="668">
        <f>IFERROR(S19/R19-1,"--")</f>
        <v>0.1330380108602458</v>
      </c>
      <c r="T21" s="668">
        <f>IFERROR(T19/S19-1,"--")</f>
        <v>0.40635641316685578</v>
      </c>
      <c r="U21" s="668">
        <f>IFERROR(U19/T19-1,"--")</f>
        <v>9.2009685230024285E-2</v>
      </c>
      <c r="V21" s="670"/>
      <c r="W21" s="667">
        <f>IFERROR(W19/U19-1,"--")</f>
        <v>0.23872875092387291</v>
      </c>
      <c r="X21" s="668">
        <f>IFERROR(X19/W19-1,"--")</f>
        <v>0.16514187218244492</v>
      </c>
      <c r="Y21" s="668">
        <f>IFERROR(Y19/X19-1,"--")</f>
        <v>0.25081081081081091</v>
      </c>
      <c r="Z21" s="668">
        <f>IFERROR(Z19/Y19-1,"--")</f>
        <v>0.10157849247145534</v>
      </c>
      <c r="AA21" s="670"/>
      <c r="AB21" s="667">
        <f>IFERROR(AB19/Z19-1,"--")</f>
        <v>0.15365873802444674</v>
      </c>
      <c r="AC21" s="668">
        <f>IFERROR(AC19/AB19-1,"--")</f>
        <v>0.10892364964026191</v>
      </c>
      <c r="AD21" s="668">
        <f>IFERROR(AD19/AC19-1,"--")</f>
        <v>0.10639122014202718</v>
      </c>
      <c r="AE21" s="668">
        <f>IFERROR(AE19/AD19-1,"--")</f>
        <v>-1.7300735208309104E-2</v>
      </c>
      <c r="AF21" s="670"/>
      <c r="AG21" s="667">
        <f>IFERROR(AG19/AE19-1,"--")</f>
        <v>-4.6314164415283132E-3</v>
      </c>
      <c r="AH21" s="668">
        <f>IFERROR(AH19/AG19-1,"--")</f>
        <v>8.4111313269901178E-3</v>
      </c>
      <c r="AI21" s="668">
        <f>IFERROR(AI19/AH19-1,"--")</f>
        <v>5.5783962850128654E-2</v>
      </c>
      <c r="AJ21" s="668">
        <f>IFERROR(AJ19/AI19-1,"--")</f>
        <v>2.5605827146659266E-2</v>
      </c>
      <c r="AK21" s="670"/>
      <c r="AL21" s="667">
        <f>IFERROR(AL19/AJ19-1,"--")</f>
        <v>6.8644322434374017E-2</v>
      </c>
      <c r="AM21" s="668">
        <f>IFERROR(AM19/AL19-1,"--")</f>
        <v>1.1528040488727687E-2</v>
      </c>
      <c r="AN21" s="1187">
        <f>IFERROR(AN19/AM19-1,"--")</f>
        <v>5.6578980618098074E-2</v>
      </c>
      <c r="AO21" s="668">
        <f>IFERROR(AO19/AN19-1,"--")</f>
        <v>3.9581938199559907E-2</v>
      </c>
      <c r="AP21" s="670"/>
      <c r="AQ21" s="667">
        <f>IFERROR(AQ19/AO19-1,"--")</f>
        <v>4.1272689626613346E-2</v>
      </c>
      <c r="AR21" s="1187">
        <f>IFERROR(AR19/AQ19-1,"--")</f>
        <v>0.20353063343717537</v>
      </c>
      <c r="AS21" s="1187">
        <f>IFERROR(AS19/AR19-1,"--")</f>
        <v>1.0831053916617872E-3</v>
      </c>
      <c r="AT21" s="668">
        <f>IFERROR(AT19/AS19-1,"--")</f>
        <v>-8.3344641678280595E-2</v>
      </c>
      <c r="AU21" s="670"/>
      <c r="AV21" s="667">
        <f>IFERROR(AV19/AT19-1,"--")</f>
        <v>2.7690871935831529E-2</v>
      </c>
      <c r="AW21" s="668">
        <f>IFERROR(AW19/AV19-1,"--")</f>
        <v>0.20353063343717537</v>
      </c>
      <c r="AX21" s="668">
        <f>IFERROR(AX19/AW19-1,"--")</f>
        <v>1.0831053916617872E-3</v>
      </c>
      <c r="AY21" s="668">
        <f>IFERROR(AY19/AX19-1,"--")</f>
        <v>-8.3344641678280595E-2</v>
      </c>
      <c r="AZ21" s="670"/>
      <c r="BA21" s="667">
        <f>IFERROR(BA19/AY19-1,"--")</f>
        <v>2.3163599372237442E-2</v>
      </c>
      <c r="BB21" s="668">
        <f>IFERROR(BB19/BA19-1,"--")</f>
        <v>0.20353063343717515</v>
      </c>
      <c r="BC21" s="668">
        <f>IFERROR(BC19/BB19-1,"--")</f>
        <v>1.0831053916620093E-3</v>
      </c>
      <c r="BD21" s="668">
        <f>IFERROR(BD19/BC19-1,"--")</f>
        <v>-8.3344641678280706E-2</v>
      </c>
      <c r="BE21" s="670"/>
      <c r="BF21" s="667">
        <f>IFERROR(BF19/BD19-1,"--")</f>
        <v>1.8636326808643577E-2</v>
      </c>
      <c r="BG21" s="668">
        <f>IFERROR(BG19/BF19-1,"--")</f>
        <v>0.20353063343717537</v>
      </c>
      <c r="BH21" s="668">
        <f>IFERROR(BH19/BG19-1,"--")</f>
        <v>1.0831053916620093E-3</v>
      </c>
      <c r="BI21" s="668">
        <f>IFERROR(BI19/BH19-1,"--")</f>
        <v>-8.3344641678280595E-2</v>
      </c>
      <c r="BJ21" s="670"/>
      <c r="BK21" s="667">
        <f>IFERROR(BK19/BI19-1,"--")</f>
        <v>1.8636326808643577E-2</v>
      </c>
      <c r="BL21" s="668">
        <f>IFERROR(BL19/BK19-1,"--")</f>
        <v>0.20353063343717515</v>
      </c>
      <c r="BM21" s="668">
        <f>IFERROR(BM19/BL19-1,"--")</f>
        <v>1.0831053916620093E-3</v>
      </c>
      <c r="BN21" s="668">
        <f>IFERROR(BN19/BM19-1,"--")</f>
        <v>-8.3344641678280706E-2</v>
      </c>
      <c r="BO21" s="670"/>
    </row>
    <row r="22" spans="1:67" s="698" customFormat="1">
      <c r="A22" s="575"/>
      <c r="B22" s="1079" t="s">
        <v>371</v>
      </c>
      <c r="G22" s="699"/>
      <c r="H22" s="700">
        <f t="shared" ref="H22:AM22" si="12">IFERROR(H19/H$10,"--")</f>
        <v>1.6190405133179139E-2</v>
      </c>
      <c r="I22" s="700">
        <f t="shared" si="12"/>
        <v>1.2845573862049707E-2</v>
      </c>
      <c r="J22" s="700">
        <f t="shared" si="12"/>
        <v>7.7754532775453277E-3</v>
      </c>
      <c r="K22" s="700">
        <f t="shared" si="12"/>
        <v>8.5337259392551379E-3</v>
      </c>
      <c r="L22" s="701">
        <f t="shared" si="12"/>
        <v>1.0169035648521715E-2</v>
      </c>
      <c r="M22" s="700">
        <f t="shared" si="12"/>
        <v>2.148495595469626E-2</v>
      </c>
      <c r="N22" s="700">
        <f t="shared" si="12"/>
        <v>4.1780606241402743E-2</v>
      </c>
      <c r="O22" s="700">
        <f t="shared" si="12"/>
        <v>5.2032542595737682E-2</v>
      </c>
      <c r="P22" s="700">
        <f t="shared" si="12"/>
        <v>5.998266660584773E-2</v>
      </c>
      <c r="Q22" s="701">
        <f t="shared" si="12"/>
        <v>4.7286476196231893E-2</v>
      </c>
      <c r="R22" s="700">
        <f t="shared" si="12"/>
        <v>6.4310986536782619E-2</v>
      </c>
      <c r="S22" s="700">
        <f t="shared" si="12"/>
        <v>5.9551616658530183E-2</v>
      </c>
      <c r="T22" s="700">
        <f t="shared" si="12"/>
        <v>6.9857916102841672E-2</v>
      </c>
      <c r="U22" s="700">
        <f t="shared" si="12"/>
        <v>6.3933006064106263E-2</v>
      </c>
      <c r="V22" s="701">
        <f t="shared" si="12"/>
        <v>6.4614584265829347E-2</v>
      </c>
      <c r="W22" s="700">
        <f t="shared" si="12"/>
        <v>6.5893741754545362E-2</v>
      </c>
      <c r="X22" s="700">
        <f t="shared" si="12"/>
        <v>6.456696963239994E-2</v>
      </c>
      <c r="Y22" s="700">
        <f t="shared" si="12"/>
        <v>6.5730577291659806E-2</v>
      </c>
      <c r="Z22" s="700">
        <f t="shared" si="12"/>
        <v>6.3099636765387962E-2</v>
      </c>
      <c r="AA22" s="701">
        <f t="shared" si="12"/>
        <v>6.4673381299684168E-2</v>
      </c>
      <c r="AB22" s="700">
        <f t="shared" si="12"/>
        <v>6.6143272146998722E-2</v>
      </c>
      <c r="AC22" s="700">
        <f t="shared" si="12"/>
        <v>6.2302915245511299E-2</v>
      </c>
      <c r="AD22" s="700">
        <f t="shared" si="12"/>
        <v>6.1533711052227193E-2</v>
      </c>
      <c r="AE22" s="700">
        <f t="shared" si="12"/>
        <v>5.7185592144132893E-2</v>
      </c>
      <c r="AF22" s="701">
        <f t="shared" si="12"/>
        <v>6.1421560867500412E-2</v>
      </c>
      <c r="AG22" s="700">
        <f t="shared" si="12"/>
        <v>5.3763716747461103E-2</v>
      </c>
      <c r="AH22" s="700">
        <f t="shared" si="12"/>
        <v>5.0160381473491805E-2</v>
      </c>
      <c r="AI22" s="700">
        <f t="shared" si="12"/>
        <v>4.8619330866158252E-2</v>
      </c>
      <c r="AJ22" s="700">
        <f t="shared" si="12"/>
        <v>4.7255772887276219E-2</v>
      </c>
      <c r="AK22" s="701">
        <f t="shared" si="12"/>
        <v>4.9756118766187934E-2</v>
      </c>
      <c r="AL22" s="700">
        <f t="shared" si="12"/>
        <v>4.720836867947615E-2</v>
      </c>
      <c r="AM22" s="700">
        <f t="shared" si="12"/>
        <v>4.5547827348032914E-2</v>
      </c>
      <c r="AN22" s="1262">
        <f t="shared" ref="AN22:BO22" si="13">IFERROR(AN19/AN$10,"--")</f>
        <v>4.4381983114211529E-2</v>
      </c>
      <c r="AO22" s="700">
        <f t="shared" si="13"/>
        <v>4.4049778570487551E-2</v>
      </c>
      <c r="AP22" s="701">
        <f t="shared" si="13"/>
        <v>4.5216793753357319E-2</v>
      </c>
      <c r="AQ22" s="700">
        <f t="shared" si="13"/>
        <v>4.343357573454476E-2</v>
      </c>
      <c r="AR22" s="1262">
        <f t="shared" si="13"/>
        <v>4.7575960571858276E-2</v>
      </c>
      <c r="AS22" s="1262">
        <f t="shared" ref="AS22" si="14">IFERROR(AS19/AS$10,"--")</f>
        <v>4.495967958024881E-2</v>
      </c>
      <c r="AT22" s="700">
        <f t="shared" si="13"/>
        <v>4.0027968989819473E-2</v>
      </c>
      <c r="AU22" s="701">
        <f t="shared" si="13"/>
        <v>4.3937150385312942E-2</v>
      </c>
      <c r="AV22" s="700">
        <f t="shared" si="13"/>
        <v>3.912475683492192E-2</v>
      </c>
      <c r="AW22" s="700">
        <f t="shared" si="13"/>
        <v>4.369279675141706E-2</v>
      </c>
      <c r="AX22" s="700">
        <f t="shared" si="13"/>
        <v>4.119898144442103E-2</v>
      </c>
      <c r="AY22" s="700">
        <f t="shared" si="13"/>
        <v>3.6621680517834668E-2</v>
      </c>
      <c r="AZ22" s="701">
        <f t="shared" si="13"/>
        <v>4.0111374214364406E-2</v>
      </c>
      <c r="BA22" s="700">
        <f t="shared" si="13"/>
        <v>3.5629464943423839E-2</v>
      </c>
      <c r="BB22" s="700">
        <f t="shared" si="13"/>
        <v>3.9677212114841258E-2</v>
      </c>
      <c r="BC22" s="700">
        <f t="shared" si="13"/>
        <v>3.7310468820502797E-2</v>
      </c>
      <c r="BD22" s="700">
        <f t="shared" si="13"/>
        <v>3.3500465279438604E-2</v>
      </c>
      <c r="BE22" s="701">
        <f t="shared" si="13"/>
        <v>3.649374811546631E-2</v>
      </c>
      <c r="BF22" s="700">
        <f t="shared" si="13"/>
        <v>3.2709917039162463E-2</v>
      </c>
      <c r="BG22" s="700">
        <f t="shared" si="13"/>
        <v>3.6510599529533068E-2</v>
      </c>
      <c r="BH22" s="700">
        <f t="shared" si="13"/>
        <v>3.3729359078196512E-2</v>
      </c>
      <c r="BI22" s="700">
        <f t="shared" si="13"/>
        <v>3.0152603741553589E-2</v>
      </c>
      <c r="BJ22" s="701">
        <f t="shared" si="13"/>
        <v>3.3210580206538109E-2</v>
      </c>
      <c r="BK22" s="700">
        <f t="shared" si="13"/>
        <v>2.9596876167884333E-2</v>
      </c>
      <c r="BL22" s="700">
        <f t="shared" si="13"/>
        <v>3.345849341347782E-2</v>
      </c>
      <c r="BM22" s="700">
        <f t="shared" si="13"/>
        <v>3.070213525835264E-2</v>
      </c>
      <c r="BN22" s="700">
        <f t="shared" si="13"/>
        <v>2.7732583281650694E-2</v>
      </c>
      <c r="BO22" s="701">
        <f t="shared" si="13"/>
        <v>3.032280210466792E-2</v>
      </c>
    </row>
    <row r="23" spans="1:67" s="368" customFormat="1">
      <c r="A23" s="107"/>
      <c r="B23" s="1040"/>
      <c r="G23" s="369"/>
      <c r="L23" s="369"/>
      <c r="Q23" s="369"/>
      <c r="V23" s="369"/>
      <c r="AA23" s="369"/>
      <c r="AF23" s="369"/>
      <c r="AK23" s="369"/>
      <c r="AN23" s="1185"/>
      <c r="AP23" s="369"/>
      <c r="AR23" s="1185"/>
      <c r="AS23" s="1185"/>
      <c r="AU23" s="369"/>
      <c r="AZ23" s="369"/>
      <c r="BE23" s="369"/>
      <c r="BJ23" s="369"/>
      <c r="BO23" s="369"/>
    </row>
    <row r="24" spans="1:67" s="1144" customFormat="1">
      <c r="A24" s="1147"/>
      <c r="B24" s="985" t="s">
        <v>331</v>
      </c>
      <c r="C24" s="1139">
        <f>SUM(C28,C33)</f>
        <v>0</v>
      </c>
      <c r="D24" s="1139">
        <f>SUM(D28,D33)</f>
        <v>0</v>
      </c>
      <c r="E24" s="1139">
        <f>SUM(E28,E33)</f>
        <v>0</v>
      </c>
      <c r="F24" s="1139">
        <f>SUM(F28,F33)</f>
        <v>0</v>
      </c>
      <c r="G24" s="1146">
        <f>SUM(C24:F24)</f>
        <v>0</v>
      </c>
      <c r="H24" s="1139">
        <f>SUM(H28,H33)</f>
        <v>7.3650000000000002</v>
      </c>
      <c r="I24" s="1139">
        <f>SUM(I28,I33)</f>
        <v>9.6320000000000014</v>
      </c>
      <c r="J24" s="1139">
        <f>SUM(J28,J33)</f>
        <v>13.712999999999999</v>
      </c>
      <c r="K24" s="1139">
        <f>SUM(K28,K33)</f>
        <v>19.684999999999999</v>
      </c>
      <c r="L24" s="1146">
        <f>SUM(H24:K24)</f>
        <v>50.394999999999996</v>
      </c>
      <c r="M24" s="1139">
        <f>SUM(M28,M33)</f>
        <v>23.59</v>
      </c>
      <c r="N24" s="1139">
        <f>SUM(N28,N33)</f>
        <v>27.606999999999999</v>
      </c>
      <c r="O24" s="1139">
        <f>SUM(O28,O33)</f>
        <v>28.823</v>
      </c>
      <c r="P24" s="1139">
        <f>SUM(P28,P33)</f>
        <v>33.768999999999998</v>
      </c>
      <c r="Q24" s="1146">
        <f>SUM(M24:P24)</f>
        <v>113.78900000000002</v>
      </c>
      <c r="R24" s="1139">
        <f>SUM(R28,R33)</f>
        <v>41.660000000000004</v>
      </c>
      <c r="S24" s="1139">
        <f>SUM(S28,S33)</f>
        <v>49.552</v>
      </c>
      <c r="T24" s="1139">
        <f>SUM(T28,T33)</f>
        <v>52.585999999999999</v>
      </c>
      <c r="U24" s="1139">
        <f>SUM(U28,U33)</f>
        <v>63.465000000000003</v>
      </c>
      <c r="V24" s="1146">
        <f>SUM(R24:U24)</f>
        <v>207.26300000000001</v>
      </c>
      <c r="W24" s="1139">
        <f>SUM(W28,W33)</f>
        <v>72.454999999999998</v>
      </c>
      <c r="X24" s="1139">
        <f>SUM(X28,X33)</f>
        <v>82.451999999999998</v>
      </c>
      <c r="Y24" s="1139">
        <f>SUM(Y28,Y33)</f>
        <v>97.891999999999996</v>
      </c>
      <c r="Z24" s="1139">
        <f>SUM(Z28,Z33)</f>
        <v>111.19300000000001</v>
      </c>
      <c r="AA24" s="1146">
        <f>SUM(W24:Z24)</f>
        <v>363.99199999999996</v>
      </c>
      <c r="AB24" s="1139">
        <f>SUM(AB28,AB33)</f>
        <v>122.473</v>
      </c>
      <c r="AC24" s="1139">
        <f>SUM(AC28,AC33)</f>
        <v>144.97199999999998</v>
      </c>
      <c r="AD24" s="1139">
        <f>SUM(AD28,AD33)</f>
        <v>159.88499999999999</v>
      </c>
      <c r="AE24" s="1139">
        <f>SUM(AE28,AE33)</f>
        <v>171.74</v>
      </c>
      <c r="AF24" s="1146">
        <f>SUM(AB24:AE24)</f>
        <v>599.06999999999994</v>
      </c>
      <c r="AG24" s="1139">
        <f>SUM(AG28,AG33)</f>
        <v>169.66699999999997</v>
      </c>
      <c r="AH24" s="1139">
        <f>SUM(AH28,AH33)</f>
        <v>173.60399999999998</v>
      </c>
      <c r="AI24" s="1139">
        <f>SUM(AI28,AI33)</f>
        <v>184.24600000000001</v>
      </c>
      <c r="AJ24" s="1139">
        <f>SUM(AJ28,AJ33)</f>
        <v>196.07300000000004</v>
      </c>
      <c r="AK24" s="1146">
        <f>SUM(AG24:AJ24)</f>
        <v>723.58999999999992</v>
      </c>
      <c r="AL24" s="1139">
        <f>SUM(AL28,AL33)</f>
        <v>219.59300000000002</v>
      </c>
      <c r="AM24" s="1139">
        <f>SUM(AM28,AM33)</f>
        <v>232.613</v>
      </c>
      <c r="AN24" s="1141">
        <f>SUM(AN28,AN33)</f>
        <v>254.92100000000002</v>
      </c>
      <c r="AO24" s="1139">
        <f>SUM(AO28,AO33)</f>
        <v>270.55799999999999</v>
      </c>
      <c r="AP24" s="1146">
        <f>SUM(AL24:AO24)</f>
        <v>977.68500000000006</v>
      </c>
      <c r="AQ24" s="1139">
        <f>SUM(AQ28,AQ33)</f>
        <v>289.95000000000005</v>
      </c>
      <c r="AR24" s="1141">
        <f>SUM(AR28,AR33)</f>
        <v>309.68199999999996</v>
      </c>
      <c r="AS24" s="1141">
        <f>SUM(AS28,AS33)</f>
        <v>332.58100000000002</v>
      </c>
      <c r="AT24" s="1139">
        <f>SUM(AT28,AT33)</f>
        <v>360.61314137853304</v>
      </c>
      <c r="AU24" s="1146">
        <f>SUM(AQ24:AT24)</f>
        <v>1292.8261413785331</v>
      </c>
      <c r="AV24" s="1139">
        <f>SUM(AV28,AV33)</f>
        <v>353.8410196557158</v>
      </c>
      <c r="AW24" s="1139">
        <f>SUM(AW28,AW33)</f>
        <v>375.33565152568099</v>
      </c>
      <c r="AX24" s="1139">
        <f>SUM(AX28,AX33)</f>
        <v>403.63094337358882</v>
      </c>
      <c r="AY24" s="1139">
        <f>SUM(AY28,AY33)</f>
        <v>439.3498937142985</v>
      </c>
      <c r="AZ24" s="1146">
        <f>SUM(AV24:AY24)</f>
        <v>1572.1575082692843</v>
      </c>
      <c r="BA24" s="1139">
        <f>SUM(BA28,BA33)</f>
        <v>430.98548779122979</v>
      </c>
      <c r="BB24" s="1139">
        <f>SUM(BB28,BB33)</f>
        <v>457.61569578691024</v>
      </c>
      <c r="BC24" s="1139">
        <f>SUM(BC28,BC33)</f>
        <v>493.79494204166099</v>
      </c>
      <c r="BD24" s="1139">
        <f>SUM(BD28,BD33)</f>
        <v>533.84078383100336</v>
      </c>
      <c r="BE24" s="1146">
        <f>SUM(BA24:BD24)</f>
        <v>1916.2369094508044</v>
      </c>
      <c r="BF24" s="1139">
        <f>SUM(BF28,BF33)</f>
        <v>519.04303300392371</v>
      </c>
      <c r="BG24" s="1139">
        <f>SUM(BG28,BG33)</f>
        <v>549.2424154538212</v>
      </c>
      <c r="BH24" s="1139">
        <f>SUM(BH28,BH33)</f>
        <v>602.73321815398128</v>
      </c>
      <c r="BI24" s="1139">
        <f>SUM(BI28,BI33)</f>
        <v>655.72720024161674</v>
      </c>
      <c r="BJ24" s="1146">
        <f>SUM(BF24:BI24)</f>
        <v>2326.7458668533427</v>
      </c>
      <c r="BK24" s="1139">
        <f>SUM(BK28,BK33)</f>
        <v>633.64686760890947</v>
      </c>
      <c r="BL24" s="1139">
        <f>SUM(BL28,BL33)</f>
        <v>661.89244874580493</v>
      </c>
      <c r="BM24" s="1139">
        <f>SUM(BM28,BM33)</f>
        <v>731.51867920309599</v>
      </c>
      <c r="BN24" s="1139">
        <f>SUM(BN28,BN33)</f>
        <v>789.87424265016978</v>
      </c>
      <c r="BO24" s="1146">
        <f>SUM(BK24:BN24)</f>
        <v>2816.9322382079804</v>
      </c>
    </row>
    <row r="25" spans="1:67" s="533" customFormat="1">
      <c r="A25" s="575"/>
      <c r="B25" s="1079" t="s">
        <v>204</v>
      </c>
      <c r="C25" s="667" t="s">
        <v>36</v>
      </c>
      <c r="D25" s="668" t="s">
        <v>36</v>
      </c>
      <c r="E25" s="668" t="s">
        <v>36</v>
      </c>
      <c r="F25" s="668" t="s">
        <v>36</v>
      </c>
      <c r="G25" s="669" t="s">
        <v>36</v>
      </c>
      <c r="H25" s="667" t="str">
        <f t="shared" ref="H25:AM25" si="15">IFERROR(H24/C24-1,"--")</f>
        <v>--</v>
      </c>
      <c r="I25" s="668" t="str">
        <f t="shared" si="15"/>
        <v>--</v>
      </c>
      <c r="J25" s="668" t="str">
        <f t="shared" si="15"/>
        <v>--</v>
      </c>
      <c r="K25" s="668" t="str">
        <f t="shared" si="15"/>
        <v>--</v>
      </c>
      <c r="L25" s="669" t="str">
        <f t="shared" si="15"/>
        <v>--</v>
      </c>
      <c r="M25" s="667">
        <f t="shared" si="15"/>
        <v>2.2029871011541071</v>
      </c>
      <c r="N25" s="668">
        <f t="shared" si="15"/>
        <v>1.8661752491694346</v>
      </c>
      <c r="O25" s="668">
        <f t="shared" si="15"/>
        <v>1.1018741340333991</v>
      </c>
      <c r="P25" s="668">
        <f t="shared" si="15"/>
        <v>0.71546863093726198</v>
      </c>
      <c r="Q25" s="669">
        <f t="shared" si="15"/>
        <v>1.2579422561762086</v>
      </c>
      <c r="R25" s="667">
        <f t="shared" si="15"/>
        <v>0.7660025434506148</v>
      </c>
      <c r="S25" s="668">
        <f t="shared" si="15"/>
        <v>0.79490708878183081</v>
      </c>
      <c r="T25" s="668">
        <f t="shared" si="15"/>
        <v>0.8244457551261144</v>
      </c>
      <c r="U25" s="668">
        <f t="shared" si="15"/>
        <v>0.87938641949717211</v>
      </c>
      <c r="V25" s="669">
        <f t="shared" si="15"/>
        <v>0.82146780444506917</v>
      </c>
      <c r="W25" s="667">
        <f t="shared" si="15"/>
        <v>0.73919827172347552</v>
      </c>
      <c r="X25" s="668">
        <f t="shared" si="15"/>
        <v>0.66394898288666448</v>
      </c>
      <c r="Y25" s="668">
        <f t="shared" si="15"/>
        <v>0.86156011105617458</v>
      </c>
      <c r="Z25" s="668">
        <f t="shared" si="15"/>
        <v>0.75203655558181692</v>
      </c>
      <c r="AA25" s="669">
        <f t="shared" si="15"/>
        <v>0.75618417180104491</v>
      </c>
      <c r="AB25" s="667">
        <f t="shared" si="15"/>
        <v>0.69033193016354977</v>
      </c>
      <c r="AC25" s="668">
        <f t="shared" si="15"/>
        <v>0.75825935089506591</v>
      </c>
      <c r="AD25" s="668">
        <f t="shared" si="15"/>
        <v>0.63327953254607117</v>
      </c>
      <c r="AE25" s="668">
        <f t="shared" si="15"/>
        <v>0.54452168751630037</v>
      </c>
      <c r="AF25" s="669">
        <f t="shared" si="15"/>
        <v>0.64583287544781198</v>
      </c>
      <c r="AG25" s="667">
        <f t="shared" si="15"/>
        <v>0.38534207539620957</v>
      </c>
      <c r="AH25" s="668">
        <f t="shared" si="15"/>
        <v>0.19750020693651194</v>
      </c>
      <c r="AI25" s="668">
        <f t="shared" si="15"/>
        <v>0.1523657628920787</v>
      </c>
      <c r="AJ25" s="668">
        <f t="shared" si="15"/>
        <v>0.14168510539187151</v>
      </c>
      <c r="AK25" s="669">
        <f t="shared" si="15"/>
        <v>0.20785550937286135</v>
      </c>
      <c r="AL25" s="667">
        <f t="shared" si="15"/>
        <v>0.29425875391207512</v>
      </c>
      <c r="AM25" s="668">
        <f t="shared" si="15"/>
        <v>0.33990576254003368</v>
      </c>
      <c r="AN25" s="1187">
        <f t="shared" ref="AN25:BJ25" si="16">IFERROR(AN24/AI24-1,"--")</f>
        <v>0.38359041715966691</v>
      </c>
      <c r="AO25" s="668">
        <f>IFERROR(AO24/AJ24-1,"--")</f>
        <v>0.37988402278743094</v>
      </c>
      <c r="AP25" s="669">
        <f>IFERROR(AP24/AK24-1,"--")</f>
        <v>0.35115880540084876</v>
      </c>
      <c r="AQ25" s="667">
        <f t="shared" ref="AQ25:AR25" si="17">IFERROR(AQ24/AL24-1,"--")</f>
        <v>0.32039728042332882</v>
      </c>
      <c r="AR25" s="1187">
        <f t="shared" si="17"/>
        <v>0.33131854195595234</v>
      </c>
      <c r="AS25" s="1187">
        <f t="shared" si="16"/>
        <v>0.30464339932763473</v>
      </c>
      <c r="AT25" s="668">
        <f t="shared" si="16"/>
        <v>0.33284967134046317</v>
      </c>
      <c r="AU25" s="669">
        <f t="shared" si="16"/>
        <v>0.32233402514974974</v>
      </c>
      <c r="AV25" s="667">
        <f t="shared" si="16"/>
        <v>0.22035185258049927</v>
      </c>
      <c r="AW25" s="668">
        <f t="shared" si="16"/>
        <v>0.21200344716735575</v>
      </c>
      <c r="AX25" s="668">
        <f t="shared" si="16"/>
        <v>0.21363199753921247</v>
      </c>
      <c r="AY25" s="668">
        <f t="shared" si="16"/>
        <v>0.21834132842406895</v>
      </c>
      <c r="AZ25" s="669">
        <f t="shared" si="16"/>
        <v>0.21606259182917031</v>
      </c>
      <c r="BA25" s="667">
        <f t="shared" si="16"/>
        <v>0.21802013856554803</v>
      </c>
      <c r="BB25" s="668">
        <f t="shared" si="16"/>
        <v>0.21921723643030888</v>
      </c>
      <c r="BC25" s="668">
        <f t="shared" si="16"/>
        <v>0.22338227568598246</v>
      </c>
      <c r="BD25" s="668">
        <f t="shared" si="16"/>
        <v>0.21506979168214069</v>
      </c>
      <c r="BE25" s="669">
        <f t="shared" si="16"/>
        <v>0.21885809746906415</v>
      </c>
      <c r="BF25" s="667">
        <f t="shared" si="16"/>
        <v>0.20431672923369804</v>
      </c>
      <c r="BG25" s="668">
        <f t="shared" si="16"/>
        <v>0.20022634824478813</v>
      </c>
      <c r="BH25" s="668">
        <f t="shared" si="16"/>
        <v>0.22061440253296327</v>
      </c>
      <c r="BI25" s="668">
        <f t="shared" si="16"/>
        <v>0.22831979141031433</v>
      </c>
      <c r="BJ25" s="669">
        <f t="shared" si="16"/>
        <v>0.21422662061143094</v>
      </c>
      <c r="BK25" s="667">
        <f>IFERROR(BK24/BF24-1,"--")</f>
        <v>0.22079832945974531</v>
      </c>
      <c r="BL25" s="668">
        <f>IFERROR(BL24/BG24-1,"--")</f>
        <v>0.20510075355142532</v>
      </c>
      <c r="BM25" s="668">
        <f>IFERROR(BM24/BH24-1,"--")</f>
        <v>0.21366909466770689</v>
      </c>
      <c r="BN25" s="668">
        <f>IFERROR(BN24/BI24-1,"--")</f>
        <v>0.20457751692948478</v>
      </c>
      <c r="BO25" s="669">
        <f>IFERROR(BO24/BJ24-1,"--")</f>
        <v>0.21067465009298947</v>
      </c>
    </row>
    <row r="26" spans="1:67" s="533" customFormat="1">
      <c r="A26" s="575"/>
      <c r="B26" s="1079" t="s">
        <v>205</v>
      </c>
      <c r="C26" s="667" t="s">
        <v>36</v>
      </c>
      <c r="D26" s="668" t="str">
        <f>IFERROR(D24/C24-1,"--")</f>
        <v>--</v>
      </c>
      <c r="E26" s="668" t="str">
        <f>IFERROR(E24/D24-1,"--")</f>
        <v>--</v>
      </c>
      <c r="F26" s="668" t="str">
        <f>IFERROR(F24/E24-1,"--")</f>
        <v>--</v>
      </c>
      <c r="G26" s="670"/>
      <c r="H26" s="667" t="str">
        <f>IFERROR(H24/F24-1,"--")</f>
        <v>--</v>
      </c>
      <c r="I26" s="668">
        <f>IFERROR(I24/H24-1,"--")</f>
        <v>0.30780719619823516</v>
      </c>
      <c r="J26" s="668">
        <f>IFERROR(J24/I24-1,"--")</f>
        <v>0.42369186046511609</v>
      </c>
      <c r="K26" s="668">
        <f>IFERROR(K24/J24-1,"--")</f>
        <v>0.43549916137971256</v>
      </c>
      <c r="L26" s="670"/>
      <c r="M26" s="667">
        <f>IFERROR(M24/K24-1,"--")</f>
        <v>0.19837439674879365</v>
      </c>
      <c r="N26" s="668">
        <f>IFERROR(N24/M24-1,"--")</f>
        <v>0.17028401865197118</v>
      </c>
      <c r="O26" s="668">
        <f>IFERROR(O24/N24-1,"--")</f>
        <v>4.4046799724707597E-2</v>
      </c>
      <c r="P26" s="668">
        <f>IFERROR(P24/O24-1,"--")</f>
        <v>0.17159907018700338</v>
      </c>
      <c r="Q26" s="670"/>
      <c r="R26" s="667">
        <f>IFERROR(R24/P24-1,"--")</f>
        <v>0.23367585655482848</v>
      </c>
      <c r="S26" s="668">
        <f>IFERROR(S24/R24-1,"--")</f>
        <v>0.18943831012962065</v>
      </c>
      <c r="T26" s="668">
        <f>IFERROR(T24/S24-1,"--")</f>
        <v>6.1228608330642587E-2</v>
      </c>
      <c r="U26" s="668">
        <f>IFERROR(U24/T24-1,"--")</f>
        <v>0.20688015821701611</v>
      </c>
      <c r="V26" s="670"/>
      <c r="W26" s="667">
        <f>IFERROR(W24/U24-1,"--")</f>
        <v>0.14165287953990369</v>
      </c>
      <c r="X26" s="668">
        <f>IFERROR(X24/W24-1,"--")</f>
        <v>0.13797529501069627</v>
      </c>
      <c r="Y26" s="668">
        <f>IFERROR(Y24/X24-1,"--")</f>
        <v>0.18726046669577445</v>
      </c>
      <c r="Z26" s="668">
        <f>IFERROR(Z24/Y24-1,"--")</f>
        <v>0.13587422874187904</v>
      </c>
      <c r="AA26" s="670"/>
      <c r="AB26" s="667">
        <f>IFERROR(AB24/Z24-1,"--")</f>
        <v>0.1014452348619066</v>
      </c>
      <c r="AC26" s="668">
        <f>IFERROR(AC24/AB24-1,"--")</f>
        <v>0.18370579637961004</v>
      </c>
      <c r="AD26" s="668">
        <f>IFERROR(AD24/AC24-1,"--")</f>
        <v>0.10286814005463141</v>
      </c>
      <c r="AE26" s="668">
        <f>IFERROR(AE24/AD24-1,"--")</f>
        <v>7.414704318729104E-2</v>
      </c>
      <c r="AF26" s="670"/>
      <c r="AG26" s="667">
        <f>IFERROR(AG24/AE24-1,"--")</f>
        <v>-1.2070571794573381E-2</v>
      </c>
      <c r="AH26" s="668">
        <f>IFERROR(AH24/AG24-1,"--")</f>
        <v>2.3204276612423191E-2</v>
      </c>
      <c r="AI26" s="668">
        <f>IFERROR(AI24/AH24-1,"--")</f>
        <v>6.1300430865648403E-2</v>
      </c>
      <c r="AJ26" s="668">
        <f>IFERROR(AJ24/AI24-1,"--")</f>
        <v>6.4191352865191176E-2</v>
      </c>
      <c r="AK26" s="670"/>
      <c r="AL26" s="667">
        <f>IFERROR(AL24/AJ24-1,"--")</f>
        <v>0.11995532276244036</v>
      </c>
      <c r="AM26" s="668">
        <f>IFERROR(AM24/AL24-1,"--")</f>
        <v>5.9291507470638827E-2</v>
      </c>
      <c r="AN26" s="1187">
        <f>IFERROR(AN24/AM24-1,"--")</f>
        <v>9.590177677085987E-2</v>
      </c>
      <c r="AO26" s="668">
        <f>IFERROR(AO24/AN24-1,"--")</f>
        <v>6.1340572177262631E-2</v>
      </c>
      <c r="AP26" s="670"/>
      <c r="AQ26" s="667">
        <f>IFERROR(AQ24/AO24-1,"--")</f>
        <v>7.1674095757656486E-2</v>
      </c>
      <c r="AR26" s="1187">
        <f>IFERROR(AR24/AQ24-1,"--")</f>
        <v>6.8053112605621413E-2</v>
      </c>
      <c r="AS26" s="1187">
        <f>IFERROR(AS24/AR24-1,"--")</f>
        <v>7.394359375100934E-2</v>
      </c>
      <c r="AT26" s="668">
        <f>IFERROR(AT24/AS24-1,"--")</f>
        <v>8.428665912524469E-2</v>
      </c>
      <c r="AU26" s="670"/>
      <c r="AV26" s="667">
        <f>IFERROR(AV24/AT24-1,"--")</f>
        <v>-1.8779464600011897E-2</v>
      </c>
      <c r="AW26" s="668">
        <f>IFERROR(AW24/AV24-1,"--")</f>
        <v>6.0746580175693898E-2</v>
      </c>
      <c r="AX26" s="668">
        <f>IFERROR(AX24/AW24-1,"--")</f>
        <v>7.5386635223410936E-2</v>
      </c>
      <c r="AY26" s="668">
        <f>IFERROR(AY24/AX24-1,"--")</f>
        <v>8.8494083338029217E-2</v>
      </c>
      <c r="AZ26" s="670"/>
      <c r="BA26" s="667">
        <f>IFERROR(BA24/AY24-1,"--")</f>
        <v>-1.903814258916825E-2</v>
      </c>
      <c r="BB26" s="668">
        <f>IFERROR(BB24/BA24-1,"--")</f>
        <v>6.1789106014122241E-2</v>
      </c>
      <c r="BC26" s="668">
        <f>IFERROR(BC24/BB24-1,"--")</f>
        <v>7.9060326356457988E-2</v>
      </c>
      <c r="BD26" s="668">
        <f>IFERROR(BD24/BC24-1,"--")</f>
        <v>8.1098120656658557E-2</v>
      </c>
      <c r="BE26" s="670"/>
      <c r="BF26" s="667">
        <f>IFERROR(BF24/BD24-1,"--")</f>
        <v>-2.7719408623834485E-2</v>
      </c>
      <c r="BG26" s="668">
        <f>IFERROR(BG24/BF24-1,"--")</f>
        <v>5.8182810537154905E-2</v>
      </c>
      <c r="BH26" s="668">
        <f>IFERROR(BH24/BG24-1,"--")</f>
        <v>9.7390152681420927E-2</v>
      </c>
      <c r="BI26" s="668">
        <f>IFERROR(BI24/BH24-1,"--")</f>
        <v>8.7922783233919999E-2</v>
      </c>
      <c r="BJ26" s="670"/>
      <c r="BK26" s="667">
        <f>IFERROR(BK24/BI24-1,"--")</f>
        <v>-3.3673046694679298E-2</v>
      </c>
      <c r="BL26" s="668">
        <f>IFERROR(BL24/BK24-1,"--")</f>
        <v>4.4576218365098619E-2</v>
      </c>
      <c r="BM26" s="668">
        <f>IFERROR(BM24/BL24-1,"--")</f>
        <v>0.10519266474368028</v>
      </c>
      <c r="BN26" s="668">
        <f>IFERROR(BN24/BM24-1,"--")</f>
        <v>7.9773169306688541E-2</v>
      </c>
      <c r="BO26" s="670"/>
    </row>
    <row r="27" spans="1:67">
      <c r="C27" s="383"/>
      <c r="D27" s="384"/>
      <c r="E27" s="384"/>
      <c r="F27" s="384"/>
      <c r="G27" s="414"/>
      <c r="H27" s="383"/>
      <c r="I27" s="384"/>
      <c r="J27" s="384"/>
      <c r="K27" s="384"/>
      <c r="L27" s="414"/>
      <c r="M27" s="383"/>
      <c r="N27" s="384"/>
      <c r="O27" s="384"/>
      <c r="P27" s="384"/>
      <c r="Q27" s="414"/>
      <c r="R27" s="383"/>
      <c r="S27" s="384"/>
      <c r="T27" s="384"/>
      <c r="U27" s="384"/>
      <c r="V27" s="414"/>
      <c r="W27" s="383"/>
      <c r="X27" s="384"/>
      <c r="Y27" s="384"/>
      <c r="Z27" s="384"/>
      <c r="AA27" s="414"/>
      <c r="AB27" s="383"/>
      <c r="AC27" s="384"/>
      <c r="AD27" s="384"/>
      <c r="AE27" s="384"/>
      <c r="AF27" s="414"/>
      <c r="AG27" s="383"/>
      <c r="AH27" s="384"/>
      <c r="AI27" s="384"/>
      <c r="AJ27" s="384"/>
      <c r="AK27" s="414"/>
      <c r="AL27" s="383"/>
      <c r="AM27" s="384"/>
      <c r="AN27" s="1116"/>
      <c r="AO27" s="384"/>
      <c r="AP27" s="414"/>
      <c r="AQ27" s="383"/>
      <c r="AR27" s="1116"/>
      <c r="AS27" s="1116"/>
      <c r="AT27" s="384"/>
      <c r="AU27" s="414"/>
      <c r="AV27" s="383"/>
      <c r="AW27" s="384"/>
      <c r="AX27" s="384"/>
      <c r="AY27" s="384"/>
      <c r="AZ27" s="414"/>
      <c r="BA27" s="383"/>
      <c r="BB27" s="384"/>
      <c r="BC27" s="384"/>
      <c r="BD27" s="384"/>
      <c r="BE27" s="414"/>
      <c r="BF27" s="383"/>
      <c r="BG27" s="384"/>
      <c r="BH27" s="384"/>
      <c r="BI27" s="384"/>
      <c r="BJ27" s="414"/>
      <c r="BK27" s="383"/>
      <c r="BL27" s="384"/>
      <c r="BM27" s="384"/>
      <c r="BN27" s="384"/>
      <c r="BO27" s="414"/>
    </row>
    <row r="28" spans="1:67" s="1132" customFormat="1">
      <c r="A28" s="1036" t="s">
        <v>59</v>
      </c>
      <c r="B28" s="1159" t="s">
        <v>150</v>
      </c>
      <c r="C28" s="1139"/>
      <c r="D28" s="1139"/>
      <c r="E28" s="1139"/>
      <c r="F28" s="1139"/>
      <c r="G28" s="1140">
        <f>SUM(C28:F28)</f>
        <v>0</v>
      </c>
      <c r="H28" s="1139">
        <f>'IS (GAAP)'!H28-SUM(H95,H113)</f>
        <v>6.8710000000000004</v>
      </c>
      <c r="I28" s="1139">
        <f>'IS (GAAP)'!I28-SUM(I95,I113)</f>
        <v>8.1080000000000005</v>
      </c>
      <c r="J28" s="1139">
        <f>'IS (GAAP)'!J28-SUM(J95,J113)</f>
        <v>11.03</v>
      </c>
      <c r="K28" s="1139">
        <f>'IS (GAAP)'!K28-SUM(K95,K113)</f>
        <v>14.397</v>
      </c>
      <c r="L28" s="1140">
        <f>SUM(H28:K28)</f>
        <v>40.405999999999999</v>
      </c>
      <c r="M28" s="1139">
        <f>'IS (GAAP)'!M28-SUM(M95,M113)</f>
        <v>19.189</v>
      </c>
      <c r="N28" s="1139">
        <f>'IS (GAAP)'!N28-SUM(N95,N113)</f>
        <v>22.661000000000001</v>
      </c>
      <c r="O28" s="1139">
        <f>'IS (GAAP)'!O28-SUM(O95,O113)</f>
        <v>23.98</v>
      </c>
      <c r="P28" s="1139">
        <f>'IS (GAAP)'!P28-SUM(P95,P113)</f>
        <v>28.024000000000001</v>
      </c>
      <c r="Q28" s="1140">
        <f>SUM(M28:P28)</f>
        <v>93.853999999999999</v>
      </c>
      <c r="R28" s="1139">
        <f>'IS (GAAP)'!R28-SUM(R95,R113)</f>
        <v>34.636000000000003</v>
      </c>
      <c r="S28" s="1139">
        <f>'IS (GAAP)'!S28-SUM(S95,S113)</f>
        <v>41.822000000000003</v>
      </c>
      <c r="T28" s="1139">
        <f>'IS (GAAP)'!T28-SUM(T95,T113)</f>
        <v>43.923999999999999</v>
      </c>
      <c r="U28" s="1139">
        <f>'IS (GAAP)'!U28-SUM(U95,U113)</f>
        <v>53.033000000000001</v>
      </c>
      <c r="V28" s="1140">
        <f>SUM(R28:U28)</f>
        <v>173.41500000000002</v>
      </c>
      <c r="W28" s="1139">
        <f>'IS (GAAP)'!W28-SUM(W95,W113)</f>
        <v>59.344999999999999</v>
      </c>
      <c r="X28" s="1139">
        <f>'IS (GAAP)'!X28-SUM(X95,X113)</f>
        <v>67.256</v>
      </c>
      <c r="Y28" s="1139">
        <f>'IS (GAAP)'!Y28-SUM(Y95,Y113)</f>
        <v>79.305999999999997</v>
      </c>
      <c r="Z28" s="1139">
        <f>'IS (GAAP)'!Z28-SUM(Z95,Z113)</f>
        <v>89.939000000000007</v>
      </c>
      <c r="AA28" s="1140">
        <f>SUM(W28:Z28)</f>
        <v>295.846</v>
      </c>
      <c r="AB28" s="1139">
        <f>'IS (GAAP)'!AB28-SUM(AB95,AB113)</f>
        <v>97.703000000000003</v>
      </c>
      <c r="AC28" s="1139">
        <f>'IS (GAAP)'!AC28-SUM(AC95,AC113)</f>
        <v>115.91799999999999</v>
      </c>
      <c r="AD28" s="1139">
        <f>'IS (GAAP)'!AD28-SUM(AD95,AD113)</f>
        <v>128.846</v>
      </c>
      <c r="AE28" s="1139">
        <f>'IS (GAAP)'!AE28-SUM(AE95,AE113)</f>
        <v>138.934</v>
      </c>
      <c r="AF28" s="1140">
        <f>SUM(AB28:AE28)</f>
        <v>481.40099999999995</v>
      </c>
      <c r="AG28" s="1139">
        <f>'IS (GAAP)'!AG28-SUM(AG95,AG113)</f>
        <v>135.99699999999999</v>
      </c>
      <c r="AH28" s="1139">
        <f>'IS (GAAP)'!AH28-SUM(AH95,AH113)</f>
        <v>141.43099999999998</v>
      </c>
      <c r="AI28" s="1139">
        <f>'IS (GAAP)'!AI28-SUM(AI95,AI113)</f>
        <v>151.381</v>
      </c>
      <c r="AJ28" s="1139">
        <f>'IS (GAAP)'!AJ28-SUM(AJ95,AJ113)</f>
        <v>162.08800000000002</v>
      </c>
      <c r="AK28" s="1140">
        <f>SUM(AG28:AJ28)</f>
        <v>590.89699999999993</v>
      </c>
      <c r="AL28" s="1139">
        <f>'IS (GAAP)'!AL28-SUM(AL95,AL113)</f>
        <v>182.27500000000001</v>
      </c>
      <c r="AM28" s="1139">
        <f>'IS (GAAP)'!AM28-SUM(AM95,AM113)</f>
        <v>195.46799999999999</v>
      </c>
      <c r="AN28" s="1141">
        <f>'IS (GAAP)'!AN28-SUM(AN95,AN113,AN114)</f>
        <v>213.37900000000002</v>
      </c>
      <c r="AO28" s="1139">
        <f>'IS (GAAP)'!AO28-SUM(AO95,AO113)</f>
        <v>227.99700000000001</v>
      </c>
      <c r="AP28" s="1140">
        <f>SUM(AL28:AO28)</f>
        <v>819.11900000000014</v>
      </c>
      <c r="AQ28" s="1139">
        <f>'IS (GAAP)'!AQ28-SUM(AQ95,AQ113)</f>
        <v>242.68900000000002</v>
      </c>
      <c r="AR28" s="1141">
        <f>'IS (GAAP)'!AR28-SUM(AR95,AR113)</f>
        <v>256.86499999999995</v>
      </c>
      <c r="AS28" s="1141">
        <f>'IS (GAAP)'!AS28-SUM(AS95,AS113,AS114)</f>
        <v>279.21199999999999</v>
      </c>
      <c r="AT28" s="1139">
        <f>AT14*(1-AT31)</f>
        <v>311.69216156026118</v>
      </c>
      <c r="AU28" s="1140">
        <f>SUM(AQ28:AT28)</f>
        <v>1090.458161560261</v>
      </c>
      <c r="AV28" s="1139">
        <f>AV14*(1-AV31)</f>
        <v>304.01092170571582</v>
      </c>
      <c r="AW28" s="1139">
        <f>AW14*(1-AW31)</f>
        <v>315.36360217568097</v>
      </c>
      <c r="AX28" s="1139">
        <f>AX14*(1-AX31)</f>
        <v>343.59393797358882</v>
      </c>
      <c r="AY28" s="1139">
        <f>AY14*(1-AY31)</f>
        <v>384.31665101679852</v>
      </c>
      <c r="AZ28" s="1140">
        <f>SUM(AV28:AY28)</f>
        <v>1347.2851128717841</v>
      </c>
      <c r="BA28" s="1139">
        <f>BA14*(1-BA31)</f>
        <v>374.67747710772977</v>
      </c>
      <c r="BB28" s="1139">
        <f>BB14*(1-BB31)</f>
        <v>389.84728002141026</v>
      </c>
      <c r="BC28" s="1139">
        <f>BC14*(1-BC31)</f>
        <v>425.95312593966099</v>
      </c>
      <c r="BD28" s="1139">
        <f>BD14*(1-BD31)</f>
        <v>471.6532195828284</v>
      </c>
      <c r="BE28" s="1140">
        <f>SUM(BA28:BD28)</f>
        <v>1662.1311026516294</v>
      </c>
      <c r="BF28" s="1139">
        <f>BF14*(1-BF31)</f>
        <v>455.69652098498619</v>
      </c>
      <c r="BG28" s="1139">
        <f>BG14*(1-BG31)</f>
        <v>473.00294771763373</v>
      </c>
      <c r="BH28" s="1139">
        <f>BH14*(1-BH31)</f>
        <v>526.41117503923124</v>
      </c>
      <c r="BI28" s="1139">
        <f>BI14*(1-BI31)</f>
        <v>585.7661904624199</v>
      </c>
      <c r="BJ28" s="1140">
        <f>SUM(BF28:BI28)</f>
        <v>2040.8768342042711</v>
      </c>
      <c r="BK28" s="1139">
        <f>BK14*(1-BK31)</f>
        <v>562.38204158760482</v>
      </c>
      <c r="BL28" s="1139">
        <f>BL14*(1-BL31)</f>
        <v>576.12304754259401</v>
      </c>
      <c r="BM28" s="1139">
        <f>BM14*(1-BM31)</f>
        <v>645.65638069900228</v>
      </c>
      <c r="BN28" s="1139">
        <f>BN14*(1-BN31)</f>
        <v>711.16810664857326</v>
      </c>
      <c r="BO28" s="1140">
        <f>SUM(BK28:BN28)</f>
        <v>2495.3295764777745</v>
      </c>
    </row>
    <row r="29" spans="1:67" s="674" customFormat="1">
      <c r="A29" s="664" t="s">
        <v>81</v>
      </c>
      <c r="B29" s="1079" t="s">
        <v>204</v>
      </c>
      <c r="C29" s="673" t="s">
        <v>36</v>
      </c>
      <c r="D29" s="674" t="s">
        <v>36</v>
      </c>
      <c r="E29" s="674" t="s">
        <v>36</v>
      </c>
      <c r="F29" s="674" t="s">
        <v>36</v>
      </c>
      <c r="G29" s="675" t="s">
        <v>36</v>
      </c>
      <c r="H29" s="673" t="str">
        <f t="shared" ref="H29:AF29" si="18">IFERROR(H28/C28-1,"--")</f>
        <v>--</v>
      </c>
      <c r="I29" s="674" t="str">
        <f t="shared" si="18"/>
        <v>--</v>
      </c>
      <c r="J29" s="674" t="str">
        <f t="shared" si="18"/>
        <v>--</v>
      </c>
      <c r="K29" s="674" t="str">
        <f t="shared" si="18"/>
        <v>--</v>
      </c>
      <c r="L29" s="675" t="str">
        <f t="shared" si="18"/>
        <v>--</v>
      </c>
      <c r="M29" s="673">
        <f t="shared" si="18"/>
        <v>1.7927521467035366</v>
      </c>
      <c r="N29" s="674">
        <f t="shared" si="18"/>
        <v>1.7948939319190922</v>
      </c>
      <c r="O29" s="674">
        <f t="shared" si="18"/>
        <v>1.174070716228468</v>
      </c>
      <c r="P29" s="674">
        <f t="shared" si="18"/>
        <v>0.94651663541015485</v>
      </c>
      <c r="Q29" s="675">
        <f t="shared" si="18"/>
        <v>1.322773845468495</v>
      </c>
      <c r="R29" s="673">
        <f t="shared" si="18"/>
        <v>0.80499244358747224</v>
      </c>
      <c r="S29" s="674">
        <f t="shared" si="18"/>
        <v>0.8455496226997925</v>
      </c>
      <c r="T29" s="674">
        <f t="shared" si="18"/>
        <v>0.83169307756463717</v>
      </c>
      <c r="U29" s="674">
        <f t="shared" si="18"/>
        <v>0.89241364544675994</v>
      </c>
      <c r="V29" s="675">
        <f t="shared" si="18"/>
        <v>0.84771027340337146</v>
      </c>
      <c r="W29" s="673">
        <f t="shared" si="18"/>
        <v>0.71339069176579262</v>
      </c>
      <c r="X29" s="674">
        <f t="shared" si="18"/>
        <v>0.60814882119458646</v>
      </c>
      <c r="Y29" s="674">
        <f t="shared" si="18"/>
        <v>0.80552772971496212</v>
      </c>
      <c r="Z29" s="674">
        <f t="shared" si="18"/>
        <v>0.69590632247845696</v>
      </c>
      <c r="AA29" s="675">
        <f t="shared" si="18"/>
        <v>0.7060000576651384</v>
      </c>
      <c r="AB29" s="673">
        <f t="shared" si="18"/>
        <v>0.64635605358496928</v>
      </c>
      <c r="AC29" s="674">
        <f t="shared" si="18"/>
        <v>0.72353395979540847</v>
      </c>
      <c r="AD29" s="674">
        <f t="shared" si="18"/>
        <v>0.62466900360628452</v>
      </c>
      <c r="AE29" s="674">
        <f t="shared" si="18"/>
        <v>0.54475811383270867</v>
      </c>
      <c r="AF29" s="675">
        <f t="shared" si="18"/>
        <v>0.627201314197251</v>
      </c>
      <c r="AG29" s="673">
        <f t="shared" ref="AG29:AU29" si="19">IFERROR(AG28/AB28-1,"--")</f>
        <v>0.39194292908099015</v>
      </c>
      <c r="AH29" s="674">
        <f t="shared" si="19"/>
        <v>0.2200952397384357</v>
      </c>
      <c r="AI29" s="674">
        <f t="shared" si="19"/>
        <v>0.17489871629697462</v>
      </c>
      <c r="AJ29" s="674">
        <f t="shared" si="19"/>
        <v>0.16665467056300143</v>
      </c>
      <c r="AK29" s="675">
        <f t="shared" si="19"/>
        <v>0.22745278883924214</v>
      </c>
      <c r="AL29" s="673">
        <f t="shared" si="19"/>
        <v>0.34028691809378175</v>
      </c>
      <c r="AM29" s="674">
        <f t="shared" si="19"/>
        <v>0.3820732371262312</v>
      </c>
      <c r="AN29" s="1183">
        <f>IFERROR(AN28/AI28-1,"--")</f>
        <v>0.40954941505208731</v>
      </c>
      <c r="AO29" s="674">
        <f>IFERROR(AO28/AJ28-1,"--")</f>
        <v>0.40662479640689009</v>
      </c>
      <c r="AP29" s="675">
        <f t="shared" si="19"/>
        <v>0.38622974900871099</v>
      </c>
      <c r="AQ29" s="673">
        <f t="shared" si="19"/>
        <v>0.33144424633109315</v>
      </c>
      <c r="AR29" s="1183">
        <f t="shared" si="19"/>
        <v>0.31410256410256387</v>
      </c>
      <c r="AS29" s="1183">
        <f>IFERROR(AS28/AN28-1,"--")</f>
        <v>0.30852614362238073</v>
      </c>
      <c r="AT29" s="674">
        <f t="shared" si="19"/>
        <v>0.36708887204770746</v>
      </c>
      <c r="AU29" s="675">
        <f t="shared" si="19"/>
        <v>0.33125731616561316</v>
      </c>
      <c r="AV29" s="673">
        <f t="shared" ref="AV29:BJ29" si="20">IFERROR(AV28/AQ28-1,"--")</f>
        <v>0.25267697219781615</v>
      </c>
      <c r="AW29" s="674">
        <f t="shared" si="20"/>
        <v>0.22774065044159775</v>
      </c>
      <c r="AX29" s="674">
        <f t="shared" si="20"/>
        <v>0.23058442321099681</v>
      </c>
      <c r="AY29" s="674">
        <f t="shared" si="20"/>
        <v>0.23300069239147825</v>
      </c>
      <c r="AZ29" s="675">
        <f t="shared" si="20"/>
        <v>0.23552205886014654</v>
      </c>
      <c r="BA29" s="673">
        <f t="shared" si="20"/>
        <v>0.2324474232883631</v>
      </c>
      <c r="BB29" s="674">
        <f t="shared" si="20"/>
        <v>0.23618349527932003</v>
      </c>
      <c r="BC29" s="674">
        <f t="shared" si="20"/>
        <v>0.23969918809336765</v>
      </c>
      <c r="BD29" s="674">
        <f t="shared" si="20"/>
        <v>0.22725158625045472</v>
      </c>
      <c r="BE29" s="675">
        <f t="shared" si="20"/>
        <v>0.23368920711128482</v>
      </c>
      <c r="BF29" s="673">
        <f t="shared" si="20"/>
        <v>0.21623676048710361</v>
      </c>
      <c r="BG29" s="674">
        <f t="shared" si="20"/>
        <v>0.21330318808856785</v>
      </c>
      <c r="BH29" s="674">
        <f t="shared" si="20"/>
        <v>0.23584296717616016</v>
      </c>
      <c r="BI29" s="674">
        <f t="shared" si="20"/>
        <v>0.24194252501980817</v>
      </c>
      <c r="BJ29" s="675">
        <f t="shared" si="20"/>
        <v>0.22786754363023554</v>
      </c>
      <c r="BK29" s="673">
        <f>IFERROR(BK28/BF28-1,"--")</f>
        <v>0.23411528438272544</v>
      </c>
      <c r="BL29" s="674">
        <f>IFERROR(BL28/BG28-1,"--")</f>
        <v>0.2180115373964211</v>
      </c>
      <c r="BM29" s="674">
        <f>IFERROR(BM28/BH28-1,"--")</f>
        <v>0.22652483707414484</v>
      </c>
      <c r="BN29" s="674">
        <f>IFERROR(BN28/BI28-1,"--")</f>
        <v>0.21408186103598381</v>
      </c>
      <c r="BO29" s="675">
        <f>IFERROR(BO28/BJ28-1,"--")</f>
        <v>0.22267524166919772</v>
      </c>
    </row>
    <row r="30" spans="1:67" s="677" customFormat="1">
      <c r="A30" s="664" t="s">
        <v>87</v>
      </c>
      <c r="B30" s="1079" t="s">
        <v>205</v>
      </c>
      <c r="C30" s="673" t="s">
        <v>36</v>
      </c>
      <c r="D30" s="674" t="str">
        <f>IFERROR(D28/C28-1,"--")</f>
        <v>--</v>
      </c>
      <c r="E30" s="674" t="str">
        <f>IFERROR(E28/D28-1,"--")</f>
        <v>--</v>
      </c>
      <c r="F30" s="674" t="str">
        <f>IFERROR(F28/E28-1,"--")</f>
        <v>--</v>
      </c>
      <c r="G30" s="676"/>
      <c r="H30" s="673" t="str">
        <f>IFERROR(H28/F28-1,"--")</f>
        <v>--</v>
      </c>
      <c r="I30" s="674">
        <f>IFERROR(I28/H28-1,"--")</f>
        <v>0.18003201862902052</v>
      </c>
      <c r="J30" s="674">
        <f>IFERROR(J28/I28-1,"--")</f>
        <v>0.36038480513073501</v>
      </c>
      <c r="K30" s="674">
        <f>IFERROR(K28/J28-1,"--")</f>
        <v>0.30525838621940182</v>
      </c>
      <c r="L30" s="676"/>
      <c r="M30" s="673">
        <f>IFERROR(M28/K28-1,"--")</f>
        <v>0.33284712092797109</v>
      </c>
      <c r="N30" s="674">
        <f>IFERROR(N28/M28-1,"--")</f>
        <v>0.18093699515347339</v>
      </c>
      <c r="O30" s="674">
        <f>IFERROR(O28/N28-1,"--")</f>
        <v>5.8205727902563842E-2</v>
      </c>
      <c r="P30" s="674">
        <f>IFERROR(P28/O28-1,"--")</f>
        <v>0.16864053377814847</v>
      </c>
      <c r="Q30" s="676"/>
      <c r="R30" s="673">
        <f>IFERROR(R28/P28-1,"--")</f>
        <v>0.23594062232372259</v>
      </c>
      <c r="S30" s="674">
        <f>IFERROR(S28/R28-1,"--")</f>
        <v>0.20747199445663478</v>
      </c>
      <c r="T30" s="674">
        <f>IFERROR(T28/S28-1,"--")</f>
        <v>5.0260628377408967E-2</v>
      </c>
      <c r="U30" s="674">
        <f>IFERROR(U28/T28-1,"--")</f>
        <v>0.20738093069847929</v>
      </c>
      <c r="V30" s="676"/>
      <c r="W30" s="673">
        <f>IFERROR(W28/U28-1,"--")</f>
        <v>0.11902023268530915</v>
      </c>
      <c r="X30" s="674">
        <f>IFERROR(X28/W28-1,"--")</f>
        <v>0.13330524896789964</v>
      </c>
      <c r="Y30" s="674">
        <f>IFERROR(Y28/X28-1,"--")</f>
        <v>0.1791661710479362</v>
      </c>
      <c r="Z30" s="674">
        <f>IFERROR(Z28/Y28-1,"--")</f>
        <v>0.13407560588101797</v>
      </c>
      <c r="AA30" s="676"/>
      <c r="AB30" s="673">
        <f>IFERROR(AB28/Z28-1,"--")</f>
        <v>8.6325175952590039E-2</v>
      </c>
      <c r="AC30" s="674">
        <f>IFERROR(AC28/AB28-1,"--")</f>
        <v>0.18643235110487888</v>
      </c>
      <c r="AD30" s="674">
        <f>IFERROR(AD28/AC28-1,"--")</f>
        <v>0.11152711399437543</v>
      </c>
      <c r="AE30" s="674">
        <f>IFERROR(AE28/AD28-1,"--")</f>
        <v>7.8295018859724008E-2</v>
      </c>
      <c r="AF30" s="676"/>
      <c r="AG30" s="673">
        <f>IFERROR(AG28/AE28-1,"--")</f>
        <v>-2.1139533879396044E-2</v>
      </c>
      <c r="AH30" s="674">
        <f>IFERROR(AH28/AG28-1,"--")</f>
        <v>3.9956763752141633E-2</v>
      </c>
      <c r="AI30" s="674">
        <f>IFERROR(AI28/AH28-1,"--")</f>
        <v>7.0352327283268901E-2</v>
      </c>
      <c r="AJ30" s="674">
        <f>IFERROR(AJ28/AI28-1,"--")</f>
        <v>7.0728823300150179E-2</v>
      </c>
      <c r="AK30" s="676"/>
      <c r="AL30" s="673">
        <f>IFERROR(AL28/AJ28-1,"--")</f>
        <v>0.12454345787473464</v>
      </c>
      <c r="AM30" s="674">
        <f>IFERROR(AM28/AL28-1,"--")</f>
        <v>7.2379646139075549E-2</v>
      </c>
      <c r="AN30" s="1183">
        <f>IFERROR(AN28/AM28-1,"--")</f>
        <v>9.1631366771031786E-2</v>
      </c>
      <c r="AO30" s="674">
        <f>IFERROR(AO28/AN28-1,"--")</f>
        <v>6.8507210175321909E-2</v>
      </c>
      <c r="AP30" s="676"/>
      <c r="AQ30" s="673">
        <f>IFERROR(AQ28/AO28-1,"--")</f>
        <v>6.4439444378654231E-2</v>
      </c>
      <c r="AR30" s="1183">
        <f>IFERROR(AR28/AQ28-1,"--")</f>
        <v>5.841220656890056E-2</v>
      </c>
      <c r="AS30" s="1183">
        <f>IFERROR(AS28/AR28-1,"--")</f>
        <v>8.6999007260623484E-2</v>
      </c>
      <c r="AT30" s="674">
        <f>IFERROR(AT28/AS28-1,"--")</f>
        <v>0.11632795710879607</v>
      </c>
      <c r="AU30" s="676"/>
      <c r="AV30" s="673">
        <f>IFERROR(AV28/AT28-1,"--")</f>
        <v>-2.4643673476082317E-2</v>
      </c>
      <c r="AW30" s="674">
        <f>IFERROR(AW28/AV28-1,"--")</f>
        <v>3.7343002041731355E-2</v>
      </c>
      <c r="AX30" s="674">
        <f>IFERROR(AX28/AW28-1,"--")</f>
        <v>8.9516785079660099E-2</v>
      </c>
      <c r="AY30" s="674">
        <f>IFERROR(AY28/AX28-1,"--")</f>
        <v>0.11851988217073828</v>
      </c>
      <c r="AZ30" s="676"/>
      <c r="BA30" s="673">
        <f>IFERROR(BA28/AY28-1,"--")</f>
        <v>-2.5081333019441376E-2</v>
      </c>
      <c r="BB30" s="674">
        <f>IFERROR(BB28/BA28-1,"--")</f>
        <v>4.0487629602883102E-2</v>
      </c>
      <c r="BC30" s="674">
        <f>IFERROR(BC28/BB28-1,"--")</f>
        <v>9.2615359317802071E-2</v>
      </c>
      <c r="BD30" s="674">
        <f>IFERROR(BD28/BC28-1,"--")</f>
        <v>0.10728902045818334</v>
      </c>
      <c r="BE30" s="676"/>
      <c r="BF30" s="673">
        <f>IFERROR(BF28/BD28-1,"--")</f>
        <v>-3.3831420915467758E-2</v>
      </c>
      <c r="BG30" s="674">
        <f>IFERROR(BG28/BF28-1,"--")</f>
        <v>3.7977965456571283E-2</v>
      </c>
      <c r="BH30" s="674">
        <f>IFERROR(BH28/BG28-1,"--")</f>
        <v>0.1129130961642133</v>
      </c>
      <c r="BI30" s="674">
        <f>IFERROR(BI28/BH28-1,"--")</f>
        <v>0.11275409458920627</v>
      </c>
      <c r="BJ30" s="676"/>
      <c r="BK30" s="673">
        <f>IFERROR(BK28/BI28-1,"--")</f>
        <v>-3.9920618935611496E-2</v>
      </c>
      <c r="BL30" s="674">
        <f>IFERROR(BL28/BK28-1,"--")</f>
        <v>2.44335788465051E-2</v>
      </c>
      <c r="BM30" s="674">
        <f>IFERROR(BM28/BL28-1,"--")</f>
        <v>0.12069180959344883</v>
      </c>
      <c r="BN30" s="674">
        <f>IFERROR(BN28/BM28-1,"--")</f>
        <v>0.10146531174778528</v>
      </c>
      <c r="BO30" s="676"/>
    </row>
    <row r="31" spans="1:67" s="707" customFormat="1">
      <c r="A31" s="1082" t="s">
        <v>146</v>
      </c>
      <c r="B31" s="1079" t="s">
        <v>373</v>
      </c>
      <c r="C31" s="704" t="str">
        <f t="shared" ref="C31:V31" si="21">IFERROR((C14-C28)/C14,"--")</f>
        <v>--</v>
      </c>
      <c r="D31" s="704" t="str">
        <f t="shared" si="21"/>
        <v>--</v>
      </c>
      <c r="E31" s="704" t="str">
        <f t="shared" si="21"/>
        <v>--</v>
      </c>
      <c r="F31" s="704" t="str">
        <f t="shared" si="21"/>
        <v>--</v>
      </c>
      <c r="G31" s="705" t="str">
        <f t="shared" si="21"/>
        <v>--</v>
      </c>
      <c r="H31" s="704">
        <f t="shared" si="21"/>
        <v>0.47891703321704837</v>
      </c>
      <c r="I31" s="704">
        <f t="shared" si="21"/>
        <v>0.54127298444130123</v>
      </c>
      <c r="J31" s="704">
        <f t="shared" si="21"/>
        <v>0.61239765259865764</v>
      </c>
      <c r="K31" s="704">
        <f t="shared" si="21"/>
        <v>0.60409734634951195</v>
      </c>
      <c r="L31" s="705">
        <f t="shared" si="21"/>
        <v>0.57770972900097195</v>
      </c>
      <c r="M31" s="704">
        <f t="shared" si="21"/>
        <v>0.55130243651498856</v>
      </c>
      <c r="N31" s="704">
        <f t="shared" si="21"/>
        <v>0.60806323290324804</v>
      </c>
      <c r="O31" s="704">
        <f t="shared" si="21"/>
        <v>0.6535332957681359</v>
      </c>
      <c r="P31" s="704">
        <f t="shared" si="21"/>
        <v>0.66003493788819878</v>
      </c>
      <c r="Q31" s="705">
        <f t="shared" si="21"/>
        <v>0.62790162907516589</v>
      </c>
      <c r="R31" s="704">
        <f t="shared" si="21"/>
        <v>0.65982105149434755</v>
      </c>
      <c r="S31" s="704">
        <f t="shared" si="21"/>
        <v>0.66600115001277793</v>
      </c>
      <c r="T31" s="704">
        <f t="shared" si="21"/>
        <v>0.70416169943356699</v>
      </c>
      <c r="U31" s="704">
        <f t="shared" si="21"/>
        <v>0.70254307637081581</v>
      </c>
      <c r="V31" s="705">
        <f t="shared" si="21"/>
        <v>0.68686009599237252</v>
      </c>
      <c r="W31" s="704">
        <f t="shared" ref="W31:AF31" si="22">IFERROR((W14-W28)/W14,"--")</f>
        <v>0.72246644530701964</v>
      </c>
      <c r="X31" s="704">
        <f t="shared" si="22"/>
        <v>0.7358604682216453</v>
      </c>
      <c r="Y31" s="704">
        <f t="shared" si="22"/>
        <v>0.74618668749079886</v>
      </c>
      <c r="Z31" s="704">
        <f t="shared" si="22"/>
        <v>0.7498623309730279</v>
      </c>
      <c r="AA31" s="705">
        <f t="shared" si="22"/>
        <v>0.74059268599146488</v>
      </c>
      <c r="AB31" s="704">
        <f t="shared" si="22"/>
        <v>0.75229569459022294</v>
      </c>
      <c r="AC31" s="704">
        <f t="shared" si="22"/>
        <v>0.75139190336887796</v>
      </c>
      <c r="AD31" s="704">
        <f t="shared" si="22"/>
        <v>0.75352365940254651</v>
      </c>
      <c r="AE31" s="704">
        <f t="shared" si="22"/>
        <v>0.74981677528095958</v>
      </c>
      <c r="AF31" s="705">
        <f t="shared" si="22"/>
        <v>0.75169939080340609</v>
      </c>
      <c r="AG31" s="704">
        <f t="shared" ref="AG31:AN31" si="23">IFERROR((AG14-AG28)/AG14,"--")</f>
        <v>0.76952473596442472</v>
      </c>
      <c r="AH31" s="704">
        <f t="shared" si="23"/>
        <v>0.7790862046612903</v>
      </c>
      <c r="AI31" s="704">
        <f t="shared" si="23"/>
        <v>0.78327019605485071</v>
      </c>
      <c r="AJ31" s="704">
        <f t="shared" si="23"/>
        <v>0.78039534474115613</v>
      </c>
      <c r="AK31" s="705">
        <f t="shared" si="23"/>
        <v>0.77842877493251406</v>
      </c>
      <c r="AL31" s="704">
        <f t="shared" si="23"/>
        <v>0.7691514677926562</v>
      </c>
      <c r="AM31" s="704">
        <f t="shared" si="23"/>
        <v>0.76428338860416045</v>
      </c>
      <c r="AN31" s="1263">
        <f t="shared" si="23"/>
        <v>0.76298648645646583</v>
      </c>
      <c r="AO31" s="704">
        <f>IFERROR((AO14-AO28)/AO14,"--")</f>
        <v>0.75829929513634542</v>
      </c>
      <c r="AP31" s="705">
        <f>IFERROR((AP14-AP28)/AP14,"--")</f>
        <v>0.76342600641978353</v>
      </c>
      <c r="AQ31" s="704">
        <f t="shared" ref="AQ31:AS31" si="24">IFERROR((AQ14-AQ28)/AQ14,"--")</f>
        <v>0.75653507729132752</v>
      </c>
      <c r="AR31" s="1263">
        <f t="shared" si="24"/>
        <v>0.76445122219613826</v>
      </c>
      <c r="AS31" s="1263">
        <f t="shared" si="24"/>
        <v>0.75896275564863602</v>
      </c>
      <c r="AT31" s="706">
        <v>0.74</v>
      </c>
      <c r="AU31" s="671">
        <f>IFERROR((AU14-AU28)/AU14,"--")</f>
        <v>0.75465009126153726</v>
      </c>
      <c r="AV31" s="706">
        <f>AQ31+0.25%</f>
        <v>0.75903507729132746</v>
      </c>
      <c r="AW31" s="706">
        <f t="shared" ref="AW31:AY31" si="25">AR31+0.25%</f>
        <v>0.7669512221961382</v>
      </c>
      <c r="AX31" s="706">
        <f t="shared" si="25"/>
        <v>0.76146275564863597</v>
      </c>
      <c r="AY31" s="706">
        <f t="shared" si="25"/>
        <v>0.74249999999999994</v>
      </c>
      <c r="AZ31" s="705">
        <f>IFERROR((AZ14-AZ28)/AZ14,"--")</f>
        <v>0.75714793832636196</v>
      </c>
      <c r="BA31" s="706">
        <f>AV31+0.25%</f>
        <v>0.76153507729132741</v>
      </c>
      <c r="BB31" s="706">
        <f t="shared" ref="BB31" si="26">AW31+0.25%</f>
        <v>0.76945122219613815</v>
      </c>
      <c r="BC31" s="706">
        <f t="shared" ref="BC31" si="27">AX31+0.25%</f>
        <v>0.76396275564863592</v>
      </c>
      <c r="BD31" s="706">
        <f t="shared" ref="BD31" si="28">AY31+0.25%</f>
        <v>0.74499999999999988</v>
      </c>
      <c r="BE31" s="705">
        <f>IFERROR((BE14-BE28)/BE14,"--")</f>
        <v>0.75968197060166565</v>
      </c>
      <c r="BF31" s="706">
        <f>BA31+0.25%</f>
        <v>0.76403507729132736</v>
      </c>
      <c r="BG31" s="706">
        <f t="shared" ref="BG31" si="29">BB31+0.25%</f>
        <v>0.7719512221961381</v>
      </c>
      <c r="BH31" s="706">
        <f t="shared" ref="BH31" si="30">BC31+0.25%</f>
        <v>0.76646275564863586</v>
      </c>
      <c r="BI31" s="706">
        <f t="shared" ref="BI31" si="31">BD31+0.25%</f>
        <v>0.74749999999999983</v>
      </c>
      <c r="BJ31" s="705">
        <f>IFERROR((BJ14-BJ28)/BJ14,"--")</f>
        <v>0.76211558382685163</v>
      </c>
      <c r="BK31" s="706">
        <f>BF31+0.25%</f>
        <v>0.7665350772913273</v>
      </c>
      <c r="BL31" s="706">
        <f t="shared" ref="BL31" si="32">BG31+0.25%</f>
        <v>0.77445122219613804</v>
      </c>
      <c r="BM31" s="706">
        <f t="shared" ref="BM31" si="33">BH31+0.25%</f>
        <v>0.76896275564863581</v>
      </c>
      <c r="BN31" s="706">
        <f t="shared" ref="BN31" si="34">BI31+0.25%</f>
        <v>0.74999999999999978</v>
      </c>
      <c r="BO31" s="705">
        <f>IFERROR((BO14-BO28)/BO14,"--")</f>
        <v>0.76464568649745268</v>
      </c>
    </row>
    <row r="32" spans="1:67" s="368" customFormat="1">
      <c r="A32" s="107"/>
      <c r="B32" s="1040"/>
      <c r="G32" s="369"/>
      <c r="L32" s="369"/>
      <c r="Q32" s="369"/>
      <c r="V32" s="369"/>
      <c r="AA32" s="369"/>
      <c r="AF32" s="369"/>
      <c r="AK32" s="369"/>
      <c r="AN32" s="1185"/>
      <c r="AP32" s="369"/>
      <c r="AR32" s="1185"/>
      <c r="AS32" s="1185"/>
      <c r="AU32" s="369"/>
      <c r="AZ32" s="369"/>
      <c r="BE32" s="369"/>
      <c r="BJ32" s="369"/>
      <c r="BO32" s="369"/>
    </row>
    <row r="33" spans="1:67" s="1132" customFormat="1">
      <c r="A33" s="1036" t="s">
        <v>59</v>
      </c>
      <c r="B33" s="1159" t="s">
        <v>364</v>
      </c>
      <c r="C33" s="1139"/>
      <c r="D33" s="1139"/>
      <c r="E33" s="1139"/>
      <c r="F33" s="1139"/>
      <c r="G33" s="1140">
        <f>SUM(C33:F33)</f>
        <v>0</v>
      </c>
      <c r="H33" s="1139">
        <f>'IS (GAAP)'!H33-SUM(H96,H117)</f>
        <v>0.49399999999999999</v>
      </c>
      <c r="I33" s="1139">
        <f>'IS (GAAP)'!I33-SUM(I96,I117)</f>
        <v>1.524</v>
      </c>
      <c r="J33" s="1139">
        <f>'IS (GAAP)'!J33-SUM(J96,J117)</f>
        <v>2.6829999999999998</v>
      </c>
      <c r="K33" s="1139">
        <f>'IS (GAAP)'!K33-SUM(K96,K117)</f>
        <v>5.2879999999999985</v>
      </c>
      <c r="L33" s="1140">
        <f>SUM(H33:K33)</f>
        <v>9.9889999999999972</v>
      </c>
      <c r="M33" s="1139">
        <f>'IS (GAAP)'!M33-SUM(M96,M117)</f>
        <v>4.4009999999999998</v>
      </c>
      <c r="N33" s="1139">
        <f>'IS (GAAP)'!N33-SUM(N96,N117)</f>
        <v>4.945999999999998</v>
      </c>
      <c r="O33" s="1139">
        <f>'IS (GAAP)'!O33-SUM(O96,O117)</f>
        <v>4.843</v>
      </c>
      <c r="P33" s="1139">
        <f>'IS (GAAP)'!P33-SUM(P96,P117)</f>
        <v>5.7449999999999974</v>
      </c>
      <c r="Q33" s="1140">
        <f>SUM(M33:P33)</f>
        <v>19.934999999999995</v>
      </c>
      <c r="R33" s="1139">
        <f>'IS (GAAP)'!R33-SUM(R96,R117)</f>
        <v>7.0240000000000009</v>
      </c>
      <c r="S33" s="1139">
        <f>'IS (GAAP)'!S33-SUM(S96,S117)</f>
        <v>7.7299999999999969</v>
      </c>
      <c r="T33" s="1139">
        <f>'IS (GAAP)'!T33-SUM(T96,T117)</f>
        <v>8.661999999999999</v>
      </c>
      <c r="U33" s="1139">
        <f>'IS (GAAP)'!U33-SUM(U96,U117)</f>
        <v>10.432</v>
      </c>
      <c r="V33" s="1140">
        <f>SUM(R33:U33)</f>
        <v>33.847999999999999</v>
      </c>
      <c r="W33" s="1139">
        <f>'IS (GAAP)'!W33-SUM(W96,W117)</f>
        <v>13.109999999999998</v>
      </c>
      <c r="X33" s="1139">
        <f>'IS (GAAP)'!X33-SUM(X96,X117)</f>
        <v>15.196</v>
      </c>
      <c r="Y33" s="1139">
        <f>'IS (GAAP)'!Y33-SUM(Y96,Y117)</f>
        <v>18.585999999999999</v>
      </c>
      <c r="Z33" s="1139">
        <f>'IS (GAAP)'!Z33-SUM(Z96,Z117)</f>
        <v>21.254000000000001</v>
      </c>
      <c r="AA33" s="1140">
        <f>SUM(W33:Z33)</f>
        <v>68.146000000000001</v>
      </c>
      <c r="AB33" s="1139">
        <f>'IS (GAAP)'!AB33-SUM(AB96,AB117)</f>
        <v>24.769999999999996</v>
      </c>
      <c r="AC33" s="1139">
        <f>'IS (GAAP)'!AC33-SUM(AC96,AC117)</f>
        <v>29.053999999999998</v>
      </c>
      <c r="AD33" s="1139">
        <f>'IS (GAAP)'!AD33-SUM(AD96,AD117)</f>
        <v>31.039000000000001</v>
      </c>
      <c r="AE33" s="1139">
        <f>'IS (GAAP)'!AE33-SUM(AE96,AE117)</f>
        <v>32.805999999999997</v>
      </c>
      <c r="AF33" s="1140">
        <f>SUM(AB33:AE33)</f>
        <v>117.669</v>
      </c>
      <c r="AG33" s="1139">
        <f>'IS (GAAP)'!AG33-SUM(AG96,AG117)</f>
        <v>33.67</v>
      </c>
      <c r="AH33" s="1139">
        <f>'IS (GAAP)'!AH33-SUM(AH96,AH117)</f>
        <v>32.173000000000002</v>
      </c>
      <c r="AI33" s="1139">
        <f>'IS (GAAP)'!AI33-SUM(AI96,AI117)</f>
        <v>32.865000000000002</v>
      </c>
      <c r="AJ33" s="1139">
        <f>'IS (GAAP)'!AJ33-SUM(AJ96,AJ117)</f>
        <v>33.984999999999999</v>
      </c>
      <c r="AK33" s="1140">
        <f>SUM(AG33:AJ33)</f>
        <v>132.69299999999998</v>
      </c>
      <c r="AL33" s="1139">
        <f>'IS (GAAP)'!AL33-SUM(AL96,AL117)</f>
        <v>37.317999999999998</v>
      </c>
      <c r="AM33" s="1139">
        <f>'IS (GAAP)'!AM33-SUM(AM96,AM117)</f>
        <v>37.145000000000003</v>
      </c>
      <c r="AN33" s="1141">
        <f>'IS (GAAP)'!AN33-SUM(AN96,AN117)</f>
        <v>41.542000000000002</v>
      </c>
      <c r="AO33" s="1139">
        <f>'IS (GAAP)'!AO33-SUM(AO96,AO117)</f>
        <v>42.561</v>
      </c>
      <c r="AP33" s="1140">
        <f>SUM(AL33:AO33)</f>
        <v>158.566</v>
      </c>
      <c r="AQ33" s="1139">
        <f>'IS (GAAP)'!AQ33-SUM(AQ96,AQ117)</f>
        <v>47.260999999999996</v>
      </c>
      <c r="AR33" s="1141">
        <f>'IS (GAAP)'!AR33-SUM(AR96,AR117)</f>
        <v>52.816999999999993</v>
      </c>
      <c r="AS33" s="1141">
        <f>'IS (GAAP)'!AS33-SUM(AS96,AS117)</f>
        <v>53.369</v>
      </c>
      <c r="AT33" s="1139">
        <f>AT19*(1-AT36)</f>
        <v>48.920979818271839</v>
      </c>
      <c r="AU33" s="1140">
        <f>SUM(AQ33:AT33)</f>
        <v>202.36797981827183</v>
      </c>
      <c r="AV33" s="1139">
        <f>AV19*(1-AV36)</f>
        <v>49.830097950000003</v>
      </c>
      <c r="AW33" s="1139">
        <f>AW19*(1-AW36)</f>
        <v>59.972049349999999</v>
      </c>
      <c r="AX33" s="1139">
        <f>AX19*(1-AX36)</f>
        <v>60.037005399999998</v>
      </c>
      <c r="AY33" s="1139">
        <f>AY19*(1-AY36)</f>
        <v>55.033242697499993</v>
      </c>
      <c r="AZ33" s="1140">
        <f>SUM(AV33:AY33)</f>
        <v>224.87239539749999</v>
      </c>
      <c r="BA33" s="1139">
        <f>BA19*(1-BA36)</f>
        <v>56.308010683500001</v>
      </c>
      <c r="BB33" s="1139">
        <f>BB19*(1-BB36)</f>
        <v>67.768415765499981</v>
      </c>
      <c r="BC33" s="1139">
        <f>BC19*(1-BC36)</f>
        <v>67.841816101999996</v>
      </c>
      <c r="BD33" s="1139">
        <f>BD19*(1-BD36)</f>
        <v>62.187564248174994</v>
      </c>
      <c r="BE33" s="1140">
        <f>SUM(BA33:BD33)</f>
        <v>254.10580679917499</v>
      </c>
      <c r="BF33" s="1139">
        <f>BF19*(1-BF36)</f>
        <v>63.346512018937496</v>
      </c>
      <c r="BG33" s="1139">
        <f>BG19*(1-BG36)</f>
        <v>76.239467736187478</v>
      </c>
      <c r="BH33" s="1139">
        <f>BH19*(1-BH36)</f>
        <v>76.322043114750002</v>
      </c>
      <c r="BI33" s="1139">
        <f>BI19*(1-BI36)</f>
        <v>69.961009779196871</v>
      </c>
      <c r="BJ33" s="1140">
        <f>SUM(BF33:BI33)</f>
        <v>285.86903264907187</v>
      </c>
      <c r="BK33" s="1139">
        <f>BK19*(1-BK36)</f>
        <v>71.264826021304685</v>
      </c>
      <c r="BL33" s="1139">
        <f>BL19*(1-BL36)</f>
        <v>85.769401203210919</v>
      </c>
      <c r="BM33" s="1139">
        <f>BM19*(1-BM36)</f>
        <v>85.862298504093744</v>
      </c>
      <c r="BN33" s="1139">
        <f>BN19*(1-BN36)</f>
        <v>78.706136001596477</v>
      </c>
      <c r="BO33" s="1140">
        <f>SUM(BK33:BN33)</f>
        <v>321.6026617302058</v>
      </c>
    </row>
    <row r="34" spans="1:67" s="674" customFormat="1">
      <c r="A34" s="664" t="s">
        <v>81</v>
      </c>
      <c r="B34" s="1079" t="s">
        <v>204</v>
      </c>
      <c r="C34" s="673" t="s">
        <v>36</v>
      </c>
      <c r="D34" s="674" t="s">
        <v>36</v>
      </c>
      <c r="E34" s="674" t="s">
        <v>36</v>
      </c>
      <c r="F34" s="674" t="s">
        <v>36</v>
      </c>
      <c r="G34" s="675" t="s">
        <v>36</v>
      </c>
      <c r="H34" s="673" t="str">
        <f t="shared" ref="H34:AF34" si="35">IFERROR(H33/C33-1,"--")</f>
        <v>--</v>
      </c>
      <c r="I34" s="674" t="str">
        <f t="shared" si="35"/>
        <v>--</v>
      </c>
      <c r="J34" s="674" t="str">
        <f t="shared" si="35"/>
        <v>--</v>
      </c>
      <c r="K34" s="674" t="str">
        <f t="shared" si="35"/>
        <v>--</v>
      </c>
      <c r="L34" s="675" t="str">
        <f t="shared" si="35"/>
        <v>--</v>
      </c>
      <c r="M34" s="673">
        <f t="shared" si="35"/>
        <v>7.9089068825910935</v>
      </c>
      <c r="N34" s="674">
        <f t="shared" si="35"/>
        <v>2.2454068241469805</v>
      </c>
      <c r="O34" s="674">
        <f t="shared" si="35"/>
        <v>0.80506895266492751</v>
      </c>
      <c r="P34" s="674">
        <f t="shared" si="35"/>
        <v>8.6422087745839482E-2</v>
      </c>
      <c r="Q34" s="675">
        <f t="shared" si="35"/>
        <v>0.99569526479127046</v>
      </c>
      <c r="R34" s="673">
        <f t="shared" si="35"/>
        <v>0.59600090888434476</v>
      </c>
      <c r="S34" s="674">
        <f t="shared" si="35"/>
        <v>0.56287909421754945</v>
      </c>
      <c r="T34" s="674">
        <f t="shared" si="35"/>
        <v>0.78856080941565132</v>
      </c>
      <c r="U34" s="674">
        <f t="shared" si="35"/>
        <v>0.81583986074847781</v>
      </c>
      <c r="V34" s="675">
        <f t="shared" si="35"/>
        <v>0.69791823426134969</v>
      </c>
      <c r="W34" s="673">
        <f t="shared" si="35"/>
        <v>0.86645785876993098</v>
      </c>
      <c r="X34" s="674">
        <f t="shared" si="35"/>
        <v>0.96584734799482619</v>
      </c>
      <c r="Y34" s="674">
        <f t="shared" si="35"/>
        <v>1.1456938351419996</v>
      </c>
      <c r="Z34" s="674">
        <f t="shared" si="35"/>
        <v>1.0373849693251533</v>
      </c>
      <c r="AA34" s="675">
        <f t="shared" si="35"/>
        <v>1.0132947293783978</v>
      </c>
      <c r="AB34" s="673">
        <f t="shared" si="35"/>
        <v>0.88939740655987798</v>
      </c>
      <c r="AC34" s="674">
        <f t="shared" si="35"/>
        <v>0.91195051329297172</v>
      </c>
      <c r="AD34" s="674">
        <f t="shared" si="35"/>
        <v>0.67002044549661055</v>
      </c>
      <c r="AE34" s="674">
        <f t="shared" si="35"/>
        <v>0.54352121953514621</v>
      </c>
      <c r="AF34" s="675">
        <f t="shared" si="35"/>
        <v>0.72671910310216292</v>
      </c>
      <c r="AG34" s="673">
        <f t="shared" ref="AG34:AU34" si="36">IFERROR(AG33/AB33-1,"--")</f>
        <v>0.35930561162696839</v>
      </c>
      <c r="AH34" s="674">
        <f t="shared" si="36"/>
        <v>0.10735182763130724</v>
      </c>
      <c r="AI34" s="674">
        <f t="shared" si="36"/>
        <v>5.8829214858726164E-2</v>
      </c>
      <c r="AJ34" s="674">
        <f t="shared" si="36"/>
        <v>3.5938547826617206E-2</v>
      </c>
      <c r="AK34" s="675">
        <f t="shared" si="36"/>
        <v>0.127680187645004</v>
      </c>
      <c r="AL34" s="673">
        <f t="shared" si="36"/>
        <v>0.10834570834570822</v>
      </c>
      <c r="AM34" s="674">
        <f t="shared" si="36"/>
        <v>0.15453952071612842</v>
      </c>
      <c r="AN34" s="1183">
        <f>IFERROR(AN33/AI33-1,"--")</f>
        <v>0.26401947360413813</v>
      </c>
      <c r="AO34" s="674">
        <f>IFERROR(AO33/AJ33-1,"--")</f>
        <v>0.25234662351037218</v>
      </c>
      <c r="AP34" s="675">
        <f t="shared" si="36"/>
        <v>0.1949839102288744</v>
      </c>
      <c r="AQ34" s="673">
        <f t="shared" si="36"/>
        <v>0.2664397877699769</v>
      </c>
      <c r="AR34" s="1183">
        <f t="shared" si="36"/>
        <v>0.42191412033921094</v>
      </c>
      <c r="AS34" s="1183">
        <f>IFERROR(AS33/AN33-1,"--")</f>
        <v>0.28469982186702603</v>
      </c>
      <c r="AT34" s="674">
        <f t="shared" si="36"/>
        <v>0.14943210493813197</v>
      </c>
      <c r="AU34" s="675">
        <f t="shared" si="36"/>
        <v>0.27623815835848697</v>
      </c>
      <c r="AV34" s="673">
        <f t="shared" ref="AV34:BJ34" si="37">IFERROR(AV33/AQ33-1,"--")</f>
        <v>5.4359788197456904E-2</v>
      </c>
      <c r="AW34" s="674">
        <f t="shared" si="37"/>
        <v>0.13546868148512803</v>
      </c>
      <c r="AX34" s="674">
        <f t="shared" si="37"/>
        <v>0.12494154659071732</v>
      </c>
      <c r="AY34" s="674">
        <f t="shared" si="37"/>
        <v>0.12494154659071732</v>
      </c>
      <c r="AZ34" s="675">
        <f t="shared" si="37"/>
        <v>0.1112054169806771</v>
      </c>
      <c r="BA34" s="673">
        <f t="shared" si="37"/>
        <v>0.12999999999999989</v>
      </c>
      <c r="BB34" s="674">
        <f t="shared" si="37"/>
        <v>0.12999999999999967</v>
      </c>
      <c r="BC34" s="674">
        <f t="shared" si="37"/>
        <v>0.12999999999999989</v>
      </c>
      <c r="BD34" s="674">
        <f t="shared" si="37"/>
        <v>0.13000000000000012</v>
      </c>
      <c r="BE34" s="675">
        <f t="shared" si="37"/>
        <v>0.13000000000000012</v>
      </c>
      <c r="BF34" s="673">
        <f t="shared" si="37"/>
        <v>0.125</v>
      </c>
      <c r="BG34" s="674">
        <f t="shared" si="37"/>
        <v>0.125</v>
      </c>
      <c r="BH34" s="674">
        <f t="shared" si="37"/>
        <v>0.125</v>
      </c>
      <c r="BI34" s="674">
        <f t="shared" si="37"/>
        <v>0.125</v>
      </c>
      <c r="BJ34" s="675">
        <f t="shared" si="37"/>
        <v>0.125</v>
      </c>
      <c r="BK34" s="673">
        <f>IFERROR(BK33/BF33-1,"--")</f>
        <v>0.125</v>
      </c>
      <c r="BL34" s="674">
        <f>IFERROR(BL33/BG33-1,"--")</f>
        <v>0.125</v>
      </c>
      <c r="BM34" s="674">
        <f>IFERROR(BM33/BH33-1,"--")</f>
        <v>0.12499999999999978</v>
      </c>
      <c r="BN34" s="674">
        <f>IFERROR(BN33/BI33-1,"--")</f>
        <v>0.125</v>
      </c>
      <c r="BO34" s="675">
        <f>IFERROR(BO33/BJ33-1,"--")</f>
        <v>0.12499999999999978</v>
      </c>
    </row>
    <row r="35" spans="1:67" s="677" customFormat="1">
      <c r="A35" s="664" t="s">
        <v>87</v>
      </c>
      <c r="B35" s="1079" t="s">
        <v>205</v>
      </c>
      <c r="C35" s="673" t="s">
        <v>36</v>
      </c>
      <c r="D35" s="674" t="str">
        <f>IFERROR(D33/C33-1,"--")</f>
        <v>--</v>
      </c>
      <c r="E35" s="674" t="str">
        <f>IFERROR(E33/D33-1,"--")</f>
        <v>--</v>
      </c>
      <c r="F35" s="674" t="str">
        <f>IFERROR(F33/E33-1,"--")</f>
        <v>--</v>
      </c>
      <c r="G35" s="676"/>
      <c r="H35" s="673" t="str">
        <f>IFERROR(H33/F33-1,"--")</f>
        <v>--</v>
      </c>
      <c r="I35" s="674">
        <f>IFERROR(I33/H33-1,"--")</f>
        <v>2.0850202429149798</v>
      </c>
      <c r="J35" s="674">
        <f>IFERROR(J33/I33-1,"--")</f>
        <v>0.76049868766404183</v>
      </c>
      <c r="K35" s="674">
        <f>IFERROR(K33/J33-1,"--")</f>
        <v>0.97092806559821043</v>
      </c>
      <c r="L35" s="676"/>
      <c r="M35" s="673">
        <f>IFERROR(M33/K33-1,"--")</f>
        <v>-0.16773827534039309</v>
      </c>
      <c r="N35" s="674">
        <f>IFERROR(N33/M33-1,"--")</f>
        <v>0.12383549193365107</v>
      </c>
      <c r="O35" s="674">
        <f>IFERROR(O33/N33-1,"--")</f>
        <v>-2.0824909017387427E-2</v>
      </c>
      <c r="P35" s="674">
        <f>IFERROR(P33/O33-1,"--")</f>
        <v>0.18624819326863462</v>
      </c>
      <c r="Q35" s="676"/>
      <c r="R35" s="673">
        <f>IFERROR(R33/P33-1,"--")</f>
        <v>0.22262837249782486</v>
      </c>
      <c r="S35" s="674">
        <f>IFERROR(S33/R33-1,"--")</f>
        <v>0.10051252847380354</v>
      </c>
      <c r="T35" s="674">
        <f>IFERROR(T33/S33-1,"--")</f>
        <v>0.12056921086675332</v>
      </c>
      <c r="U35" s="674">
        <f>IFERROR(U33/T33-1,"--")</f>
        <v>0.2043407988917112</v>
      </c>
      <c r="V35" s="676"/>
      <c r="W35" s="673">
        <f>IFERROR(W33/U33-1,"--")</f>
        <v>0.2567101226993862</v>
      </c>
      <c r="X35" s="674">
        <f>IFERROR(X33/W33-1,"--")</f>
        <v>0.1591151792524792</v>
      </c>
      <c r="Y35" s="674">
        <f>IFERROR(Y33/X33-1,"--")</f>
        <v>0.22308502237430905</v>
      </c>
      <c r="Z35" s="674">
        <f>IFERROR(Z33/Y33-1,"--")</f>
        <v>0.14354890778004958</v>
      </c>
      <c r="AA35" s="676"/>
      <c r="AB35" s="673">
        <f>IFERROR(AB33/Z33-1,"--")</f>
        <v>0.16542768420062082</v>
      </c>
      <c r="AC35" s="674">
        <f>IFERROR(AC33/AB33-1,"--")</f>
        <v>0.17295115058538557</v>
      </c>
      <c r="AD35" s="674">
        <f>IFERROR(AD33/AC33-1,"--")</f>
        <v>6.8321057341502067E-2</v>
      </c>
      <c r="AE35" s="674">
        <f>IFERROR(AE33/AD33-1,"--")</f>
        <v>5.6928380424627001E-2</v>
      </c>
      <c r="AF35" s="676"/>
      <c r="AG35" s="673">
        <f>IFERROR(AG33/AE33-1,"--")</f>
        <v>2.633664573553629E-2</v>
      </c>
      <c r="AH35" s="674">
        <f>IFERROR(AH33/AG33-1,"--")</f>
        <v>-4.4460944460944507E-2</v>
      </c>
      <c r="AI35" s="674">
        <f>IFERROR(AI33/AH33-1,"--")</f>
        <v>2.1508718490659939E-2</v>
      </c>
      <c r="AJ35" s="674">
        <f>IFERROR(AJ33/AI33-1,"--")</f>
        <v>3.4078807241746389E-2</v>
      </c>
      <c r="AK35" s="676"/>
      <c r="AL35" s="673">
        <f>IFERROR(AL33/AJ33-1,"--")</f>
        <v>9.8072679123142548E-2</v>
      </c>
      <c r="AM35" s="674">
        <f>IFERROR(AM33/AL33-1,"--")</f>
        <v>-4.6358325740928352E-3</v>
      </c>
      <c r="AN35" s="1183">
        <f>IFERROR(AN33/AM33-1,"--")</f>
        <v>0.1183739399650019</v>
      </c>
      <c r="AO35" s="674">
        <f>IFERROR(AO33/AN33-1,"--")</f>
        <v>2.4529391940686596E-2</v>
      </c>
      <c r="AP35" s="676"/>
      <c r="AQ35" s="673">
        <f>IFERROR(AQ33/AO33-1,"--")</f>
        <v>0.11042973614341767</v>
      </c>
      <c r="AR35" s="1183">
        <f>IFERROR(AR33/AQ33-1,"--")</f>
        <v>0.11755993313725899</v>
      </c>
      <c r="AS35" s="1183">
        <f>IFERROR(AS33/AR33-1,"--")</f>
        <v>1.0451180491129808E-2</v>
      </c>
      <c r="AT35" s="674">
        <f>IFERROR(AT33/AS33-1,"--")</f>
        <v>-8.3344641678280706E-2</v>
      </c>
      <c r="AU35" s="676"/>
      <c r="AV35" s="673">
        <f>IFERROR(AV33/AT33-1,"--")</f>
        <v>1.8583399905424791E-2</v>
      </c>
      <c r="AW35" s="674">
        <f>IFERROR(AW33/AV33-1,"--")</f>
        <v>0.20353063343717537</v>
      </c>
      <c r="AX35" s="674">
        <f>IFERROR(AX33/AW33-1,"--")</f>
        <v>1.0831053916620093E-3</v>
      </c>
      <c r="AY35" s="674">
        <f>IFERROR(AY33/AX33-1,"--")</f>
        <v>-8.3344641678280706E-2</v>
      </c>
      <c r="AZ35" s="676"/>
      <c r="BA35" s="673">
        <f>IFERROR(BA33/AY33-1,"--")</f>
        <v>2.3163599372237442E-2</v>
      </c>
      <c r="BB35" s="674">
        <f>IFERROR(BB33/BA33-1,"--")</f>
        <v>0.20353063343717515</v>
      </c>
      <c r="BC35" s="674">
        <f>IFERROR(BC33/BB33-1,"--")</f>
        <v>1.0831053916622313E-3</v>
      </c>
      <c r="BD35" s="674">
        <f>IFERROR(BD33/BC33-1,"--")</f>
        <v>-8.3344641678280706E-2</v>
      </c>
      <c r="BE35" s="676"/>
      <c r="BF35" s="673">
        <f>IFERROR(BF33/BD33-1,"--")</f>
        <v>1.8636326808643577E-2</v>
      </c>
      <c r="BG35" s="674">
        <f>IFERROR(BG33/BF33-1,"--")</f>
        <v>0.20353063343717515</v>
      </c>
      <c r="BH35" s="674">
        <f>IFERROR(BH33/BG33-1,"--")</f>
        <v>1.0831053916622313E-3</v>
      </c>
      <c r="BI35" s="674">
        <f>IFERROR(BI33/BH33-1,"--")</f>
        <v>-8.3344641678280706E-2</v>
      </c>
      <c r="BJ35" s="676"/>
      <c r="BK35" s="673">
        <f>IFERROR(BK33/BI33-1,"--")</f>
        <v>1.8636326808643355E-2</v>
      </c>
      <c r="BL35" s="674">
        <f>IFERROR(BL33/BK33-1,"--")</f>
        <v>0.20353063343717537</v>
      </c>
      <c r="BM35" s="674">
        <f>IFERROR(BM33/BL33-1,"--")</f>
        <v>1.0831053916620093E-3</v>
      </c>
      <c r="BN35" s="674">
        <f>IFERROR(BN33/BM33-1,"--")</f>
        <v>-8.3344641678280706E-2</v>
      </c>
      <c r="BO35" s="676"/>
    </row>
    <row r="36" spans="1:67" s="707" customFormat="1">
      <c r="A36" s="703"/>
      <c r="B36" s="1079" t="s">
        <v>373</v>
      </c>
      <c r="C36" s="704" t="str">
        <f t="shared" ref="C36:V36" si="38">IFERROR((C19-C33)/C19,"--")</f>
        <v>--</v>
      </c>
      <c r="D36" s="704" t="str">
        <f t="shared" si="38"/>
        <v>--</v>
      </c>
      <c r="E36" s="704" t="str">
        <f t="shared" si="38"/>
        <v>--</v>
      </c>
      <c r="F36" s="704" t="str">
        <f t="shared" si="38"/>
        <v>--</v>
      </c>
      <c r="G36" s="705" t="str">
        <f t="shared" si="38"/>
        <v>--</v>
      </c>
      <c r="H36" s="704">
        <f t="shared" si="38"/>
        <v>-1.2764976958525347</v>
      </c>
      <c r="I36" s="704">
        <f t="shared" si="38"/>
        <v>-5.6260869565217391</v>
      </c>
      <c r="J36" s="704">
        <f t="shared" si="38"/>
        <v>-11.031390134529147</v>
      </c>
      <c r="K36" s="704">
        <f t="shared" si="38"/>
        <v>-15.894568690095843</v>
      </c>
      <c r="L36" s="705">
        <f t="shared" si="38"/>
        <v>-9.1617497456764969</v>
      </c>
      <c r="M36" s="704">
        <f t="shared" si="38"/>
        <v>-3.6869009584664538</v>
      </c>
      <c r="N36" s="704">
        <f t="shared" si="38"/>
        <v>-0.96191987306624283</v>
      </c>
      <c r="O36" s="704">
        <f t="shared" si="38"/>
        <v>-0.27480916030534353</v>
      </c>
      <c r="P36" s="704">
        <f t="shared" si="38"/>
        <v>-9.2205323193915903E-2</v>
      </c>
      <c r="Q36" s="705">
        <f t="shared" si="38"/>
        <v>-0.59237958303378824</v>
      </c>
      <c r="R36" s="704">
        <f t="shared" si="38"/>
        <v>-3.7153472420692608E-3</v>
      </c>
      <c r="S36" s="704">
        <f t="shared" si="38"/>
        <v>2.5097742464371724E-2</v>
      </c>
      <c r="T36" s="704">
        <f t="shared" si="38"/>
        <v>0.22320868083579956</v>
      </c>
      <c r="U36" s="704">
        <f t="shared" si="38"/>
        <v>0.1433029481809969</v>
      </c>
      <c r="V36" s="705">
        <f t="shared" si="38"/>
        <v>0.1152006273689713</v>
      </c>
      <c r="W36" s="704">
        <f t="shared" ref="W36:AF36" si="39">IFERROR((W19-W33)/W19,"--")</f>
        <v>0.13086714399363578</v>
      </c>
      <c r="X36" s="704">
        <f t="shared" si="39"/>
        <v>0.13536273115220482</v>
      </c>
      <c r="Y36" s="704">
        <f t="shared" si="39"/>
        <v>0.1545284992949098</v>
      </c>
      <c r="Z36" s="704">
        <f t="shared" si="39"/>
        <v>0.12231582424843078</v>
      </c>
      <c r="AA36" s="705">
        <f t="shared" si="39"/>
        <v>0.13583910319815368</v>
      </c>
      <c r="AB36" s="704">
        <f t="shared" si="39"/>
        <v>0.11336220782474872</v>
      </c>
      <c r="AC36" s="704">
        <f t="shared" si="39"/>
        <v>6.2169141381536536E-2</v>
      </c>
      <c r="AD36" s="704">
        <f t="shared" si="39"/>
        <v>9.4439257789707132E-2</v>
      </c>
      <c r="AE36" s="704">
        <f t="shared" si="39"/>
        <v>2.6036873200130702E-2</v>
      </c>
      <c r="AF36" s="705">
        <f t="shared" si="39"/>
        <v>7.2566915728743089E-2</v>
      </c>
      <c r="AG36" s="704">
        <f t="shared" ref="AG36:AN36" si="40">IFERROR((AG19-AG33)/AG19,"--")</f>
        <v>-4.2652190771617108E-3</v>
      </c>
      <c r="AH36" s="704">
        <f t="shared" si="40"/>
        <v>4.8389482090567475E-2</v>
      </c>
      <c r="AI36" s="704">
        <f t="shared" si="40"/>
        <v>7.928281271886814E-2</v>
      </c>
      <c r="AJ36" s="704">
        <f t="shared" si="40"/>
        <v>7.1676363735693471E-2</v>
      </c>
      <c r="AK36" s="705">
        <f t="shared" si="40"/>
        <v>4.9749355485534448E-2</v>
      </c>
      <c r="AL36" s="704">
        <f t="shared" si="40"/>
        <v>4.611216195491033E-2</v>
      </c>
      <c r="AM36" s="704">
        <f t="shared" si="40"/>
        <v>6.135496424329713E-2</v>
      </c>
      <c r="AN36" s="1263">
        <f t="shared" si="40"/>
        <v>6.4574763225867223E-3</v>
      </c>
      <c r="AO36" s="704">
        <f>IFERROR((AO19-AO33)/AO19,"--")</f>
        <v>2.0843398440195983E-2</v>
      </c>
      <c r="AP36" s="705">
        <f>IFERROR((AP19-AP33)/AP19,"--")</f>
        <v>3.2980838425603981E-2</v>
      </c>
      <c r="AQ36" s="704">
        <f t="shared" ref="AQ36:AS36" si="41">IFERROR((AQ19-AQ33)/AQ19,"--")</f>
        <v>-4.4188153156138679E-2</v>
      </c>
      <c r="AR36" s="1263">
        <f t="shared" si="41"/>
        <v>3.0400381840544968E-2</v>
      </c>
      <c r="AS36" s="1263">
        <f t="shared" si="41"/>
        <v>2.1326927308736095E-2</v>
      </c>
      <c r="AT36" s="706">
        <f>AS36</f>
        <v>2.1326927308736095E-2</v>
      </c>
      <c r="AU36" s="705">
        <f>IFERROR((AU19-AU33)/AU19,"--")</f>
        <v>9.2290919608211258E-3</v>
      </c>
      <c r="AV36" s="706">
        <v>0.03</v>
      </c>
      <c r="AW36" s="706">
        <f>AV36</f>
        <v>0.03</v>
      </c>
      <c r="AX36" s="706">
        <f>AW36</f>
        <v>0.03</v>
      </c>
      <c r="AY36" s="706">
        <f>AX36</f>
        <v>0.03</v>
      </c>
      <c r="AZ36" s="705">
        <f>IFERROR((AZ19-AZ33)/AZ19,"--")</f>
        <v>3.0000000000000075E-2</v>
      </c>
      <c r="BA36" s="706">
        <v>0.03</v>
      </c>
      <c r="BB36" s="706">
        <f>BA36</f>
        <v>0.03</v>
      </c>
      <c r="BC36" s="706">
        <f>BB36</f>
        <v>0.03</v>
      </c>
      <c r="BD36" s="706">
        <f>BC36</f>
        <v>0.03</v>
      </c>
      <c r="BE36" s="705">
        <f>IFERROR((BE19-BE33)/BE19,"--")</f>
        <v>3.0000000000000075E-2</v>
      </c>
      <c r="BF36" s="706">
        <v>0.03</v>
      </c>
      <c r="BG36" s="706">
        <f>BF36</f>
        <v>0.03</v>
      </c>
      <c r="BH36" s="706">
        <f>BG36</f>
        <v>0.03</v>
      </c>
      <c r="BI36" s="706">
        <f>BH36</f>
        <v>0.03</v>
      </c>
      <c r="BJ36" s="705">
        <f>IFERROR((BJ19-BJ33)/BJ19,"--")</f>
        <v>2.9999999999999756E-2</v>
      </c>
      <c r="BK36" s="706">
        <v>0.03</v>
      </c>
      <c r="BL36" s="706">
        <f>BK36</f>
        <v>0.03</v>
      </c>
      <c r="BM36" s="706">
        <f>BL36</f>
        <v>0.03</v>
      </c>
      <c r="BN36" s="706">
        <f>BM36</f>
        <v>0.03</v>
      </c>
      <c r="BO36" s="705">
        <f>IFERROR((BO19-BO33)/BO19,"--")</f>
        <v>3.0000000000000221E-2</v>
      </c>
    </row>
    <row r="37" spans="1:67">
      <c r="C37" s="383"/>
      <c r="D37" s="384"/>
      <c r="E37" s="384"/>
      <c r="F37" s="384"/>
      <c r="G37" s="414"/>
      <c r="H37" s="383"/>
      <c r="I37" s="384"/>
      <c r="J37" s="384"/>
      <c r="K37" s="384"/>
      <c r="L37" s="414"/>
      <c r="M37" s="383"/>
      <c r="N37" s="384"/>
      <c r="O37" s="384"/>
      <c r="P37" s="384"/>
      <c r="Q37" s="414"/>
      <c r="R37" s="383"/>
      <c r="S37" s="384"/>
      <c r="T37" s="384"/>
      <c r="U37" s="384"/>
      <c r="V37" s="414"/>
      <c r="W37" s="383"/>
      <c r="X37" s="384"/>
      <c r="Y37" s="384"/>
      <c r="Z37" s="384"/>
      <c r="AA37" s="414"/>
      <c r="AB37" s="383"/>
      <c r="AC37" s="384"/>
      <c r="AD37" s="384"/>
      <c r="AE37" s="384"/>
      <c r="AF37" s="414"/>
      <c r="AG37" s="383"/>
      <c r="AH37" s="384"/>
      <c r="AI37" s="384"/>
      <c r="AJ37" s="384"/>
      <c r="AK37" s="414"/>
      <c r="AL37" s="383"/>
      <c r="AM37" s="384"/>
      <c r="AN37" s="1116"/>
      <c r="AO37" s="384"/>
      <c r="AP37" s="414"/>
      <c r="AQ37" s="383"/>
      <c r="AR37" s="1116"/>
      <c r="AS37" s="1116"/>
      <c r="AT37" s="384"/>
      <c r="AU37" s="414"/>
      <c r="AV37" s="383"/>
      <c r="AW37" s="384"/>
      <c r="AX37" s="384"/>
      <c r="AY37" s="384"/>
      <c r="AZ37" s="414"/>
      <c r="BA37" s="383"/>
      <c r="BB37" s="384"/>
      <c r="BC37" s="384"/>
      <c r="BD37" s="384"/>
      <c r="BE37" s="414"/>
      <c r="BF37" s="383"/>
      <c r="BG37" s="384"/>
      <c r="BH37" s="384"/>
      <c r="BI37" s="384"/>
      <c r="BJ37" s="414"/>
      <c r="BK37" s="383"/>
      <c r="BL37" s="384"/>
      <c r="BM37" s="384"/>
      <c r="BN37" s="384"/>
      <c r="BO37" s="414"/>
    </row>
    <row r="38" spans="1:67" s="1144" customFormat="1">
      <c r="A38" s="1036" t="s">
        <v>60</v>
      </c>
      <c r="B38" s="1158" t="s">
        <v>346</v>
      </c>
      <c r="C38" s="1139">
        <f>C10-C24</f>
        <v>0</v>
      </c>
      <c r="D38" s="1139">
        <f>D10-D24</f>
        <v>0</v>
      </c>
      <c r="E38" s="1139">
        <f>E10-E24</f>
        <v>0</v>
      </c>
      <c r="F38" s="1139">
        <f>F10-F24</f>
        <v>0</v>
      </c>
      <c r="G38" s="1146">
        <f>SUM(C38:F38)</f>
        <v>0</v>
      </c>
      <c r="H38" s="1139">
        <f>H10-H24</f>
        <v>6.0380000000000003</v>
      </c>
      <c r="I38" s="1139">
        <f>I10-I24</f>
        <v>8.2729999999999997</v>
      </c>
      <c r="J38" s="1139">
        <f>J10-J24</f>
        <v>14.967000000000001</v>
      </c>
      <c r="K38" s="1139">
        <f>K10-K24</f>
        <v>16.993000000000006</v>
      </c>
      <c r="L38" s="1140">
        <f>SUM(H38:K38)</f>
        <v>46.271000000000001</v>
      </c>
      <c r="M38" s="1139">
        <f>M10-M24</f>
        <v>20.114999999999998</v>
      </c>
      <c r="N38" s="1139">
        <f>N10-N24</f>
        <v>32.731999999999999</v>
      </c>
      <c r="O38" s="1139">
        <f>O10-O24</f>
        <v>44.189</v>
      </c>
      <c r="P38" s="1139">
        <f>P10-P24</f>
        <v>53.923000000000009</v>
      </c>
      <c r="Q38" s="1140">
        <f>SUM(M38:P38)</f>
        <v>150.959</v>
      </c>
      <c r="R38" s="1139">
        <f>R10-R24</f>
        <v>67.155000000000001</v>
      </c>
      <c r="S38" s="1139">
        <f>S10-S24</f>
        <v>83.592999999999989</v>
      </c>
      <c r="T38" s="1139">
        <f>T10-T24</f>
        <v>107.03800000000003</v>
      </c>
      <c r="U38" s="1139">
        <f>U10-U24</f>
        <v>127</v>
      </c>
      <c r="V38" s="1140">
        <f>SUM(R38:U38)</f>
        <v>384.786</v>
      </c>
      <c r="W38" s="1139">
        <f>W10-W24</f>
        <v>156.459</v>
      </c>
      <c r="X38" s="1139">
        <f>X10-X24</f>
        <v>189.74599999999998</v>
      </c>
      <c r="Y38" s="1139">
        <f>Y10-Y24</f>
        <v>236.54900000000004</v>
      </c>
      <c r="Z38" s="1139">
        <f>Z10-Z24</f>
        <v>272.58100000000002</v>
      </c>
      <c r="AA38" s="1140">
        <f>SUM(W38:Z38)</f>
        <v>855.33500000000004</v>
      </c>
      <c r="AB38" s="1139">
        <f>AB10-AB24</f>
        <v>299.89800000000002</v>
      </c>
      <c r="AC38" s="1139">
        <f>AC10-AC24</f>
        <v>352.27600000000001</v>
      </c>
      <c r="AD38" s="1139">
        <f>AD10-AD24</f>
        <v>397.14299999999992</v>
      </c>
      <c r="AE38" s="1139">
        <f>AE10-AE24</f>
        <v>417.27199999999993</v>
      </c>
      <c r="AF38" s="1140">
        <f>SUM(AB38:AE38)</f>
        <v>1466.5889999999999</v>
      </c>
      <c r="AG38" s="1139">
        <f>AG10-AG24</f>
        <v>453.93200000000007</v>
      </c>
      <c r="AH38" s="1139">
        <f>AH10-AH24</f>
        <v>500.41399999999993</v>
      </c>
      <c r="AI38" s="1139">
        <f>AI10-AI24</f>
        <v>549.92700000000002</v>
      </c>
      <c r="AJ38" s="1139">
        <f>AJ10-AJ24</f>
        <v>578.62599999999998</v>
      </c>
      <c r="AK38" s="1140">
        <f>SUM(AG38:AJ38)</f>
        <v>2082.8990000000003</v>
      </c>
      <c r="AL38" s="1139">
        <f>AL10-AL24</f>
        <v>609.11599999999999</v>
      </c>
      <c r="AM38" s="1139">
        <f>AM10-AM24</f>
        <v>636.21</v>
      </c>
      <c r="AN38" s="1141">
        <f>AN10-AN24</f>
        <v>687.173</v>
      </c>
      <c r="AO38" s="1139">
        <f>AO10-AO24</f>
        <v>716.21199999999999</v>
      </c>
      <c r="AP38" s="1140">
        <f>SUM(AL38:AO38)</f>
        <v>2648.7110000000002</v>
      </c>
      <c r="AQ38" s="1139">
        <f>AQ10-AQ24</f>
        <v>752.12400000000002</v>
      </c>
      <c r="AR38" s="1141">
        <f>AR10-AR24</f>
        <v>835.28700000000003</v>
      </c>
      <c r="AS38" s="1141">
        <f>AS10-AS24</f>
        <v>880.32799999999986</v>
      </c>
      <c r="AT38" s="1139">
        <f>AT10-AT24</f>
        <v>888.18991462247141</v>
      </c>
      <c r="AU38" s="1140">
        <f>SUM(AQ38:AT38)</f>
        <v>3355.9289146224714</v>
      </c>
      <c r="AV38" s="1139">
        <f>AV10-AV24</f>
        <v>959.16995231656597</v>
      </c>
      <c r="AW38" s="1139">
        <f>AW10-AW24</f>
        <v>1039.6997684258884</v>
      </c>
      <c r="AX38" s="1139">
        <f>AX10-AX24</f>
        <v>1098.6833816418748</v>
      </c>
      <c r="AY38" s="1139">
        <f>AY10-AY24</f>
        <v>1109.8772566446273</v>
      </c>
      <c r="AZ38" s="1140">
        <f>SUM(AV38:AY38)</f>
        <v>4207.4303590289564</v>
      </c>
      <c r="BA38" s="1139">
        <f>BA10-BA24</f>
        <v>1198.2698390057628</v>
      </c>
      <c r="BB38" s="1139">
        <f>BB10-BB24</f>
        <v>1303.2022252854031</v>
      </c>
      <c r="BC38" s="1139">
        <f>BC10-BC24</f>
        <v>1380.7464081749479</v>
      </c>
      <c r="BD38" s="1139">
        <f>BD10-BD24</f>
        <v>1379.8905760987641</v>
      </c>
      <c r="BE38" s="1140">
        <f>SUM(BA38:BD38)</f>
        <v>5262.1090485648783</v>
      </c>
      <c r="BF38" s="1139">
        <f>BF10-BF24</f>
        <v>1477.4671512182417</v>
      </c>
      <c r="BG38" s="1139">
        <f>BG10-BG24</f>
        <v>1603.4855712551707</v>
      </c>
      <c r="BH38" s="1139">
        <f>BH10-BH24</f>
        <v>1730.0273449087872</v>
      </c>
      <c r="BI38" s="1139">
        <f>BI10-BI24</f>
        <v>1736.2636529493366</v>
      </c>
      <c r="BJ38" s="1140">
        <f>SUM(BF38:BI38)</f>
        <v>6547.2437203315358</v>
      </c>
      <c r="BK38" s="1139">
        <f>BK10-BK24</f>
        <v>1848.6722929919006</v>
      </c>
      <c r="BL38" s="1139">
        <f>BL10-BL24</f>
        <v>1980.8464816471392</v>
      </c>
      <c r="BM38" s="1139">
        <f>BM10-BM24</f>
        <v>2151.5978455765076</v>
      </c>
      <c r="BN38" s="1139">
        <f>BN10-BN24</f>
        <v>2135.9385303375188</v>
      </c>
      <c r="BO38" s="1140">
        <f>SUM(BK38:BN38)</f>
        <v>8117.0551505530657</v>
      </c>
    </row>
    <row r="39" spans="1:67" s="533" customFormat="1">
      <c r="A39" s="575"/>
      <c r="B39" s="1079" t="s">
        <v>204</v>
      </c>
      <c r="C39" s="667" t="s">
        <v>36</v>
      </c>
      <c r="D39" s="668" t="s">
        <v>36</v>
      </c>
      <c r="E39" s="668" t="s">
        <v>36</v>
      </c>
      <c r="F39" s="668" t="s">
        <v>36</v>
      </c>
      <c r="G39" s="669" t="s">
        <v>36</v>
      </c>
      <c r="H39" s="667" t="str">
        <f t="shared" ref="H39:AM39" si="42">IFERROR(H38/C38-1,"--")</f>
        <v>--</v>
      </c>
      <c r="I39" s="668" t="str">
        <f t="shared" si="42"/>
        <v>--</v>
      </c>
      <c r="J39" s="668" t="str">
        <f t="shared" si="42"/>
        <v>--</v>
      </c>
      <c r="K39" s="668" t="str">
        <f t="shared" si="42"/>
        <v>--</v>
      </c>
      <c r="L39" s="669" t="str">
        <f t="shared" si="42"/>
        <v>--</v>
      </c>
      <c r="M39" s="667">
        <f t="shared" si="42"/>
        <v>2.3314011262007281</v>
      </c>
      <c r="N39" s="668">
        <f t="shared" si="42"/>
        <v>2.95648495104557</v>
      </c>
      <c r="O39" s="668">
        <f t="shared" si="42"/>
        <v>1.9524286764214605</v>
      </c>
      <c r="P39" s="668">
        <f t="shared" si="42"/>
        <v>2.1732478079209079</v>
      </c>
      <c r="Q39" s="669">
        <f t="shared" si="42"/>
        <v>2.2624970283763046</v>
      </c>
      <c r="R39" s="667">
        <f t="shared" si="42"/>
        <v>2.3385533184190908</v>
      </c>
      <c r="S39" s="668">
        <f t="shared" si="42"/>
        <v>1.5538616644262491</v>
      </c>
      <c r="T39" s="668">
        <f t="shared" si="42"/>
        <v>1.4222770372717197</v>
      </c>
      <c r="U39" s="668">
        <f t="shared" si="42"/>
        <v>1.3552102071472283</v>
      </c>
      <c r="V39" s="669">
        <f t="shared" si="42"/>
        <v>1.54894375293954</v>
      </c>
      <c r="W39" s="667">
        <f t="shared" si="42"/>
        <v>1.3298190752736208</v>
      </c>
      <c r="X39" s="668">
        <f t="shared" si="42"/>
        <v>1.2698790568588278</v>
      </c>
      <c r="Y39" s="668">
        <f t="shared" si="42"/>
        <v>1.2099534744670115</v>
      </c>
      <c r="Z39" s="668">
        <f t="shared" si="42"/>
        <v>1.1463070866141734</v>
      </c>
      <c r="AA39" s="669">
        <f t="shared" si="42"/>
        <v>1.2228849282458301</v>
      </c>
      <c r="AB39" s="667">
        <f t="shared" si="42"/>
        <v>0.91678331064368312</v>
      </c>
      <c r="AC39" s="668">
        <f t="shared" si="42"/>
        <v>0.8565661463219254</v>
      </c>
      <c r="AD39" s="668">
        <f t="shared" si="42"/>
        <v>0.67890373664652937</v>
      </c>
      <c r="AE39" s="668">
        <f t="shared" si="42"/>
        <v>0.5308183622482856</v>
      </c>
      <c r="AF39" s="669">
        <f t="shared" si="42"/>
        <v>0.7146369551111551</v>
      </c>
      <c r="AG39" s="667">
        <f t="shared" si="42"/>
        <v>0.51362129790795552</v>
      </c>
      <c r="AH39" s="668">
        <f t="shared" si="42"/>
        <v>0.42051686745619898</v>
      </c>
      <c r="AI39" s="668">
        <f t="shared" si="42"/>
        <v>0.38470777528497324</v>
      </c>
      <c r="AJ39" s="668">
        <f t="shared" si="42"/>
        <v>0.38668781993519841</v>
      </c>
      <c r="AK39" s="669">
        <f t="shared" si="42"/>
        <v>0.42023361691653238</v>
      </c>
      <c r="AL39" s="667">
        <f t="shared" si="42"/>
        <v>0.34186618260003687</v>
      </c>
      <c r="AM39" s="668">
        <f t="shared" si="42"/>
        <v>0.27136730786908458</v>
      </c>
      <c r="AN39" s="1187">
        <f t="shared" ref="AN39:BJ39" si="43">IFERROR(AN38/AI38-1,"--")</f>
        <v>0.24957130673707595</v>
      </c>
      <c r="AO39" s="668">
        <f>IFERROR(AO38/AJ38-1,"--")</f>
        <v>0.23778053526803156</v>
      </c>
      <c r="AP39" s="669">
        <f>IFERROR(AP38/AK38-1,"--")</f>
        <v>0.27164639283997927</v>
      </c>
      <c r="AQ39" s="667">
        <f t="shared" ref="AQ39:AR39" si="44">IFERROR(AQ38/AL38-1,"--")</f>
        <v>0.23477958221422535</v>
      </c>
      <c r="AR39" s="1187">
        <f t="shared" si="44"/>
        <v>0.31291083132927811</v>
      </c>
      <c r="AS39" s="1187">
        <f t="shared" si="43"/>
        <v>0.28108642219644819</v>
      </c>
      <c r="AT39" s="668">
        <f t="shared" si="43"/>
        <v>0.24012152075428972</v>
      </c>
      <c r="AU39" s="669">
        <f t="shared" si="43"/>
        <v>0.26700455981134641</v>
      </c>
      <c r="AV39" s="667">
        <f t="shared" si="43"/>
        <v>0.27528167206014698</v>
      </c>
      <c r="AW39" s="668">
        <f t="shared" si="43"/>
        <v>0.2447215967995291</v>
      </c>
      <c r="AX39" s="668">
        <f t="shared" si="43"/>
        <v>0.24803866472709601</v>
      </c>
      <c r="AY39" s="668">
        <f t="shared" si="43"/>
        <v>0.24959452744561395</v>
      </c>
      <c r="AZ39" s="669">
        <f t="shared" si="43"/>
        <v>0.25373047703612506</v>
      </c>
      <c r="BA39" s="667">
        <f t="shared" si="43"/>
        <v>0.24927791588104697</v>
      </c>
      <c r="BB39" s="668">
        <f t="shared" si="43"/>
        <v>0.25344091136853764</v>
      </c>
      <c r="BC39" s="668">
        <f t="shared" si="43"/>
        <v>0.25672821783429312</v>
      </c>
      <c r="BD39" s="668">
        <f t="shared" si="43"/>
        <v>0.24328214479359556</v>
      </c>
      <c r="BE39" s="669">
        <f t="shared" si="43"/>
        <v>0.25067050421229875</v>
      </c>
      <c r="BF39" s="667">
        <f t="shared" si="43"/>
        <v>0.23300036696587179</v>
      </c>
      <c r="BG39" s="668">
        <f t="shared" si="43"/>
        <v>0.23041960805737971</v>
      </c>
      <c r="BH39" s="668">
        <f t="shared" si="43"/>
        <v>0.25296530533475314</v>
      </c>
      <c r="BI39" s="668">
        <f t="shared" si="43"/>
        <v>0.25826183831047889</v>
      </c>
      <c r="BJ39" s="669">
        <f t="shared" si="43"/>
        <v>0.24422425683427229</v>
      </c>
      <c r="BK39" s="667">
        <f>IFERROR(BK38/BF38-1,"--")</f>
        <v>0.25124426046804671</v>
      </c>
      <c r="BL39" s="668">
        <f>IFERROR(BL38/BG38-1,"--")</f>
        <v>0.23533788963038771</v>
      </c>
      <c r="BM39" s="668">
        <f>IFERROR(BM38/BH38-1,"--")</f>
        <v>0.24367851867101376</v>
      </c>
      <c r="BN39" s="668">
        <f>IFERROR(BN38/BI38-1,"--")</f>
        <v>0.23019250371869915</v>
      </c>
      <c r="BO39" s="669">
        <f>IFERROR(BO38/BJ38-1,"--")</f>
        <v>0.23976676251514872</v>
      </c>
    </row>
    <row r="40" spans="1:67" s="533" customFormat="1">
      <c r="A40" s="575"/>
      <c r="B40" s="1079" t="s">
        <v>205</v>
      </c>
      <c r="C40" s="667" t="s">
        <v>36</v>
      </c>
      <c r="D40" s="668" t="str">
        <f>IFERROR(D38/C38-1,"--")</f>
        <v>--</v>
      </c>
      <c r="E40" s="668" t="str">
        <f>IFERROR(E38/D38-1,"--")</f>
        <v>--</v>
      </c>
      <c r="F40" s="668" t="str">
        <f>IFERROR(F38/E38-1,"--")</f>
        <v>--</v>
      </c>
      <c r="G40" s="670"/>
      <c r="H40" s="667" t="str">
        <f>IFERROR(H38/F38-1,"--")</f>
        <v>--</v>
      </c>
      <c r="I40" s="668">
        <f>IFERROR(I38/H38-1,"--")</f>
        <v>0.37015568068896965</v>
      </c>
      <c r="J40" s="668">
        <f>IFERROR(J38/I38-1,"--")</f>
        <v>0.8091381602804304</v>
      </c>
      <c r="K40" s="668">
        <f>IFERROR(K38/J38-1,"--")</f>
        <v>0.13536446849736117</v>
      </c>
      <c r="L40" s="670"/>
      <c r="M40" s="667">
        <f>IFERROR(M38/K38-1,"--")</f>
        <v>0.18372270935090862</v>
      </c>
      <c r="N40" s="668">
        <f>IFERROR(N38/M38-1,"--")</f>
        <v>0.62724335073328374</v>
      </c>
      <c r="O40" s="668">
        <f>IFERROR(O38/N38-1,"--")</f>
        <v>0.35002444091409024</v>
      </c>
      <c r="P40" s="668">
        <f>IFERROR(P38/O38-1,"--")</f>
        <v>0.22028106542352188</v>
      </c>
      <c r="Q40" s="670"/>
      <c r="R40" s="667">
        <f>IFERROR(R38/P38-1,"--")</f>
        <v>0.24538694063757571</v>
      </c>
      <c r="S40" s="668">
        <f>IFERROR(S38/R38-1,"--")</f>
        <v>0.2447770084133718</v>
      </c>
      <c r="T40" s="668">
        <f>IFERROR(T38/S38-1,"--")</f>
        <v>0.28046606773294469</v>
      </c>
      <c r="U40" s="668">
        <f>IFERROR(U38/T38-1,"--")</f>
        <v>0.18649451596629207</v>
      </c>
      <c r="V40" s="670"/>
      <c r="W40" s="667">
        <f>IFERROR(W38/U38-1,"--")</f>
        <v>0.23196062992125976</v>
      </c>
      <c r="X40" s="668">
        <f>IFERROR(X38/W38-1,"--")</f>
        <v>0.21275222262701399</v>
      </c>
      <c r="Y40" s="668">
        <f>IFERROR(Y38/X38-1,"--")</f>
        <v>0.24666132619396497</v>
      </c>
      <c r="Z40" s="668">
        <f>IFERROR(Z38/Y38-1,"--")</f>
        <v>0.15232362005335043</v>
      </c>
      <c r="AA40" s="670"/>
      <c r="AB40" s="667">
        <f>IFERROR(AB38/Z38-1,"--")</f>
        <v>0.10021608255894576</v>
      </c>
      <c r="AC40" s="668">
        <f>IFERROR(AC38/AB38-1,"--")</f>
        <v>0.17465271525652049</v>
      </c>
      <c r="AD40" s="668">
        <f>IFERROR(AD38/AC38-1,"--")</f>
        <v>0.12736320385152533</v>
      </c>
      <c r="AE40" s="668">
        <f>IFERROR(AE38/AD38-1,"--")</f>
        <v>5.0684514142261161E-2</v>
      </c>
      <c r="AF40" s="670"/>
      <c r="AG40" s="667">
        <f>IFERROR(AG38/AE38-1,"--")</f>
        <v>8.7856362276884425E-2</v>
      </c>
      <c r="AH40" s="668">
        <f>IFERROR(AH38/AG38-1,"--")</f>
        <v>0.10239859714670896</v>
      </c>
      <c r="AI40" s="668">
        <f>IFERROR(AI38/AH38-1,"--")</f>
        <v>9.894407430647445E-2</v>
      </c>
      <c r="AJ40" s="668">
        <f>IFERROR(AJ38/AI38-1,"--")</f>
        <v>5.2186926628443375E-2</v>
      </c>
      <c r="AK40" s="670"/>
      <c r="AL40" s="667">
        <f>IFERROR(AL38/AJ38-1,"--")</f>
        <v>5.2693795301282709E-2</v>
      </c>
      <c r="AM40" s="668">
        <f>IFERROR(AM38/AL38-1,"--")</f>
        <v>4.4480854221527588E-2</v>
      </c>
      <c r="AN40" s="1187">
        <f>IFERROR(AN38/AM38-1,"--")</f>
        <v>8.0104053692962918E-2</v>
      </c>
      <c r="AO40" s="668">
        <f>IFERROR(AO38/AN38-1,"--")</f>
        <v>4.2258645202881917E-2</v>
      </c>
      <c r="AP40" s="670"/>
      <c r="AQ40" s="667">
        <f>IFERROR(AQ38/AO38-1,"--")</f>
        <v>5.0141578191932101E-2</v>
      </c>
      <c r="AR40" s="1187">
        <f>IFERROR(AR38/AQ38-1,"--")</f>
        <v>0.11057086331509169</v>
      </c>
      <c r="AS40" s="1187">
        <f>IFERROR(AS38/AR38-1,"--")</f>
        <v>5.392278342653456E-2</v>
      </c>
      <c r="AT40" s="668">
        <f>IFERROR(AT38/AS38-1,"--")</f>
        <v>8.9306651866936093E-3</v>
      </c>
      <c r="AU40" s="670"/>
      <c r="AV40" s="667">
        <f>IFERROR(AV38/AT38-1,"--")</f>
        <v>7.9915383552024322E-2</v>
      </c>
      <c r="AW40" s="668">
        <f>IFERROR(AW38/AV38-1,"--")</f>
        <v>8.3957817814067859E-2</v>
      </c>
      <c r="AX40" s="668">
        <f>IFERROR(AX38/AW38-1,"--")</f>
        <v>5.6731390163996975E-2</v>
      </c>
      <c r="AY40" s="668">
        <f>IFERROR(AY38/AX38-1,"--")</f>
        <v>1.0188444814760445E-2</v>
      </c>
      <c r="AZ40" s="670"/>
      <c r="BA40" s="667">
        <f>IFERROR(BA38/AY38-1,"--")</f>
        <v>7.9641763836447277E-2</v>
      </c>
      <c r="BB40" s="668">
        <f>IFERROR(BB38/BA38-1,"--")</f>
        <v>8.7569913607026484E-2</v>
      </c>
      <c r="BC40" s="668">
        <f>IFERROR(BC38/BB38-1,"--")</f>
        <v>5.9502801165461916E-2</v>
      </c>
      <c r="BD40" s="668">
        <f>IFERROR(BD38/BC38-1,"--")</f>
        <v>-6.1983291871459123E-4</v>
      </c>
      <c r="BE40" s="670"/>
      <c r="BF40" s="667">
        <f>IFERROR(BF38/BD38-1,"--")</f>
        <v>7.0713270174905363E-2</v>
      </c>
      <c r="BG40" s="668">
        <f>IFERROR(BG38/BF38-1,"--")</f>
        <v>8.5293551151388369E-2</v>
      </c>
      <c r="BH40" s="668">
        <f>IFERROR(BH38/BG38-1,"--")</f>
        <v>7.8916689942250429E-2</v>
      </c>
      <c r="BI40" s="668">
        <f>IFERROR(BI38/BH38-1,"--")</f>
        <v>3.6047453578706978E-3</v>
      </c>
      <c r="BJ40" s="670"/>
      <c r="BK40" s="667">
        <f>IFERROR(BK38/BI38-1,"--")</f>
        <v>6.4741688194427605E-2</v>
      </c>
      <c r="BL40" s="668">
        <f>IFERROR(BL38/BK38-1,"--")</f>
        <v>7.1496819180065341E-2</v>
      </c>
      <c r="BM40" s="668">
        <f>IFERROR(BM38/BL38-1,"--")</f>
        <v>8.6201210195442801E-2</v>
      </c>
      <c r="BN40" s="668">
        <f>IFERROR(BN38/BM38-1,"--")</f>
        <v>-7.277993548461148E-3</v>
      </c>
      <c r="BO40" s="670"/>
    </row>
    <row r="41" spans="1:67" s="533" customFormat="1">
      <c r="A41" s="694" t="s">
        <v>112</v>
      </c>
      <c r="B41" s="1079" t="s">
        <v>332</v>
      </c>
      <c r="C41" s="533" t="str">
        <f t="shared" ref="C41:AH41" si="45">IFERROR(C38/C$10,"--")</f>
        <v>--</v>
      </c>
      <c r="D41" s="533" t="str">
        <f t="shared" si="45"/>
        <v>--</v>
      </c>
      <c r="E41" s="533" t="str">
        <f t="shared" si="45"/>
        <v>--</v>
      </c>
      <c r="F41" s="533" t="str">
        <f t="shared" si="45"/>
        <v>--</v>
      </c>
      <c r="G41" s="695" t="str">
        <f t="shared" si="45"/>
        <v>--</v>
      </c>
      <c r="H41" s="533">
        <f t="shared" si="45"/>
        <v>0.45049615757666195</v>
      </c>
      <c r="I41" s="533">
        <f t="shared" si="45"/>
        <v>0.46204970678581397</v>
      </c>
      <c r="J41" s="533">
        <f t="shared" si="45"/>
        <v>0.52186192468619252</v>
      </c>
      <c r="K41" s="533">
        <f t="shared" si="45"/>
        <v>0.46330225203119046</v>
      </c>
      <c r="L41" s="695">
        <f t="shared" si="45"/>
        <v>0.47866881840564418</v>
      </c>
      <c r="M41" s="533">
        <f t="shared" si="45"/>
        <v>0.46024482324676808</v>
      </c>
      <c r="N41" s="533">
        <f t="shared" si="45"/>
        <v>0.54246838694708233</v>
      </c>
      <c r="O41" s="533">
        <f t="shared" si="45"/>
        <v>0.60522927737906096</v>
      </c>
      <c r="P41" s="533">
        <f t="shared" si="45"/>
        <v>0.61491356110021445</v>
      </c>
      <c r="Q41" s="695">
        <f t="shared" si="45"/>
        <v>0.5701988305860668</v>
      </c>
      <c r="R41" s="533">
        <f t="shared" si="45"/>
        <v>0.61714837108854481</v>
      </c>
      <c r="S41" s="533">
        <f t="shared" si="45"/>
        <v>0.62783431597130945</v>
      </c>
      <c r="T41" s="533">
        <f t="shared" si="45"/>
        <v>0.67056332381095585</v>
      </c>
      <c r="U41" s="533">
        <f t="shared" si="45"/>
        <v>0.66678917386396452</v>
      </c>
      <c r="V41" s="695">
        <f t="shared" si="45"/>
        <v>0.64992255708564661</v>
      </c>
      <c r="W41" s="533">
        <f t="shared" si="45"/>
        <v>0.68348375372410597</v>
      </c>
      <c r="X41" s="533">
        <f t="shared" si="45"/>
        <v>0.69708814906795791</v>
      </c>
      <c r="Y41" s="533">
        <f t="shared" si="45"/>
        <v>0.70729665322134549</v>
      </c>
      <c r="Z41" s="533">
        <f t="shared" si="45"/>
        <v>0.71026437434531786</v>
      </c>
      <c r="AA41" s="695">
        <f t="shared" si="45"/>
        <v>0.70148122693912296</v>
      </c>
      <c r="AB41" s="533">
        <f t="shared" si="45"/>
        <v>0.71003454309126335</v>
      </c>
      <c r="AC41" s="533">
        <f t="shared" si="45"/>
        <v>0.70845131604350353</v>
      </c>
      <c r="AD41" s="533">
        <f t="shared" si="45"/>
        <v>0.71296775027467196</v>
      </c>
      <c r="AE41" s="533">
        <f t="shared" si="45"/>
        <v>0.7084269929984448</v>
      </c>
      <c r="AF41" s="695">
        <f t="shared" si="45"/>
        <v>0.70998601414851159</v>
      </c>
      <c r="AG41" s="533">
        <f t="shared" si="45"/>
        <v>0.72792291199953818</v>
      </c>
      <c r="AH41" s="533">
        <f t="shared" si="45"/>
        <v>0.74243417831571268</v>
      </c>
      <c r="AI41" s="533">
        <f t="shared" ref="AI41:BO41" si="46">IFERROR(AI38/AI$10,"--")</f>
        <v>0.74904280053883765</v>
      </c>
      <c r="AJ41" s="533">
        <f t="shared" si="46"/>
        <v>0.74690428153386013</v>
      </c>
      <c r="AK41" s="695">
        <f t="shared" si="46"/>
        <v>0.74217251519603333</v>
      </c>
      <c r="AL41" s="533">
        <f t="shared" si="46"/>
        <v>0.73501796167291533</v>
      </c>
      <c r="AM41" s="533">
        <f t="shared" si="46"/>
        <v>0.73226652609334708</v>
      </c>
      <c r="AN41" s="1118">
        <f t="shared" si="46"/>
        <v>0.72941022870329286</v>
      </c>
      <c r="AO41" s="533">
        <f t="shared" si="46"/>
        <v>0.72581452618137965</v>
      </c>
      <c r="AP41" s="695">
        <f t="shared" si="46"/>
        <v>0.73039761791045432</v>
      </c>
      <c r="AQ41" s="533">
        <f t="shared" ref="AQ41:AS41" si="47">IFERROR(AQ38/AQ$10,"--")</f>
        <v>0.72175680421927801</v>
      </c>
      <c r="AR41" s="1118">
        <f t="shared" si="47"/>
        <v>0.72952804835764107</v>
      </c>
      <c r="AS41" s="1118">
        <f t="shared" si="47"/>
        <v>0.72579888515956259</v>
      </c>
      <c r="AT41" s="533">
        <f t="shared" si="46"/>
        <v>0.71123297653249573</v>
      </c>
      <c r="AU41" s="695">
        <f t="shared" si="46"/>
        <v>0.7218984167148913</v>
      </c>
      <c r="AV41" s="533">
        <f t="shared" si="46"/>
        <v>0.73051175716817573</v>
      </c>
      <c r="AW41" s="533">
        <f t="shared" si="46"/>
        <v>0.73475176222901395</v>
      </c>
      <c r="AX41" s="533">
        <f t="shared" si="46"/>
        <v>0.73132723515138265</v>
      </c>
      <c r="AY41" s="533">
        <f t="shared" si="46"/>
        <v>0.71640705263104265</v>
      </c>
      <c r="AZ41" s="695">
        <f t="shared" si="46"/>
        <v>0.72798103526294977</v>
      </c>
      <c r="BA41" s="533">
        <f t="shared" si="46"/>
        <v>0.73547087390009114</v>
      </c>
      <c r="BB41" s="533">
        <f t="shared" si="46"/>
        <v>0.74011185920448341</v>
      </c>
      <c r="BC41" s="533">
        <f t="shared" si="46"/>
        <v>0.73657826113859715</v>
      </c>
      <c r="BD41" s="533">
        <f t="shared" si="46"/>
        <v>0.72104716732520135</v>
      </c>
      <c r="BE41" s="695">
        <f t="shared" si="46"/>
        <v>0.73305314056213144</v>
      </c>
      <c r="BF41" s="533">
        <f t="shared" si="46"/>
        <v>0.74002485080929281</v>
      </c>
      <c r="BG41" s="533">
        <f t="shared" si="46"/>
        <v>0.74486213825208736</v>
      </c>
      <c r="BH41" s="533">
        <f t="shared" si="46"/>
        <v>0.74162233891564489</v>
      </c>
      <c r="BI41" s="533">
        <f t="shared" si="46"/>
        <v>0.72586550681543527</v>
      </c>
      <c r="BJ41" s="695">
        <f t="shared" si="46"/>
        <v>0.73780160050971355</v>
      </c>
      <c r="BK41" s="533">
        <f t="shared" si="46"/>
        <v>0.74473593981543285</v>
      </c>
      <c r="BL41" s="533">
        <f t="shared" si="46"/>
        <v>0.74954300588163314</v>
      </c>
      <c r="BM41" s="533">
        <f t="shared" si="46"/>
        <v>0.74627502117382649</v>
      </c>
      <c r="BN41" s="533">
        <f t="shared" si="46"/>
        <v>0.73003254003721119</v>
      </c>
      <c r="BO41" s="695">
        <f t="shared" si="46"/>
        <v>0.74236917072874242</v>
      </c>
    </row>
    <row r="42" spans="1:67">
      <c r="B42" s="1160"/>
      <c r="C42" s="448"/>
      <c r="D42" s="384"/>
      <c r="E42" s="384"/>
      <c r="F42" s="384"/>
      <c r="G42" s="649"/>
      <c r="H42" s="448"/>
      <c r="I42" s="448"/>
      <c r="J42" s="448"/>
      <c r="K42" s="448"/>
      <c r="L42" s="414"/>
      <c r="M42" s="448"/>
      <c r="N42" s="448"/>
      <c r="O42" s="448"/>
      <c r="P42" s="448"/>
      <c r="Q42" s="414"/>
      <c r="R42" s="448"/>
      <c r="S42" s="448"/>
      <c r="T42" s="384"/>
      <c r="U42" s="384"/>
      <c r="V42" s="414"/>
      <c r="W42" s="448"/>
      <c r="X42" s="384"/>
      <c r="Y42" s="384"/>
      <c r="Z42" s="384"/>
      <c r="AA42" s="414"/>
      <c r="AB42" s="448"/>
      <c r="AC42" s="384"/>
      <c r="AD42" s="384"/>
      <c r="AE42" s="384"/>
      <c r="AF42" s="414"/>
      <c r="AG42" s="448"/>
      <c r="AH42" s="384"/>
      <c r="AI42" s="384"/>
      <c r="AJ42" s="384"/>
      <c r="AK42" s="414"/>
      <c r="AL42" s="448"/>
      <c r="AM42" s="384"/>
      <c r="AN42" s="1116"/>
      <c r="AO42" s="384"/>
      <c r="AP42" s="414"/>
      <c r="AQ42" s="448"/>
      <c r="AR42" s="1116"/>
      <c r="AS42" s="1116"/>
      <c r="AT42" s="384"/>
      <c r="AU42" s="414"/>
      <c r="AV42" s="448"/>
      <c r="AW42" s="384"/>
      <c r="AX42" s="384"/>
      <c r="AY42" s="384"/>
      <c r="AZ42" s="414"/>
      <c r="BA42" s="448"/>
      <c r="BB42" s="384"/>
      <c r="BC42" s="384"/>
      <c r="BD42" s="384"/>
      <c r="BE42" s="414"/>
      <c r="BF42" s="448"/>
      <c r="BG42" s="384"/>
      <c r="BH42" s="384"/>
      <c r="BI42" s="384"/>
      <c r="BJ42" s="414"/>
      <c r="BK42" s="448"/>
      <c r="BL42" s="384"/>
      <c r="BM42" s="384"/>
      <c r="BN42" s="384"/>
      <c r="BO42" s="414"/>
    </row>
    <row r="43" spans="1:67" s="1039" customFormat="1">
      <c r="A43" s="1145"/>
      <c r="B43" s="1161" t="s">
        <v>3</v>
      </c>
      <c r="C43" s="1153"/>
      <c r="D43" s="1154"/>
      <c r="E43" s="1154"/>
      <c r="F43" s="1154"/>
      <c r="G43" s="1151">
        <f>SUM(C43:F43)</f>
        <v>0</v>
      </c>
      <c r="H43" s="1153">
        <f>'IS (GAAP)'!H43-SUM(H97,H120)</f>
        <v>19.326999999999998</v>
      </c>
      <c r="I43" s="1154">
        <f>'IS (GAAP)'!I43-SUM(I97,I120)</f>
        <v>22.562000000000001</v>
      </c>
      <c r="J43" s="1154">
        <f>'IS (GAAP)'!J43-SUM(J97,J120)</f>
        <v>29.023999999999997</v>
      </c>
      <c r="K43" s="1154">
        <f>'IS (GAAP)'!K43-SUM(K97,K120)</f>
        <v>38.843999999999994</v>
      </c>
      <c r="L43" s="1150">
        <f>SUM(H43:K43)</f>
        <v>109.75699999999999</v>
      </c>
      <c r="M43" s="1153">
        <f>'IS (GAAP)'!M43-SUM(M97,M120)</f>
        <v>58.436000000000007</v>
      </c>
      <c r="N43" s="1154">
        <f>'IS (GAAP)'!N43-SUM(N97,N120)</f>
        <v>68.317999999999998</v>
      </c>
      <c r="O43" s="1154">
        <f>'IS (GAAP)'!O43-SUM(O97,O120)</f>
        <v>70.839000000000013</v>
      </c>
      <c r="P43" s="1154">
        <f>'IS (GAAP)'!P43-SUM(P97,P120)</f>
        <v>75.004000000000005</v>
      </c>
      <c r="Q43" s="1150">
        <f>SUM(M43:P43)</f>
        <v>272.59700000000004</v>
      </c>
      <c r="R43" s="1153">
        <f>'IS (GAAP)'!R43-SUM(R97,R120)</f>
        <v>91.474999999999994</v>
      </c>
      <c r="S43" s="1154">
        <f>'IS (GAAP)'!S43-SUM(S97,S120)</f>
        <v>87.290999999999997</v>
      </c>
      <c r="T43" s="1154">
        <f>'IS (GAAP)'!T43-SUM(T97,T120)</f>
        <v>94.39</v>
      </c>
      <c r="U43" s="1154">
        <f>'IS (GAAP)'!U43-SUM(U97,U120)</f>
        <v>101.61200000000001</v>
      </c>
      <c r="V43" s="1150">
        <f>SUM(R43:U43)</f>
        <v>374.76800000000003</v>
      </c>
      <c r="W43" s="1153">
        <f>'IS (GAAP)'!W43-SUM(W97,W120)</f>
        <v>112.559</v>
      </c>
      <c r="X43" s="1154">
        <f>'IS (GAAP)'!X43-SUM(X97,X120)</f>
        <v>125.27699999999999</v>
      </c>
      <c r="Y43" s="1154">
        <f>'IS (GAAP)'!Y43-SUM(Y97,Y120)</f>
        <v>136.87299999999999</v>
      </c>
      <c r="Z43" s="1154">
        <f>'IS (GAAP)'!Z43-SUM(Z97,Z120)</f>
        <v>153.49600000000001</v>
      </c>
      <c r="AA43" s="1150">
        <f>SUM(W43:Z43)</f>
        <v>528.20499999999993</v>
      </c>
      <c r="AB43" s="1153">
        <f>'IS (GAAP)'!AB43-SUM(AB97,AB120)</f>
        <v>183.74200000000002</v>
      </c>
      <c r="AC43" s="1154">
        <f>'IS (GAAP)'!AC43-SUM(AC97,AC120)</f>
        <v>204.91699999999997</v>
      </c>
      <c r="AD43" s="1154">
        <f>'IS (GAAP)'!AD43-SUM(AD97,AD120)</f>
        <v>209.50899999999996</v>
      </c>
      <c r="AE43" s="1154">
        <f>'IS (GAAP)'!AE43-SUM(AE97,AE120)</f>
        <v>225.07600000000002</v>
      </c>
      <c r="AF43" s="1150">
        <f>SUM(AB43:AE43)</f>
        <v>823.24399999999991</v>
      </c>
      <c r="AG43" s="1149">
        <f>'IS (GAAP)'!AG43-SUM(AG97,AG120)</f>
        <v>244.62599999999998</v>
      </c>
      <c r="AH43" s="1149">
        <f>'IS (GAAP)'!AH43-SUM(AH97,AH120)</f>
        <v>250.91300000000001</v>
      </c>
      <c r="AI43" s="1149">
        <f>'IS (GAAP)'!AI43-SUM(AI97,AI120)</f>
        <v>269.09300000000002</v>
      </c>
      <c r="AJ43" s="1149">
        <f>'IS (GAAP)'!AJ43-SUM(AJ97,AJ120)</f>
        <v>276.90100000000001</v>
      </c>
      <c r="AK43" s="1150">
        <f>SUM(AG43:AJ43)</f>
        <v>1041.5330000000001</v>
      </c>
      <c r="AL43" s="1149">
        <f>'IS (GAAP)'!AL43-SUM(AL97,AL120)</f>
        <v>312.57100000000003</v>
      </c>
      <c r="AM43" s="1149">
        <f>'IS (GAAP)'!AM43-SUM(AM97,AM120)</f>
        <v>309.084</v>
      </c>
      <c r="AN43" s="1264">
        <f>'IS (GAAP)'!AN43-SUM(AN97,AN120)</f>
        <v>340.60599999999999</v>
      </c>
      <c r="AO43" s="1149">
        <f>'IS (GAAP)'!AO43-SUM(AO97,AO120)</f>
        <v>328.94399999999996</v>
      </c>
      <c r="AP43" s="1150">
        <f>SUM(AL43:AO43)</f>
        <v>1291.2049999999999</v>
      </c>
      <c r="AQ43" s="1149">
        <f>'IS (GAAP)'!AQ43-SUM(AQ97,AQ120)</f>
        <v>357.88299999999998</v>
      </c>
      <c r="AR43" s="1264">
        <f>'IS (GAAP)'!AR43-SUM(AR97,AR120)</f>
        <v>392.10299999999995</v>
      </c>
      <c r="AS43" s="1264">
        <f>'IS (GAAP)'!AS43-SUM(AS97,AS120)</f>
        <v>429.57100000000003</v>
      </c>
      <c r="AT43" s="1149">
        <f>AT$10*AT46</f>
        <v>435.02588579582482</v>
      </c>
      <c r="AU43" s="1150">
        <f>SUM(AQ43:AT43)</f>
        <v>1614.5828857958245</v>
      </c>
      <c r="AV43" s="1149">
        <f>AV$10*AV46</f>
        <v>447.64927365363536</v>
      </c>
      <c r="AW43" s="1149">
        <f>AW$10*AW46</f>
        <v>481.05163025802773</v>
      </c>
      <c r="AX43" s="1149">
        <f>AX$10*AX46</f>
        <v>528.31270977222312</v>
      </c>
      <c r="AY43" s="1149">
        <f>AY$10*AY46</f>
        <v>535.80683612915107</v>
      </c>
      <c r="AZ43" s="1150">
        <f>SUM(AV43:AY43)</f>
        <v>1992.8204498130372</v>
      </c>
      <c r="BA43" s="1149">
        <f>BA$10*BA46</f>
        <v>543.24811670372878</v>
      </c>
      <c r="BB43" s="1149">
        <f>BB$10*BB46</f>
        <v>585.39678363649557</v>
      </c>
      <c r="BC43" s="1149">
        <f>BC$10*BC46</f>
        <v>645.15319913398298</v>
      </c>
      <c r="BD43" s="1149">
        <f>BD$10*BD46</f>
        <v>647.51919082554889</v>
      </c>
      <c r="BE43" s="1150">
        <f>SUM(BA43:BD43)</f>
        <v>2421.3172902997562</v>
      </c>
      <c r="BF43" s="1149">
        <f>BF$10*BF46</f>
        <v>640.74676923273751</v>
      </c>
      <c r="BG43" s="1149">
        <f>BG$10*BG46</f>
        <v>688.7810486945375</v>
      </c>
      <c r="BH43" s="1149">
        <f>BH$10*BH46</f>
        <v>773.69711700984897</v>
      </c>
      <c r="BI43" s="1149">
        <f>BI$10*BI46</f>
        <v>779.4404502624933</v>
      </c>
      <c r="BJ43" s="1150">
        <f>SUM(BF43:BI43)</f>
        <v>2882.6653851996175</v>
      </c>
      <c r="BK43" s="1149">
        <f>BK$10*BK46</f>
        <v>768.11241756010213</v>
      </c>
      <c r="BL43" s="1149">
        <f>BL$10*BL46</f>
        <v>815.17213279180442</v>
      </c>
      <c r="BM43" s="1149">
        <f>BM$10*BM46</f>
        <v>923.07557888816586</v>
      </c>
      <c r="BN43" s="1149">
        <f>BN$10*BN46</f>
        <v>919.74175914107843</v>
      </c>
      <c r="BO43" s="1150">
        <f>SUM(BK43:BN43)</f>
        <v>3426.1018883811512</v>
      </c>
    </row>
    <row r="44" spans="1:67" s="92" customFormat="1">
      <c r="A44" s="619"/>
      <c r="B44" s="1079" t="s">
        <v>204</v>
      </c>
      <c r="C44" s="667" t="s">
        <v>36</v>
      </c>
      <c r="D44" s="668" t="s">
        <v>36</v>
      </c>
      <c r="E44" s="668" t="s">
        <v>36</v>
      </c>
      <c r="F44" s="668" t="s">
        <v>36</v>
      </c>
      <c r="G44" s="669" t="s">
        <v>36</v>
      </c>
      <c r="H44" s="667" t="str">
        <f t="shared" ref="H44:AM44" si="48">IFERROR(H43/C43-1,"--")</f>
        <v>--</v>
      </c>
      <c r="I44" s="668" t="str">
        <f t="shared" si="48"/>
        <v>--</v>
      </c>
      <c r="J44" s="668" t="str">
        <f t="shared" si="48"/>
        <v>--</v>
      </c>
      <c r="K44" s="668" t="str">
        <f t="shared" si="48"/>
        <v>--</v>
      </c>
      <c r="L44" s="669" t="str">
        <f t="shared" si="48"/>
        <v>--</v>
      </c>
      <c r="M44" s="667">
        <f t="shared" si="48"/>
        <v>2.0235421948569368</v>
      </c>
      <c r="N44" s="668">
        <f t="shared" si="48"/>
        <v>2.0280117010903287</v>
      </c>
      <c r="O44" s="668">
        <f t="shared" si="48"/>
        <v>1.4407042447629554</v>
      </c>
      <c r="P44" s="668">
        <f t="shared" si="48"/>
        <v>0.93090309957779871</v>
      </c>
      <c r="Q44" s="669">
        <f t="shared" si="48"/>
        <v>1.4836411345062279</v>
      </c>
      <c r="R44" s="667">
        <f t="shared" si="48"/>
        <v>0.56538777465945622</v>
      </c>
      <c r="S44" s="668">
        <f t="shared" si="48"/>
        <v>0.27771597529201664</v>
      </c>
      <c r="T44" s="668">
        <f t="shared" si="48"/>
        <v>0.33245810923361407</v>
      </c>
      <c r="U44" s="668">
        <f t="shared" si="48"/>
        <v>0.35475441309796807</v>
      </c>
      <c r="V44" s="669">
        <f t="shared" si="48"/>
        <v>0.37480603234811816</v>
      </c>
      <c r="W44" s="667">
        <f t="shared" si="48"/>
        <v>0.23048920470073786</v>
      </c>
      <c r="X44" s="668">
        <f t="shared" si="48"/>
        <v>0.43516513729937789</v>
      </c>
      <c r="Y44" s="668">
        <f t="shared" si="48"/>
        <v>0.45007945756965761</v>
      </c>
      <c r="Z44" s="668">
        <f t="shared" si="48"/>
        <v>0.51060898319096171</v>
      </c>
      <c r="AA44" s="669">
        <f t="shared" si="48"/>
        <v>0.40941862699056442</v>
      </c>
      <c r="AB44" s="667">
        <f t="shared" si="48"/>
        <v>0.63240611590365958</v>
      </c>
      <c r="AC44" s="668">
        <f t="shared" si="48"/>
        <v>0.63571126383933207</v>
      </c>
      <c r="AD44" s="668">
        <f t="shared" si="48"/>
        <v>0.53068172685628268</v>
      </c>
      <c r="AE44" s="668">
        <f t="shared" si="48"/>
        <v>0.46633137019857207</v>
      </c>
      <c r="AF44" s="669">
        <f t="shared" si="48"/>
        <v>0.55856911615755256</v>
      </c>
      <c r="AG44" s="667">
        <f t="shared" si="48"/>
        <v>0.33135592297895933</v>
      </c>
      <c r="AH44" s="668">
        <f t="shared" si="48"/>
        <v>0.2244616112865212</v>
      </c>
      <c r="AI44" s="668">
        <f t="shared" si="48"/>
        <v>0.28439828360595532</v>
      </c>
      <c r="AJ44" s="668">
        <f t="shared" si="48"/>
        <v>0.23025555812258958</v>
      </c>
      <c r="AK44" s="669">
        <f t="shared" si="48"/>
        <v>0.26515711016418009</v>
      </c>
      <c r="AL44" s="667">
        <f t="shared" si="48"/>
        <v>0.27775052529166988</v>
      </c>
      <c r="AM44" s="668">
        <f t="shared" si="48"/>
        <v>0.23183733007058227</v>
      </c>
      <c r="AN44" s="1187">
        <f t="shared" ref="AN44:BJ44" si="49">IFERROR(AN43/AI43-1,"--")</f>
        <v>0.26575570527661441</v>
      </c>
      <c r="AO44" s="668">
        <f>IFERROR(AO43/AJ43-1,"--")</f>
        <v>0.18794803919090208</v>
      </c>
      <c r="AP44" s="669">
        <f>IFERROR(AP43/AK43-1,"--")</f>
        <v>0.23971588034176516</v>
      </c>
      <c r="AQ44" s="667">
        <f t="shared" ref="AQ44:AR44" si="50">IFERROR(AQ43/AL43-1,"--")</f>
        <v>0.1449654638466138</v>
      </c>
      <c r="AR44" s="1187">
        <f t="shared" si="50"/>
        <v>0.26859688628334033</v>
      </c>
      <c r="AS44" s="1187">
        <f t="shared" si="49"/>
        <v>0.2611962208534202</v>
      </c>
      <c r="AT44" s="668">
        <f t="shared" si="49"/>
        <v>0.32249223513979541</v>
      </c>
      <c r="AU44" s="682">
        <f t="shared" si="49"/>
        <v>0.25044658733185243</v>
      </c>
      <c r="AV44" s="667">
        <f t="shared" si="49"/>
        <v>0.25082575493565051</v>
      </c>
      <c r="AW44" s="668">
        <f t="shared" si="49"/>
        <v>0.22685016502813737</v>
      </c>
      <c r="AX44" s="668">
        <f t="shared" si="49"/>
        <v>0.22986120984010339</v>
      </c>
      <c r="AY44" s="668">
        <f t="shared" si="49"/>
        <v>0.23166655967830563</v>
      </c>
      <c r="AZ44" s="682">
        <f t="shared" si="49"/>
        <v>0.23426333038999125</v>
      </c>
      <c r="BA44" s="667">
        <f t="shared" si="49"/>
        <v>0.21355746267570663</v>
      </c>
      <c r="BB44" s="668">
        <f t="shared" si="49"/>
        <v>0.21691050776087994</v>
      </c>
      <c r="BC44" s="668">
        <f t="shared" si="49"/>
        <v>0.22115782414573082</v>
      </c>
      <c r="BD44" s="668">
        <f t="shared" si="49"/>
        <v>0.20849370923194166</v>
      </c>
      <c r="BE44" s="682">
        <f t="shared" si="49"/>
        <v>0.21502029474201745</v>
      </c>
      <c r="BF44" s="667">
        <f t="shared" si="49"/>
        <v>0.17947352145572482</v>
      </c>
      <c r="BG44" s="668">
        <f t="shared" si="49"/>
        <v>0.17660545453601051</v>
      </c>
      <c r="BH44" s="668">
        <f t="shared" si="49"/>
        <v>0.19924557151451161</v>
      </c>
      <c r="BI44" s="668">
        <f t="shared" si="49"/>
        <v>0.20373335849513974</v>
      </c>
      <c r="BJ44" s="682">
        <f t="shared" si="49"/>
        <v>0.19053599325792892</v>
      </c>
      <c r="BK44" s="667">
        <f>IFERROR(BK43/BF43-1,"--")</f>
        <v>0.19877688728712384</v>
      </c>
      <c r="BL44" s="668">
        <f>IFERROR(BL43/BG43-1,"--")</f>
        <v>0.18349965397105339</v>
      </c>
      <c r="BM44" s="668">
        <f>IFERROR(BM43/BH43-1,"--")</f>
        <v>0.19307098164670466</v>
      </c>
      <c r="BN44" s="668">
        <f>IFERROR(BN43/BI43-1,"--")</f>
        <v>0.18000260165011417</v>
      </c>
      <c r="BO44" s="682">
        <f>IFERROR(BO43/BJ43-1,"--")</f>
        <v>0.18851875974633869</v>
      </c>
    </row>
    <row r="45" spans="1:67" s="92" customFormat="1">
      <c r="A45" s="619"/>
      <c r="B45" s="1079" t="s">
        <v>205</v>
      </c>
      <c r="C45" s="667" t="s">
        <v>36</v>
      </c>
      <c r="D45" s="668" t="str">
        <f>IFERROR(D43/C43-1,"--")</f>
        <v>--</v>
      </c>
      <c r="E45" s="668" t="str">
        <f>IFERROR(E43/D43-1,"--")</f>
        <v>--</v>
      </c>
      <c r="F45" s="668" t="str">
        <f>IFERROR(F43/E43-1,"--")</f>
        <v>--</v>
      </c>
      <c r="G45" s="670"/>
      <c r="H45" s="667" t="str">
        <f>IFERROR(H43/F43-1,"--")</f>
        <v>--</v>
      </c>
      <c r="I45" s="668">
        <f>IFERROR(I43/H43-1,"--")</f>
        <v>0.16738241837843448</v>
      </c>
      <c r="J45" s="668">
        <f>IFERROR(J43/I43-1,"--")</f>
        <v>0.28641077918624225</v>
      </c>
      <c r="K45" s="668">
        <f>IFERROR(K43/J43-1,"--")</f>
        <v>0.33834068357221603</v>
      </c>
      <c r="L45" s="670"/>
      <c r="M45" s="667">
        <f>IFERROR(M43/K43-1,"--")</f>
        <v>0.50437648028009519</v>
      </c>
      <c r="N45" s="668">
        <f>IFERROR(N43/M43-1,"--")</f>
        <v>0.16910808405777233</v>
      </c>
      <c r="O45" s="668">
        <f>IFERROR(O43/N43-1,"--")</f>
        <v>3.6900963142949328E-2</v>
      </c>
      <c r="P45" s="668">
        <f>IFERROR(P43/O43-1,"--")</f>
        <v>5.8795296376289663E-2</v>
      </c>
      <c r="Q45" s="670"/>
      <c r="R45" s="667">
        <f>IFERROR(R43/P43-1,"--")</f>
        <v>0.21960162124686677</v>
      </c>
      <c r="S45" s="668">
        <f>IFERROR(S43/R43-1,"--")</f>
        <v>-4.5739273025416805E-2</v>
      </c>
      <c r="T45" s="668">
        <f>IFERROR(T43/S43-1,"--")</f>
        <v>8.1325680768922437E-2</v>
      </c>
      <c r="U45" s="668">
        <f>IFERROR(U43/T43-1,"--")</f>
        <v>7.6512342409153611E-2</v>
      </c>
      <c r="V45" s="670"/>
      <c r="W45" s="667">
        <f>IFERROR(W43/U43-1,"--")</f>
        <v>0.10773333858205714</v>
      </c>
      <c r="X45" s="668">
        <f>IFERROR(X43/W43-1,"--")</f>
        <v>0.112989632104052</v>
      </c>
      <c r="Y45" s="668">
        <f>IFERROR(Y43/X43-1,"--")</f>
        <v>9.2562880656465341E-2</v>
      </c>
      <c r="Z45" s="668">
        <f>IFERROR(Z43/Y43-1,"--")</f>
        <v>0.12144834993022746</v>
      </c>
      <c r="AA45" s="670"/>
      <c r="AB45" s="667">
        <f>IFERROR(AB43/Z43-1,"--")</f>
        <v>0.19704748006462713</v>
      </c>
      <c r="AC45" s="668">
        <f>IFERROR(AC43/AB43-1,"--")</f>
        <v>0.11524311262531128</v>
      </c>
      <c r="AD45" s="668">
        <f>IFERROR(AD43/AC43-1,"--")</f>
        <v>2.2409072941727448E-2</v>
      </c>
      <c r="AE45" s="668">
        <f>IFERROR(AE43/AD43-1,"--")</f>
        <v>7.4302297276012341E-2</v>
      </c>
      <c r="AF45" s="670"/>
      <c r="AG45" s="667">
        <f>IFERROR(AG43/AE43-1,"--")</f>
        <v>8.6859549663224733E-2</v>
      </c>
      <c r="AH45" s="668">
        <f>IFERROR(AH43/AG43-1,"--")</f>
        <v>2.5700457024192103E-2</v>
      </c>
      <c r="AI45" s="668">
        <f>IFERROR(AI43/AH43-1,"--")</f>
        <v>7.2455392905110605E-2</v>
      </c>
      <c r="AJ45" s="668">
        <f>IFERROR(AJ43/AI43-1,"--")</f>
        <v>2.9015990754125864E-2</v>
      </c>
      <c r="AK45" s="670"/>
      <c r="AL45" s="667">
        <f>IFERROR(AL43/AJ43-1,"--")</f>
        <v>0.12881860303863113</v>
      </c>
      <c r="AM45" s="668">
        <f>IFERROR(AM43/AL43-1,"--")</f>
        <v>-1.1155865387384112E-2</v>
      </c>
      <c r="AN45" s="1187">
        <f>IFERROR(AN43/AM43-1,"--")</f>
        <v>0.10198522084611295</v>
      </c>
      <c r="AO45" s="668">
        <f>IFERROR(AO43/AN43-1,"--")</f>
        <v>-3.4238974063874439E-2</v>
      </c>
      <c r="AP45" s="670"/>
      <c r="AQ45" s="667">
        <f>IFERROR(AQ43/AO43-1,"--")</f>
        <v>8.7975460868719324E-2</v>
      </c>
      <c r="AR45" s="1187">
        <f>IFERROR(AR43/AQ43-1,"--")</f>
        <v>9.5617841585099006E-2</v>
      </c>
      <c r="AS45" s="1187">
        <f>IFERROR(AS43/AR43-1,"--")</f>
        <v>9.5556524688666267E-2</v>
      </c>
      <c r="AT45" s="668">
        <f>IFERROR(AT43/AS43-1,"--")</f>
        <v>1.2698449839083192E-2</v>
      </c>
      <c r="AU45" s="696"/>
      <c r="AV45" s="667">
        <f>IFERROR(AV43/AT43-1,"--")</f>
        <v>2.9017555667331552E-2</v>
      </c>
      <c r="AW45" s="668">
        <f>IFERROR(AW43/AV43-1,"--")</f>
        <v>7.4617247408374388E-2</v>
      </c>
      <c r="AX45" s="668">
        <f>IFERROR(AX43/AW43-1,"--")</f>
        <v>9.8245336969017938E-2</v>
      </c>
      <c r="AY45" s="668">
        <f>IFERROR(AY43/AX43-1,"--")</f>
        <v>1.418502000483568E-2</v>
      </c>
      <c r="AZ45" s="696"/>
      <c r="BA45" s="667">
        <f>IFERROR(BA43/AY43-1,"--")</f>
        <v>1.3887991105779873E-2</v>
      </c>
      <c r="BB45" s="668">
        <f>IFERROR(BB43/BA43-1,"--")</f>
        <v>7.7586402302713298E-2</v>
      </c>
      <c r="BC45" s="668">
        <f>IFERROR(BC43/BB43-1,"--")</f>
        <v>0.102078482779286</v>
      </c>
      <c r="BD45" s="668">
        <f>IFERROR(BD43/BC43-1,"--")</f>
        <v>3.667333115207283E-3</v>
      </c>
      <c r="BE45" s="696"/>
      <c r="BF45" s="667">
        <f>IFERROR(BF43/BD43-1,"--")</f>
        <v>-1.0459028379030677E-2</v>
      </c>
      <c r="BG45" s="668">
        <f>IFERROR(BG43/BF43-1,"--")</f>
        <v>7.4966089207626707E-2</v>
      </c>
      <c r="BH45" s="668">
        <f>IFERROR(BH43/BG43-1,"--")</f>
        <v>0.12328455969608165</v>
      </c>
      <c r="BI45" s="668">
        <f>IFERROR(BI43/BH43-1,"--")</f>
        <v>7.4232320715383882E-3</v>
      </c>
      <c r="BJ45" s="696"/>
      <c r="BK45" s="667">
        <f>IFERROR(BK43/BI43-1,"--")</f>
        <v>-1.4533544799447129E-2</v>
      </c>
      <c r="BL45" s="668">
        <f>IFERROR(BL43/BK43-1,"--")</f>
        <v>6.1266702836528575E-2</v>
      </c>
      <c r="BM45" s="668">
        <f>IFERROR(BM43/BL43-1,"--")</f>
        <v>0.13236890928399792</v>
      </c>
      <c r="BN45" s="668">
        <f>IFERROR(BN43/BM43-1,"--")</f>
        <v>-3.6116433186359487E-3</v>
      </c>
      <c r="BO45" s="696"/>
    </row>
    <row r="46" spans="1:67" s="712" customFormat="1">
      <c r="A46" s="708"/>
      <c r="B46" s="1079" t="s">
        <v>333</v>
      </c>
      <c r="C46" s="709" t="str">
        <f t="shared" ref="C46:AP46" si="51">IFERROR(C43/C$10,"--")</f>
        <v>--</v>
      </c>
      <c r="D46" s="709" t="str">
        <f t="shared" si="51"/>
        <v>--</v>
      </c>
      <c r="E46" s="709" t="str">
        <f t="shared" si="51"/>
        <v>--</v>
      </c>
      <c r="F46" s="709" t="str">
        <f t="shared" si="51"/>
        <v>--</v>
      </c>
      <c r="G46" s="710" t="str">
        <f t="shared" si="51"/>
        <v>--</v>
      </c>
      <c r="H46" s="709">
        <f t="shared" si="51"/>
        <v>1.4419905991195998</v>
      </c>
      <c r="I46" s="709">
        <f t="shared" si="51"/>
        <v>1.2600949455459369</v>
      </c>
      <c r="J46" s="709">
        <f t="shared" si="51"/>
        <v>1.0119944211994421</v>
      </c>
      <c r="K46" s="709">
        <f t="shared" si="51"/>
        <v>1.0590544740716503</v>
      </c>
      <c r="L46" s="711">
        <f t="shared" si="51"/>
        <v>1.1354250718970476</v>
      </c>
      <c r="M46" s="709">
        <f t="shared" si="51"/>
        <v>1.3370552568356024</v>
      </c>
      <c r="N46" s="709">
        <f t="shared" si="51"/>
        <v>1.1322361988100564</v>
      </c>
      <c r="O46" s="709">
        <f t="shared" si="51"/>
        <v>0.97023776913384119</v>
      </c>
      <c r="P46" s="709">
        <f t="shared" si="51"/>
        <v>0.85531177302376493</v>
      </c>
      <c r="Q46" s="711">
        <f t="shared" si="51"/>
        <v>1.0296470606010246</v>
      </c>
      <c r="R46" s="709">
        <f t="shared" si="51"/>
        <v>0.84064696962734908</v>
      </c>
      <c r="S46" s="709">
        <f t="shared" si="51"/>
        <v>0.6556085470727403</v>
      </c>
      <c r="T46" s="709">
        <f t="shared" si="51"/>
        <v>0.59132711872901311</v>
      </c>
      <c r="U46" s="709">
        <f t="shared" si="51"/>
        <v>0.53349434279263908</v>
      </c>
      <c r="V46" s="711">
        <f t="shared" si="51"/>
        <v>0.63300166033554661</v>
      </c>
      <c r="W46" s="709">
        <f t="shared" si="51"/>
        <v>0.49170867662091439</v>
      </c>
      <c r="X46" s="709">
        <f t="shared" si="51"/>
        <v>0.46024217665082034</v>
      </c>
      <c r="Y46" s="709">
        <f t="shared" si="51"/>
        <v>0.40925903223588012</v>
      </c>
      <c r="Z46" s="709">
        <f t="shared" si="51"/>
        <v>0.39996456247687445</v>
      </c>
      <c r="AA46" s="711">
        <f t="shared" si="51"/>
        <v>0.4331938848233492</v>
      </c>
      <c r="AB46" s="709">
        <f t="shared" si="51"/>
        <v>0.43502513193377385</v>
      </c>
      <c r="AC46" s="709">
        <f t="shared" si="51"/>
        <v>0.4121022105669605</v>
      </c>
      <c r="AD46" s="709">
        <f t="shared" si="51"/>
        <v>0.3761193333189714</v>
      </c>
      <c r="AE46" s="709">
        <f t="shared" si="51"/>
        <v>0.38212464262188212</v>
      </c>
      <c r="AF46" s="711">
        <f t="shared" si="51"/>
        <v>0.39853819047577554</v>
      </c>
      <c r="AG46" s="709">
        <f t="shared" si="51"/>
        <v>0.39228093694826316</v>
      </c>
      <c r="AH46" s="709">
        <f t="shared" si="51"/>
        <v>0.37226453892922745</v>
      </c>
      <c r="AI46" s="709">
        <f t="shared" si="51"/>
        <v>0.36652532849886882</v>
      </c>
      <c r="AJ46" s="709">
        <f t="shared" si="51"/>
        <v>0.35743043427189136</v>
      </c>
      <c r="AK46" s="711">
        <f t="shared" si="51"/>
        <v>0.37111601007522216</v>
      </c>
      <c r="AL46" s="709">
        <f t="shared" si="51"/>
        <v>0.37717823747539853</v>
      </c>
      <c r="AM46" s="709">
        <f t="shared" si="51"/>
        <v>0.35575025062642218</v>
      </c>
      <c r="AN46" s="1265">
        <f t="shared" si="51"/>
        <v>0.36154141731079908</v>
      </c>
      <c r="AO46" s="709">
        <f t="shared" si="51"/>
        <v>0.3333542770858457</v>
      </c>
      <c r="AP46" s="711">
        <f t="shared" si="51"/>
        <v>0.35605736384002185</v>
      </c>
      <c r="AQ46" s="709">
        <f t="shared" ref="AQ46:AS46" si="52">IFERROR(AQ43/AQ$10,"--")</f>
        <v>0.34343338380959504</v>
      </c>
      <c r="AR46" s="1265">
        <f t="shared" si="52"/>
        <v>0.34245730670437358</v>
      </c>
      <c r="AS46" s="1265">
        <f t="shared" si="52"/>
        <v>0.35416589373151658</v>
      </c>
      <c r="AT46" s="706">
        <f>AO46+1.5%</f>
        <v>0.34835427708584571</v>
      </c>
      <c r="AU46" s="705">
        <f>IFERROR(AU43/AU$10,"--")</f>
        <v>0.34731511261527637</v>
      </c>
      <c r="AV46" s="706">
        <f>AQ46-0.25%</f>
        <v>0.34093338380959504</v>
      </c>
      <c r="AW46" s="706">
        <f t="shared" ref="AW46:AY46" si="53">AR46-0.25%</f>
        <v>0.33995730670437357</v>
      </c>
      <c r="AX46" s="706">
        <f t="shared" si="53"/>
        <v>0.35166589373151658</v>
      </c>
      <c r="AY46" s="706">
        <f t="shared" si="53"/>
        <v>0.34585427708584571</v>
      </c>
      <c r="AZ46" s="705">
        <f>IFERROR(AZ43/AZ$10,"--")</f>
        <v>0.34480321011965387</v>
      </c>
      <c r="BA46" s="706">
        <f>AV46-0.75%</f>
        <v>0.33343338380959503</v>
      </c>
      <c r="BB46" s="706">
        <f t="shared" ref="BB46:BD46" si="54">AW46-0.75%</f>
        <v>0.33245730670437357</v>
      </c>
      <c r="BC46" s="706">
        <f t="shared" si="54"/>
        <v>0.34416589373151657</v>
      </c>
      <c r="BD46" s="706">
        <f t="shared" si="54"/>
        <v>0.3383542770858457</v>
      </c>
      <c r="BE46" s="705">
        <f>IFERROR(BE43/BE$10,"--")</f>
        <v>0.33730852545439083</v>
      </c>
      <c r="BF46" s="706">
        <f>BA46-1.25%</f>
        <v>0.32093338380959502</v>
      </c>
      <c r="BG46" s="706">
        <f t="shared" ref="BG46:BI46" si="55">BB46-1.25%</f>
        <v>0.31995730670437356</v>
      </c>
      <c r="BH46" s="706">
        <f t="shared" si="55"/>
        <v>0.33166589373151656</v>
      </c>
      <c r="BI46" s="706">
        <f t="shared" si="55"/>
        <v>0.32585427708584569</v>
      </c>
      <c r="BJ46" s="705">
        <f>IFERROR(BJ43/BJ$10,"--")</f>
        <v>0.32484435065852874</v>
      </c>
      <c r="BK46" s="706">
        <f>BF46-1.15%</f>
        <v>0.30943338380959501</v>
      </c>
      <c r="BL46" s="706">
        <f t="shared" ref="BL46:BN46" si="56">BG46-1.15%</f>
        <v>0.30845730670437355</v>
      </c>
      <c r="BM46" s="706">
        <f t="shared" si="56"/>
        <v>0.32016589373151655</v>
      </c>
      <c r="BN46" s="706">
        <f t="shared" si="56"/>
        <v>0.31435427708584568</v>
      </c>
      <c r="BO46" s="705">
        <f>IFERROR(BO43/BO$10,"--")</f>
        <v>0.31334423267241118</v>
      </c>
    </row>
    <row r="47" spans="1:67">
      <c r="A47" s="620"/>
      <c r="B47" s="1054"/>
      <c r="C47" s="394"/>
      <c r="D47" s="395"/>
      <c r="E47" s="395"/>
      <c r="F47" s="395"/>
      <c r="G47" s="574"/>
      <c r="H47" s="394"/>
      <c r="I47" s="394"/>
      <c r="J47" s="394"/>
      <c r="K47" s="394"/>
      <c r="L47" s="574"/>
      <c r="M47" s="394"/>
      <c r="N47" s="394"/>
      <c r="O47" s="394"/>
      <c r="P47" s="394"/>
      <c r="Q47" s="574"/>
      <c r="R47" s="394"/>
      <c r="S47" s="394"/>
      <c r="T47" s="395"/>
      <c r="U47" s="395"/>
      <c r="V47" s="574"/>
      <c r="W47" s="394"/>
      <c r="X47" s="395"/>
      <c r="Y47" s="395"/>
      <c r="Z47" s="395"/>
      <c r="AA47" s="574"/>
      <c r="AB47" s="394"/>
      <c r="AC47" s="395"/>
      <c r="AD47" s="395"/>
      <c r="AE47" s="395"/>
      <c r="AF47" s="574"/>
      <c r="AG47" s="394"/>
      <c r="AH47" s="395"/>
      <c r="AI47" s="395"/>
      <c r="AJ47" s="395"/>
      <c r="AK47" s="574"/>
      <c r="AL47" s="394"/>
      <c r="AM47" s="395"/>
      <c r="AN47" s="1188"/>
      <c r="AO47" s="395"/>
      <c r="AP47" s="574"/>
      <c r="AQ47" s="394"/>
      <c r="AR47" s="1188"/>
      <c r="AS47" s="1188"/>
      <c r="AT47" s="395"/>
      <c r="AU47" s="574"/>
      <c r="AV47" s="394"/>
      <c r="AW47" s="395"/>
      <c r="AX47" s="395"/>
      <c r="AY47" s="395"/>
      <c r="AZ47" s="574"/>
      <c r="BA47" s="394"/>
      <c r="BB47" s="395"/>
      <c r="BC47" s="395"/>
      <c r="BD47" s="395"/>
      <c r="BE47" s="574"/>
      <c r="BF47" s="394"/>
      <c r="BG47" s="395"/>
      <c r="BH47" s="395"/>
      <c r="BI47" s="395"/>
      <c r="BJ47" s="574"/>
      <c r="BK47" s="394"/>
      <c r="BL47" s="395"/>
      <c r="BM47" s="395"/>
      <c r="BN47" s="395"/>
      <c r="BO47" s="574"/>
    </row>
    <row r="48" spans="1:67" s="1152" customFormat="1">
      <c r="A48" s="1036"/>
      <c r="B48" s="1161" t="s">
        <v>10</v>
      </c>
      <c r="C48" s="1149"/>
      <c r="D48" s="1149"/>
      <c r="E48" s="1149"/>
      <c r="F48" s="1149"/>
      <c r="G48" s="1151">
        <f>SUM(C48:F48)</f>
        <v>0</v>
      </c>
      <c r="H48" s="1149">
        <f>'IS (GAAP)'!H48-SUM(H98,H123)</f>
        <v>6.7459999999999987</v>
      </c>
      <c r="I48" s="1149">
        <f>'IS (GAAP)'!I48-SUM(I98,I123)</f>
        <v>8.6010000000000009</v>
      </c>
      <c r="J48" s="1149">
        <f>'IS (GAAP)'!J48-SUM(J98,J123)</f>
        <v>10.875</v>
      </c>
      <c r="K48" s="1149">
        <f>'IS (GAAP)'!K48-SUM(K98,K123)</f>
        <v>13.426000000000002</v>
      </c>
      <c r="L48" s="1150">
        <f>SUM(H48:K48)</f>
        <v>39.648000000000003</v>
      </c>
      <c r="M48" s="1149">
        <f>'IS (GAAP)'!M48-SUM(M98,M123)</f>
        <v>18.634999999999998</v>
      </c>
      <c r="N48" s="1149">
        <f>'IS (GAAP)'!N48-SUM(N98,N123)</f>
        <v>22.707000000000001</v>
      </c>
      <c r="O48" s="1149">
        <f>'IS (GAAP)'!O48-SUM(O98,O123)</f>
        <v>23.252000000000002</v>
      </c>
      <c r="P48" s="1149">
        <f>'IS (GAAP)'!P48-SUM(P98,P123)</f>
        <v>24.78</v>
      </c>
      <c r="Q48" s="1150">
        <f>SUM(M48:P48)</f>
        <v>89.373999999999995</v>
      </c>
      <c r="R48" s="1149">
        <f>'IS (GAAP)'!R48-SUM(R98,R123)</f>
        <v>27.335999999999999</v>
      </c>
      <c r="S48" s="1149">
        <f>'IS (GAAP)'!S48-SUM(S98,S123)</f>
        <v>31.367000000000001</v>
      </c>
      <c r="T48" s="1149">
        <f>'IS (GAAP)'!T48-SUM(T98,T123)</f>
        <v>34.732000000000006</v>
      </c>
      <c r="U48" s="1149">
        <f>'IS (GAAP)'!U48-SUM(U98,U123)</f>
        <v>40.557000000000002</v>
      </c>
      <c r="V48" s="1150">
        <f>SUM(R48:U48)</f>
        <v>133.99200000000002</v>
      </c>
      <c r="W48" s="1149">
        <f>'IS (GAAP)'!W48-SUM(W98,W123)</f>
        <v>48.129000000000012</v>
      </c>
      <c r="X48" s="1149">
        <f>'IS (GAAP)'!X48-SUM(X98,X123)</f>
        <v>51.304000000000016</v>
      </c>
      <c r="Y48" s="1149">
        <f>'IS (GAAP)'!Y48-SUM(Y98,Y123)</f>
        <v>55.263000000000005</v>
      </c>
      <c r="Z48" s="1149">
        <f>'IS (GAAP)'!Z48-SUM(Z98,Z123)</f>
        <v>60.262999999999998</v>
      </c>
      <c r="AA48" s="1150">
        <f>SUM(W48:Z48)</f>
        <v>214.95900000000003</v>
      </c>
      <c r="AB48" s="1149">
        <f>'IS (GAAP)'!AB48-SUM(AB98,AB123)</f>
        <v>73.24799999999999</v>
      </c>
      <c r="AC48" s="1149">
        <f>'IS (GAAP)'!AC48-SUM(AC98,AC123)</f>
        <v>84.149999999999991</v>
      </c>
      <c r="AD48" s="1149">
        <f>'IS (GAAP)'!AD48-SUM(AD98,AD123)</f>
        <v>98.171000000000006</v>
      </c>
      <c r="AE48" s="1149">
        <f>'IS (GAAP)'!AE48-SUM(AE98,AE123)</f>
        <v>112.286</v>
      </c>
      <c r="AF48" s="1150">
        <f>SUM(AB48:AE48)</f>
        <v>367.85499999999996</v>
      </c>
      <c r="AG48" s="1149">
        <f>'IS (GAAP)'!AG48-SUM(AG98,AG123)</f>
        <v>128.95999999999998</v>
      </c>
      <c r="AH48" s="1149">
        <f>'IS (GAAP)'!AH48-SUM(AH98,AH123)</f>
        <v>144.48399999999998</v>
      </c>
      <c r="AI48" s="1149">
        <f>'IS (GAAP)'!AI48-SUM(AI98,AI123)</f>
        <v>158.91499999999999</v>
      </c>
      <c r="AJ48" s="1149">
        <f>'IS (GAAP)'!AJ48-SUM(AJ98,AJ123)</f>
        <v>179.73500000000001</v>
      </c>
      <c r="AK48" s="1150">
        <f>SUM(AG48:AJ48)</f>
        <v>612.09399999999994</v>
      </c>
      <c r="AL48" s="1149">
        <f>'IS (GAAP)'!AL48-SUM(AL98,AL123)</f>
        <v>203.15299999999999</v>
      </c>
      <c r="AM48" s="1149">
        <f>'IS (GAAP)'!AM48-SUM(AM98,AM123)</f>
        <v>224.24600000000001</v>
      </c>
      <c r="AN48" s="1264">
        <f>'IS (GAAP)'!AN48-SUM(AN98,AN123,AN124)</f>
        <v>224.75299999999999</v>
      </c>
      <c r="AO48" s="1149">
        <f>'IS (GAAP)'!AO48-SUM(AO98,AO123,AO124)</f>
        <v>230.81</v>
      </c>
      <c r="AP48" s="1150">
        <f>SUM(AL48:AO48)</f>
        <v>882.96199999999999</v>
      </c>
      <c r="AQ48" s="1149">
        <f>'IS (GAAP)'!AQ48-SUM(AQ98,AQ123:AQ124)</f>
        <v>238.822</v>
      </c>
      <c r="AR48" s="1264">
        <f>'IS (GAAP)'!AR48-SUM(AR98,AR123)</f>
        <v>247.12399999999997</v>
      </c>
      <c r="AS48" s="1149">
        <f>'IS (GAAP)'!AS48-SUM(AS98,AS123,AS124)</f>
        <v>254.541</v>
      </c>
      <c r="AT48" s="1149">
        <f>AT$10*AT51</f>
        <v>292.10072596004323</v>
      </c>
      <c r="AU48" s="1150">
        <f>SUM(AQ48:AT48)</f>
        <v>1032.5877259600431</v>
      </c>
      <c r="AV48" s="1149">
        <f>AV$10*AV51</f>
        <v>293.0371343827041</v>
      </c>
      <c r="AW48" s="1149">
        <f>AW$10*AW51</f>
        <v>296.92348262846627</v>
      </c>
      <c r="AX48" s="1149">
        <f>AX$10*AX51</f>
        <v>306.2616958155312</v>
      </c>
      <c r="AY48" s="1149">
        <f>AY$10*AY51</f>
        <v>353.07592784882559</v>
      </c>
      <c r="AZ48" s="1150">
        <f>SUM(AV48:AY48)</f>
        <v>1249.2982406755273</v>
      </c>
      <c r="BA48" s="1149">
        <f>BA$10*BA51</f>
        <v>351.23405140771666</v>
      </c>
      <c r="BB48" s="1149">
        <f>BB$10*BB51</f>
        <v>356.09842154763294</v>
      </c>
      <c r="BC48" s="1149">
        <f>BC$10*BC51</f>
        <v>367.89735751949036</v>
      </c>
      <c r="BD48" s="1149">
        <f>BD$10*BD51</f>
        <v>421.60374002703185</v>
      </c>
      <c r="BE48" s="1150">
        <f>SUM(BA48:BD48)</f>
        <v>1496.8335705018719</v>
      </c>
      <c r="BF48" s="1149">
        <f>BF$10*BF51</f>
        <v>414.43458907534625</v>
      </c>
      <c r="BG48" s="1149">
        <f>BG$10*BG51</f>
        <v>418.13439829973208</v>
      </c>
      <c r="BH48" s="1149">
        <f>BH$10*BH51</f>
        <v>439.16534447021826</v>
      </c>
      <c r="BI48" s="1149">
        <f>BI$10*BI51</f>
        <v>507.83055913557763</v>
      </c>
      <c r="BJ48" s="1150">
        <f>SUM(BF48:BI48)</f>
        <v>1779.5648909808742</v>
      </c>
      <c r="BK48" s="1149">
        <f>BK$10*BK51</f>
        <v>492.9377018425854</v>
      </c>
      <c r="BL48" s="1149">
        <f>BL$10*BL51</f>
        <v>489.52685918343423</v>
      </c>
      <c r="BM48" s="1149">
        <f>BM$10*BM51</f>
        <v>516.82727155684029</v>
      </c>
      <c r="BN48" s="1149">
        <f>BN$10*BN51</f>
        <v>594.83107053442632</v>
      </c>
      <c r="BO48" s="1150">
        <f>SUM(BK48:BN48)</f>
        <v>2094.1229031172861</v>
      </c>
    </row>
    <row r="49" spans="1:67" s="402" customFormat="1">
      <c r="A49" s="683"/>
      <c r="B49" s="1160" t="s">
        <v>204</v>
      </c>
      <c r="C49" s="667" t="s">
        <v>36</v>
      </c>
      <c r="D49" s="668" t="s">
        <v>36</v>
      </c>
      <c r="E49" s="668" t="s">
        <v>36</v>
      </c>
      <c r="F49" s="668" t="s">
        <v>36</v>
      </c>
      <c r="G49" s="669" t="s">
        <v>36</v>
      </c>
      <c r="H49" s="667" t="str">
        <f t="shared" ref="H49:AM49" si="57">IFERROR(H48/C48-1,"--")</f>
        <v>--</v>
      </c>
      <c r="I49" s="668" t="str">
        <f t="shared" si="57"/>
        <v>--</v>
      </c>
      <c r="J49" s="668" t="str">
        <f t="shared" si="57"/>
        <v>--</v>
      </c>
      <c r="K49" s="668" t="str">
        <f t="shared" si="57"/>
        <v>--</v>
      </c>
      <c r="L49" s="669" t="str">
        <f t="shared" si="57"/>
        <v>--</v>
      </c>
      <c r="M49" s="667">
        <f t="shared" si="57"/>
        <v>1.7623777053068488</v>
      </c>
      <c r="N49" s="668">
        <f t="shared" si="57"/>
        <v>1.6400418555981862</v>
      </c>
      <c r="O49" s="668">
        <f t="shared" si="57"/>
        <v>1.1381149425287358</v>
      </c>
      <c r="P49" s="668">
        <f t="shared" si="57"/>
        <v>0.84567257559958264</v>
      </c>
      <c r="Q49" s="669">
        <f t="shared" si="57"/>
        <v>1.254186844229217</v>
      </c>
      <c r="R49" s="667">
        <f t="shared" si="57"/>
        <v>0.46691709149449978</v>
      </c>
      <c r="S49" s="668">
        <f t="shared" si="57"/>
        <v>0.38138019113048838</v>
      </c>
      <c r="T49" s="668">
        <f t="shared" si="57"/>
        <v>0.49372097023911943</v>
      </c>
      <c r="U49" s="668">
        <f t="shared" si="57"/>
        <v>0.63668280871670713</v>
      </c>
      <c r="V49" s="669">
        <f t="shared" si="57"/>
        <v>0.49922796338980047</v>
      </c>
      <c r="W49" s="667">
        <f t="shared" si="57"/>
        <v>0.76064530289727883</v>
      </c>
      <c r="X49" s="668">
        <f t="shared" si="57"/>
        <v>0.6356042975101226</v>
      </c>
      <c r="Y49" s="668">
        <f t="shared" si="57"/>
        <v>0.59112633882298726</v>
      </c>
      <c r="Z49" s="668">
        <f t="shared" si="57"/>
        <v>0.48588406440318543</v>
      </c>
      <c r="AA49" s="669">
        <f t="shared" si="57"/>
        <v>0.60426741895038516</v>
      </c>
      <c r="AB49" s="667">
        <f t="shared" si="57"/>
        <v>0.52190986723181387</v>
      </c>
      <c r="AC49" s="668">
        <f t="shared" si="57"/>
        <v>0.64022298456260662</v>
      </c>
      <c r="AD49" s="668">
        <f t="shared" si="57"/>
        <v>0.7764326945696034</v>
      </c>
      <c r="AE49" s="668">
        <f t="shared" si="57"/>
        <v>0.86326601729087504</v>
      </c>
      <c r="AF49" s="669">
        <f t="shared" si="57"/>
        <v>0.71127982545508628</v>
      </c>
      <c r="AG49" s="667">
        <f t="shared" si="57"/>
        <v>0.76059414591524677</v>
      </c>
      <c r="AH49" s="668">
        <f t="shared" si="57"/>
        <v>0.71698158051099226</v>
      </c>
      <c r="AI49" s="668">
        <f t="shared" si="57"/>
        <v>0.61875706675087327</v>
      </c>
      <c r="AJ49" s="668">
        <f t="shared" si="57"/>
        <v>0.60068931122312685</v>
      </c>
      <c r="AK49" s="669">
        <f t="shared" si="57"/>
        <v>0.6639545473080426</v>
      </c>
      <c r="AL49" s="667">
        <f t="shared" si="57"/>
        <v>0.5753179280397025</v>
      </c>
      <c r="AM49" s="668">
        <f t="shared" si="57"/>
        <v>0.55204728551258309</v>
      </c>
      <c r="AN49" s="1187">
        <f t="shared" ref="AN49:BJ49" si="58">IFERROR(AN48/AI48-1,"--")</f>
        <v>0.41429695120032717</v>
      </c>
      <c r="AO49" s="668">
        <f>IFERROR(AO48/AJ48-1,"--")</f>
        <v>0.28416835897293224</v>
      </c>
      <c r="AP49" s="669">
        <f>IFERROR(AP48/AK48-1,"--")</f>
        <v>0.4425268014389947</v>
      </c>
      <c r="AQ49" s="667">
        <f t="shared" ref="AQ49:AR49" si="59">IFERROR(AQ48/AL48-1,"--")</f>
        <v>0.17557702815119636</v>
      </c>
      <c r="AR49" s="1187">
        <f t="shared" si="59"/>
        <v>0.10202188667802314</v>
      </c>
      <c r="AS49" s="1187">
        <f t="shared" si="58"/>
        <v>0.1325366068528564</v>
      </c>
      <c r="AT49" s="668">
        <f>IFERROR(AT48/AO48-1,"--")</f>
        <v>0.26554623265908428</v>
      </c>
      <c r="AU49" s="682">
        <f t="shared" si="58"/>
        <v>0.16945885095852731</v>
      </c>
      <c r="AV49" s="667">
        <f t="shared" si="58"/>
        <v>0.2270106371385554</v>
      </c>
      <c r="AW49" s="668">
        <f t="shared" si="58"/>
        <v>0.20151617256303034</v>
      </c>
      <c r="AX49" s="668">
        <f t="shared" si="58"/>
        <v>0.20319200370679469</v>
      </c>
      <c r="AY49" s="668">
        <f t="shared" si="58"/>
        <v>0.20874717681161536</v>
      </c>
      <c r="AZ49" s="682">
        <f t="shared" si="58"/>
        <v>0.20987128673643562</v>
      </c>
      <c r="BA49" s="667">
        <f t="shared" si="58"/>
        <v>0.19859912003168811</v>
      </c>
      <c r="BB49" s="668">
        <f t="shared" si="58"/>
        <v>0.19929356343031635</v>
      </c>
      <c r="BC49" s="668">
        <f t="shared" si="58"/>
        <v>0.20125161763971877</v>
      </c>
      <c r="BD49" s="668">
        <f t="shared" si="58"/>
        <v>0.1940880325535741</v>
      </c>
      <c r="BE49" s="682">
        <f t="shared" si="58"/>
        <v>0.19813950085489274</v>
      </c>
      <c r="BF49" s="667">
        <f t="shared" si="58"/>
        <v>0.17993852650199238</v>
      </c>
      <c r="BG49" s="668">
        <f t="shared" si="58"/>
        <v>0.17421019863689846</v>
      </c>
      <c r="BH49" s="668">
        <f t="shared" si="58"/>
        <v>0.19371703953310471</v>
      </c>
      <c r="BI49" s="668">
        <f t="shared" si="58"/>
        <v>0.20452100141003782</v>
      </c>
      <c r="BJ49" s="682">
        <f t="shared" si="58"/>
        <v>0.1888862770389399</v>
      </c>
      <c r="BK49" s="667">
        <f>IFERROR(BK48/BF48-1,"--")</f>
        <v>0.18942220277122401</v>
      </c>
      <c r="BL49" s="668">
        <f>IFERROR(BL48/BG48-1,"--")</f>
        <v>0.17074046329124482</v>
      </c>
      <c r="BM49" s="668">
        <f>IFERROR(BM48/BH48-1,"--")</f>
        <v>0.17683983507466539</v>
      </c>
      <c r="BN49" s="668">
        <f>IFERROR(BN48/BI48-1,"--")</f>
        <v>0.17131799147128879</v>
      </c>
      <c r="BO49" s="682">
        <f>IFERROR(BO48/BJ48-1,"--")</f>
        <v>0.17676119243003918</v>
      </c>
    </row>
    <row r="50" spans="1:67" s="402" customFormat="1">
      <c r="A50" s="684"/>
      <c r="B50" s="1160" t="s">
        <v>205</v>
      </c>
      <c r="C50" s="667" t="s">
        <v>36</v>
      </c>
      <c r="D50" s="668" t="str">
        <f>IFERROR(D48/C48-1,"--")</f>
        <v>--</v>
      </c>
      <c r="E50" s="668" t="str">
        <f>IFERROR(E48/D48-1,"--")</f>
        <v>--</v>
      </c>
      <c r="F50" s="668" t="str">
        <f>IFERROR(F48/E48-1,"--")</f>
        <v>--</v>
      </c>
      <c r="G50" s="669"/>
      <c r="H50" s="667" t="str">
        <f>IFERROR(H48/F48-1,"--")</f>
        <v>--</v>
      </c>
      <c r="I50" s="668">
        <f>IFERROR(I48/H48-1,"--")</f>
        <v>0.27497776460124546</v>
      </c>
      <c r="J50" s="668">
        <f>IFERROR(J48/I48-1,"--")</f>
        <v>0.26438786187652585</v>
      </c>
      <c r="K50" s="668">
        <f>IFERROR(K48/J48-1,"--")</f>
        <v>0.23457471264367835</v>
      </c>
      <c r="L50" s="669"/>
      <c r="M50" s="667">
        <f>IFERROR(M48/K48-1,"--")</f>
        <v>0.38797854908386675</v>
      </c>
      <c r="N50" s="668">
        <f>IFERROR(N48/M48-1,"--")</f>
        <v>0.2185135497719346</v>
      </c>
      <c r="O50" s="668">
        <f>IFERROR(O48/N48-1,"--")</f>
        <v>2.4001409257057293E-2</v>
      </c>
      <c r="P50" s="668">
        <f>IFERROR(P48/O48-1,"--")</f>
        <v>6.5714777223464527E-2</v>
      </c>
      <c r="Q50" s="669"/>
      <c r="R50" s="667">
        <f>IFERROR(R48/P48-1,"--")</f>
        <v>0.10314769975786908</v>
      </c>
      <c r="S50" s="668">
        <f>IFERROR(S48/R48-1,"--")</f>
        <v>0.14746122329528832</v>
      </c>
      <c r="T50" s="668">
        <f>IFERROR(T48/S48-1,"--")</f>
        <v>0.10727834985813134</v>
      </c>
      <c r="U50" s="668">
        <f>IFERROR(U48/T48-1,"--")</f>
        <v>0.16771277208338109</v>
      </c>
      <c r="V50" s="669"/>
      <c r="W50" s="667">
        <f>IFERROR(W48/U48-1,"--")</f>
        <v>0.18670019971891438</v>
      </c>
      <c r="X50" s="668">
        <f>IFERROR(X48/W48-1,"--")</f>
        <v>6.5968542874358604E-2</v>
      </c>
      <c r="Y50" s="668">
        <f>IFERROR(Y48/X48-1,"--")</f>
        <v>7.7167472321846065E-2</v>
      </c>
      <c r="Z50" s="668">
        <f>IFERROR(Z48/Y48-1,"--")</f>
        <v>9.0476448980330249E-2</v>
      </c>
      <c r="AA50" s="669"/>
      <c r="AB50" s="667">
        <f>IFERROR(AB48/Z48-1,"--")</f>
        <v>0.21547218027645476</v>
      </c>
      <c r="AC50" s="668">
        <f>IFERROR(AC48/AB48-1,"--")</f>
        <v>0.14883682830930534</v>
      </c>
      <c r="AD50" s="668">
        <f>IFERROR(AD48/AC48-1,"--")</f>
        <v>0.16661913250148563</v>
      </c>
      <c r="AE50" s="668">
        <f>IFERROR(AE48/AD48-1,"--")</f>
        <v>0.14377973128520627</v>
      </c>
      <c r="AF50" s="669"/>
      <c r="AG50" s="667">
        <f>IFERROR(AG48/AE48-1,"--")</f>
        <v>0.14849580535418472</v>
      </c>
      <c r="AH50" s="668">
        <f>IFERROR(AH48/AG48-1,"--")</f>
        <v>0.12037841191066989</v>
      </c>
      <c r="AI50" s="668">
        <f>IFERROR(AI48/AH48-1,"--")</f>
        <v>9.9879571440436354E-2</v>
      </c>
      <c r="AJ50" s="668">
        <f>IFERROR(AJ48/AI48-1,"--")</f>
        <v>0.1310134348551113</v>
      </c>
      <c r="AK50" s="669"/>
      <c r="AL50" s="667">
        <f>IFERROR(AL48/AJ48-1,"--")</f>
        <v>0.1302918185105848</v>
      </c>
      <c r="AM50" s="668">
        <f>IFERROR(AM48/AL48-1,"--")</f>
        <v>0.10382814922742956</v>
      </c>
      <c r="AN50" s="1187">
        <f>IFERROR(AN48/AM48-1,"--")</f>
        <v>2.2609098935988392E-3</v>
      </c>
      <c r="AO50" s="668">
        <f>IFERROR(AO48/AN48-1,"--")</f>
        <v>2.6949584655154846E-2</v>
      </c>
      <c r="AP50" s="669"/>
      <c r="AQ50" s="667">
        <f>IFERROR(AQ48/AO48-1,"--")</f>
        <v>3.4712534118972238E-2</v>
      </c>
      <c r="AR50" s="1187">
        <f>IFERROR(AR48/AQ48-1,"--")</f>
        <v>3.4762291581177385E-2</v>
      </c>
      <c r="AS50" s="1187">
        <f>IFERROR(AS48/AR48-1,"--")</f>
        <v>3.0013272689014547E-2</v>
      </c>
      <c r="AT50" s="668">
        <f>IFERROR(AT48/AS48-1,"--")</f>
        <v>0.14755864854794809</v>
      </c>
      <c r="AU50" s="696"/>
      <c r="AV50" s="667">
        <f>IFERROR(AV48/AT48-1,"--")</f>
        <v>3.2057723224863111E-3</v>
      </c>
      <c r="AW50" s="668">
        <f>IFERROR(AW48/AV48-1,"--")</f>
        <v>1.3262306341989438E-2</v>
      </c>
      <c r="AX50" s="668">
        <f>IFERROR(AX48/AW48-1,"--")</f>
        <v>3.1449897813402794E-2</v>
      </c>
      <c r="AY50" s="668">
        <f>IFERROR(AY48/AX48-1,"--")</f>
        <v>0.15285696080482669</v>
      </c>
      <c r="AZ50" s="696"/>
      <c r="BA50" s="667">
        <f>IFERROR(BA48/AY48-1,"--")</f>
        <v>-5.216658219468151E-3</v>
      </c>
      <c r="BB50" s="668">
        <f>IFERROR(BB48/BA48-1,"--")</f>
        <v>1.3849369445873227E-2</v>
      </c>
      <c r="BC50" s="668">
        <f>IFERROR(BC48/BB48-1,"--")</f>
        <v>3.3133918203226642E-2</v>
      </c>
      <c r="BD50" s="668">
        <f>IFERROR(BD48/BC48-1,"--")</f>
        <v>0.1459819740746473</v>
      </c>
      <c r="BE50" s="696"/>
      <c r="BF50" s="667">
        <f>IFERROR(BF48/BD48-1,"--")</f>
        <v>-1.700447664725635E-2</v>
      </c>
      <c r="BG50" s="668">
        <f>IFERROR(BG48/BF48-1,"--")</f>
        <v>8.9273659147044437E-3</v>
      </c>
      <c r="BH50" s="668">
        <f>IFERROR(BH48/BG48-1,"--")</f>
        <v>5.0297096474255065E-2</v>
      </c>
      <c r="BI50" s="668">
        <f>IFERROR(BI48/BH48-1,"--")</f>
        <v>0.15635390071179867</v>
      </c>
      <c r="BJ50" s="696"/>
      <c r="BK50" s="667">
        <f>IFERROR(BK48/BI48-1,"--")</f>
        <v>-2.9326429898867579E-2</v>
      </c>
      <c r="BL50" s="668">
        <f>IFERROR(BL48/BK48-1,"--")</f>
        <v>-6.9194193229723533E-3</v>
      </c>
      <c r="BM50" s="668">
        <f>IFERROR(BM48/BL48-1,"--")</f>
        <v>5.5768977454975888E-2</v>
      </c>
      <c r="BN50" s="668">
        <f>IFERROR(BN48/BM48-1,"--")</f>
        <v>0.15092817904638611</v>
      </c>
      <c r="BO50" s="696"/>
    </row>
    <row r="51" spans="1:67" s="943" customFormat="1">
      <c r="A51" s="942"/>
      <c r="B51" s="1160" t="s">
        <v>333</v>
      </c>
      <c r="C51" s="687" t="str">
        <f t="shared" ref="C51:AP51" si="60">IFERROR(C48/C$10,"--")</f>
        <v>--</v>
      </c>
      <c r="D51" s="687" t="str">
        <f t="shared" si="60"/>
        <v>--</v>
      </c>
      <c r="E51" s="687" t="str">
        <f t="shared" si="60"/>
        <v>--</v>
      </c>
      <c r="F51" s="687" t="str">
        <f t="shared" si="60"/>
        <v>--</v>
      </c>
      <c r="G51" s="688" t="str">
        <f t="shared" si="60"/>
        <v>--</v>
      </c>
      <c r="H51" s="687">
        <f t="shared" si="60"/>
        <v>0.50332015220473014</v>
      </c>
      <c r="I51" s="687">
        <f t="shared" si="60"/>
        <v>0.4803686121195197</v>
      </c>
      <c r="J51" s="687">
        <f t="shared" si="60"/>
        <v>0.37918410041841005</v>
      </c>
      <c r="K51" s="687">
        <f t="shared" si="60"/>
        <v>0.36605049348383228</v>
      </c>
      <c r="L51" s="688">
        <f t="shared" si="60"/>
        <v>0.41015455279001928</v>
      </c>
      <c r="M51" s="687">
        <f t="shared" si="60"/>
        <v>0.42638142089005832</v>
      </c>
      <c r="N51" s="687">
        <f t="shared" si="60"/>
        <v>0.37632377069557005</v>
      </c>
      <c r="O51" s="687">
        <f t="shared" si="60"/>
        <v>0.31846819700871093</v>
      </c>
      <c r="P51" s="687">
        <f t="shared" si="60"/>
        <v>0.28257993887697852</v>
      </c>
      <c r="Q51" s="688">
        <f t="shared" si="60"/>
        <v>0.33758139815975946</v>
      </c>
      <c r="R51" s="687">
        <f t="shared" si="60"/>
        <v>0.25121536552864954</v>
      </c>
      <c r="S51" s="687">
        <f t="shared" si="60"/>
        <v>0.23558526418566228</v>
      </c>
      <c r="T51" s="687">
        <f t="shared" si="60"/>
        <v>0.21758632787049567</v>
      </c>
      <c r="U51" s="687">
        <f t="shared" si="60"/>
        <v>0.21293676003465203</v>
      </c>
      <c r="V51" s="688">
        <f t="shared" si="60"/>
        <v>0.2263191053443212</v>
      </c>
      <c r="W51" s="687">
        <f t="shared" si="60"/>
        <v>0.21024926391570636</v>
      </c>
      <c r="X51" s="687">
        <f t="shared" si="60"/>
        <v>0.18848044438239819</v>
      </c>
      <c r="Y51" s="687">
        <f t="shared" si="60"/>
        <v>0.16523990778642572</v>
      </c>
      <c r="Z51" s="687">
        <f t="shared" si="60"/>
        <v>0.15702731294980898</v>
      </c>
      <c r="AA51" s="688">
        <f t="shared" si="60"/>
        <v>0.17629315187804423</v>
      </c>
      <c r="AB51" s="687">
        <f t="shared" si="60"/>
        <v>0.1734209971802041</v>
      </c>
      <c r="AC51" s="687">
        <f t="shared" si="60"/>
        <v>0.16923144990025096</v>
      </c>
      <c r="AD51" s="687">
        <f t="shared" si="60"/>
        <v>0.17624069167079576</v>
      </c>
      <c r="AE51" s="687">
        <f t="shared" si="60"/>
        <v>0.19063448622438933</v>
      </c>
      <c r="AF51" s="688">
        <f t="shared" si="60"/>
        <v>0.17808118377718685</v>
      </c>
      <c r="AG51" s="687">
        <f t="shared" si="60"/>
        <v>0.2067995618979504</v>
      </c>
      <c r="AH51" s="687">
        <f t="shared" si="60"/>
        <v>0.21436222771498684</v>
      </c>
      <c r="AI51" s="687">
        <f t="shared" si="60"/>
        <v>0.21645443240217224</v>
      </c>
      <c r="AJ51" s="687">
        <f t="shared" si="60"/>
        <v>0.23200623726118144</v>
      </c>
      <c r="AK51" s="688">
        <f t="shared" si="60"/>
        <v>0.21809955428294925</v>
      </c>
      <c r="AL51" s="687">
        <f t="shared" si="60"/>
        <v>0.24514395282300544</v>
      </c>
      <c r="AM51" s="687">
        <f t="shared" si="60"/>
        <v>0.2581032039897655</v>
      </c>
      <c r="AN51" s="1266">
        <f t="shared" si="60"/>
        <v>0.23856748901914243</v>
      </c>
      <c r="AO51" s="687">
        <f t="shared" si="60"/>
        <v>0.2339045572929862</v>
      </c>
      <c r="AP51" s="688">
        <f t="shared" si="60"/>
        <v>0.24348195839615969</v>
      </c>
      <c r="AQ51" s="687">
        <f t="shared" ref="AQ51:AS51" si="61">IFERROR(AQ48/AQ$10,"--")</f>
        <v>0.22917950164767567</v>
      </c>
      <c r="AR51" s="1266">
        <f t="shared" si="61"/>
        <v>0.21583466451930136</v>
      </c>
      <c r="AS51" s="1266">
        <f t="shared" si="61"/>
        <v>0.20985993178383541</v>
      </c>
      <c r="AT51" s="706">
        <f>AO51</f>
        <v>0.2339045572929862</v>
      </c>
      <c r="AU51" s="705">
        <f>IFERROR(AU48/AU$10,"--")</f>
        <v>0.22212134507433165</v>
      </c>
      <c r="AV51" s="706">
        <f>AQ51-0.6%</f>
        <v>0.22317950164767567</v>
      </c>
      <c r="AW51" s="706">
        <f t="shared" ref="AW51:AY51" si="62">AR51-0.6%</f>
        <v>0.20983466451930136</v>
      </c>
      <c r="AX51" s="706">
        <f t="shared" si="62"/>
        <v>0.20385993178383541</v>
      </c>
      <c r="AY51" s="706">
        <f t="shared" si="62"/>
        <v>0.2279045572929862</v>
      </c>
      <c r="AZ51" s="705">
        <f>IFERROR(AZ48/AZ$10,"--")</f>
        <v>0.21615697682255872</v>
      </c>
      <c r="BA51" s="706">
        <f>AV51-0.76%</f>
        <v>0.21557950164767567</v>
      </c>
      <c r="BB51" s="706">
        <f t="shared" ref="BB51:BD51" si="63">AW51-0.76%</f>
        <v>0.20223466451930136</v>
      </c>
      <c r="BC51" s="706">
        <f t="shared" si="63"/>
        <v>0.19625993178383541</v>
      </c>
      <c r="BD51" s="706">
        <f t="shared" si="63"/>
        <v>0.2203045572929862</v>
      </c>
      <c r="BE51" s="705">
        <f>IFERROR(BE48/BE$10,"--")</f>
        <v>0.20852067861544571</v>
      </c>
      <c r="BF51" s="706">
        <f>BA51-0.8%</f>
        <v>0.20757950164767566</v>
      </c>
      <c r="BG51" s="706">
        <f t="shared" ref="BG51:BI51" si="64">BB51-0.8%</f>
        <v>0.19423466451930135</v>
      </c>
      <c r="BH51" s="706">
        <f t="shared" si="64"/>
        <v>0.1882599317838354</v>
      </c>
      <c r="BI51" s="706">
        <f t="shared" si="64"/>
        <v>0.2123045572929862</v>
      </c>
      <c r="BJ51" s="705">
        <f>IFERROR(BJ48/BJ$10,"--")</f>
        <v>0.20053718493774014</v>
      </c>
      <c r="BK51" s="706">
        <f>BF51-0.9%</f>
        <v>0.19857950164767565</v>
      </c>
      <c r="BL51" s="706">
        <f t="shared" ref="BL51:BN51" si="65">BG51-0.9%</f>
        <v>0.18523466451930135</v>
      </c>
      <c r="BM51" s="706">
        <f t="shared" si="65"/>
        <v>0.1792599317838354</v>
      </c>
      <c r="BN51" s="706">
        <f t="shared" si="65"/>
        <v>0.20330455729298619</v>
      </c>
      <c r="BO51" s="705">
        <f>IFERROR(BO48/BO$10,"--")</f>
        <v>0.19152417399619626</v>
      </c>
    </row>
    <row r="52" spans="1:67">
      <c r="A52" s="620"/>
      <c r="B52" s="1162"/>
      <c r="C52" s="627"/>
      <c r="D52" s="628"/>
      <c r="E52" s="628"/>
      <c r="F52" s="626"/>
      <c r="G52" s="625"/>
      <c r="H52" s="627"/>
      <c r="I52" s="627"/>
      <c r="J52" s="627"/>
      <c r="K52" s="627"/>
      <c r="L52" s="413"/>
      <c r="M52" s="627"/>
      <c r="N52" s="627"/>
      <c r="O52" s="627"/>
      <c r="P52" s="627"/>
      <c r="Q52" s="413"/>
      <c r="R52" s="627"/>
      <c r="S52" s="627"/>
      <c r="T52" s="628"/>
      <c r="U52" s="626"/>
      <c r="V52" s="625"/>
      <c r="W52" s="627"/>
      <c r="X52" s="628"/>
      <c r="Y52" s="628"/>
      <c r="Z52" s="626"/>
      <c r="AA52" s="625"/>
      <c r="AB52" s="627"/>
      <c r="AC52" s="628"/>
      <c r="AD52" s="628"/>
      <c r="AE52" s="626"/>
      <c r="AF52" s="625"/>
      <c r="AG52" s="627"/>
      <c r="AH52" s="628"/>
      <c r="AI52" s="628"/>
      <c r="AJ52" s="626"/>
      <c r="AK52" s="625"/>
      <c r="AL52" s="627"/>
      <c r="AM52" s="628"/>
      <c r="AN52" s="587"/>
      <c r="AO52" s="626"/>
      <c r="AP52" s="625"/>
      <c r="AQ52" s="627"/>
      <c r="AR52" s="587"/>
      <c r="AS52" s="587"/>
      <c r="AT52" s="468"/>
      <c r="AU52" s="413"/>
      <c r="AV52" s="576"/>
      <c r="AW52" s="468"/>
      <c r="AX52" s="468"/>
      <c r="AY52" s="468"/>
      <c r="AZ52" s="413"/>
      <c r="BA52" s="576"/>
      <c r="BB52" s="468"/>
      <c r="BC52" s="468"/>
      <c r="BD52" s="468"/>
      <c r="BE52" s="413"/>
      <c r="BF52" s="576"/>
      <c r="BG52" s="468"/>
      <c r="BH52" s="468"/>
      <c r="BI52" s="468"/>
      <c r="BJ52" s="413"/>
      <c r="BK52" s="576"/>
      <c r="BL52" s="468"/>
      <c r="BM52" s="468"/>
      <c r="BN52" s="468"/>
      <c r="BO52" s="413"/>
    </row>
    <row r="53" spans="1:67" s="1152" customFormat="1">
      <c r="A53" s="1036"/>
      <c r="B53" s="1161" t="s">
        <v>11</v>
      </c>
      <c r="C53" s="1149"/>
      <c r="D53" s="1149"/>
      <c r="E53" s="1149"/>
      <c r="F53" s="1149"/>
      <c r="G53" s="1151">
        <f>SUM(C53:F53)</f>
        <v>0</v>
      </c>
      <c r="H53" s="1149">
        <f>'IS (GAAP)'!H53-SUM(H99,H127:H130)</f>
        <v>4.3369999999999997</v>
      </c>
      <c r="I53" s="1149">
        <f>'IS (GAAP)'!I53-SUM(I99,I127:I130)</f>
        <v>5.6579999999999995</v>
      </c>
      <c r="J53" s="1149">
        <f>'IS (GAAP)'!J53-SUM(J99,J127:J130)</f>
        <v>7.5329999999999995</v>
      </c>
      <c r="K53" s="1149">
        <f>'IS (GAAP)'!K53-SUM(K99,K127:K130)</f>
        <v>11.532</v>
      </c>
      <c r="L53" s="1150">
        <f>SUM(H53:K53)</f>
        <v>29.06</v>
      </c>
      <c r="M53" s="1149">
        <f>'IS (GAAP)'!M53-SUM(M99,M127:M130)</f>
        <v>14.221999999999998</v>
      </c>
      <c r="N53" s="1149">
        <f>'IS (GAAP)'!N53-SUM(N99,N127:N130)</f>
        <v>18.965</v>
      </c>
      <c r="O53" s="1149">
        <f>'IS (GAAP)'!O53-SUM(O99,O127:O130)</f>
        <v>17.399000000000001</v>
      </c>
      <c r="P53" s="1149">
        <f>'IS (GAAP)'!P53-SUM(P99,P127:P130)</f>
        <v>18.371000000000002</v>
      </c>
      <c r="Q53" s="1150">
        <f>SUM(M53:P53)</f>
        <v>68.956999999999994</v>
      </c>
      <c r="R53" s="1149">
        <f>'IS (GAAP)'!R53-SUM(R99,R127:R130)</f>
        <v>21.506</v>
      </c>
      <c r="S53" s="1149">
        <f>'IS (GAAP)'!S53-SUM(S99,S127:S130)</f>
        <v>23.789000000000001</v>
      </c>
      <c r="T53" s="1149">
        <f>'IS (GAAP)'!T53-SUM(T99,T127:T130)</f>
        <v>26.025999999999996</v>
      </c>
      <c r="U53" s="1149">
        <f>'IS (GAAP)'!U53-SUM(U99,U127:U130)</f>
        <v>30.802</v>
      </c>
      <c r="V53" s="1150">
        <f>SUM(R53:U53)</f>
        <v>102.12299999999999</v>
      </c>
      <c r="W53" s="1149">
        <f>'IS (GAAP)'!W53-SUM(W99,W127:W130)</f>
        <v>31.578000000000003</v>
      </c>
      <c r="X53" s="1149">
        <f>'IS (GAAP)'!X53-SUM(X99,X127:X130)</f>
        <v>35.062999999999995</v>
      </c>
      <c r="Y53" s="1149">
        <f>'IS (GAAP)'!Y53-SUM(Y99,Y127:Y130)</f>
        <v>35.941000000000003</v>
      </c>
      <c r="Z53" s="1149">
        <f>'IS (GAAP)'!Z53-SUM(Z99,Z127:Z130)</f>
        <v>40.763999999999996</v>
      </c>
      <c r="AA53" s="1150">
        <f>SUM(W53:Z53)</f>
        <v>143.346</v>
      </c>
      <c r="AB53" s="1149">
        <f>'IS (GAAP)'!AB53-SUM(AB99,AB127:AB130)</f>
        <v>41.233000000000004</v>
      </c>
      <c r="AC53" s="1149">
        <f>'IS (GAAP)'!AC53-SUM(AC99,AC127:AC130)</f>
        <v>45.748000000000005</v>
      </c>
      <c r="AD53" s="1149">
        <f>'IS (GAAP)'!AD53-SUM(AD99,AD127:AD130)</f>
        <v>46.091000000000001</v>
      </c>
      <c r="AE53" s="1149">
        <f>'IS (GAAP)'!AE53-SUM(AE99,AE127:AE130)</f>
        <v>47.135000000000005</v>
      </c>
      <c r="AF53" s="1150">
        <f>SUM(AB53:AE53)</f>
        <v>180.20699999999999</v>
      </c>
      <c r="AG53" s="1149">
        <f>'IS (GAAP)'!AG53-SUM(AG99,AG127:AG130)</f>
        <v>47.74</v>
      </c>
      <c r="AH53" s="1149">
        <f>'IS (GAAP)'!AH53-SUM(AH99,AH127:AH130)</f>
        <v>50.816999999999993</v>
      </c>
      <c r="AI53" s="1149">
        <f>'IS (GAAP)'!AI53-SUM(AI99,AI127:AI130)</f>
        <v>49.980999999999995</v>
      </c>
      <c r="AJ53" s="1149">
        <f>'IS (GAAP)'!AJ53-SUM(AJ99,AJ127:AJ130)</f>
        <v>51.024000000000001</v>
      </c>
      <c r="AK53" s="1150">
        <f>SUM(AG53:AJ53)</f>
        <v>199.56199999999998</v>
      </c>
      <c r="AL53" s="1149">
        <f>'IS (GAAP)'!AL53-SUM(AL99,AL127:AL130)</f>
        <v>57.147999999999996</v>
      </c>
      <c r="AM53" s="1149">
        <f>'IS (GAAP)'!AM53-SUM(AM99,AM127:AM130)</f>
        <v>59.134</v>
      </c>
      <c r="AN53" s="1149">
        <f>'IS (GAAP)'!AN53-SUM(AN99,AN127:AN130)</f>
        <v>62.926000000000002</v>
      </c>
      <c r="AO53" s="1149">
        <f>'IS (GAAP)'!AO53-SUM(AO99,AO127:AO130)</f>
        <v>63.612999999999992</v>
      </c>
      <c r="AP53" s="1150">
        <f>SUM(AL53:AO53)</f>
        <v>242.821</v>
      </c>
      <c r="AQ53" s="1149">
        <f>'IS (GAAP)'!AQ53-SUM(AQ99,AQ127:AQ130)</f>
        <v>63.760999999999996</v>
      </c>
      <c r="AR53" s="1264">
        <f>'IS (GAAP)'!AR53-SUM(AR99,AR127:AR130)</f>
        <v>68.488</v>
      </c>
      <c r="AS53" s="1149">
        <f>'IS (GAAP)'!AS53-SUM(AS99,AS127:AS130)</f>
        <v>64.902999999999992</v>
      </c>
      <c r="AT53" s="1149">
        <f>AT$10*AT56</f>
        <v>74.261177218137291</v>
      </c>
      <c r="AU53" s="1150">
        <f>SUM(AQ53:AT53)</f>
        <v>271.41317721813726</v>
      </c>
      <c r="AV53" s="1149">
        <f>AV$10*AV56</f>
        <v>71.14764442321308</v>
      </c>
      <c r="AW53" s="1149">
        <f>AW$10*AW56</f>
        <v>74.737171061764457</v>
      </c>
      <c r="AX53" s="1149">
        <f>AX$10*AX56</f>
        <v>69.872935790729045</v>
      </c>
      <c r="AY53" s="1149">
        <f>AY$10*AY56</f>
        <v>81.281571403534983</v>
      </c>
      <c r="AZ53" s="1150">
        <f>SUM(AV53:AY53)</f>
        <v>297.03932267924159</v>
      </c>
      <c r="BA53" s="1149">
        <f>BA$10*BA56</f>
        <v>80.137584765480426</v>
      </c>
      <c r="BB53" s="1149">
        <f>BB$10*BB56</f>
        <v>84.196091393857529</v>
      </c>
      <c r="BC53" s="1149">
        <f>BC$10*BC56</f>
        <v>77.812581453769454</v>
      </c>
      <c r="BD53" s="1149">
        <f>BD$10*BD56</f>
        <v>90.836950049725914</v>
      </c>
      <c r="BE53" s="1150">
        <f>SUM(BA53:BD53)</f>
        <v>332.98320766283337</v>
      </c>
      <c r="BF53" s="1149">
        <f>BF$10*BF56</f>
        <v>98.201614867688789</v>
      </c>
      <c r="BG53" s="1149">
        <f>BG$10*BG56</f>
        <v>102.93584597587791</v>
      </c>
      <c r="BH53" s="1149">
        <f>BH$10*BH56</f>
        <v>96.833351424596643</v>
      </c>
      <c r="BI53" s="1149">
        <f>BI$10*BI56</f>
        <v>113.53795950685678</v>
      </c>
      <c r="BJ53" s="1150">
        <f>SUM(BF53:BI53)</f>
        <v>411.50877177502014</v>
      </c>
      <c r="BK53" s="1149">
        <f>BK$10*BK56</f>
        <v>122.09692297811968</v>
      </c>
      <c r="BL53" s="1149">
        <f>BL$10*BL56</f>
        <v>126.36643792105727</v>
      </c>
      <c r="BM53" s="1149">
        <f>BM$10*BM56</f>
        <v>119.67873602745446</v>
      </c>
      <c r="BN53" s="1149">
        <f>BN$10*BN56</f>
        <v>138.87628863671148</v>
      </c>
      <c r="BO53" s="1150">
        <f>SUM(BK53:BN53)</f>
        <v>507.01838556334292</v>
      </c>
    </row>
    <row r="54" spans="1:67" s="92" customFormat="1">
      <c r="A54" s="683"/>
      <c r="B54" s="1079" t="s">
        <v>204</v>
      </c>
      <c r="C54" s="667" t="s">
        <v>36</v>
      </c>
      <c r="D54" s="668" t="s">
        <v>36</v>
      </c>
      <c r="E54" s="668" t="s">
        <v>36</v>
      </c>
      <c r="F54" s="668" t="s">
        <v>36</v>
      </c>
      <c r="G54" s="669" t="s">
        <v>36</v>
      </c>
      <c r="H54" s="667" t="str">
        <f t="shared" ref="H54:AM54" si="66">IFERROR(H53/C53-1,"--")</f>
        <v>--</v>
      </c>
      <c r="I54" s="668" t="str">
        <f t="shared" si="66"/>
        <v>--</v>
      </c>
      <c r="J54" s="668" t="str">
        <f t="shared" si="66"/>
        <v>--</v>
      </c>
      <c r="K54" s="668" t="str">
        <f t="shared" si="66"/>
        <v>--</v>
      </c>
      <c r="L54" s="669" t="str">
        <f t="shared" si="66"/>
        <v>--</v>
      </c>
      <c r="M54" s="667">
        <f t="shared" si="66"/>
        <v>2.2792252709246021</v>
      </c>
      <c r="N54" s="668">
        <f t="shared" si="66"/>
        <v>2.3518911276069283</v>
      </c>
      <c r="O54" s="668">
        <f t="shared" si="66"/>
        <v>1.3097039692021775</v>
      </c>
      <c r="P54" s="668">
        <f t="shared" si="66"/>
        <v>0.5930454387790498</v>
      </c>
      <c r="Q54" s="669">
        <f t="shared" si="66"/>
        <v>1.3729181004817619</v>
      </c>
      <c r="R54" s="667">
        <f t="shared" si="66"/>
        <v>0.51216425256644671</v>
      </c>
      <c r="S54" s="668">
        <f t="shared" si="66"/>
        <v>0.25436330081729519</v>
      </c>
      <c r="T54" s="668">
        <f t="shared" si="66"/>
        <v>0.49583309385596852</v>
      </c>
      <c r="U54" s="668">
        <f t="shared" si="66"/>
        <v>0.67666430787654441</v>
      </c>
      <c r="V54" s="669">
        <f t="shared" si="66"/>
        <v>0.48096639935031971</v>
      </c>
      <c r="W54" s="667">
        <f t="shared" si="66"/>
        <v>0.46833441830186939</v>
      </c>
      <c r="X54" s="668">
        <f t="shared" si="66"/>
        <v>0.4739165160368235</v>
      </c>
      <c r="Y54" s="668">
        <f t="shared" si="66"/>
        <v>0.38096518865749673</v>
      </c>
      <c r="Z54" s="668">
        <f t="shared" si="66"/>
        <v>0.32342055710668127</v>
      </c>
      <c r="AA54" s="669">
        <f t="shared" si="66"/>
        <v>0.40366029200082276</v>
      </c>
      <c r="AB54" s="667">
        <f t="shared" si="66"/>
        <v>0.30575083919184243</v>
      </c>
      <c r="AC54" s="668">
        <f t="shared" si="66"/>
        <v>0.30473718734848743</v>
      </c>
      <c r="AD54" s="668">
        <f t="shared" si="66"/>
        <v>0.28240727859547587</v>
      </c>
      <c r="AE54" s="668">
        <f t="shared" si="66"/>
        <v>0.15628986360514197</v>
      </c>
      <c r="AF54" s="669">
        <f t="shared" si="66"/>
        <v>0.25714704281947176</v>
      </c>
      <c r="AG54" s="667">
        <f t="shared" si="66"/>
        <v>0.1578104915965366</v>
      </c>
      <c r="AH54" s="668">
        <f t="shared" si="66"/>
        <v>0.11080265803969547</v>
      </c>
      <c r="AI54" s="668">
        <f t="shared" si="66"/>
        <v>8.4398255624742236E-2</v>
      </c>
      <c r="AJ54" s="668">
        <f t="shared" si="66"/>
        <v>8.2507690675718504E-2</v>
      </c>
      <c r="AK54" s="669">
        <f t="shared" si="66"/>
        <v>0.107404262875471</v>
      </c>
      <c r="AL54" s="667">
        <f t="shared" si="66"/>
        <v>0.19706744868035186</v>
      </c>
      <c r="AM54" s="668">
        <f t="shared" si="66"/>
        <v>0.16366570242241796</v>
      </c>
      <c r="AN54" s="1187">
        <f t="shared" ref="AN54:BJ54" si="67">IFERROR(AN53/AI53-1,"--")</f>
        <v>0.25899841939937196</v>
      </c>
      <c r="AO54" s="668">
        <f>IFERROR(AO53/AJ53-1,"--")</f>
        <v>0.24672703041705857</v>
      </c>
      <c r="AP54" s="669">
        <f>IFERROR(AP53/AK53-1,"--")</f>
        <v>0.21676972569928155</v>
      </c>
      <c r="AQ54" s="667">
        <f t="shared" ref="AQ54:AR54" si="68">IFERROR(AQ53/AL53-1,"--")</f>
        <v>0.11571708546230841</v>
      </c>
      <c r="AR54" s="1187">
        <f t="shared" si="68"/>
        <v>0.15818310954780657</v>
      </c>
      <c r="AS54" s="1187">
        <f t="shared" si="67"/>
        <v>3.1417855894224855E-2</v>
      </c>
      <c r="AT54" s="668">
        <f t="shared" si="67"/>
        <v>0.16738995516855515</v>
      </c>
      <c r="AU54" s="682">
        <f t="shared" si="67"/>
        <v>0.11775001840095078</v>
      </c>
      <c r="AV54" s="667">
        <f t="shared" si="67"/>
        <v>0.11584894250738054</v>
      </c>
      <c r="AW54" s="668">
        <f t="shared" si="67"/>
        <v>9.1244759107645956E-2</v>
      </c>
      <c r="AX54" s="668">
        <f t="shared" si="67"/>
        <v>7.6574823825232397E-2</v>
      </c>
      <c r="AY54" s="668">
        <f t="shared" si="67"/>
        <v>9.4536532389942529E-2</v>
      </c>
      <c r="AZ54" s="682">
        <f t="shared" si="67"/>
        <v>9.4417469791852948E-2</v>
      </c>
      <c r="BA54" s="667">
        <f t="shared" si="67"/>
        <v>0.12635612064387947</v>
      </c>
      <c r="BB54" s="668">
        <f t="shared" si="67"/>
        <v>0.12656246145945249</v>
      </c>
      <c r="BC54" s="668">
        <f t="shared" si="67"/>
        <v>0.11362977057125256</v>
      </c>
      <c r="BD54" s="668">
        <f t="shared" si="67"/>
        <v>0.11755898023614453</v>
      </c>
      <c r="BE54" s="682">
        <f t="shared" si="67"/>
        <v>0.12100716046409055</v>
      </c>
      <c r="BF54" s="667">
        <f t="shared" si="67"/>
        <v>0.22541270934321345</v>
      </c>
      <c r="BG54" s="668">
        <f t="shared" si="67"/>
        <v>0.22257273790012921</v>
      </c>
      <c r="BH54" s="668">
        <f t="shared" si="67"/>
        <v>0.24444337426496943</v>
      </c>
      <c r="BI54" s="668">
        <f t="shared" si="67"/>
        <v>0.24990941951159629</v>
      </c>
      <c r="BJ54" s="682">
        <f t="shared" si="67"/>
        <v>0.23582439686177481</v>
      </c>
      <c r="BK54" s="667">
        <f>IFERROR(BK53/BF53-1,"--")</f>
        <v>0.24332907501191348</v>
      </c>
      <c r="BL54" s="668">
        <f>IFERROR(BL53/BG53-1,"--")</f>
        <v>0.22762325138582051</v>
      </c>
      <c r="BM54" s="668">
        <f>IFERROR(BM53/BH53-1,"--")</f>
        <v>0.23592475388655054</v>
      </c>
      <c r="BN54" s="668">
        <f>IFERROR(BN53/BI53-1,"--")</f>
        <v>0.22317055229730864</v>
      </c>
      <c r="BO54" s="682">
        <f>IFERROR(BO53/BJ53-1,"--")</f>
        <v>0.23209617956950801</v>
      </c>
    </row>
    <row r="55" spans="1:67" s="92" customFormat="1">
      <c r="A55" s="684"/>
      <c r="B55" s="1079" t="s">
        <v>205</v>
      </c>
      <c r="C55" s="667" t="s">
        <v>36</v>
      </c>
      <c r="D55" s="668" t="str">
        <f>IFERROR(D53/C53-1,"--")</f>
        <v>--</v>
      </c>
      <c r="E55" s="668" t="str">
        <f>IFERROR(E53/D53-1,"--")</f>
        <v>--</v>
      </c>
      <c r="F55" s="668" t="str">
        <f>IFERROR(F53/E53-1,"--")</f>
        <v>--</v>
      </c>
      <c r="G55" s="669"/>
      <c r="H55" s="667" t="str">
        <f>IFERROR(H53/F53-1,"--")</f>
        <v>--</v>
      </c>
      <c r="I55" s="668">
        <f>IFERROR(I53/H53-1,"--")</f>
        <v>0.304588425178695</v>
      </c>
      <c r="J55" s="668">
        <f>IFERROR(J53/I53-1,"--")</f>
        <v>0.33138918345705193</v>
      </c>
      <c r="K55" s="668">
        <f>IFERROR(K53/J53-1,"--")</f>
        <v>0.53086419753086433</v>
      </c>
      <c r="L55" s="669"/>
      <c r="M55" s="667">
        <f>IFERROR(M53/K53-1,"--")</f>
        <v>0.2332639611515781</v>
      </c>
      <c r="N55" s="668">
        <f>IFERROR(N53/M53-1,"--")</f>
        <v>0.33349739839685011</v>
      </c>
      <c r="O55" s="668">
        <f>IFERROR(O53/N53-1,"--")</f>
        <v>-8.2573161086211377E-2</v>
      </c>
      <c r="P55" s="668">
        <f>IFERROR(P53/O53-1,"--")</f>
        <v>5.5865279613771079E-2</v>
      </c>
      <c r="Q55" s="669"/>
      <c r="R55" s="667">
        <f>IFERROR(R53/P53-1,"--")</f>
        <v>0.17064939306515692</v>
      </c>
      <c r="S55" s="668">
        <f>IFERROR(S53/R53-1,"--")</f>
        <v>0.10615642146377757</v>
      </c>
      <c r="T55" s="668">
        <f>IFERROR(T53/S53-1,"--")</f>
        <v>9.4035058220185652E-2</v>
      </c>
      <c r="U55" s="668">
        <f>IFERROR(U53/T53-1,"--")</f>
        <v>0.18350879889341454</v>
      </c>
      <c r="V55" s="669"/>
      <c r="W55" s="667">
        <f>IFERROR(W53/U53-1,"--")</f>
        <v>2.5193169274722482E-2</v>
      </c>
      <c r="X55" s="668">
        <f>IFERROR(X53/W53-1,"--")</f>
        <v>0.11036164418265848</v>
      </c>
      <c r="Y55" s="668">
        <f>IFERROR(Y53/X53-1,"--")</f>
        <v>2.5040641131677477E-2</v>
      </c>
      <c r="Z55" s="668">
        <f>IFERROR(Z53/Y53-1,"--")</f>
        <v>0.13419214824295356</v>
      </c>
      <c r="AA55" s="669"/>
      <c r="AB55" s="667">
        <f>IFERROR(AB53/Z53-1,"--")</f>
        <v>1.150524973015421E-2</v>
      </c>
      <c r="AC55" s="668">
        <f>IFERROR(AC53/AB53-1,"--")</f>
        <v>0.10949967259234117</v>
      </c>
      <c r="AD55" s="668">
        <f>IFERROR(AD53/AC53-1,"--")</f>
        <v>7.4975955233014258E-3</v>
      </c>
      <c r="AE55" s="668">
        <f>IFERROR(AE53/AD53-1,"--")</f>
        <v>2.2650842897745882E-2</v>
      </c>
      <c r="AF55" s="669"/>
      <c r="AG55" s="667">
        <f>IFERROR(AG53/AE53-1,"--")</f>
        <v>1.2835472578763163E-2</v>
      </c>
      <c r="AH55" s="668">
        <f>IFERROR(AH53/AG53-1,"--")</f>
        <v>6.4453288646836748E-2</v>
      </c>
      <c r="AI55" s="668">
        <f>IFERROR(AI53/AH53-1,"--")</f>
        <v>-1.6451187594702543E-2</v>
      </c>
      <c r="AJ55" s="668">
        <f>IFERROR(AJ53/AI53-1,"--")</f>
        <v>2.0867929813329189E-2</v>
      </c>
      <c r="AK55" s="669"/>
      <c r="AL55" s="667">
        <f>IFERROR(AL53/AJ53-1,"--")</f>
        <v>0.120021950454688</v>
      </c>
      <c r="AM55" s="668">
        <f>IFERROR(AM53/AL53-1,"--")</f>
        <v>3.4751872331490352E-2</v>
      </c>
      <c r="AN55" s="1187">
        <f>IFERROR(AN53/AM53-1,"--")</f>
        <v>6.4125545371529036E-2</v>
      </c>
      <c r="AO55" s="668">
        <f>IFERROR(AO53/AN53-1,"--")</f>
        <v>1.0917585735625845E-2</v>
      </c>
      <c r="AP55" s="669"/>
      <c r="AQ55" s="667">
        <f>IFERROR(AQ53/AO53-1,"--")</f>
        <v>2.3265684687092669E-3</v>
      </c>
      <c r="AR55" s="1187">
        <f>IFERROR(AR53/AQ53-1,"--")</f>
        <v>7.4136227474475014E-2</v>
      </c>
      <c r="AS55" s="1187">
        <f>IFERROR(AS53/AR53-1,"--")</f>
        <v>-5.2344936339212778E-2</v>
      </c>
      <c r="AT55" s="668">
        <f>IFERROR(AT53/AS53-1,"--")</f>
        <v>0.14418712876349793</v>
      </c>
      <c r="AU55" s="696"/>
      <c r="AV55" s="667">
        <f>IFERROR(AV53/AT53-1,"--")</f>
        <v>-4.1926790168952177E-2</v>
      </c>
      <c r="AW55" s="668">
        <f>IFERROR(AW53/AV53-1,"--")</f>
        <v>5.0451798758079924E-2</v>
      </c>
      <c r="AX55" s="668">
        <f>IFERROR(AX53/AW53-1,"--")</f>
        <v>-6.5084551661923395E-2</v>
      </c>
      <c r="AY55" s="668">
        <f>IFERROR(AY53/AX53-1,"--")</f>
        <v>0.16327688945223429</v>
      </c>
      <c r="AZ55" s="696"/>
      <c r="BA55" s="667">
        <f>IFERROR(BA53/AY53-1,"--")</f>
        <v>-1.407436665286721E-2</v>
      </c>
      <c r="BB55" s="668">
        <f>IFERROR(BB53/BA53-1,"--")</f>
        <v>5.0644234415775813E-2</v>
      </c>
      <c r="BC55" s="668">
        <f>IFERROR(BC53/BB53-1,"--")</f>
        <v>-7.5817176716991619E-2</v>
      </c>
      <c r="BD55" s="668">
        <f>IFERROR(BD53/BC53-1,"--")</f>
        <v>0.1673812685895093</v>
      </c>
      <c r="BE55" s="696"/>
      <c r="BF55" s="667">
        <f>IFERROR(BF53/BD53-1,"--")</f>
        <v>8.1075650535727073E-2</v>
      </c>
      <c r="BG55" s="668">
        <f>IFERROR(BG53/BF53-1,"--")</f>
        <v>4.8209299964850461E-2</v>
      </c>
      <c r="BH55" s="668">
        <f>IFERROR(BH53/BG53-1,"--")</f>
        <v>-5.9284445505128791E-2</v>
      </c>
      <c r="BI55" s="668">
        <f>IFERROR(BI53/BH53-1,"--")</f>
        <v>0.17250882920506871</v>
      </c>
      <c r="BJ55" s="696"/>
      <c r="BK55" s="667">
        <f>IFERROR(BK53/BI53-1,"--")</f>
        <v>7.5384157936588592E-2</v>
      </c>
      <c r="BL55" s="668">
        <f>IFERROR(BL53/BK53-1,"--")</f>
        <v>3.4968243578936908E-2</v>
      </c>
      <c r="BM55" s="668">
        <f>IFERROR(BM53/BL53-1,"--")</f>
        <v>-5.2923086253176654E-2</v>
      </c>
      <c r="BN55" s="668">
        <f>IFERROR(BN53/BM53-1,"--")</f>
        <v>0.16040905215487133</v>
      </c>
      <c r="BO55" s="696"/>
    </row>
    <row r="56" spans="1:67" s="714" customFormat="1">
      <c r="A56" s="713"/>
      <c r="B56" s="1079" t="s">
        <v>333</v>
      </c>
      <c r="C56" s="709" t="str">
        <f t="shared" ref="C56:AP56" si="69">IFERROR(C53/C$10,"--")</f>
        <v>--</v>
      </c>
      <c r="D56" s="709" t="str">
        <f t="shared" si="69"/>
        <v>--</v>
      </c>
      <c r="E56" s="709" t="str">
        <f t="shared" si="69"/>
        <v>--</v>
      </c>
      <c r="F56" s="709" t="str">
        <f t="shared" si="69"/>
        <v>--</v>
      </c>
      <c r="G56" s="710" t="str">
        <f t="shared" si="69"/>
        <v>--</v>
      </c>
      <c r="H56" s="709">
        <f t="shared" si="69"/>
        <v>0.32358427217787061</v>
      </c>
      <c r="I56" s="709">
        <f t="shared" si="69"/>
        <v>0.31600111700642275</v>
      </c>
      <c r="J56" s="709">
        <f t="shared" si="69"/>
        <v>0.26265690376569034</v>
      </c>
      <c r="K56" s="709">
        <f t="shared" si="69"/>
        <v>0.31441190904629474</v>
      </c>
      <c r="L56" s="710">
        <f t="shared" si="69"/>
        <v>0.3006227629156063</v>
      </c>
      <c r="M56" s="709">
        <f t="shared" si="69"/>
        <v>0.32540899210616631</v>
      </c>
      <c r="N56" s="709">
        <f t="shared" si="69"/>
        <v>0.31430749598104046</v>
      </c>
      <c r="O56" s="709">
        <f t="shared" si="69"/>
        <v>0.23830329260943409</v>
      </c>
      <c r="P56" s="709">
        <f t="shared" si="69"/>
        <v>0.20949459471787621</v>
      </c>
      <c r="Q56" s="710">
        <f t="shared" si="69"/>
        <v>0.26046277969994108</v>
      </c>
      <c r="R56" s="709">
        <f t="shared" si="69"/>
        <v>0.19763819326379636</v>
      </c>
      <c r="S56" s="709">
        <f t="shared" si="69"/>
        <v>0.17866987119306024</v>
      </c>
      <c r="T56" s="709">
        <f t="shared" si="69"/>
        <v>0.16304565729464235</v>
      </c>
      <c r="U56" s="709">
        <f t="shared" si="69"/>
        <v>0.16172000105006168</v>
      </c>
      <c r="V56" s="710">
        <f t="shared" si="69"/>
        <v>0.17249079045822219</v>
      </c>
      <c r="W56" s="709">
        <f t="shared" si="69"/>
        <v>0.13794700193085613</v>
      </c>
      <c r="X56" s="709">
        <f t="shared" si="69"/>
        <v>0.12881431898838344</v>
      </c>
      <c r="Y56" s="709">
        <f t="shared" si="69"/>
        <v>0.10746589084472298</v>
      </c>
      <c r="Z56" s="709">
        <f t="shared" si="69"/>
        <v>0.10621876416849499</v>
      </c>
      <c r="AA56" s="710">
        <f t="shared" si="69"/>
        <v>0.11756157290046067</v>
      </c>
      <c r="AB56" s="709">
        <f t="shared" si="69"/>
        <v>9.7622706104349019E-2</v>
      </c>
      <c r="AC56" s="709">
        <f t="shared" si="69"/>
        <v>9.2002381105605269E-2</v>
      </c>
      <c r="AD56" s="709">
        <f t="shared" si="69"/>
        <v>8.2744493993120644E-2</v>
      </c>
      <c r="AE56" s="709">
        <f t="shared" si="69"/>
        <v>8.0023836526250752E-2</v>
      </c>
      <c r="AF56" s="710">
        <f t="shared" si="69"/>
        <v>8.7239471761796125E-2</v>
      </c>
      <c r="AG56" s="709">
        <f t="shared" si="69"/>
        <v>7.6555607048760493E-2</v>
      </c>
      <c r="AH56" s="709">
        <f t="shared" si="69"/>
        <v>7.5394128940176677E-2</v>
      </c>
      <c r="AI56" s="709">
        <f t="shared" si="69"/>
        <v>6.8077959826907272E-2</v>
      </c>
      <c r="AJ56" s="709">
        <f t="shared" si="69"/>
        <v>6.586299969407472E-2</v>
      </c>
      <c r="AK56" s="710">
        <f t="shared" si="69"/>
        <v>7.1107351569879657E-2</v>
      </c>
      <c r="AL56" s="709">
        <f t="shared" si="69"/>
        <v>6.8960274354447695E-2</v>
      </c>
      <c r="AM56" s="709">
        <f t="shared" si="69"/>
        <v>6.8062194486103622E-2</v>
      </c>
      <c r="AN56" s="1265">
        <f t="shared" si="69"/>
        <v>6.6793759433771999E-2</v>
      </c>
      <c r="AO56" s="709">
        <f t="shared" si="69"/>
        <v>6.4465883640564658E-2</v>
      </c>
      <c r="AP56" s="710">
        <f t="shared" si="69"/>
        <v>6.6959317184333969E-2</v>
      </c>
      <c r="AQ56" s="709">
        <f t="shared" ref="AQ56:AS56" si="70">IFERROR(AQ53/AQ$10,"--")</f>
        <v>6.1186633578805334E-2</v>
      </c>
      <c r="AR56" s="1265">
        <f t="shared" si="70"/>
        <v>5.9816466646695238E-2</v>
      </c>
      <c r="AS56" s="1265">
        <f t="shared" si="70"/>
        <v>5.3510197384964577E-2</v>
      </c>
      <c r="AT56" s="706">
        <f>AO56-0.5%</f>
        <v>5.9465883640564661E-2</v>
      </c>
      <c r="AU56" s="705">
        <f>IFERROR(AU53/AU$10,"--")</f>
        <v>5.8384056365321776E-2</v>
      </c>
      <c r="AV56" s="706">
        <f>AQ56-0.7%</f>
        <v>5.4186633578805335E-2</v>
      </c>
      <c r="AW56" s="706">
        <f t="shared" ref="AW56:AY56" si="71">AR56-0.7%</f>
        <v>5.2816466646695238E-2</v>
      </c>
      <c r="AX56" s="706">
        <f t="shared" si="71"/>
        <v>4.6510197384964577E-2</v>
      </c>
      <c r="AY56" s="706">
        <f t="shared" si="71"/>
        <v>5.2465883640564662E-2</v>
      </c>
      <c r="AZ56" s="705">
        <f>IFERROR(AZ53/AZ$10,"--")</f>
        <v>5.1394550874454888E-2</v>
      </c>
      <c r="BA56" s="706">
        <f>AV56-0.5%</f>
        <v>4.9186633578805337E-2</v>
      </c>
      <c r="BB56" s="706">
        <f t="shared" ref="BB56:BD56" si="72">AW56-0.5%</f>
        <v>4.7816466646695241E-2</v>
      </c>
      <c r="BC56" s="706">
        <f t="shared" si="72"/>
        <v>4.151019738496458E-2</v>
      </c>
      <c r="BD56" s="706">
        <f t="shared" si="72"/>
        <v>4.7465883640564664E-2</v>
      </c>
      <c r="BE56" s="705">
        <f>IFERROR(BE53/BE$10,"--")</f>
        <v>4.6387177437583443E-2</v>
      </c>
      <c r="BF56" s="706">
        <f>BA56</f>
        <v>4.9186633578805337E-2</v>
      </c>
      <c r="BG56" s="706">
        <f t="shared" ref="BG56:BI56" si="73">BB56</f>
        <v>4.7816466646695241E-2</v>
      </c>
      <c r="BH56" s="706">
        <f t="shared" si="73"/>
        <v>4.151019738496458E-2</v>
      </c>
      <c r="BI56" s="706">
        <f t="shared" si="73"/>
        <v>4.7465883640564664E-2</v>
      </c>
      <c r="BJ56" s="705">
        <f>IFERROR(BJ53/BJ$10,"--")</f>
        <v>4.6372465026248047E-2</v>
      </c>
      <c r="BK56" s="706">
        <f>BF56</f>
        <v>4.9186633578805337E-2</v>
      </c>
      <c r="BL56" s="706">
        <f t="shared" ref="BL56:BN56" si="74">BG56</f>
        <v>4.7816466646695241E-2</v>
      </c>
      <c r="BM56" s="706">
        <f t="shared" si="74"/>
        <v>4.151019738496458E-2</v>
      </c>
      <c r="BN56" s="706">
        <f t="shared" si="74"/>
        <v>4.7465883640564664E-2</v>
      </c>
      <c r="BO56" s="705">
        <f>IFERROR(BO53/BO$10,"--")</f>
        <v>4.6370858821778306E-2</v>
      </c>
    </row>
    <row r="57" spans="1:67">
      <c r="A57" s="620"/>
      <c r="B57" s="1162"/>
      <c r="C57" s="627"/>
      <c r="D57" s="628"/>
      <c r="E57" s="628"/>
      <c r="F57" s="626"/>
      <c r="G57" s="625"/>
      <c r="H57" s="627"/>
      <c r="I57" s="628"/>
      <c r="J57" s="628"/>
      <c r="K57" s="626"/>
      <c r="L57" s="625"/>
      <c r="M57" s="627"/>
      <c r="N57" s="628"/>
      <c r="O57" s="628"/>
      <c r="P57" s="626"/>
      <c r="Q57" s="625"/>
      <c r="R57" s="627"/>
      <c r="S57" s="628"/>
      <c r="T57" s="628"/>
      <c r="U57" s="626"/>
      <c r="V57" s="625"/>
      <c r="W57" s="627"/>
      <c r="X57" s="628"/>
      <c r="Y57" s="628"/>
      <c r="Z57" s="626"/>
      <c r="AA57" s="625"/>
      <c r="AB57" s="627"/>
      <c r="AC57" s="628"/>
      <c r="AD57" s="628"/>
      <c r="AE57" s="626"/>
      <c r="AF57" s="625"/>
      <c r="AG57" s="627"/>
      <c r="AH57" s="628"/>
      <c r="AI57" s="628"/>
      <c r="AJ57" s="626"/>
      <c r="AK57" s="625"/>
      <c r="AL57" s="627"/>
      <c r="AM57" s="628"/>
      <c r="AN57" s="587"/>
      <c r="AO57" s="626"/>
      <c r="AP57" s="625"/>
      <c r="AQ57" s="627"/>
      <c r="AR57" s="587"/>
      <c r="AS57" s="587"/>
      <c r="AT57" s="468"/>
      <c r="AU57" s="413"/>
      <c r="AV57" s="576"/>
      <c r="AW57" s="468"/>
      <c r="AX57" s="468"/>
      <c r="AY57" s="468"/>
      <c r="AZ57" s="413"/>
      <c r="BA57" s="576"/>
      <c r="BB57" s="468"/>
      <c r="BC57" s="468"/>
      <c r="BD57" s="468"/>
      <c r="BE57" s="413"/>
      <c r="BF57" s="576"/>
      <c r="BG57" s="468"/>
      <c r="BH57" s="468"/>
      <c r="BI57" s="468"/>
      <c r="BJ57" s="413"/>
      <c r="BK57" s="576"/>
      <c r="BL57" s="468"/>
      <c r="BM57" s="468"/>
      <c r="BN57" s="468"/>
      <c r="BO57" s="413"/>
    </row>
    <row r="58" spans="1:67" s="1039" customFormat="1">
      <c r="A58" s="1036"/>
      <c r="B58" s="1161" t="s">
        <v>46</v>
      </c>
      <c r="C58" s="1149"/>
      <c r="D58" s="1149"/>
      <c r="E58" s="1149"/>
      <c r="F58" s="1149"/>
      <c r="G58" s="1150">
        <f>SUM(C58:F58)</f>
        <v>0</v>
      </c>
      <c r="H58" s="1149">
        <f>'IS (GAAP)'!H58</f>
        <v>0</v>
      </c>
      <c r="I58" s="1149">
        <f>'IS (GAAP)'!I58</f>
        <v>0</v>
      </c>
      <c r="J58" s="1149">
        <f>'IS (GAAP)'!J58</f>
        <v>0</v>
      </c>
      <c r="K58" s="1149">
        <f>'IS (GAAP)'!K58</f>
        <v>0</v>
      </c>
      <c r="L58" s="1150">
        <f>SUM(H58:K58)</f>
        <v>0</v>
      </c>
      <c r="M58" s="1149">
        <f>'IS (GAAP)'!M58</f>
        <v>0</v>
      </c>
      <c r="N58" s="1149">
        <f>'IS (GAAP)'!N58</f>
        <v>0</v>
      </c>
      <c r="O58" s="1149">
        <f>'IS (GAAP)'!O58</f>
        <v>0</v>
      </c>
      <c r="P58" s="1149">
        <f>'IS (GAAP)'!P58</f>
        <v>0</v>
      </c>
      <c r="Q58" s="1150">
        <f>SUM(M58:P58)</f>
        <v>0</v>
      </c>
      <c r="R58" s="1149">
        <f>'IS (GAAP)'!R58</f>
        <v>0</v>
      </c>
      <c r="S58" s="1149">
        <f>'IS (GAAP)'!S58</f>
        <v>0</v>
      </c>
      <c r="T58" s="1149">
        <f>'IS (GAAP)'!T58</f>
        <v>0</v>
      </c>
      <c r="U58" s="1149">
        <f>'IS (GAAP)'!U58</f>
        <v>0</v>
      </c>
      <c r="V58" s="1150">
        <f>SUM(R58:U58)</f>
        <v>0</v>
      </c>
      <c r="W58" s="1149">
        <f>'IS (GAAP)'!W58</f>
        <v>0</v>
      </c>
      <c r="X58" s="1149">
        <f>'IS (GAAP)'!X58</f>
        <v>0</v>
      </c>
      <c r="Y58" s="1149">
        <f>'IS (GAAP)'!Y58</f>
        <v>0</v>
      </c>
      <c r="Z58" s="1149">
        <f>'IS (GAAP)'!Z58</f>
        <v>0</v>
      </c>
      <c r="AA58" s="1150">
        <f>SUM(W58:Z58)</f>
        <v>0</v>
      </c>
      <c r="AB58" s="1149">
        <f>'IS (GAAP)'!AB58</f>
        <v>0</v>
      </c>
      <c r="AC58" s="1149">
        <f>'IS (GAAP)'!AC58</f>
        <v>0</v>
      </c>
      <c r="AD58" s="1149">
        <f>'IS (GAAP)'!AD58</f>
        <v>0</v>
      </c>
      <c r="AE58" s="1149">
        <f>'IS (GAAP)'!AE58</f>
        <v>0</v>
      </c>
      <c r="AF58" s="1150">
        <f>SUM(AB58:AE58)</f>
        <v>0</v>
      </c>
      <c r="AG58" s="1149">
        <f>'IS (GAAP)'!AG58</f>
        <v>0</v>
      </c>
      <c r="AH58" s="1149">
        <f>'IS (GAAP)'!AH58</f>
        <v>0</v>
      </c>
      <c r="AI58" s="1149">
        <f>'IS (GAAP)'!AI58</f>
        <v>0</v>
      </c>
      <c r="AJ58" s="1149">
        <f>'IS (GAAP)'!AJ58</f>
        <v>0</v>
      </c>
      <c r="AK58" s="1150">
        <f>SUM(AG58:AJ58)</f>
        <v>0</v>
      </c>
      <c r="AL58" s="1149">
        <f>'IS (GAAP)'!AL58</f>
        <v>0</v>
      </c>
      <c r="AM58" s="1149">
        <f>'IS (GAAP)'!AM58</f>
        <v>0</v>
      </c>
      <c r="AN58" s="1264">
        <f>'IS (GAAP)'!AN58</f>
        <v>0</v>
      </c>
      <c r="AO58" s="1149">
        <f>'IS (GAAP)'!AO58</f>
        <v>0</v>
      </c>
      <c r="AP58" s="1150">
        <f>SUM(AL58:AO58)</f>
        <v>0</v>
      </c>
      <c r="AQ58" s="1149">
        <f>'IS (GAAP)'!AQ58</f>
        <v>0</v>
      </c>
      <c r="AR58" s="1264">
        <f>'IS (GAAP)'!AR58</f>
        <v>0</v>
      </c>
      <c r="AS58" s="1264">
        <f>'IS (GAAP)'!AS58</f>
        <v>0</v>
      </c>
      <c r="AT58" s="1149"/>
      <c r="AU58" s="1151">
        <f>SUM(AQ58:AT58)</f>
        <v>0</v>
      </c>
      <c r="AV58" s="1149"/>
      <c r="AW58" s="1149"/>
      <c r="AX58" s="1149"/>
      <c r="AY58" s="1149"/>
      <c r="AZ58" s="1151">
        <f>SUM(AV58:AY58)</f>
        <v>0</v>
      </c>
      <c r="BA58" s="1149"/>
      <c r="BB58" s="1149"/>
      <c r="BC58" s="1149"/>
      <c r="BD58" s="1149"/>
      <c r="BE58" s="1151">
        <f>SUM(BA58:BD58)</f>
        <v>0</v>
      </c>
      <c r="BF58" s="1149"/>
      <c r="BG58" s="1149"/>
      <c r="BH58" s="1149"/>
      <c r="BI58" s="1149"/>
      <c r="BJ58" s="1151">
        <f>SUM(BF58:BI58)</f>
        <v>0</v>
      </c>
      <c r="BK58" s="1149"/>
      <c r="BL58" s="1149"/>
      <c r="BM58" s="1149"/>
      <c r="BN58" s="1149"/>
      <c r="BO58" s="1151">
        <f>SUM(BK58:BN58)</f>
        <v>0</v>
      </c>
    </row>
    <row r="59" spans="1:67">
      <c r="A59" s="623"/>
      <c r="B59" s="1079" t="s">
        <v>204</v>
      </c>
      <c r="C59" s="691" t="s">
        <v>36</v>
      </c>
      <c r="D59" s="692" t="s">
        <v>36</v>
      </c>
      <c r="E59" s="692" t="s">
        <v>36</v>
      </c>
      <c r="F59" s="692" t="s">
        <v>36</v>
      </c>
      <c r="G59" s="693" t="s">
        <v>36</v>
      </c>
      <c r="H59" s="691" t="str">
        <f t="shared" ref="H59:AM59" si="75">IFERROR(H58/C58-1,"--")</f>
        <v>--</v>
      </c>
      <c r="I59" s="692" t="str">
        <f t="shared" si="75"/>
        <v>--</v>
      </c>
      <c r="J59" s="692" t="str">
        <f t="shared" si="75"/>
        <v>--</v>
      </c>
      <c r="K59" s="692" t="str">
        <f t="shared" si="75"/>
        <v>--</v>
      </c>
      <c r="L59" s="693" t="str">
        <f t="shared" si="75"/>
        <v>--</v>
      </c>
      <c r="M59" s="691" t="str">
        <f t="shared" si="75"/>
        <v>--</v>
      </c>
      <c r="N59" s="692" t="str">
        <f t="shared" si="75"/>
        <v>--</v>
      </c>
      <c r="O59" s="692" t="str">
        <f t="shared" si="75"/>
        <v>--</v>
      </c>
      <c r="P59" s="692" t="str">
        <f t="shared" si="75"/>
        <v>--</v>
      </c>
      <c r="Q59" s="693" t="str">
        <f t="shared" si="75"/>
        <v>--</v>
      </c>
      <c r="R59" s="691" t="str">
        <f t="shared" si="75"/>
        <v>--</v>
      </c>
      <c r="S59" s="692" t="str">
        <f t="shared" si="75"/>
        <v>--</v>
      </c>
      <c r="T59" s="692" t="str">
        <f t="shared" si="75"/>
        <v>--</v>
      </c>
      <c r="U59" s="692" t="str">
        <f t="shared" si="75"/>
        <v>--</v>
      </c>
      <c r="V59" s="693" t="str">
        <f t="shared" si="75"/>
        <v>--</v>
      </c>
      <c r="W59" s="691" t="str">
        <f t="shared" si="75"/>
        <v>--</v>
      </c>
      <c r="X59" s="692" t="str">
        <f t="shared" si="75"/>
        <v>--</v>
      </c>
      <c r="Y59" s="692" t="str">
        <f t="shared" si="75"/>
        <v>--</v>
      </c>
      <c r="Z59" s="692" t="str">
        <f t="shared" si="75"/>
        <v>--</v>
      </c>
      <c r="AA59" s="693" t="str">
        <f t="shared" si="75"/>
        <v>--</v>
      </c>
      <c r="AB59" s="691" t="str">
        <f t="shared" si="75"/>
        <v>--</v>
      </c>
      <c r="AC59" s="692" t="str">
        <f t="shared" si="75"/>
        <v>--</v>
      </c>
      <c r="AD59" s="692" t="str">
        <f t="shared" si="75"/>
        <v>--</v>
      </c>
      <c r="AE59" s="692" t="str">
        <f t="shared" si="75"/>
        <v>--</v>
      </c>
      <c r="AF59" s="693" t="str">
        <f t="shared" si="75"/>
        <v>--</v>
      </c>
      <c r="AG59" s="691" t="str">
        <f t="shared" si="75"/>
        <v>--</v>
      </c>
      <c r="AH59" s="692" t="str">
        <f t="shared" si="75"/>
        <v>--</v>
      </c>
      <c r="AI59" s="692" t="str">
        <f t="shared" si="75"/>
        <v>--</v>
      </c>
      <c r="AJ59" s="692" t="str">
        <f t="shared" si="75"/>
        <v>--</v>
      </c>
      <c r="AK59" s="693" t="str">
        <f t="shared" si="75"/>
        <v>--</v>
      </c>
      <c r="AL59" s="691" t="str">
        <f t="shared" si="75"/>
        <v>--</v>
      </c>
      <c r="AM59" s="692" t="str">
        <f t="shared" si="75"/>
        <v>--</v>
      </c>
      <c r="AN59" s="1267" t="str">
        <f t="shared" ref="AN59:BJ59" si="76">IFERROR(AN58/AI58-1,"--")</f>
        <v>--</v>
      </c>
      <c r="AO59" s="692" t="str">
        <f>IFERROR(AO58/AJ58-1,"--")</f>
        <v>--</v>
      </c>
      <c r="AP59" s="693" t="str">
        <f>IFERROR(AP58/AK58-1,"--")</f>
        <v>--</v>
      </c>
      <c r="AQ59" s="691" t="str">
        <f t="shared" ref="AQ59:AR59" si="77">IFERROR(AQ58/AL58-1,"--")</f>
        <v>--</v>
      </c>
      <c r="AR59" s="1267" t="str">
        <f t="shared" si="77"/>
        <v>--</v>
      </c>
      <c r="AS59" s="1267" t="str">
        <f t="shared" si="76"/>
        <v>--</v>
      </c>
      <c r="AT59" s="692" t="str">
        <f t="shared" si="76"/>
        <v>--</v>
      </c>
      <c r="AU59" s="601" t="str">
        <f t="shared" si="76"/>
        <v>--</v>
      </c>
      <c r="AV59" s="691" t="str">
        <f t="shared" si="76"/>
        <v>--</v>
      </c>
      <c r="AW59" s="692" t="str">
        <f t="shared" si="76"/>
        <v>--</v>
      </c>
      <c r="AX59" s="692" t="str">
        <f t="shared" si="76"/>
        <v>--</v>
      </c>
      <c r="AY59" s="692" t="str">
        <f t="shared" si="76"/>
        <v>--</v>
      </c>
      <c r="AZ59" s="601" t="str">
        <f t="shared" si="76"/>
        <v>--</v>
      </c>
      <c r="BA59" s="691" t="str">
        <f t="shared" si="76"/>
        <v>--</v>
      </c>
      <c r="BB59" s="692" t="str">
        <f t="shared" si="76"/>
        <v>--</v>
      </c>
      <c r="BC59" s="692" t="str">
        <f t="shared" si="76"/>
        <v>--</v>
      </c>
      <c r="BD59" s="692" t="str">
        <f t="shared" si="76"/>
        <v>--</v>
      </c>
      <c r="BE59" s="601" t="str">
        <f t="shared" si="76"/>
        <v>--</v>
      </c>
      <c r="BF59" s="691" t="str">
        <f t="shared" si="76"/>
        <v>--</v>
      </c>
      <c r="BG59" s="692" t="str">
        <f t="shared" si="76"/>
        <v>--</v>
      </c>
      <c r="BH59" s="692" t="str">
        <f t="shared" si="76"/>
        <v>--</v>
      </c>
      <c r="BI59" s="692" t="str">
        <f t="shared" si="76"/>
        <v>--</v>
      </c>
      <c r="BJ59" s="601" t="str">
        <f t="shared" si="76"/>
        <v>--</v>
      </c>
      <c r="BK59" s="691" t="str">
        <f>IFERROR(BK58/BF58-1,"--")</f>
        <v>--</v>
      </c>
      <c r="BL59" s="692" t="str">
        <f>IFERROR(BL58/BG58-1,"--")</f>
        <v>--</v>
      </c>
      <c r="BM59" s="692" t="str">
        <f>IFERROR(BM58/BH58-1,"--")</f>
        <v>--</v>
      </c>
      <c r="BN59" s="692" t="str">
        <f>IFERROR(BN58/BI58-1,"--")</f>
        <v>--</v>
      </c>
      <c r="BO59" s="601" t="str">
        <f>IFERROR(BO58/BJ58-1,"--")</f>
        <v>--</v>
      </c>
    </row>
    <row r="60" spans="1:67">
      <c r="A60" s="382"/>
      <c r="B60" s="1079" t="s">
        <v>205</v>
      </c>
      <c r="C60" s="691" t="s">
        <v>36</v>
      </c>
      <c r="D60" s="692" t="str">
        <f>IFERROR(D58/C58-1,"--")</f>
        <v>--</v>
      </c>
      <c r="E60" s="692" t="str">
        <f>IFERROR(E58/D58-1,"--")</f>
        <v>--</v>
      </c>
      <c r="F60" s="692" t="str">
        <f>IFERROR(F58/E58-1,"--")</f>
        <v>--</v>
      </c>
      <c r="G60" s="693"/>
      <c r="H60" s="691" t="str">
        <f>IFERROR(H58/F58-1,"--")</f>
        <v>--</v>
      </c>
      <c r="I60" s="692" t="str">
        <f>IFERROR(I58/H58-1,"--")</f>
        <v>--</v>
      </c>
      <c r="J60" s="692" t="str">
        <f>IFERROR(J58/I58-1,"--")</f>
        <v>--</v>
      </c>
      <c r="K60" s="692" t="str">
        <f>IFERROR(K58/J58-1,"--")</f>
        <v>--</v>
      </c>
      <c r="L60" s="693"/>
      <c r="M60" s="691" t="str">
        <f>IFERROR(M58/K58-1,"--")</f>
        <v>--</v>
      </c>
      <c r="N60" s="692" t="str">
        <f>IFERROR(N58/M58-1,"--")</f>
        <v>--</v>
      </c>
      <c r="O60" s="692" t="str">
        <f>IFERROR(O58/N58-1,"--")</f>
        <v>--</v>
      </c>
      <c r="P60" s="692" t="str">
        <f>IFERROR(P58/O58-1,"--")</f>
        <v>--</v>
      </c>
      <c r="Q60" s="693"/>
      <c r="R60" s="691" t="str">
        <f>IFERROR(R58/P58-1,"--")</f>
        <v>--</v>
      </c>
      <c r="S60" s="692" t="str">
        <f>IFERROR(S58/R58-1,"--")</f>
        <v>--</v>
      </c>
      <c r="T60" s="692" t="str">
        <f>IFERROR(T58/S58-1,"--")</f>
        <v>--</v>
      </c>
      <c r="U60" s="692" t="str">
        <f>IFERROR(U58/T58-1,"--")</f>
        <v>--</v>
      </c>
      <c r="V60" s="693"/>
      <c r="W60" s="691" t="str">
        <f>IFERROR(W58/U58-1,"--")</f>
        <v>--</v>
      </c>
      <c r="X60" s="692" t="str">
        <f>IFERROR(X58/W58-1,"--")</f>
        <v>--</v>
      </c>
      <c r="Y60" s="692" t="str">
        <f>IFERROR(Y58/X58-1,"--")</f>
        <v>--</v>
      </c>
      <c r="Z60" s="692" t="str">
        <f>IFERROR(Z58/Y58-1,"--")</f>
        <v>--</v>
      </c>
      <c r="AA60" s="693"/>
      <c r="AB60" s="691" t="str">
        <f>IFERROR(AB58/Z58-1,"--")</f>
        <v>--</v>
      </c>
      <c r="AC60" s="692" t="str">
        <f>IFERROR(AC58/AB58-1,"--")</f>
        <v>--</v>
      </c>
      <c r="AD60" s="692" t="str">
        <f>IFERROR(AD58/AC58-1,"--")</f>
        <v>--</v>
      </c>
      <c r="AE60" s="692" t="str">
        <f>IFERROR(AE58/AD58-1,"--")</f>
        <v>--</v>
      </c>
      <c r="AF60" s="693"/>
      <c r="AG60" s="691" t="str">
        <f>IFERROR(AG58/AE58-1,"--")</f>
        <v>--</v>
      </c>
      <c r="AH60" s="692" t="str">
        <f>IFERROR(AH58/AG58-1,"--")</f>
        <v>--</v>
      </c>
      <c r="AI60" s="692" t="str">
        <f>IFERROR(AI58/AH58-1,"--")</f>
        <v>--</v>
      </c>
      <c r="AJ60" s="692" t="str">
        <f>IFERROR(AJ58/AI58-1,"--")</f>
        <v>--</v>
      </c>
      <c r="AK60" s="693"/>
      <c r="AL60" s="691" t="str">
        <f>IFERROR(AL58/AJ58-1,"--")</f>
        <v>--</v>
      </c>
      <c r="AM60" s="692" t="str">
        <f>IFERROR(AM58/AL58-1,"--")</f>
        <v>--</v>
      </c>
      <c r="AN60" s="1267" t="str">
        <f>IFERROR(AN58/AM58-1,"--")</f>
        <v>--</v>
      </c>
      <c r="AO60" s="692" t="str">
        <f>IFERROR(AO58/AN58-1,"--")</f>
        <v>--</v>
      </c>
      <c r="AP60" s="693"/>
      <c r="AQ60" s="691" t="str">
        <f>IFERROR(AQ58/AO58-1,"--")</f>
        <v>--</v>
      </c>
      <c r="AR60" s="1267" t="str">
        <f>IFERROR(AR58/AQ58-1,"--")</f>
        <v>--</v>
      </c>
      <c r="AS60" s="1267" t="str">
        <f>IFERROR(AS58/AR58-1,"--")</f>
        <v>--</v>
      </c>
      <c r="AT60" s="692" t="str">
        <f>IFERROR(AT58/AS58-1,"--")</f>
        <v>--</v>
      </c>
      <c r="AU60" s="601"/>
      <c r="AV60" s="691" t="str">
        <f>IFERROR(AV58/AT58-1,"--")</f>
        <v>--</v>
      </c>
      <c r="AW60" s="692" t="str">
        <f>IFERROR(AW58/AV58-1,"--")</f>
        <v>--</v>
      </c>
      <c r="AX60" s="692" t="str">
        <f>IFERROR(AX58/AW58-1,"--")</f>
        <v>--</v>
      </c>
      <c r="AY60" s="692" t="str">
        <f>IFERROR(AY58/AX58-1,"--")</f>
        <v>--</v>
      </c>
      <c r="AZ60" s="601"/>
      <c r="BA60" s="691" t="str">
        <f>IFERROR(BA58/AY58-1,"--")</f>
        <v>--</v>
      </c>
      <c r="BB60" s="692" t="str">
        <f>IFERROR(BB58/BA58-1,"--")</f>
        <v>--</v>
      </c>
      <c r="BC60" s="692" t="str">
        <f>IFERROR(BC58/BB58-1,"--")</f>
        <v>--</v>
      </c>
      <c r="BD60" s="692" t="str">
        <f>IFERROR(BD58/BC58-1,"--")</f>
        <v>--</v>
      </c>
      <c r="BE60" s="601"/>
      <c r="BF60" s="691" t="str">
        <f>IFERROR(BF58/BD58-1,"--")</f>
        <v>--</v>
      </c>
      <c r="BG60" s="692" t="str">
        <f>IFERROR(BG58/BF58-1,"--")</f>
        <v>--</v>
      </c>
      <c r="BH60" s="692" t="str">
        <f>IFERROR(BH58/BG58-1,"--")</f>
        <v>--</v>
      </c>
      <c r="BI60" s="692" t="str">
        <f>IFERROR(BI58/BH58-1,"--")</f>
        <v>--</v>
      </c>
      <c r="BJ60" s="601"/>
      <c r="BK60" s="691" t="str">
        <f>IFERROR(BK58/BI58-1,"--")</f>
        <v>--</v>
      </c>
      <c r="BL60" s="692" t="str">
        <f>IFERROR(BL58/BK58-1,"--")</f>
        <v>--</v>
      </c>
      <c r="BM60" s="692" t="str">
        <f>IFERROR(BM58/BL58-1,"--")</f>
        <v>--</v>
      </c>
      <c r="BN60" s="692" t="str">
        <f>IFERROR(BN58/BM58-1,"--")</f>
        <v>--</v>
      </c>
      <c r="BO60" s="601"/>
    </row>
    <row r="61" spans="1:67">
      <c r="A61" s="382"/>
      <c r="B61" s="1079" t="s">
        <v>333</v>
      </c>
      <c r="C61" s="600" t="str">
        <f t="shared" ref="C61:AH61" si="78">IFERROR(C58/C$10,"--")</f>
        <v>--</v>
      </c>
      <c r="D61" s="600" t="str">
        <f t="shared" si="78"/>
        <v>--</v>
      </c>
      <c r="E61" s="600" t="str">
        <f t="shared" si="78"/>
        <v>--</v>
      </c>
      <c r="F61" s="600" t="str">
        <f t="shared" si="78"/>
        <v>--</v>
      </c>
      <c r="G61" s="601" t="str">
        <f t="shared" si="78"/>
        <v>--</v>
      </c>
      <c r="H61" s="600">
        <f t="shared" si="78"/>
        <v>0</v>
      </c>
      <c r="I61" s="600">
        <f t="shared" si="78"/>
        <v>0</v>
      </c>
      <c r="J61" s="600">
        <f t="shared" si="78"/>
        <v>0</v>
      </c>
      <c r="K61" s="600">
        <f t="shared" si="78"/>
        <v>0</v>
      </c>
      <c r="L61" s="601">
        <f t="shared" si="78"/>
        <v>0</v>
      </c>
      <c r="M61" s="600">
        <f t="shared" si="78"/>
        <v>0</v>
      </c>
      <c r="N61" s="600">
        <f t="shared" si="78"/>
        <v>0</v>
      </c>
      <c r="O61" s="600">
        <f t="shared" si="78"/>
        <v>0</v>
      </c>
      <c r="P61" s="600">
        <f t="shared" si="78"/>
        <v>0</v>
      </c>
      <c r="Q61" s="601">
        <f t="shared" si="78"/>
        <v>0</v>
      </c>
      <c r="R61" s="600">
        <f t="shared" si="78"/>
        <v>0</v>
      </c>
      <c r="S61" s="600">
        <f t="shared" si="78"/>
        <v>0</v>
      </c>
      <c r="T61" s="600">
        <f t="shared" si="78"/>
        <v>0</v>
      </c>
      <c r="U61" s="600">
        <f t="shared" si="78"/>
        <v>0</v>
      </c>
      <c r="V61" s="601">
        <f t="shared" si="78"/>
        <v>0</v>
      </c>
      <c r="W61" s="600">
        <f t="shared" si="78"/>
        <v>0</v>
      </c>
      <c r="X61" s="600">
        <f t="shared" si="78"/>
        <v>0</v>
      </c>
      <c r="Y61" s="600">
        <f t="shared" si="78"/>
        <v>0</v>
      </c>
      <c r="Z61" s="600">
        <f t="shared" si="78"/>
        <v>0</v>
      </c>
      <c r="AA61" s="601">
        <f t="shared" si="78"/>
        <v>0</v>
      </c>
      <c r="AB61" s="600">
        <f t="shared" si="78"/>
        <v>0</v>
      </c>
      <c r="AC61" s="600">
        <f t="shared" si="78"/>
        <v>0</v>
      </c>
      <c r="AD61" s="600">
        <f t="shared" si="78"/>
        <v>0</v>
      </c>
      <c r="AE61" s="600">
        <f t="shared" si="78"/>
        <v>0</v>
      </c>
      <c r="AF61" s="601">
        <f t="shared" si="78"/>
        <v>0</v>
      </c>
      <c r="AG61" s="600">
        <f t="shared" si="78"/>
        <v>0</v>
      </c>
      <c r="AH61" s="600">
        <f t="shared" si="78"/>
        <v>0</v>
      </c>
      <c r="AI61" s="600">
        <f t="shared" ref="AI61:BO61" si="79">IFERROR(AI58/AI$10,"--")</f>
        <v>0</v>
      </c>
      <c r="AJ61" s="600">
        <f t="shared" si="79"/>
        <v>0</v>
      </c>
      <c r="AK61" s="601">
        <f t="shared" si="79"/>
        <v>0</v>
      </c>
      <c r="AL61" s="600">
        <f t="shared" si="79"/>
        <v>0</v>
      </c>
      <c r="AM61" s="600">
        <f t="shared" si="79"/>
        <v>0</v>
      </c>
      <c r="AN61" s="1268">
        <f t="shared" si="79"/>
        <v>0</v>
      </c>
      <c r="AO61" s="600">
        <f t="shared" si="79"/>
        <v>0</v>
      </c>
      <c r="AP61" s="601">
        <f t="shared" si="79"/>
        <v>0</v>
      </c>
      <c r="AQ61" s="600">
        <f t="shared" ref="AQ61:AS61" si="80">IFERROR(AQ58/AQ$10,"--")</f>
        <v>0</v>
      </c>
      <c r="AR61" s="1268">
        <f t="shared" si="80"/>
        <v>0</v>
      </c>
      <c r="AS61" s="1268">
        <f t="shared" si="80"/>
        <v>0</v>
      </c>
      <c r="AT61" s="600">
        <f t="shared" si="79"/>
        <v>0</v>
      </c>
      <c r="AU61" s="601">
        <f t="shared" si="79"/>
        <v>0</v>
      </c>
      <c r="AV61" s="600">
        <f t="shared" si="79"/>
        <v>0</v>
      </c>
      <c r="AW61" s="600">
        <f t="shared" si="79"/>
        <v>0</v>
      </c>
      <c r="AX61" s="600">
        <f t="shared" si="79"/>
        <v>0</v>
      </c>
      <c r="AY61" s="600">
        <f t="shared" si="79"/>
        <v>0</v>
      </c>
      <c r="AZ61" s="601">
        <f t="shared" si="79"/>
        <v>0</v>
      </c>
      <c r="BA61" s="600">
        <f t="shared" si="79"/>
        <v>0</v>
      </c>
      <c r="BB61" s="600">
        <f t="shared" si="79"/>
        <v>0</v>
      </c>
      <c r="BC61" s="600">
        <f t="shared" si="79"/>
        <v>0</v>
      </c>
      <c r="BD61" s="600">
        <f t="shared" si="79"/>
        <v>0</v>
      </c>
      <c r="BE61" s="601">
        <f t="shared" si="79"/>
        <v>0</v>
      </c>
      <c r="BF61" s="600">
        <f t="shared" si="79"/>
        <v>0</v>
      </c>
      <c r="BG61" s="600">
        <f t="shared" si="79"/>
        <v>0</v>
      </c>
      <c r="BH61" s="600">
        <f t="shared" si="79"/>
        <v>0</v>
      </c>
      <c r="BI61" s="600">
        <f t="shared" si="79"/>
        <v>0</v>
      </c>
      <c r="BJ61" s="601">
        <f t="shared" si="79"/>
        <v>0</v>
      </c>
      <c r="BK61" s="600">
        <f t="shared" si="79"/>
        <v>0</v>
      </c>
      <c r="BL61" s="600">
        <f t="shared" si="79"/>
        <v>0</v>
      </c>
      <c r="BM61" s="600">
        <f t="shared" si="79"/>
        <v>0</v>
      </c>
      <c r="BN61" s="600">
        <f t="shared" si="79"/>
        <v>0</v>
      </c>
      <c r="BO61" s="601">
        <f t="shared" si="79"/>
        <v>0</v>
      </c>
    </row>
    <row r="62" spans="1:67">
      <c r="A62" s="620"/>
      <c r="B62" s="1162"/>
      <c r="C62" s="627"/>
      <c r="D62" s="628"/>
      <c r="E62" s="628"/>
      <c r="F62" s="626"/>
      <c r="G62" s="625"/>
      <c r="H62" s="627"/>
      <c r="I62" s="628"/>
      <c r="J62" s="628"/>
      <c r="K62" s="626"/>
      <c r="L62" s="625"/>
      <c r="M62" s="627"/>
      <c r="N62" s="628"/>
      <c r="O62" s="628"/>
      <c r="P62" s="626"/>
      <c r="Q62" s="625"/>
      <c r="R62" s="627"/>
      <c r="S62" s="628"/>
      <c r="T62" s="628"/>
      <c r="U62" s="626"/>
      <c r="V62" s="625"/>
      <c r="W62" s="627"/>
      <c r="X62" s="628"/>
      <c r="Y62" s="628"/>
      <c r="Z62" s="626"/>
      <c r="AA62" s="625"/>
      <c r="AB62" s="627"/>
      <c r="AC62" s="628"/>
      <c r="AD62" s="628"/>
      <c r="AE62" s="626"/>
      <c r="AF62" s="625"/>
      <c r="AG62" s="627"/>
      <c r="AH62" s="628"/>
      <c r="AI62" s="628"/>
      <c r="AJ62" s="626"/>
      <c r="AK62" s="625"/>
      <c r="AL62" s="627"/>
      <c r="AM62" s="628"/>
      <c r="AN62" s="587"/>
      <c r="AO62" s="626"/>
      <c r="AP62" s="625"/>
      <c r="AQ62" s="627"/>
      <c r="AR62" s="587"/>
      <c r="AS62" s="587"/>
      <c r="AT62" s="468"/>
      <c r="AU62" s="413"/>
      <c r="AV62" s="576"/>
      <c r="AW62" s="468"/>
      <c r="AX62" s="468"/>
      <c r="AY62" s="468"/>
      <c r="AZ62" s="413"/>
      <c r="BA62" s="576"/>
      <c r="BB62" s="468"/>
      <c r="BC62" s="468"/>
      <c r="BD62" s="468"/>
      <c r="BE62" s="413"/>
      <c r="BF62" s="576"/>
      <c r="BG62" s="468"/>
      <c r="BH62" s="468"/>
      <c r="BI62" s="468"/>
      <c r="BJ62" s="413"/>
      <c r="BK62" s="576"/>
      <c r="BL62" s="468"/>
      <c r="BM62" s="468"/>
      <c r="BN62" s="468"/>
      <c r="BO62" s="413"/>
    </row>
    <row r="63" spans="1:67" s="1148" customFormat="1" ht="14.25">
      <c r="A63" s="129" t="s">
        <v>65</v>
      </c>
      <c r="B63" s="1078" t="s">
        <v>4</v>
      </c>
      <c r="C63" s="1139">
        <f>SUM(C43,C48,C53,C58)</f>
        <v>0</v>
      </c>
      <c r="D63" s="1139">
        <f>SUM(D43,D48,D53,D58)</f>
        <v>0</v>
      </c>
      <c r="E63" s="1139">
        <f>SUM(E43,E48,E53,E58)</f>
        <v>0</v>
      </c>
      <c r="F63" s="1139">
        <f>SUM(F43,F48,F53,F58)</f>
        <v>0</v>
      </c>
      <c r="G63" s="1140">
        <f>SUM(C63:F63)</f>
        <v>0</v>
      </c>
      <c r="H63" s="1139">
        <f>SUM(H43,H48,H53,H58)</f>
        <v>30.409999999999997</v>
      </c>
      <c r="I63" s="1139">
        <f>SUM(I43,I48,I53,I58)</f>
        <v>36.821000000000005</v>
      </c>
      <c r="J63" s="1139">
        <f>SUM(J43,J48,J53,J58)</f>
        <v>47.432000000000002</v>
      </c>
      <c r="K63" s="1139">
        <f>SUM(K43,K48,K53,K58)</f>
        <v>63.801999999999992</v>
      </c>
      <c r="L63" s="1140">
        <f>SUM(H63:K63)</f>
        <v>178.46499999999997</v>
      </c>
      <c r="M63" s="1139">
        <f>SUM(M43,M48,M53,M58)</f>
        <v>91.292999999999992</v>
      </c>
      <c r="N63" s="1139">
        <f>SUM(N43,N48,N53,N58)</f>
        <v>109.99000000000001</v>
      </c>
      <c r="O63" s="1139">
        <f>SUM(O43,O48,O53,O58)</f>
        <v>111.49000000000001</v>
      </c>
      <c r="P63" s="1139">
        <f>SUM(P43,P48,P53,P58)</f>
        <v>118.155</v>
      </c>
      <c r="Q63" s="1140">
        <f>SUM(M63:P63)</f>
        <v>430.928</v>
      </c>
      <c r="R63" s="1139">
        <f>SUM(R43,R48,R53,R58)</f>
        <v>140.31700000000001</v>
      </c>
      <c r="S63" s="1139">
        <f>SUM(S43,S48,S53,S58)</f>
        <v>142.447</v>
      </c>
      <c r="T63" s="1139">
        <f>SUM(T43,T48,T53,T58)</f>
        <v>155.14800000000002</v>
      </c>
      <c r="U63" s="1139">
        <f>SUM(U43,U48,U53,U58)</f>
        <v>172.971</v>
      </c>
      <c r="V63" s="1140">
        <f>SUM(R63:U63)</f>
        <v>610.88300000000004</v>
      </c>
      <c r="W63" s="1139">
        <f>SUM(W43,W48,W53,W58)</f>
        <v>192.26600000000002</v>
      </c>
      <c r="X63" s="1139">
        <f>SUM(X43,X48,X53,X58)</f>
        <v>211.64400000000001</v>
      </c>
      <c r="Y63" s="1139">
        <f>SUM(Y43,Y48,Y53,Y58)</f>
        <v>228.077</v>
      </c>
      <c r="Z63" s="1139">
        <f>SUM(Z43,Z48,Z53,Z58)</f>
        <v>254.52300000000002</v>
      </c>
      <c r="AA63" s="1140">
        <f>SUM(W63:Z63)</f>
        <v>886.5100000000001</v>
      </c>
      <c r="AB63" s="1139">
        <f>SUM(AB43,AB48,AB53,AB58)</f>
        <v>298.22300000000001</v>
      </c>
      <c r="AC63" s="1139">
        <f>SUM(AC43,AC48,AC53,AC58)</f>
        <v>334.81499999999994</v>
      </c>
      <c r="AD63" s="1139">
        <f>SUM(AD43,AD48,AD53,AD58)</f>
        <v>353.77099999999996</v>
      </c>
      <c r="AE63" s="1139">
        <f>SUM(AE43,AE48,AE53,AE58)</f>
        <v>384.49700000000001</v>
      </c>
      <c r="AF63" s="1140">
        <f>SUM(AB63:AE63)</f>
        <v>1371.306</v>
      </c>
      <c r="AG63" s="1139">
        <f>SUM(AG43,AG48,AG53,AG58)</f>
        <v>421.32599999999996</v>
      </c>
      <c r="AH63" s="1139">
        <f>SUM(AH43,AH48,AH53,AH58)</f>
        <v>446.214</v>
      </c>
      <c r="AI63" s="1139">
        <f>SUM(AI43,AI48,AI53,AI58)</f>
        <v>477.98900000000003</v>
      </c>
      <c r="AJ63" s="1139">
        <f>SUM(AJ43,AJ48,AJ53,AJ58)</f>
        <v>507.66</v>
      </c>
      <c r="AK63" s="1140">
        <f>SUM(AG63:AJ63)</f>
        <v>1853.1890000000001</v>
      </c>
      <c r="AL63" s="1139">
        <f>SUM(AL43,AL48,AL53,AL58)</f>
        <v>572.87200000000007</v>
      </c>
      <c r="AM63" s="1139">
        <f>SUM(AM43,AM48,AM53,AM58)</f>
        <v>592.46400000000006</v>
      </c>
      <c r="AN63" s="1141">
        <f>SUM(AN43,AN48,AN53,AN58)</f>
        <v>628.28499999999997</v>
      </c>
      <c r="AO63" s="1139">
        <f>SUM(AO43,AO48,AO53,AO58)</f>
        <v>623.36699999999985</v>
      </c>
      <c r="AP63" s="1140">
        <f>SUM(AL63:AO63)</f>
        <v>2416.9879999999998</v>
      </c>
      <c r="AQ63" s="1139">
        <f>SUM(AQ43,AQ48,AQ53,AQ58)</f>
        <v>660.46599999999989</v>
      </c>
      <c r="AR63" s="1141">
        <f>SUM(AR43,AR48,AR53,AR58)</f>
        <v>707.71499999999992</v>
      </c>
      <c r="AS63" s="1141">
        <f>SUM(AS43,AS48,AS53,AS58)</f>
        <v>749.0150000000001</v>
      </c>
      <c r="AT63" s="1139">
        <f>SUM(AT43,AT48,AT53,AT58)</f>
        <v>801.38778897400528</v>
      </c>
      <c r="AU63" s="1146">
        <f>SUM(AQ63:AT63)</f>
        <v>2918.5837889740051</v>
      </c>
      <c r="AV63" s="1139">
        <f>SUM(AV43,AV48,AV53,AV58)</f>
        <v>811.83405245955259</v>
      </c>
      <c r="AW63" s="1139">
        <f>SUM(AW43,AW48,AW53,AW58)</f>
        <v>852.71228394825846</v>
      </c>
      <c r="AX63" s="1139">
        <f>SUM(AX43,AX48,AX53,AX58)</f>
        <v>904.44734137848332</v>
      </c>
      <c r="AY63" s="1139">
        <f>SUM(AY43,AY48,AY53,AY58)</f>
        <v>970.16433538151159</v>
      </c>
      <c r="AZ63" s="1146">
        <f>SUM(AV63:AY63)</f>
        <v>3539.1580131678056</v>
      </c>
      <c r="BA63" s="1139">
        <f>SUM(BA43,BA48,BA53,BA58)</f>
        <v>974.61975287692576</v>
      </c>
      <c r="BB63" s="1139">
        <f>SUM(BB43,BB48,BB53,BB58)</f>
        <v>1025.6912965779861</v>
      </c>
      <c r="BC63" s="1139">
        <f>SUM(BC43,BC48,BC53,BC58)</f>
        <v>1090.8631381072428</v>
      </c>
      <c r="BD63" s="1139">
        <f>SUM(BD43,BD48,BD53,BD58)</f>
        <v>1159.9598809023066</v>
      </c>
      <c r="BE63" s="1146">
        <f>SUM(BA63:BD63)</f>
        <v>4251.1340684644611</v>
      </c>
      <c r="BF63" s="1139">
        <f>SUM(BF43,BF48,BF53,BF58)</f>
        <v>1153.3829731757726</v>
      </c>
      <c r="BG63" s="1139">
        <f>SUM(BG43,BG48,BG53,BG58)</f>
        <v>1209.8512929701476</v>
      </c>
      <c r="BH63" s="1139">
        <f>SUM(BH43,BH48,BH53,BH58)</f>
        <v>1309.6958129046639</v>
      </c>
      <c r="BI63" s="1139">
        <f>SUM(BI43,BI48,BI53,BI58)</f>
        <v>1400.8089689049277</v>
      </c>
      <c r="BJ63" s="1146">
        <f>SUM(BF63:BI63)</f>
        <v>5073.7390479555115</v>
      </c>
      <c r="BK63" s="1139">
        <f>SUM(BK43,BK48,BK53,BK58)</f>
        <v>1383.1470423808071</v>
      </c>
      <c r="BL63" s="1139">
        <f>SUM(BL43,BL48,BL53,BL58)</f>
        <v>1431.0654298962959</v>
      </c>
      <c r="BM63" s="1139">
        <f>SUM(BM43,BM48,BM53,BM58)</f>
        <v>1559.5815864724607</v>
      </c>
      <c r="BN63" s="1139">
        <f>SUM(BN43,BN48,BN53,BN58)</f>
        <v>1653.4491183122161</v>
      </c>
      <c r="BO63" s="1146">
        <f>SUM(BK63:BN63)</f>
        <v>6027.2431770617804</v>
      </c>
    </row>
    <row r="64" spans="1:67" ht="14.25">
      <c r="A64" s="129" t="s">
        <v>66</v>
      </c>
      <c r="B64" s="1079" t="s">
        <v>204</v>
      </c>
      <c r="C64" s="611" t="s">
        <v>36</v>
      </c>
      <c r="D64" s="395" t="s">
        <v>36</v>
      </c>
      <c r="E64" s="395" t="s">
        <v>36</v>
      </c>
      <c r="F64" s="395" t="s">
        <v>36</v>
      </c>
      <c r="G64" s="455" t="s">
        <v>36</v>
      </c>
      <c r="H64" s="611" t="str">
        <f t="shared" ref="H64:AM64" si="81">IFERROR(H63/C63-1,"--")</f>
        <v>--</v>
      </c>
      <c r="I64" s="395" t="str">
        <f t="shared" si="81"/>
        <v>--</v>
      </c>
      <c r="J64" s="395" t="str">
        <f t="shared" si="81"/>
        <v>--</v>
      </c>
      <c r="K64" s="395" t="str">
        <f t="shared" si="81"/>
        <v>--</v>
      </c>
      <c r="L64" s="455" t="str">
        <f t="shared" si="81"/>
        <v>--</v>
      </c>
      <c r="M64" s="611">
        <f t="shared" si="81"/>
        <v>2.0020716869450839</v>
      </c>
      <c r="N64" s="395">
        <f t="shared" si="81"/>
        <v>1.9871540696884926</v>
      </c>
      <c r="O64" s="395">
        <f t="shared" si="81"/>
        <v>1.3505228537696072</v>
      </c>
      <c r="P64" s="395">
        <f t="shared" si="81"/>
        <v>0.8519011943199275</v>
      </c>
      <c r="Q64" s="455">
        <f t="shared" si="81"/>
        <v>1.4146359230101142</v>
      </c>
      <c r="R64" s="611">
        <f t="shared" si="81"/>
        <v>0.5369962647738602</v>
      </c>
      <c r="S64" s="395">
        <f t="shared" si="81"/>
        <v>0.29509046276934248</v>
      </c>
      <c r="T64" s="395">
        <f t="shared" si="81"/>
        <v>0.39158668938918306</v>
      </c>
      <c r="U64" s="395">
        <f t="shared" si="81"/>
        <v>0.46393296940459572</v>
      </c>
      <c r="V64" s="455">
        <f t="shared" si="81"/>
        <v>0.41759876359855941</v>
      </c>
      <c r="W64" s="611">
        <f t="shared" si="81"/>
        <v>0.37022598829792552</v>
      </c>
      <c r="X64" s="395">
        <f t="shared" si="81"/>
        <v>0.48577365616685508</v>
      </c>
      <c r="Y64" s="395">
        <f t="shared" si="81"/>
        <v>0.4700608451285222</v>
      </c>
      <c r="Z64" s="395">
        <f t="shared" si="81"/>
        <v>0.47147787779454364</v>
      </c>
      <c r="AA64" s="455">
        <f t="shared" si="81"/>
        <v>0.45119441857115028</v>
      </c>
      <c r="AB64" s="611">
        <f t="shared" si="81"/>
        <v>0.55109587758626066</v>
      </c>
      <c r="AC64" s="395">
        <f t="shared" si="81"/>
        <v>0.58197255769121692</v>
      </c>
      <c r="AD64" s="395">
        <f t="shared" si="81"/>
        <v>0.55110335544574851</v>
      </c>
      <c r="AE64" s="395">
        <f t="shared" si="81"/>
        <v>0.51065719011641364</v>
      </c>
      <c r="AF64" s="455">
        <f t="shared" si="81"/>
        <v>0.54685903148300619</v>
      </c>
      <c r="AG64" s="611">
        <f t="shared" si="81"/>
        <v>0.41278841672171485</v>
      </c>
      <c r="AH64" s="395">
        <f t="shared" si="81"/>
        <v>0.33271806818690952</v>
      </c>
      <c r="AI64" s="395">
        <f t="shared" si="81"/>
        <v>0.35112544555658909</v>
      </c>
      <c r="AJ64" s="395">
        <f t="shared" si="81"/>
        <v>0.32032239523325279</v>
      </c>
      <c r="AK64" s="455">
        <f t="shared" si="81"/>
        <v>0.35140442760405044</v>
      </c>
      <c r="AL64" s="611">
        <f t="shared" si="81"/>
        <v>0.35968822242159315</v>
      </c>
      <c r="AM64" s="395">
        <f t="shared" si="81"/>
        <v>0.32775753338084423</v>
      </c>
      <c r="AN64" s="1188">
        <f t="shared" ref="AN64:BO64" si="82">IFERROR(AN63/AI63-1,"--")</f>
        <v>0.314434014171874</v>
      </c>
      <c r="AO64" s="395">
        <f t="shared" si="82"/>
        <v>0.22792223141472601</v>
      </c>
      <c r="AP64" s="455">
        <f t="shared" si="82"/>
        <v>0.30423178639631443</v>
      </c>
      <c r="AQ64" s="611">
        <f t="shared" si="82"/>
        <v>0.15290326634920159</v>
      </c>
      <c r="AR64" s="1188">
        <f t="shared" si="82"/>
        <v>0.19452827513570425</v>
      </c>
      <c r="AS64" s="1188">
        <f t="shared" si="82"/>
        <v>0.19215801746022931</v>
      </c>
      <c r="AT64" s="395">
        <f t="shared" si="82"/>
        <v>0.28557942427816263</v>
      </c>
      <c r="AU64" s="424">
        <f t="shared" si="82"/>
        <v>0.20752928395755599</v>
      </c>
      <c r="AV64" s="611">
        <f t="shared" si="82"/>
        <v>0.22918371643589941</v>
      </c>
      <c r="AW64" s="395">
        <f t="shared" si="82"/>
        <v>0.20488089689812794</v>
      </c>
      <c r="AX64" s="395">
        <f t="shared" si="82"/>
        <v>0.20751565907022318</v>
      </c>
      <c r="AY64" s="395">
        <f t="shared" si="82"/>
        <v>0.21060533830143124</v>
      </c>
      <c r="AZ64" s="424">
        <f t="shared" si="82"/>
        <v>0.21262854489161542</v>
      </c>
      <c r="BA64" s="611">
        <f t="shared" si="82"/>
        <v>0.20051597974265012</v>
      </c>
      <c r="BB64" s="395">
        <f t="shared" si="82"/>
        <v>0.20285741848210992</v>
      </c>
      <c r="BC64" s="395">
        <f t="shared" si="82"/>
        <v>0.20611017159345058</v>
      </c>
      <c r="BD64" s="395">
        <f t="shared" si="82"/>
        <v>0.19563236721762101</v>
      </c>
      <c r="BE64" s="424">
        <f t="shared" si="82"/>
        <v>0.20117102786811847</v>
      </c>
      <c r="BF64" s="611">
        <f t="shared" si="82"/>
        <v>0.18341842525884133</v>
      </c>
      <c r="BG64" s="395">
        <f t="shared" si="82"/>
        <v>0.17954719612672387</v>
      </c>
      <c r="BH64" s="395">
        <f t="shared" si="82"/>
        <v>0.20060506873219475</v>
      </c>
      <c r="BI64" s="395">
        <f t="shared" si="82"/>
        <v>0.20763570531014408</v>
      </c>
      <c r="BJ64" s="424">
        <f t="shared" si="82"/>
        <v>0.1935024786899231</v>
      </c>
      <c r="BK64" s="611">
        <f t="shared" si="82"/>
        <v>0.19920882703200715</v>
      </c>
      <c r="BL64" s="395">
        <f t="shared" si="82"/>
        <v>0.18284407200415043</v>
      </c>
      <c r="BM64" s="395">
        <f t="shared" si="82"/>
        <v>0.19079680266641175</v>
      </c>
      <c r="BN64" s="395">
        <f t="shared" si="82"/>
        <v>0.18035303529273383</v>
      </c>
      <c r="BO64" s="424">
        <f t="shared" si="82"/>
        <v>0.18792928057474456</v>
      </c>
    </row>
    <row r="65" spans="1:67" ht="14.25">
      <c r="A65" s="129" t="s">
        <v>67</v>
      </c>
      <c r="B65" s="1079" t="s">
        <v>205</v>
      </c>
      <c r="C65" s="611" t="s">
        <v>36</v>
      </c>
      <c r="D65" s="395" t="str">
        <f>IFERROR(D63/C63-1,"--")</f>
        <v>--</v>
      </c>
      <c r="E65" s="395" t="str">
        <f>IFERROR(E63/D63-1,"--")</f>
        <v>--</v>
      </c>
      <c r="F65" s="395" t="str">
        <f>IFERROR(F63/E63-1,"--")</f>
        <v>--</v>
      </c>
      <c r="G65" s="574"/>
      <c r="H65" s="611" t="str">
        <f>IFERROR(H63/F63-1,"--")</f>
        <v>--</v>
      </c>
      <c r="I65" s="395">
        <f>IFERROR(I63/H63-1,"--")</f>
        <v>0.21081880960210486</v>
      </c>
      <c r="J65" s="395">
        <f>IFERROR(J63/I63-1,"--")</f>
        <v>0.28817794193530855</v>
      </c>
      <c r="K65" s="395">
        <f>IFERROR(K63/J63-1,"--")</f>
        <v>0.34512565356721181</v>
      </c>
      <c r="L65" s="574"/>
      <c r="M65" s="611">
        <f>IFERROR(M63/K63-1,"--")</f>
        <v>0.43087990972069856</v>
      </c>
      <c r="N65" s="395">
        <f>IFERROR(N63/M63-1,"--")</f>
        <v>0.2048021206445183</v>
      </c>
      <c r="O65" s="395">
        <f>IFERROR(O63/N63-1,"--")</f>
        <v>1.3637603418492628E-2</v>
      </c>
      <c r="P65" s="395">
        <f>IFERROR(P63/O63-1,"--")</f>
        <v>5.9781146291147058E-2</v>
      </c>
      <c r="Q65" s="574"/>
      <c r="R65" s="611">
        <f>IFERROR(R63/P63-1,"--")</f>
        <v>0.1875671787059372</v>
      </c>
      <c r="S65" s="395">
        <f>IFERROR(S63/R63-1,"--")</f>
        <v>1.5179914051754118E-2</v>
      </c>
      <c r="T65" s="395">
        <f>IFERROR(T63/S63-1,"--")</f>
        <v>8.9162986935491961E-2</v>
      </c>
      <c r="U65" s="395">
        <f>IFERROR(U63/T63-1,"--")</f>
        <v>0.11487740737876084</v>
      </c>
      <c r="V65" s="574"/>
      <c r="W65" s="611">
        <f>IFERROR(W63/U63-1,"--")</f>
        <v>0.11155049112278936</v>
      </c>
      <c r="X65" s="395">
        <f>IFERROR(X63/W63-1,"--")</f>
        <v>0.10078745071931583</v>
      </c>
      <c r="Y65" s="395">
        <f>IFERROR(Y63/X63-1,"--")</f>
        <v>7.7644535162820549E-2</v>
      </c>
      <c r="Z65" s="395">
        <f>IFERROR(Z63/Y63-1,"--")</f>
        <v>0.115952068818864</v>
      </c>
      <c r="AA65" s="574"/>
      <c r="AB65" s="611">
        <f>IFERROR(AB63/Z63-1,"--")</f>
        <v>0.17169371726720173</v>
      </c>
      <c r="AC65" s="395">
        <f>IFERROR(AC63/AB63-1,"--")</f>
        <v>0.12270012708610656</v>
      </c>
      <c r="AD65" s="395">
        <f>IFERROR(AD63/AC63-1,"--")</f>
        <v>5.6616340367068529E-2</v>
      </c>
      <c r="AE65" s="395">
        <f>IFERROR(AE63/AD63-1,"--")</f>
        <v>8.6852794604419303E-2</v>
      </c>
      <c r="AF65" s="574"/>
      <c r="AG65" s="611">
        <f>IFERROR(AG63/AE63-1,"--")</f>
        <v>9.5784882586860132E-2</v>
      </c>
      <c r="AH65" s="395">
        <f>IFERROR(AH63/AG63-1,"--")</f>
        <v>5.9070648381538415E-2</v>
      </c>
      <c r="AI65" s="395">
        <f>IFERROR(AI63/AH63-1,"--")</f>
        <v>7.1210226483257033E-2</v>
      </c>
      <c r="AJ65" s="395">
        <f>IFERROR(AJ63/AI63-1,"--")</f>
        <v>6.2074650253457708E-2</v>
      </c>
      <c r="AK65" s="574"/>
      <c r="AL65" s="611">
        <f>IFERROR(AL63/AJ63-1,"--")</f>
        <v>0.12845605326399556</v>
      </c>
      <c r="AM65" s="395">
        <f>IFERROR(AM63/AL63-1,"--")</f>
        <v>3.4199611780642014E-2</v>
      </c>
      <c r="AN65" s="1188">
        <f>IFERROR(AN63/AM63-1,"--")</f>
        <v>6.0461057549488162E-2</v>
      </c>
      <c r="AO65" s="395">
        <f>IFERROR(AO63/AN63-1,"--")</f>
        <v>-7.8276578304433686E-3</v>
      </c>
      <c r="AP65" s="574"/>
      <c r="AQ65" s="611">
        <f>IFERROR(AQ63/AO63-1,"--")</f>
        <v>5.9513897912465863E-2</v>
      </c>
      <c r="AR65" s="1188">
        <f>IFERROR(AR63/AQ63-1,"--")</f>
        <v>7.1538883152198585E-2</v>
      </c>
      <c r="AS65" s="1188">
        <f>IFERROR(AS63/AR63-1,"--")</f>
        <v>5.8356824427912679E-2</v>
      </c>
      <c r="AT65" s="395">
        <f>IFERROR(AT63/AS63-1,"--")</f>
        <v>6.9922216476312471E-2</v>
      </c>
      <c r="AU65" s="629"/>
      <c r="AV65" s="611">
        <f>IFERROR(AV63/AT63-1,"--")</f>
        <v>1.3035216694431195E-2</v>
      </c>
      <c r="AW65" s="395">
        <f>IFERROR(AW63/AV63-1,"--")</f>
        <v>5.0352940191237483E-2</v>
      </c>
      <c r="AX65" s="395">
        <f>IFERROR(AX63/AW63-1,"--")</f>
        <v>6.067117643794151E-2</v>
      </c>
      <c r="AY65" s="395">
        <f>IFERROR(AY63/AX63-1,"--")</f>
        <v>7.2659834350187635E-2</v>
      </c>
      <c r="AZ65" s="629"/>
      <c r="BA65" s="611">
        <f>IFERROR(BA63/AY63-1,"--")</f>
        <v>4.5924358718691938E-3</v>
      </c>
      <c r="BB65" s="395">
        <f>IFERROR(BB63/BA63-1,"--")</f>
        <v>5.2401506895694672E-2</v>
      </c>
      <c r="BC65" s="395">
        <f>IFERROR(BC63/BB63-1,"--")</f>
        <v>6.3539431158955439E-2</v>
      </c>
      <c r="BD65" s="395">
        <f>IFERROR(BD63/BC63-1,"--")</f>
        <v>6.3341349048565032E-2</v>
      </c>
      <c r="BE65" s="629"/>
      <c r="BF65" s="611">
        <f>IFERROR(BF63/BD63-1,"--")</f>
        <v>-5.669944137566274E-3</v>
      </c>
      <c r="BG65" s="395">
        <f>IFERROR(BG63/BF63-1,"--")</f>
        <v>4.8958863714532619E-2</v>
      </c>
      <c r="BH65" s="395">
        <f>IFERROR(BH63/BG63-1,"--")</f>
        <v>8.2526274522053855E-2</v>
      </c>
      <c r="BI65" s="395">
        <f>IFERROR(BI63/BH63-1,"--")</f>
        <v>6.9568181483448122E-2</v>
      </c>
      <c r="BJ65" s="629"/>
      <c r="BK65" s="611">
        <f>IFERROR(BK63/BI63-1,"--")</f>
        <v>-1.2608376242713382E-2</v>
      </c>
      <c r="BL65" s="395">
        <f>IFERROR(BL63/BK63-1,"--")</f>
        <v>3.4644463710096218E-2</v>
      </c>
      <c r="BM65" s="395">
        <f>IFERROR(BM63/BL63-1,"--")</f>
        <v>8.9804528773696823E-2</v>
      </c>
      <c r="BN65" s="395">
        <f>IFERROR(BN63/BM63-1,"--")</f>
        <v>6.0187637924136839E-2</v>
      </c>
      <c r="BO65" s="629"/>
    </row>
    <row r="66" spans="1:67">
      <c r="B66" s="1079"/>
      <c r="C66" s="448"/>
      <c r="D66" s="384"/>
      <c r="E66" s="384"/>
      <c r="F66" s="384"/>
      <c r="G66" s="629"/>
      <c r="H66" s="448"/>
      <c r="I66" s="384"/>
      <c r="J66" s="384"/>
      <c r="K66" s="384"/>
      <c r="L66" s="629"/>
      <c r="M66" s="448"/>
      <c r="N66" s="384"/>
      <c r="O66" s="384"/>
      <c r="P66" s="384"/>
      <c r="Q66" s="629"/>
      <c r="R66" s="448"/>
      <c r="S66" s="384"/>
      <c r="T66" s="384"/>
      <c r="U66" s="384"/>
      <c r="V66" s="629"/>
      <c r="W66" s="448"/>
      <c r="X66" s="384"/>
      <c r="Y66" s="384"/>
      <c r="Z66" s="384"/>
      <c r="AA66" s="629"/>
      <c r="AB66" s="448"/>
      <c r="AC66" s="384"/>
      <c r="AD66" s="384"/>
      <c r="AE66" s="384"/>
      <c r="AF66" s="629"/>
      <c r="AG66" s="448"/>
      <c r="AH66" s="384"/>
      <c r="AI66" s="384"/>
      <c r="AJ66" s="384"/>
      <c r="AK66" s="702"/>
      <c r="AL66" s="927"/>
      <c r="AM66" s="384"/>
      <c r="AN66" s="1116"/>
      <c r="AO66" s="384"/>
      <c r="AP66" s="702"/>
      <c r="AQ66" s="927"/>
      <c r="AR66" s="1116"/>
      <c r="AS66" s="1116"/>
      <c r="AT66" s="928"/>
      <c r="AU66" s="629"/>
      <c r="AV66" s="927"/>
      <c r="AW66" s="928"/>
      <c r="AX66" s="928"/>
      <c r="AY66" s="928"/>
      <c r="AZ66" s="629"/>
      <c r="BA66" s="927"/>
      <c r="BB66" s="928"/>
      <c r="BC66" s="928"/>
      <c r="BD66" s="928"/>
      <c r="BE66" s="629"/>
      <c r="BF66" s="927"/>
      <c r="BG66" s="928"/>
      <c r="BH66" s="928"/>
      <c r="BI66" s="928"/>
      <c r="BJ66" s="629"/>
      <c r="BK66" s="927"/>
      <c r="BL66" s="928"/>
      <c r="BM66" s="928"/>
      <c r="BN66" s="928"/>
      <c r="BO66" s="629"/>
    </row>
    <row r="67" spans="1:67" s="1068" customFormat="1">
      <c r="A67" s="1145" t="s">
        <v>68</v>
      </c>
      <c r="B67" s="985" t="s">
        <v>347</v>
      </c>
      <c r="C67" s="1139">
        <f>C38-C63</f>
        <v>0</v>
      </c>
      <c r="D67" s="1139">
        <f>D38-D63</f>
        <v>0</v>
      </c>
      <c r="E67" s="1139">
        <f>E38-E63</f>
        <v>0</v>
      </c>
      <c r="F67" s="1139">
        <f>F38-F63</f>
        <v>0</v>
      </c>
      <c r="G67" s="1140">
        <f>SUM(C67:F67)</f>
        <v>0</v>
      </c>
      <c r="H67" s="1139">
        <f>H38-H63</f>
        <v>-24.371999999999996</v>
      </c>
      <c r="I67" s="1139">
        <f>I38-I63</f>
        <v>-28.548000000000005</v>
      </c>
      <c r="J67" s="1139">
        <f>J38-J63</f>
        <v>-32.465000000000003</v>
      </c>
      <c r="K67" s="1139">
        <f>K38-K63</f>
        <v>-46.808999999999983</v>
      </c>
      <c r="L67" s="1146">
        <f>SUM(H67:K67)</f>
        <v>-132.19399999999999</v>
      </c>
      <c r="M67" s="1139">
        <f>M38-M63</f>
        <v>-71.177999999999997</v>
      </c>
      <c r="N67" s="1139">
        <f>N38-N63</f>
        <v>-77.25800000000001</v>
      </c>
      <c r="O67" s="1139">
        <f>O38-O63</f>
        <v>-67.301000000000016</v>
      </c>
      <c r="P67" s="1139">
        <f>P38-P63</f>
        <v>-64.231999999999999</v>
      </c>
      <c r="Q67" s="1146">
        <f>SUM(M67:P67)</f>
        <v>-279.96900000000005</v>
      </c>
      <c r="R67" s="1139">
        <f>R38-R63</f>
        <v>-73.162000000000006</v>
      </c>
      <c r="S67" s="1139">
        <f>S38-S63</f>
        <v>-58.854000000000013</v>
      </c>
      <c r="T67" s="1139">
        <f>T38-T63</f>
        <v>-48.11</v>
      </c>
      <c r="U67" s="1139">
        <f>U38-U63</f>
        <v>-45.971000000000004</v>
      </c>
      <c r="V67" s="1146">
        <f>SUM(R67:U67)</f>
        <v>-226.09700000000004</v>
      </c>
      <c r="W67" s="1139">
        <f>W38-W63</f>
        <v>-35.807000000000016</v>
      </c>
      <c r="X67" s="1139">
        <f>X38-X63</f>
        <v>-21.898000000000025</v>
      </c>
      <c r="Y67" s="1139">
        <f>Y38-Y63</f>
        <v>8.4720000000000368</v>
      </c>
      <c r="Z67" s="1139">
        <f>Z38-Z63</f>
        <v>18.057999999999993</v>
      </c>
      <c r="AA67" s="1146">
        <f>SUM(W67:Z67)</f>
        <v>-31.175000000000011</v>
      </c>
      <c r="AB67" s="1139">
        <f>AB38-AB63</f>
        <v>1.6750000000000114</v>
      </c>
      <c r="AC67" s="1139">
        <f>AC38-AC63</f>
        <v>17.46100000000007</v>
      </c>
      <c r="AD67" s="1139">
        <f>AD38-AD63</f>
        <v>43.371999999999957</v>
      </c>
      <c r="AE67" s="1139">
        <f>AE38-AE63</f>
        <v>32.77499999999992</v>
      </c>
      <c r="AF67" s="1146">
        <f>SUM(AB67:AE67)</f>
        <v>95.282999999999959</v>
      </c>
      <c r="AG67" s="1139">
        <f>AG38-AG63</f>
        <v>32.606000000000108</v>
      </c>
      <c r="AH67" s="1139">
        <f>AH38-AH63</f>
        <v>54.199999999999932</v>
      </c>
      <c r="AI67" s="1139">
        <f>AI38-AI63</f>
        <v>71.937999999999988</v>
      </c>
      <c r="AJ67" s="1139">
        <f>AJ38-AJ63</f>
        <v>70.965999999999951</v>
      </c>
      <c r="AK67" s="1146">
        <f>SUM(AG67:AJ67)</f>
        <v>229.70999999999998</v>
      </c>
      <c r="AL67" s="1139">
        <f>AL38-AL63</f>
        <v>36.243999999999915</v>
      </c>
      <c r="AM67" s="1139">
        <f>AM38-AM63</f>
        <v>43.745999999999981</v>
      </c>
      <c r="AN67" s="1141">
        <f>AN38-AN63</f>
        <v>58.888000000000034</v>
      </c>
      <c r="AO67" s="1139">
        <f>AO38-AO63</f>
        <v>92.845000000000141</v>
      </c>
      <c r="AP67" s="1146">
        <f>SUM(AL67:AO67)</f>
        <v>231.72300000000007</v>
      </c>
      <c r="AQ67" s="1139">
        <f>AQ38-AQ63</f>
        <v>91.658000000000129</v>
      </c>
      <c r="AR67" s="1141">
        <f>AR38-AR63</f>
        <v>127.57200000000012</v>
      </c>
      <c r="AS67" s="1141">
        <f>AS38-AS63</f>
        <v>131.31299999999976</v>
      </c>
      <c r="AT67" s="1139">
        <f>AT38-AT63</f>
        <v>86.802125648466131</v>
      </c>
      <c r="AU67" s="1146">
        <f>SUM(AQ67:AT67)</f>
        <v>437.34512564846614</v>
      </c>
      <c r="AV67" s="1139">
        <f>AV38-AV63</f>
        <v>147.33589985701337</v>
      </c>
      <c r="AW67" s="1139">
        <f>AW38-AW63</f>
        <v>186.98748447762989</v>
      </c>
      <c r="AX67" s="1139">
        <f>AX38-AX63</f>
        <v>194.23604026339149</v>
      </c>
      <c r="AY67" s="1139">
        <f>AY38-AY63</f>
        <v>139.71292126311573</v>
      </c>
      <c r="AZ67" s="1146">
        <f>SUM(AV67:AY67)</f>
        <v>668.27234586115048</v>
      </c>
      <c r="BA67" s="1139">
        <f>BA38-BA63</f>
        <v>223.65008612883707</v>
      </c>
      <c r="BB67" s="1139">
        <f>BB38-BB63</f>
        <v>277.51092870741695</v>
      </c>
      <c r="BC67" s="1139">
        <f>BC38-BC63</f>
        <v>289.8832700677051</v>
      </c>
      <c r="BD67" s="1139">
        <f>BD38-BD63</f>
        <v>219.93069519645746</v>
      </c>
      <c r="BE67" s="1146">
        <f>SUM(BA67:BD67)</f>
        <v>1010.9749801004166</v>
      </c>
      <c r="BF67" s="1139">
        <f>BF38-BF63</f>
        <v>324.08417804246915</v>
      </c>
      <c r="BG67" s="1139">
        <f>BG38-BG63</f>
        <v>393.63427828502313</v>
      </c>
      <c r="BH67" s="1139">
        <f>BH38-BH63</f>
        <v>420.33153200412335</v>
      </c>
      <c r="BI67" s="1139">
        <f>BI38-BI63</f>
        <v>335.45468404440885</v>
      </c>
      <c r="BJ67" s="1146">
        <f>SUM(BF67:BI67)</f>
        <v>1473.5046723760245</v>
      </c>
      <c r="BK67" s="1139">
        <f>BK38-BK63</f>
        <v>465.5252506110935</v>
      </c>
      <c r="BL67" s="1139">
        <f>BL38-BL63</f>
        <v>549.78105175084329</v>
      </c>
      <c r="BM67" s="1139">
        <f>BM38-BM63</f>
        <v>592.01625910404687</v>
      </c>
      <c r="BN67" s="1139">
        <f>BN38-BN63</f>
        <v>482.48941202530273</v>
      </c>
      <c r="BO67" s="1146">
        <f>SUM(BK67:BN67)</f>
        <v>2089.8119734912862</v>
      </c>
    </row>
    <row r="68" spans="1:67">
      <c r="A68" s="651" t="s">
        <v>69</v>
      </c>
      <c r="B68" s="1079" t="s">
        <v>204</v>
      </c>
      <c r="C68" s="673" t="s">
        <v>36</v>
      </c>
      <c r="D68" s="674" t="s">
        <v>36</v>
      </c>
      <c r="E68" s="674" t="s">
        <v>36</v>
      </c>
      <c r="F68" s="674" t="s">
        <v>36</v>
      </c>
      <c r="G68" s="675" t="s">
        <v>36</v>
      </c>
      <c r="H68" s="673" t="str">
        <f t="shared" ref="H68:AM68" si="83">IFERROR(H67/C67-1,"--")</f>
        <v>--</v>
      </c>
      <c r="I68" s="674" t="str">
        <f t="shared" si="83"/>
        <v>--</v>
      </c>
      <c r="J68" s="674" t="str">
        <f t="shared" si="83"/>
        <v>--</v>
      </c>
      <c r="K68" s="674" t="str">
        <f t="shared" si="83"/>
        <v>--</v>
      </c>
      <c r="L68" s="675" t="str">
        <f t="shared" si="83"/>
        <v>--</v>
      </c>
      <c r="M68" s="673">
        <f t="shared" si="83"/>
        <v>1.9204825209256526</v>
      </c>
      <c r="N68" s="674">
        <f t="shared" si="83"/>
        <v>1.7062491242819111</v>
      </c>
      <c r="O68" s="674">
        <f t="shared" si="83"/>
        <v>1.0730324965347302</v>
      </c>
      <c r="P68" s="674">
        <f t="shared" si="83"/>
        <v>0.37221474502766605</v>
      </c>
      <c r="Q68" s="675">
        <f t="shared" si="83"/>
        <v>1.1178646534638492</v>
      </c>
      <c r="R68" s="673">
        <f t="shared" si="83"/>
        <v>2.7873781224535765E-2</v>
      </c>
      <c r="S68" s="674">
        <f t="shared" si="83"/>
        <v>-0.23821481270548028</v>
      </c>
      <c r="T68" s="674">
        <f t="shared" si="83"/>
        <v>-0.28515178080563452</v>
      </c>
      <c r="U68" s="674">
        <f t="shared" si="83"/>
        <v>-0.28429754639432048</v>
      </c>
      <c r="V68" s="675">
        <f t="shared" si="83"/>
        <v>-0.19242130378720501</v>
      </c>
      <c r="W68" s="673">
        <f t="shared" si="83"/>
        <v>-0.51057926245865315</v>
      </c>
      <c r="X68" s="674">
        <f t="shared" si="83"/>
        <v>-0.62792673395181264</v>
      </c>
      <c r="Y68" s="674">
        <f t="shared" si="83"/>
        <v>-1.1760964456453968</v>
      </c>
      <c r="Z68" s="674">
        <f t="shared" si="83"/>
        <v>-1.3928128602814815</v>
      </c>
      <c r="AA68" s="675">
        <f t="shared" si="83"/>
        <v>-0.86211670212342484</v>
      </c>
      <c r="AB68" s="673">
        <f t="shared" si="83"/>
        <v>-1.0467785628508395</v>
      </c>
      <c r="AC68" s="674">
        <f t="shared" si="83"/>
        <v>-1.797378756050783</v>
      </c>
      <c r="AD68" s="674">
        <f t="shared" si="83"/>
        <v>4.1194523135032775</v>
      </c>
      <c r="AE68" s="674">
        <f t="shared" si="83"/>
        <v>0.81498504817808914</v>
      </c>
      <c r="AF68" s="675">
        <f t="shared" si="83"/>
        <v>-4.0563913392141115</v>
      </c>
      <c r="AG68" s="673">
        <f t="shared" si="83"/>
        <v>18.466268656716352</v>
      </c>
      <c r="AH68" s="674">
        <f t="shared" si="83"/>
        <v>2.104060477635858</v>
      </c>
      <c r="AI68" s="674">
        <f t="shared" si="83"/>
        <v>0.65862768606474353</v>
      </c>
      <c r="AJ68" s="674">
        <f t="shared" si="83"/>
        <v>1.165247902364611</v>
      </c>
      <c r="AK68" s="675">
        <f t="shared" si="83"/>
        <v>1.4108182991719413</v>
      </c>
      <c r="AL68" s="673">
        <f t="shared" si="83"/>
        <v>0.11157455683002504</v>
      </c>
      <c r="AM68" s="674">
        <f t="shared" si="83"/>
        <v>-0.19287822878228711</v>
      </c>
      <c r="AN68" s="1183">
        <f t="shared" ref="AN68:BJ68" si="84">IFERROR(AN67/AI67-1,"--")</f>
        <v>-0.18140621090383324</v>
      </c>
      <c r="AO68" s="674">
        <f>IFERROR(AO67/AJ67-1,"--")</f>
        <v>0.30830256742665796</v>
      </c>
      <c r="AP68" s="675">
        <f>IFERROR(AP67/AK67-1,"--")</f>
        <v>8.7632231944629879E-3</v>
      </c>
      <c r="AQ68" s="673">
        <f t="shared" ref="AQ68:AR68" si="85">IFERROR(AQ67/AL67-1,"--")</f>
        <v>1.5289151307802764</v>
      </c>
      <c r="AR68" s="1183">
        <f t="shared" si="85"/>
        <v>1.9161980523933657</v>
      </c>
      <c r="AS68" s="1183">
        <f t="shared" si="84"/>
        <v>1.2298770547479907</v>
      </c>
      <c r="AT68" s="674">
        <f t="shared" si="84"/>
        <v>-6.5085619597544331E-2</v>
      </c>
      <c r="AU68" s="680">
        <f>IFERROR(AU67/AP67-1,"--")</f>
        <v>0.88736174505105669</v>
      </c>
      <c r="AV68" s="673">
        <f t="shared" si="84"/>
        <v>0.60745270305934196</v>
      </c>
      <c r="AW68" s="674">
        <f t="shared" si="84"/>
        <v>0.46574079325894169</v>
      </c>
      <c r="AX68" s="674">
        <f t="shared" si="84"/>
        <v>0.47918363195869285</v>
      </c>
      <c r="AY68" s="674">
        <f t="shared" si="84"/>
        <v>0.60955645059810326</v>
      </c>
      <c r="AZ68" s="680">
        <f t="shared" si="84"/>
        <v>0.52802056469768788</v>
      </c>
      <c r="BA68" s="673">
        <f t="shared" si="84"/>
        <v>0.51796056728798034</v>
      </c>
      <c r="BB68" s="674">
        <f t="shared" si="84"/>
        <v>0.48411499027688554</v>
      </c>
      <c r="BC68" s="674">
        <f t="shared" si="84"/>
        <v>0.49242781964980509</v>
      </c>
      <c r="BD68" s="674">
        <f t="shared" si="84"/>
        <v>0.57416145341539893</v>
      </c>
      <c r="BE68" s="680">
        <f t="shared" si="84"/>
        <v>0.51281881759995906</v>
      </c>
      <c r="BF68" s="673">
        <f t="shared" si="84"/>
        <v>0.44906797780428964</v>
      </c>
      <c r="BG68" s="674">
        <f t="shared" si="84"/>
        <v>0.41844604145315079</v>
      </c>
      <c r="BH68" s="674">
        <f t="shared" si="84"/>
        <v>0.45000272663527907</v>
      </c>
      <c r="BI68" s="674">
        <f t="shared" si="84"/>
        <v>0.52527451315859874</v>
      </c>
      <c r="BJ68" s="680">
        <f t="shared" si="84"/>
        <v>0.45750854509739347</v>
      </c>
      <c r="BK68" s="673">
        <f>IFERROR(BK67/BF67-1,"--")</f>
        <v>0.43643313111721671</v>
      </c>
      <c r="BL68" s="674">
        <f>IFERROR(BL67/BG67-1,"--")</f>
        <v>0.39667981697660304</v>
      </c>
      <c r="BM68" s="674">
        <f>IFERROR(BM67/BH67-1,"--")</f>
        <v>0.40845074430019057</v>
      </c>
      <c r="BN68" s="674">
        <f>IFERROR(BN67/BI67-1,"--")</f>
        <v>0.43831472617454592</v>
      </c>
      <c r="BO68" s="680">
        <f>IFERROR(BO67/BJ67-1,"--")</f>
        <v>0.41825948208326125</v>
      </c>
    </row>
    <row r="69" spans="1:67">
      <c r="A69" s="651"/>
      <c r="B69" s="1079" t="s">
        <v>205</v>
      </c>
      <c r="C69" s="673" t="s">
        <v>36</v>
      </c>
      <c r="D69" s="674" t="str">
        <f>IFERROR(D67/C67-1,"--")</f>
        <v>--</v>
      </c>
      <c r="E69" s="674" t="str">
        <f>IFERROR(E67/D67-1,"--")</f>
        <v>--</v>
      </c>
      <c r="F69" s="674" t="str">
        <f>IFERROR(F67/E67-1,"--")</f>
        <v>--</v>
      </c>
      <c r="G69" s="675"/>
      <c r="H69" s="673" t="str">
        <f>IFERROR(H67/F67-1,"--")</f>
        <v>--</v>
      </c>
      <c r="I69" s="674">
        <f>IFERROR(I67/H67-1,"--")</f>
        <v>0.17134416543574638</v>
      </c>
      <c r="J69" s="674">
        <f>IFERROR(J67/I67-1,"--")</f>
        <v>0.13720751015832966</v>
      </c>
      <c r="K69" s="674">
        <f>IFERROR(K67/J67-1,"--")</f>
        <v>0.44182966271369106</v>
      </c>
      <c r="L69" s="675"/>
      <c r="M69" s="673">
        <f>IFERROR(M67/K67-1,"--")</f>
        <v>0.52060501185669472</v>
      </c>
      <c r="N69" s="674">
        <f>IFERROR(N67/M67-1,"--")</f>
        <v>8.541965213970637E-2</v>
      </c>
      <c r="O69" s="674">
        <f>IFERROR(O67/N67-1,"--")</f>
        <v>-0.12887985710217698</v>
      </c>
      <c r="P69" s="674">
        <f>IFERROR(P67/O67-1,"--")</f>
        <v>-4.5601105481345217E-2</v>
      </c>
      <c r="Q69" s="675"/>
      <c r="R69" s="673">
        <f>IFERROR(R67/P67-1,"--")</f>
        <v>0.13902727612405053</v>
      </c>
      <c r="S69" s="674">
        <f>IFERROR(S67/R67-1,"--")</f>
        <v>-0.19556600420983561</v>
      </c>
      <c r="T69" s="674">
        <f>IFERROR(T67/S67-1,"--")</f>
        <v>-0.18255343731946871</v>
      </c>
      <c r="U69" s="674">
        <f>IFERROR(U67/T67-1,"--")</f>
        <v>-4.4460611099563452E-2</v>
      </c>
      <c r="V69" s="675"/>
      <c r="W69" s="673">
        <f>IFERROR(W67/U67-1,"--")</f>
        <v>-0.22109590829000858</v>
      </c>
      <c r="X69" s="674">
        <f>IFERROR(X67/W67-1,"--")</f>
        <v>-0.3884436004133266</v>
      </c>
      <c r="Y69" s="674">
        <f>IFERROR(Y67/X67-1,"--")</f>
        <v>-1.3868846469997274</v>
      </c>
      <c r="Z69" s="674">
        <f>IFERROR(Z67/Y67-1,"--")</f>
        <v>1.1314919735599522</v>
      </c>
      <c r="AA69" s="675"/>
      <c r="AB69" s="673">
        <f>IFERROR(AB67/Z67-1,"--")</f>
        <v>-0.9072433270572593</v>
      </c>
      <c r="AC69" s="674">
        <f>IFERROR(AC67/AB67-1,"--")</f>
        <v>9.4244776119402687</v>
      </c>
      <c r="AD69" s="674">
        <f>IFERROR(AD67/AC67-1,"--")</f>
        <v>1.4839356279708942</v>
      </c>
      <c r="AE69" s="674">
        <f>IFERROR(AE67/AD67-1,"--")</f>
        <v>-0.24432813796919783</v>
      </c>
      <c r="AF69" s="675"/>
      <c r="AG69" s="673">
        <f>IFERROR(AG67/AE67-1,"--")</f>
        <v>-5.1563691838234504E-3</v>
      </c>
      <c r="AH69" s="674">
        <f>IFERROR(AH67/AG67-1,"--")</f>
        <v>0.66227074771513683</v>
      </c>
      <c r="AI69" s="674">
        <f>IFERROR(AI67/AH67-1,"--")</f>
        <v>0.32726937269372836</v>
      </c>
      <c r="AJ69" s="674">
        <f>IFERROR(AJ67/AI67-1,"--")</f>
        <v>-1.3511635019044732E-2</v>
      </c>
      <c r="AK69" s="675"/>
      <c r="AL69" s="673">
        <f>IFERROR(AL67/AJ67-1,"--")</f>
        <v>-0.48927655496998645</v>
      </c>
      <c r="AM69" s="674">
        <f>IFERROR(AM67/AL67-1,"--")</f>
        <v>0.20698598388699052</v>
      </c>
      <c r="AN69" s="1183">
        <f>IFERROR(AN67/AM67-1,"--")</f>
        <v>0.34613450372605636</v>
      </c>
      <c r="AO69" s="674">
        <f>IFERROR(AO67/AN67-1,"--")</f>
        <v>0.57663700584159905</v>
      </c>
      <c r="AP69" s="675"/>
      <c r="AQ69" s="673">
        <f>IFERROR(AQ67/AO67-1,"--")</f>
        <v>-1.2784748774839927E-2</v>
      </c>
      <c r="AR69" s="1183">
        <f>IFERROR(AR67/AQ67-1,"--")</f>
        <v>0.39182613628924856</v>
      </c>
      <c r="AS69" s="1183">
        <f>IFERROR(AS67/AR67-1,"--")</f>
        <v>2.9324616687044447E-2</v>
      </c>
      <c r="AT69" s="674">
        <f>IFERROR(AT67/AS67-1,"--")</f>
        <v>-0.33896776672175422</v>
      </c>
      <c r="AU69" s="680"/>
      <c r="AV69" s="673">
        <f>IFERROR(AV67/AT67-1,"--")</f>
        <v>0.69737663399740635</v>
      </c>
      <c r="AW69" s="674">
        <f>IFERROR(AW67/AV67-1,"--")</f>
        <v>0.2691237143092593</v>
      </c>
      <c r="AX69" s="674">
        <f>IFERROR(AX67/AW67-1,"--")</f>
        <v>3.8764924861207861E-2</v>
      </c>
      <c r="AY69" s="674">
        <f>IFERROR(AY67/AX67-1,"--")</f>
        <v>-0.28070547014004366</v>
      </c>
      <c r="AZ69" s="680"/>
      <c r="BA69" s="673">
        <f>IFERROR(BA67/AY67-1,"--")</f>
        <v>0.6007831208943506</v>
      </c>
      <c r="BB69" s="674">
        <f>IFERROR(BB67/BA67-1,"--")</f>
        <v>0.24082638871666928</v>
      </c>
      <c r="BC69" s="674">
        <f>IFERROR(BC67/BB67-1,"--")</f>
        <v>4.458325810055741E-2</v>
      </c>
      <c r="BD69" s="674">
        <f>IFERROR(BD67/BC67-1,"--")</f>
        <v>-0.24131290796778138</v>
      </c>
      <c r="BE69" s="680"/>
      <c r="BF69" s="673">
        <f>IFERROR(BF67/BD67-1,"--")</f>
        <v>0.47357410821156409</v>
      </c>
      <c r="BG69" s="674">
        <f>IFERROR(BG67/BF67-1,"--")</f>
        <v>0.21460504694382165</v>
      </c>
      <c r="BH69" s="674">
        <f>IFERROR(BH67/BG67-1,"--")</f>
        <v>6.7822481912434673E-2</v>
      </c>
      <c r="BI69" s="674">
        <f>IFERROR(BI67/BH67-1,"--")</f>
        <v>-0.20192833869737348</v>
      </c>
      <c r="BJ69" s="680"/>
      <c r="BK69" s="673">
        <f>IFERROR(BK67/BI67-1,"--")</f>
        <v>0.38774407618486362</v>
      </c>
      <c r="BL69" s="674">
        <f>IFERROR(BL67/BK67-1,"--")</f>
        <v>0.18099082923890264</v>
      </c>
      <c r="BM69" s="674">
        <f>IFERROR(BM67/BL67-1,"--")</f>
        <v>7.6821867939428801E-2</v>
      </c>
      <c r="BN69" s="674">
        <f>IFERROR(BN67/BM67-1,"--")</f>
        <v>-0.18500648486327265</v>
      </c>
      <c r="BO69" s="680"/>
    </row>
    <row r="70" spans="1:67" s="462" customFormat="1">
      <c r="A70" s="652" t="s">
        <v>70</v>
      </c>
      <c r="B70" s="1079" t="s">
        <v>335</v>
      </c>
      <c r="C70" s="944" t="str">
        <f t="shared" ref="C70:AH70" si="86">IFERROR(C67/C$10,"--")</f>
        <v>--</v>
      </c>
      <c r="D70" s="944" t="str">
        <f t="shared" si="86"/>
        <v>--</v>
      </c>
      <c r="E70" s="944" t="str">
        <f t="shared" si="86"/>
        <v>--</v>
      </c>
      <c r="F70" s="944" t="str">
        <f t="shared" si="86"/>
        <v>--</v>
      </c>
      <c r="G70" s="945" t="str">
        <f t="shared" si="86"/>
        <v>--</v>
      </c>
      <c r="H70" s="944">
        <f t="shared" si="86"/>
        <v>-1.8183988659255388</v>
      </c>
      <c r="I70" s="944">
        <f t="shared" si="86"/>
        <v>-1.5944149678860655</v>
      </c>
      <c r="J70" s="944">
        <f t="shared" si="86"/>
        <v>-1.1319735006973501</v>
      </c>
      <c r="K70" s="944">
        <f t="shared" si="86"/>
        <v>-1.2762146245705868</v>
      </c>
      <c r="L70" s="945">
        <f t="shared" si="86"/>
        <v>-1.367533569197029</v>
      </c>
      <c r="M70" s="944">
        <f t="shared" si="86"/>
        <v>-1.628600846585059</v>
      </c>
      <c r="N70" s="944">
        <f t="shared" si="86"/>
        <v>-1.2803990785395849</v>
      </c>
      <c r="O70" s="944">
        <f t="shared" si="86"/>
        <v>-0.92177998137292516</v>
      </c>
      <c r="P70" s="944">
        <f t="shared" si="86"/>
        <v>-0.73247274551840524</v>
      </c>
      <c r="Q70" s="945">
        <f t="shared" si="86"/>
        <v>-1.0574924078746584</v>
      </c>
      <c r="R70" s="944">
        <f t="shared" si="86"/>
        <v>-0.67235215733125031</v>
      </c>
      <c r="S70" s="944">
        <f t="shared" si="86"/>
        <v>-0.4420293664801534</v>
      </c>
      <c r="T70" s="944">
        <f t="shared" si="86"/>
        <v>-0.30139578008319545</v>
      </c>
      <c r="U70" s="944">
        <f t="shared" si="86"/>
        <v>-0.24136193001338829</v>
      </c>
      <c r="V70" s="945">
        <f t="shared" si="86"/>
        <v>-0.38188899905244339</v>
      </c>
      <c r="W70" s="944">
        <f t="shared" si="86"/>
        <v>-0.15642118874337094</v>
      </c>
      <c r="X70" s="944">
        <f t="shared" si="86"/>
        <v>-8.0448790953644128E-2</v>
      </c>
      <c r="Y70" s="944">
        <f t="shared" si="86"/>
        <v>2.5331822354316715E-2</v>
      </c>
      <c r="Z70" s="944">
        <f t="shared" si="86"/>
        <v>4.7053734750139388E-2</v>
      </c>
      <c r="AA70" s="945">
        <f t="shared" si="86"/>
        <v>-2.5567382662731172E-2</v>
      </c>
      <c r="AB70" s="944">
        <f t="shared" si="86"/>
        <v>3.9657078729363783E-3</v>
      </c>
      <c r="AC70" s="944">
        <f t="shared" si="86"/>
        <v>3.5115274470686797E-2</v>
      </c>
      <c r="AD70" s="944">
        <f t="shared" si="86"/>
        <v>7.7863231291784185E-2</v>
      </c>
      <c r="AE70" s="944">
        <f t="shared" si="86"/>
        <v>5.5644027625922604E-2</v>
      </c>
      <c r="AF70" s="945">
        <f t="shared" si="86"/>
        <v>4.6127168133752942E-2</v>
      </c>
      <c r="AG70" s="944">
        <f t="shared" si="86"/>
        <v>5.2286806104564161E-2</v>
      </c>
      <c r="AH70" s="944">
        <f t="shared" si="86"/>
        <v>8.0413282731321631E-2</v>
      </c>
      <c r="AI70" s="944">
        <f t="shared" ref="AI70:BO70" si="87">IFERROR(AI67/AI$10,"--")</f>
        <v>9.7985079810889247E-2</v>
      </c>
      <c r="AJ70" s="944">
        <f t="shared" si="87"/>
        <v>9.1604610306712603E-2</v>
      </c>
      <c r="AK70" s="945">
        <f t="shared" si="87"/>
        <v>8.1849599267982159E-2</v>
      </c>
      <c r="AL70" s="944">
        <f t="shared" si="87"/>
        <v>4.3735497020063636E-2</v>
      </c>
      <c r="AM70" s="944">
        <f t="shared" si="87"/>
        <v>5.0350876991055692E-2</v>
      </c>
      <c r="AN70" s="1269">
        <f t="shared" si="87"/>
        <v>6.2507562939579306E-2</v>
      </c>
      <c r="AO70" s="944">
        <f t="shared" si="87"/>
        <v>9.4089808161983174E-2</v>
      </c>
      <c r="AP70" s="945">
        <f t="shared" si="87"/>
        <v>6.3898978489938793E-2</v>
      </c>
      <c r="AQ70" s="944">
        <f t="shared" ref="AQ70:AS70" si="88">IFERROR(AQ67/AQ$10,"--")</f>
        <v>8.7957285183202075E-2</v>
      </c>
      <c r="AR70" s="1269">
        <f t="shared" si="88"/>
        <v>0.11141961048727093</v>
      </c>
      <c r="AS70" s="1269">
        <f t="shared" si="88"/>
        <v>0.10826286225924597</v>
      </c>
      <c r="AT70" s="944">
        <f t="shared" si="87"/>
        <v>6.9508258513099205E-2</v>
      </c>
      <c r="AU70" s="945">
        <f>IFERROR(AU67/AU$10,"--")</f>
        <v>9.4077902659961438E-2</v>
      </c>
      <c r="AV70" s="944">
        <f t="shared" si="87"/>
        <v>0.1122122381320997</v>
      </c>
      <c r="AW70" s="944">
        <f t="shared" si="87"/>
        <v>0.13214332435864373</v>
      </c>
      <c r="AX70" s="944">
        <f t="shared" si="87"/>
        <v>0.12929121225106613</v>
      </c>
      <c r="AY70" s="944">
        <f t="shared" si="87"/>
        <v>9.0182334611646167E-2</v>
      </c>
      <c r="AZ70" s="945">
        <f>IFERROR(AZ67/AZ$10,"--")</f>
        <v>0.11562629744628228</v>
      </c>
      <c r="BA70" s="944">
        <f t="shared" si="87"/>
        <v>0.13727135486401523</v>
      </c>
      <c r="BB70" s="944">
        <f t="shared" si="87"/>
        <v>0.15760342133411312</v>
      </c>
      <c r="BC70" s="944">
        <f t="shared" si="87"/>
        <v>0.15464223823828063</v>
      </c>
      <c r="BD70" s="944">
        <f t="shared" si="87"/>
        <v>0.11492244930580474</v>
      </c>
      <c r="BE70" s="945">
        <f t="shared" si="87"/>
        <v>0.14083675905471146</v>
      </c>
      <c r="BF70" s="944">
        <f t="shared" si="87"/>
        <v>0.16232533177321679</v>
      </c>
      <c r="BG70" s="944">
        <f t="shared" si="87"/>
        <v>0.18285370038171711</v>
      </c>
      <c r="BH70" s="944">
        <f t="shared" si="87"/>
        <v>0.18018631601532836</v>
      </c>
      <c r="BI70" s="944">
        <f t="shared" si="87"/>
        <v>0.14024078879603868</v>
      </c>
      <c r="BJ70" s="945">
        <f t="shared" si="87"/>
        <v>0.1660475998871967</v>
      </c>
      <c r="BK70" s="944">
        <f t="shared" si="87"/>
        <v>0.18753642077935689</v>
      </c>
      <c r="BL70" s="944">
        <f t="shared" si="87"/>
        <v>0.20803456801126299</v>
      </c>
      <c r="BM70" s="944">
        <f t="shared" si="87"/>
        <v>0.2053389982735099</v>
      </c>
      <c r="BN70" s="944">
        <f t="shared" si="87"/>
        <v>0.16490782201781473</v>
      </c>
      <c r="BO70" s="945">
        <f t="shared" si="87"/>
        <v>0.19112990523835671</v>
      </c>
    </row>
    <row r="71" spans="1:67">
      <c r="B71" s="1162" t="s">
        <v>487</v>
      </c>
      <c r="C71" s="448"/>
      <c r="D71" s="384"/>
      <c r="E71" s="384"/>
      <c r="F71" s="384"/>
      <c r="G71" s="629"/>
      <c r="H71" s="448"/>
      <c r="I71" s="384"/>
      <c r="J71" s="384"/>
      <c r="K71" s="384"/>
      <c r="L71" s="629"/>
      <c r="M71" s="448"/>
      <c r="N71" s="384"/>
      <c r="O71" s="384"/>
      <c r="P71" s="384"/>
      <c r="Q71" s="629"/>
      <c r="R71" s="448"/>
      <c r="S71" s="384"/>
      <c r="T71" s="384"/>
      <c r="U71" s="384"/>
      <c r="V71" s="629"/>
      <c r="W71" s="448"/>
      <c r="X71" s="384"/>
      <c r="Y71" s="384"/>
      <c r="Z71" s="384"/>
      <c r="AA71" s="629"/>
      <c r="AB71" s="448"/>
      <c r="AC71" s="384"/>
      <c r="AD71" s="384"/>
      <c r="AE71" s="384"/>
      <c r="AF71" s="629"/>
      <c r="AG71" s="448"/>
      <c r="AH71" s="384"/>
      <c r="AI71" s="384"/>
      <c r="AJ71" s="384"/>
      <c r="AK71" s="930">
        <f>(AK70-AF70)*10000</f>
        <v>357.2243113422922</v>
      </c>
      <c r="AL71" s="1115"/>
      <c r="AM71" s="1116"/>
      <c r="AN71" s="1116"/>
      <c r="AO71" s="384"/>
      <c r="AP71" s="930">
        <f>(AP70-AK70)*10000</f>
        <v>-179.50620778043367</v>
      </c>
      <c r="AQ71" s="1115"/>
      <c r="AR71" s="1116"/>
      <c r="AS71" s="1116"/>
      <c r="AT71" s="384"/>
      <c r="AU71" s="930">
        <f>(AU70-AP70)*10000</f>
        <v>301.78924170022646</v>
      </c>
      <c r="AV71" s="448"/>
      <c r="AW71" s="384"/>
      <c r="AX71" s="384"/>
      <c r="AY71" s="384"/>
      <c r="AZ71" s="930">
        <f>(AZ70-AU70)*10000</f>
        <v>215.48394786320841</v>
      </c>
      <c r="BA71" s="448"/>
      <c r="BB71" s="384"/>
      <c r="BC71" s="384"/>
      <c r="BD71" s="384"/>
      <c r="BE71" s="930">
        <f>(BE70-AZ70)*10000</f>
        <v>252.10461608429185</v>
      </c>
      <c r="BF71" s="448"/>
      <c r="BG71" s="384"/>
      <c r="BH71" s="384"/>
      <c r="BI71" s="384"/>
      <c r="BJ71" s="930">
        <f>(BJ70-BE70)*10000</f>
        <v>252.10840832485232</v>
      </c>
      <c r="BK71" s="448"/>
      <c r="BL71" s="384"/>
      <c r="BM71" s="384"/>
      <c r="BN71" s="384"/>
      <c r="BO71" s="930">
        <f>(BO70-BJ70)*10000</f>
        <v>250.82305351160016</v>
      </c>
    </row>
    <row r="72" spans="1:67">
      <c r="B72" s="1079"/>
      <c r="C72" s="448"/>
      <c r="D72" s="384"/>
      <c r="E72" s="384"/>
      <c r="F72" s="384"/>
      <c r="G72" s="629"/>
      <c r="H72" s="448"/>
      <c r="I72" s="384"/>
      <c r="J72" s="384"/>
      <c r="K72" s="384"/>
      <c r="L72" s="629"/>
      <c r="M72" s="448"/>
      <c r="N72" s="384"/>
      <c r="O72" s="384"/>
      <c r="P72" s="384"/>
      <c r="Q72" s="629"/>
      <c r="R72" s="448"/>
      <c r="S72" s="384"/>
      <c r="T72" s="384"/>
      <c r="U72" s="384"/>
      <c r="V72" s="629"/>
      <c r="W72" s="448"/>
      <c r="X72" s="384"/>
      <c r="Y72" s="384"/>
      <c r="Z72" s="384"/>
      <c r="AA72" s="629"/>
      <c r="AB72" s="448"/>
      <c r="AC72" s="384"/>
      <c r="AD72" s="384"/>
      <c r="AE72" s="384"/>
      <c r="AF72" s="629"/>
      <c r="AG72" s="1115"/>
      <c r="AH72" s="1115"/>
      <c r="AI72" s="1115"/>
      <c r="AJ72" s="1115"/>
      <c r="AK72" s="629"/>
      <c r="AL72" s="1115"/>
      <c r="AM72" s="1115"/>
      <c r="AN72" s="1115"/>
      <c r="AO72" s="1115"/>
      <c r="AP72" s="629"/>
      <c r="AQ72" s="1115"/>
      <c r="AR72" s="1115"/>
      <c r="AS72" s="1115"/>
      <c r="AT72" s="1115"/>
      <c r="AU72" s="930"/>
      <c r="AV72" s="448"/>
      <c r="AW72" s="384"/>
      <c r="AX72" s="384"/>
      <c r="AY72" s="384"/>
      <c r="AZ72" s="930"/>
      <c r="BA72" s="448"/>
      <c r="BB72" s="384"/>
      <c r="BC72" s="384"/>
      <c r="BD72" s="384"/>
      <c r="BE72" s="930"/>
      <c r="BF72" s="448"/>
      <c r="BG72" s="384"/>
      <c r="BH72" s="384"/>
      <c r="BI72" s="384"/>
      <c r="BJ72" s="930"/>
      <c r="BK72" s="448"/>
      <c r="BL72" s="384"/>
      <c r="BM72" s="384"/>
      <c r="BN72" s="384"/>
      <c r="BO72" s="930"/>
    </row>
    <row r="73" spans="1:67" s="1039" customFormat="1">
      <c r="A73" s="1036"/>
      <c r="B73" s="1040" t="s">
        <v>43</v>
      </c>
      <c r="C73" s="1133"/>
      <c r="D73" s="1134"/>
      <c r="E73" s="1134"/>
      <c r="F73" s="1134"/>
      <c r="G73" s="1107"/>
      <c r="H73" s="1135">
        <f>'IS (GAAP)'!H72</f>
        <v>0</v>
      </c>
      <c r="I73" s="1135">
        <f>'IS (GAAP)'!I72</f>
        <v>0</v>
      </c>
      <c r="J73" s="1135">
        <f>'IS (GAAP)'!J72</f>
        <v>2.0249999999999999</v>
      </c>
      <c r="K73" s="1135">
        <f>'IS (GAAP)'!K72</f>
        <v>4.1959999999999997</v>
      </c>
      <c r="L73" s="1107">
        <f>SUM(H73:K73)</f>
        <v>6.2210000000000001</v>
      </c>
      <c r="M73" s="1135">
        <f>'IS (GAAP)'!M72</f>
        <v>3.5939999999999999</v>
      </c>
      <c r="N73" s="1135">
        <f>'IS (GAAP)'!N72</f>
        <v>3.1669999999999998</v>
      </c>
      <c r="O73" s="1135">
        <f>'IS (GAAP)'!O72</f>
        <v>2.4910000000000001</v>
      </c>
      <c r="P73" s="1135">
        <f>'IS (GAAP)'!P72</f>
        <v>2.2989999999999999</v>
      </c>
      <c r="Q73" s="1107">
        <f>SUM(M73:P73)</f>
        <v>11.550999999999998</v>
      </c>
      <c r="R73" s="1135">
        <f>'IS (GAAP)'!R72</f>
        <v>2.448</v>
      </c>
      <c r="S73" s="1135">
        <f>'IS (GAAP)'!S72</f>
        <v>1.6890000000000001</v>
      </c>
      <c r="T73" s="1135">
        <f>'IS (GAAP)'!T72</f>
        <v>1.5169999999999999</v>
      </c>
      <c r="U73" s="1135">
        <f>'IS (GAAP)'!U72</f>
        <v>1.853</v>
      </c>
      <c r="V73" s="1107">
        <f>SUM(R73:U73)</f>
        <v>7.5069999999999997</v>
      </c>
      <c r="W73" s="1135">
        <f>'IS (GAAP)'!W72</f>
        <v>2.6120000000000001</v>
      </c>
      <c r="X73" s="1135">
        <f>'IS (GAAP)'!X72</f>
        <v>2.19</v>
      </c>
      <c r="Y73" s="1135">
        <f>'IS (GAAP)'!Y72</f>
        <v>1.9850000000000001</v>
      </c>
      <c r="Z73" s="1135">
        <f>'IS (GAAP)'!Z72</f>
        <v>2.3420000000000001</v>
      </c>
      <c r="AA73" s="1107">
        <f>SUM(W73:Z73)</f>
        <v>9.1289999999999996</v>
      </c>
      <c r="AB73" s="1135">
        <f>'IS (GAAP)'!AB72</f>
        <v>4.7590000000000003</v>
      </c>
      <c r="AC73" s="1135">
        <f>'IS (GAAP)'!AC72</f>
        <v>11.692</v>
      </c>
      <c r="AD73" s="1135">
        <f>'IS (GAAP)'!AD72</f>
        <v>21.856999999999999</v>
      </c>
      <c r="AE73" s="1135">
        <f>'IS (GAAP)'!AE72</f>
        <v>35.530999999999999</v>
      </c>
      <c r="AF73" s="1107">
        <f>SUM(AB73:AE73)</f>
        <v>73.838999999999999</v>
      </c>
      <c r="AG73" s="1135">
        <f>'IS (GAAP)'!AG72</f>
        <v>43.131</v>
      </c>
      <c r="AH73" s="1135">
        <f>'IS (GAAP)'!AH72</f>
        <v>50.28</v>
      </c>
      <c r="AI73" s="1135">
        <f>'IS (GAAP)'!AI72</f>
        <v>53.491</v>
      </c>
      <c r="AJ73" s="1135">
        <f>'IS (GAAP)'!AJ72</f>
        <v>53.761000000000003</v>
      </c>
      <c r="AK73" s="1105">
        <f>SUM(AG73:AJ73)</f>
        <v>200.66299999999998</v>
      </c>
      <c r="AL73" s="1136">
        <f>'IS (GAAP)'!AL72</f>
        <v>54.779000000000003</v>
      </c>
      <c r="AM73" s="1136">
        <f>'IS (GAAP)'!AM72</f>
        <v>49.265000000000001</v>
      </c>
      <c r="AN73" s="1136">
        <f>'IS (GAAP)'!AN72</f>
        <v>48.655000000000001</v>
      </c>
      <c r="AO73" s="1135">
        <f>'IS (GAAP)'!AO72</f>
        <v>56.31</v>
      </c>
      <c r="AP73" s="1105">
        <f>SUM(AL73:AO73)</f>
        <v>209.00900000000001</v>
      </c>
      <c r="AQ73" s="1136">
        <f>'IS (GAAP)'!AQ72</f>
        <v>53.162999999999997</v>
      </c>
      <c r="AR73" s="1136">
        <f>'IS (GAAP)'!AR72</f>
        <v>49.466999999999999</v>
      </c>
      <c r="AS73" s="1136">
        <f>'IS (GAAP)'!AS72</f>
        <v>45.481000000000002</v>
      </c>
      <c r="AT73" s="1137">
        <f t="shared" ref="AT73:AY73" si="89">AT158</f>
        <v>45.481000000000002</v>
      </c>
      <c r="AU73" s="1107">
        <f>SUM(AQ73:AT73)</f>
        <v>193.59199999999998</v>
      </c>
      <c r="AV73" s="1137">
        <f>AV158</f>
        <v>52.542540525129894</v>
      </c>
      <c r="AW73" s="1137">
        <f t="shared" si="89"/>
        <v>55.844677180931917</v>
      </c>
      <c r="AX73" s="1137">
        <f t="shared" si="89"/>
        <v>53.309249718532655</v>
      </c>
      <c r="AY73" s="1137">
        <f t="shared" si="89"/>
        <v>51.684825699739662</v>
      </c>
      <c r="AZ73" s="1107">
        <f>SUM(AV73:AY73)</f>
        <v>213.38129312433412</v>
      </c>
      <c r="BA73" s="1137">
        <f>BA158</f>
        <v>59.057246650052136</v>
      </c>
      <c r="BB73" s="1137">
        <f>BB158</f>
        <v>66.004471089273181</v>
      </c>
      <c r="BC73" s="1137">
        <f>BC158</f>
        <v>67.824140136541331</v>
      </c>
      <c r="BD73" s="1137">
        <f>BD158</f>
        <v>70.684396903418872</v>
      </c>
      <c r="BE73" s="1107">
        <f>SUM(BA73:BD73)</f>
        <v>263.57025477928551</v>
      </c>
      <c r="BF73" s="1137">
        <f>BF158</f>
        <v>84.006502170553347</v>
      </c>
      <c r="BG73" s="1137">
        <f>BG158</f>
        <v>93.330040509118817</v>
      </c>
      <c r="BH73" s="1137">
        <f>BH158</f>
        <v>95.979834804964938</v>
      </c>
      <c r="BI73" s="1137">
        <f>BI158</f>
        <v>100.5912085140731</v>
      </c>
      <c r="BJ73" s="1107">
        <f>SUM(BF73:BI73)</f>
        <v>373.9075859987102</v>
      </c>
      <c r="BK73" s="1137">
        <f>BK158</f>
        <v>117.15835588688617</v>
      </c>
      <c r="BL73" s="1137">
        <f>BL158</f>
        <v>128.13913592022269</v>
      </c>
      <c r="BM73" s="1137">
        <f>BM158</f>
        <v>132.32356618682232</v>
      </c>
      <c r="BN73" s="1137">
        <f>BN158</f>
        <v>139.1887529686677</v>
      </c>
      <c r="BO73" s="1107">
        <f>SUM(BK73:BN73)</f>
        <v>516.80981096259893</v>
      </c>
    </row>
    <row r="74" spans="1:67" s="1039" customFormat="1">
      <c r="A74" s="1036"/>
      <c r="B74" s="1040" t="s">
        <v>466</v>
      </c>
      <c r="C74" s="1133"/>
      <c r="D74" s="1134"/>
      <c r="E74" s="1134"/>
      <c r="F74" s="1134"/>
      <c r="G74" s="1107"/>
      <c r="H74" s="1135"/>
      <c r="I74" s="1135"/>
      <c r="J74" s="1135"/>
      <c r="K74" s="1135"/>
      <c r="L74" s="1107"/>
      <c r="M74" s="1135"/>
      <c r="N74" s="1135"/>
      <c r="O74" s="1135"/>
      <c r="P74" s="1135"/>
      <c r="Q74" s="1107"/>
      <c r="R74" s="1135"/>
      <c r="S74" s="1135"/>
      <c r="T74" s="1135"/>
      <c r="U74" s="1135"/>
      <c r="V74" s="1107"/>
      <c r="W74" s="1135"/>
      <c r="X74" s="1135"/>
      <c r="Y74" s="1135"/>
      <c r="Z74" s="1135"/>
      <c r="AA74" s="1107"/>
      <c r="AB74" s="1135"/>
      <c r="AC74" s="1135"/>
      <c r="AD74" s="1135"/>
      <c r="AE74" s="1135"/>
      <c r="AF74" s="1107"/>
      <c r="AG74" s="1135"/>
      <c r="AH74" s="1135"/>
      <c r="AI74" s="1135"/>
      <c r="AJ74" s="1135"/>
      <c r="AK74" s="1105"/>
      <c r="AL74" s="1136"/>
      <c r="AM74" s="1136"/>
      <c r="AN74" s="1136">
        <f>'IS (GAAP)'!AN73+AN132</f>
        <v>0</v>
      </c>
      <c r="AO74" s="1135"/>
      <c r="AP74" s="1105"/>
      <c r="AQ74" s="1136"/>
      <c r="AR74" s="1136"/>
      <c r="AS74" s="1136">
        <f>'IS (GAAP)'!AS73+AS132</f>
        <v>0</v>
      </c>
      <c r="AT74" s="1137"/>
      <c r="AU74" s="1107"/>
      <c r="AV74" s="1137"/>
      <c r="AW74" s="1137"/>
      <c r="AX74" s="1137"/>
      <c r="AY74" s="1137"/>
      <c r="AZ74" s="1107"/>
      <c r="BA74" s="1137"/>
      <c r="BB74" s="1137"/>
      <c r="BC74" s="1137"/>
      <c r="BD74" s="1137"/>
      <c r="BE74" s="1107"/>
      <c r="BF74" s="1137"/>
      <c r="BG74" s="1137"/>
      <c r="BH74" s="1137"/>
      <c r="BI74" s="1137"/>
      <c r="BJ74" s="1107"/>
      <c r="BK74" s="1137"/>
      <c r="BL74" s="1137"/>
      <c r="BM74" s="1137"/>
      <c r="BN74" s="1137"/>
      <c r="BO74" s="1107"/>
    </row>
    <row r="75" spans="1:67" s="1039" customFormat="1">
      <c r="A75" s="1036" t="s">
        <v>348</v>
      </c>
      <c r="B75" s="1040" t="s">
        <v>436</v>
      </c>
      <c r="C75" s="1106"/>
      <c r="D75" s="1106"/>
      <c r="E75" s="1106"/>
      <c r="F75" s="1106"/>
      <c r="G75" s="1138">
        <f>SUM(C75:F75)</f>
        <v>0</v>
      </c>
      <c r="H75" s="1106">
        <f>'IS (GAAP)'!H74</f>
        <v>1.0760000000000001</v>
      </c>
      <c r="I75" s="1106">
        <f>'IS (GAAP)'!I74</f>
        <v>1.161</v>
      </c>
      <c r="J75" s="1106">
        <f>'IS (GAAP)'!J74</f>
        <v>-0.18</v>
      </c>
      <c r="K75" s="1106">
        <f>'IS (GAAP)'!K74</f>
        <v>-2.1000000000000001E-2</v>
      </c>
      <c r="L75" s="1138">
        <f>SUM(H75:K75)</f>
        <v>2.036</v>
      </c>
      <c r="M75" s="1106">
        <f>'IS (GAAP)'!M74</f>
        <v>-0.28699999999999998</v>
      </c>
      <c r="N75" s="1106">
        <f>'IS (GAAP)'!N74</f>
        <v>-0.49199999999999999</v>
      </c>
      <c r="O75" s="1106">
        <f>'IS (GAAP)'!O74</f>
        <v>-0.04</v>
      </c>
      <c r="P75" s="1106">
        <f>'IS (GAAP)'!P74</f>
        <v>-0.186</v>
      </c>
      <c r="Q75" s="1138">
        <f>SUM(M75:P75)</f>
        <v>-1.0049999999999999</v>
      </c>
      <c r="R75" s="1106">
        <f>'IS (GAAP)'!R74</f>
        <v>6.7000000000000004E-2</v>
      </c>
      <c r="S75" s="1106">
        <f>'IS (GAAP)'!S74</f>
        <v>-1.109</v>
      </c>
      <c r="T75" s="1106">
        <f>'IS (GAAP)'!T74</f>
        <v>-0.51900000000000002</v>
      </c>
      <c r="U75" s="1106">
        <f>'IS (GAAP)'!U74</f>
        <v>0.95099999999999996</v>
      </c>
      <c r="V75" s="1138">
        <f>SUM(R75:U75)</f>
        <v>-0.61</v>
      </c>
      <c r="W75" s="1106">
        <f>'IS (GAAP)'!W74</f>
        <v>-0.48799999999999999</v>
      </c>
      <c r="X75" s="1106">
        <f>'IS (GAAP)'!X74</f>
        <v>8.7460000000000004</v>
      </c>
      <c r="Y75" s="1106">
        <f>'IS (GAAP)'!Y74</f>
        <v>1.609</v>
      </c>
      <c r="Z75" s="1106">
        <f>'IS (GAAP)'!Z74</f>
        <v>19.079999999999998</v>
      </c>
      <c r="AA75" s="1138">
        <f>SUM(W75:Z75)</f>
        <v>28.946999999999999</v>
      </c>
      <c r="AB75" s="1106">
        <f>'IS (GAAP)'!AB74</f>
        <v>-8.4809999999999999</v>
      </c>
      <c r="AC75" s="1106">
        <f>'IS (GAAP)'!AC74</f>
        <v>-22.92</v>
      </c>
      <c r="AD75" s="1106">
        <f>'IS (GAAP)'!AD74</f>
        <v>-13.271000000000001</v>
      </c>
      <c r="AE75" s="1106">
        <f>'IS (GAAP)'!AE74</f>
        <v>-2.8929999999999998</v>
      </c>
      <c r="AF75" s="1138">
        <f>SUM(AB75:AE75)</f>
        <v>-47.565000000000005</v>
      </c>
      <c r="AG75" s="1135">
        <f>'IS (GAAP)'!AG74</f>
        <v>-2.5619999999999998</v>
      </c>
      <c r="AH75" s="1135">
        <f>'IS (GAAP)'!AH74</f>
        <v>4.0860000000000003</v>
      </c>
      <c r="AI75" s="1135">
        <f>'IS (GAAP)'!AI74</f>
        <v>-4.17</v>
      </c>
      <c r="AJ75" s="1135">
        <f>'IS (GAAP)'!AJ74</f>
        <v>47.533000000000001</v>
      </c>
      <c r="AK75" s="1138">
        <f>SUM(AG75:AJ75)</f>
        <v>44.887</v>
      </c>
      <c r="AL75" s="1136">
        <f>'IS (GAAP)'!AL74</f>
        <v>-21.302</v>
      </c>
      <c r="AM75" s="1136">
        <f>'IS (GAAP)'!AM74</f>
        <v>-7.9459999999999997</v>
      </c>
      <c r="AN75" s="1136">
        <f>'IS (GAAP)'!AN74</f>
        <v>-8.4740000000000002</v>
      </c>
      <c r="AO75" s="1135">
        <f>'IS (GAAP)'!AO74</f>
        <v>2.383</v>
      </c>
      <c r="AP75" s="1138">
        <f>SUM(AL75:AO75)</f>
        <v>-35.338999999999992</v>
      </c>
      <c r="AQ75" s="1136">
        <f>'IS (GAAP)'!AQ74</f>
        <v>-28.058</v>
      </c>
      <c r="AR75" s="1136">
        <f>'IS (GAAP)'!AR74</f>
        <v>-4.9850000000000003</v>
      </c>
      <c r="AS75" s="1136">
        <f>'IS (GAAP)'!AS74</f>
        <v>-1.8540000000000001</v>
      </c>
      <c r="AT75" s="1104"/>
      <c r="AU75" s="1138"/>
      <c r="AV75" s="1104"/>
      <c r="AW75" s="1104"/>
      <c r="AX75" s="1104"/>
      <c r="AY75" s="1104"/>
      <c r="AZ75" s="1138"/>
      <c r="BA75" s="1104"/>
      <c r="BB75" s="1104"/>
      <c r="BC75" s="1104"/>
      <c r="BD75" s="1104"/>
      <c r="BE75" s="1138"/>
      <c r="BF75" s="1104"/>
      <c r="BG75" s="1104"/>
      <c r="BH75" s="1104"/>
      <c r="BI75" s="1104"/>
      <c r="BJ75" s="1138"/>
      <c r="BK75" s="1104"/>
      <c r="BL75" s="1104"/>
      <c r="BM75" s="1104"/>
      <c r="BN75" s="1104"/>
      <c r="BO75" s="1138"/>
    </row>
    <row r="76" spans="1:67" s="1144" customFormat="1">
      <c r="A76" s="1036"/>
      <c r="B76" s="985" t="s">
        <v>349</v>
      </c>
      <c r="C76" s="1139">
        <f>C67+C75</f>
        <v>0</v>
      </c>
      <c r="D76" s="1139">
        <f>D67+D75</f>
        <v>0</v>
      </c>
      <c r="E76" s="1139">
        <f>E67+E75</f>
        <v>0</v>
      </c>
      <c r="F76" s="1139">
        <f>F67+F75</f>
        <v>0</v>
      </c>
      <c r="G76" s="1140">
        <f>SUM(C76:F76)</f>
        <v>0</v>
      </c>
      <c r="H76" s="1139">
        <f>H67+SUM(H73:H75)</f>
        <v>-23.295999999999996</v>
      </c>
      <c r="I76" s="1139">
        <f>I67+SUM(I73:I75)</f>
        <v>-27.387000000000004</v>
      </c>
      <c r="J76" s="1139">
        <f>J67+SUM(J73:J75)</f>
        <v>-30.620000000000005</v>
      </c>
      <c r="K76" s="1139">
        <f>K67+SUM(K73:K75)</f>
        <v>-42.633999999999986</v>
      </c>
      <c r="L76" s="1140">
        <f>SUM(H76:K76)</f>
        <v>-123.93699999999998</v>
      </c>
      <c r="M76" s="1139">
        <f>M67+SUM(M73:M75)</f>
        <v>-67.870999999999995</v>
      </c>
      <c r="N76" s="1139">
        <f>N67+SUM(N73:N75)</f>
        <v>-74.583000000000013</v>
      </c>
      <c r="O76" s="1139">
        <f>O67+SUM(O73:O75)</f>
        <v>-64.850000000000023</v>
      </c>
      <c r="P76" s="1139">
        <f>P67+SUM(P73:P75)</f>
        <v>-62.119</v>
      </c>
      <c r="Q76" s="1140">
        <f>SUM(M76:P76)</f>
        <v>-269.423</v>
      </c>
      <c r="R76" s="1139">
        <f>R67+SUM(R73:R75)</f>
        <v>-70.647000000000006</v>
      </c>
      <c r="S76" s="1139">
        <f>S67+SUM(S73:S75)</f>
        <v>-58.274000000000015</v>
      </c>
      <c r="T76" s="1139">
        <f>T67+SUM(T73:T75)</f>
        <v>-47.112000000000002</v>
      </c>
      <c r="U76" s="1139">
        <f>U67+SUM(U73:U75)</f>
        <v>-43.167000000000002</v>
      </c>
      <c r="V76" s="1140">
        <f>SUM(R76:U76)</f>
        <v>-219.20000000000002</v>
      </c>
      <c r="W76" s="1139">
        <f>W67+SUM(W73:W75)</f>
        <v>-33.683000000000014</v>
      </c>
      <c r="X76" s="1139">
        <f>X67+SUM(X73:X75)</f>
        <v>-10.962000000000025</v>
      </c>
      <c r="Y76" s="1139">
        <f>Y67+SUM(Y73:Y75)</f>
        <v>12.066000000000038</v>
      </c>
      <c r="Z76" s="1139">
        <f>Z67+SUM(Z73:Z75)</f>
        <v>39.47999999999999</v>
      </c>
      <c r="AA76" s="1140">
        <f>SUM(W76:Z76)</f>
        <v>6.9009999999999891</v>
      </c>
      <c r="AB76" s="1139">
        <f>AB67+SUM(AB73:AB75)</f>
        <v>-2.0469999999999882</v>
      </c>
      <c r="AC76" s="1139">
        <f>AC67+SUM(AC73:AC75)</f>
        <v>6.233000000000068</v>
      </c>
      <c r="AD76" s="1139">
        <f>AD67+SUM(AD73:AD75)</f>
        <v>51.957999999999956</v>
      </c>
      <c r="AE76" s="1139">
        <f>AE67+SUM(AE73:AE75)</f>
        <v>65.412999999999926</v>
      </c>
      <c r="AF76" s="1140">
        <f>SUM(AB76:AE76)</f>
        <v>121.55699999999996</v>
      </c>
      <c r="AG76" s="1139">
        <f>AG67+SUM(AG73:AG75)</f>
        <v>73.175000000000111</v>
      </c>
      <c r="AH76" s="1139">
        <f>AH67+SUM(AH73:AH75)</f>
        <v>108.56599999999993</v>
      </c>
      <c r="AI76" s="1139">
        <f>AI67+SUM(AI73:AI75)</f>
        <v>121.25899999999999</v>
      </c>
      <c r="AJ76" s="1139">
        <f>AJ67+SUM(AJ73:AJ75)</f>
        <v>172.25999999999996</v>
      </c>
      <c r="AK76" s="1140">
        <f>SUM(AG76:AJ76)</f>
        <v>475.26</v>
      </c>
      <c r="AL76" s="1141">
        <f t="shared" ref="AL76:AY76" si="90">AL67+SUM(AL73:AL75)</f>
        <v>69.720999999999918</v>
      </c>
      <c r="AM76" s="1141">
        <f t="shared" si="90"/>
        <v>85.064999999999984</v>
      </c>
      <c r="AN76" s="1141">
        <f t="shared" si="90"/>
        <v>99.069000000000031</v>
      </c>
      <c r="AO76" s="1139">
        <f>AO67+SUM(AO73:AO75)</f>
        <v>151.53800000000015</v>
      </c>
      <c r="AP76" s="1140">
        <f>SUM(AL76:AO76)</f>
        <v>405.39300000000003</v>
      </c>
      <c r="AQ76" s="1141">
        <f t="shared" ref="AQ76:AS76" si="91">AQ67+SUM(AQ73:AQ75)</f>
        <v>116.76300000000012</v>
      </c>
      <c r="AR76" s="1141">
        <f t="shared" si="91"/>
        <v>172.05400000000012</v>
      </c>
      <c r="AS76" s="1141">
        <f t="shared" si="91"/>
        <v>174.93999999999977</v>
      </c>
      <c r="AT76" s="1142">
        <f t="shared" si="90"/>
        <v>132.28312564846613</v>
      </c>
      <c r="AU76" s="1143">
        <f>SUM(AQ76:AT76)</f>
        <v>596.04012564846607</v>
      </c>
      <c r="AV76" s="1142">
        <f>AV67+SUM(AV73:AV75)</f>
        <v>199.87844038214325</v>
      </c>
      <c r="AW76" s="1142">
        <f t="shared" si="90"/>
        <v>242.8321616585618</v>
      </c>
      <c r="AX76" s="1142">
        <f t="shared" si="90"/>
        <v>247.54528998192416</v>
      </c>
      <c r="AY76" s="1142">
        <f t="shared" si="90"/>
        <v>191.39774696285539</v>
      </c>
      <c r="AZ76" s="1143">
        <f>SUM(AV76:AY76)</f>
        <v>881.65363898548469</v>
      </c>
      <c r="BA76" s="1142">
        <f>BA67+SUM(BA73:BA75)</f>
        <v>282.70733277888922</v>
      </c>
      <c r="BB76" s="1142">
        <f>BB67+SUM(BB73:BB75)</f>
        <v>343.51539979669013</v>
      </c>
      <c r="BC76" s="1142">
        <f>BC67+SUM(BC73:BC75)</f>
        <v>357.70741020424646</v>
      </c>
      <c r="BD76" s="1142">
        <f>BD67+SUM(BD73:BD75)</f>
        <v>290.61509209987634</v>
      </c>
      <c r="BE76" s="1143">
        <f>SUM(BA76:BD76)</f>
        <v>1274.5452348797021</v>
      </c>
      <c r="BF76" s="1142">
        <f>BF67+SUM(BF73:BF75)</f>
        <v>408.09068021302249</v>
      </c>
      <c r="BG76" s="1142">
        <f>BG67+SUM(BG73:BG75)</f>
        <v>486.96431879414195</v>
      </c>
      <c r="BH76" s="1142">
        <f>BH67+SUM(BH73:BH75)</f>
        <v>516.31136680908833</v>
      </c>
      <c r="BI76" s="1142">
        <f>BI67+SUM(BI73:BI75)</f>
        <v>436.04589255848197</v>
      </c>
      <c r="BJ76" s="1143">
        <f>SUM(BF76:BI76)</f>
        <v>1847.4122583747346</v>
      </c>
      <c r="BK76" s="1142">
        <f>BK67+SUM(BK73:BK75)</f>
        <v>582.68360649797967</v>
      </c>
      <c r="BL76" s="1142">
        <f>BL67+SUM(BL73:BL75)</f>
        <v>677.92018767106595</v>
      </c>
      <c r="BM76" s="1142">
        <f>BM67+SUM(BM73:BM75)</f>
        <v>724.33982529086916</v>
      </c>
      <c r="BN76" s="1142">
        <f>BN67+SUM(BN73:BN75)</f>
        <v>621.67816499397043</v>
      </c>
      <c r="BO76" s="1143">
        <f>SUM(BK76:BN76)</f>
        <v>2606.6217844538851</v>
      </c>
    </row>
    <row r="77" spans="1:67">
      <c r="A77" s="620"/>
      <c r="B77" s="1079"/>
      <c r="C77" s="448"/>
      <c r="D77" s="384"/>
      <c r="E77" s="384"/>
      <c r="F77" s="384"/>
      <c r="G77" s="424"/>
      <c r="H77" s="448"/>
      <c r="I77" s="384"/>
      <c r="J77" s="384"/>
      <c r="K77" s="384"/>
      <c r="L77" s="424"/>
      <c r="M77" s="448"/>
      <c r="N77" s="384"/>
      <c r="O77" s="384"/>
      <c r="P77" s="384"/>
      <c r="Q77" s="424"/>
      <c r="R77" s="448"/>
      <c r="S77" s="384"/>
      <c r="T77" s="384"/>
      <c r="U77" s="384"/>
      <c r="V77" s="424"/>
      <c r="W77" s="448"/>
      <c r="X77" s="384"/>
      <c r="Y77" s="384"/>
      <c r="Z77" s="384"/>
      <c r="AA77" s="424"/>
      <c r="AB77" s="448"/>
      <c r="AC77" s="384"/>
      <c r="AD77" s="384"/>
      <c r="AE77" s="384"/>
      <c r="AF77" s="424"/>
      <c r="AG77" s="448"/>
      <c r="AH77" s="384"/>
      <c r="AI77" s="384"/>
      <c r="AJ77" s="384"/>
      <c r="AK77" s="424"/>
      <c r="AL77" s="1115"/>
      <c r="AM77" s="1116"/>
      <c r="AN77" s="1116"/>
      <c r="AO77" s="384"/>
      <c r="AP77" s="424"/>
      <c r="AQ77" s="1115"/>
      <c r="AR77" s="1116"/>
      <c r="AS77" s="1116"/>
      <c r="AT77" s="384"/>
      <c r="AU77" s="424"/>
      <c r="AV77" s="448"/>
      <c r="AW77" s="384"/>
      <c r="AX77" s="384"/>
      <c r="AY77" s="384"/>
      <c r="AZ77" s="424"/>
      <c r="BA77" s="448"/>
      <c r="BB77" s="384"/>
      <c r="BC77" s="384"/>
      <c r="BD77" s="384"/>
      <c r="BE77" s="424"/>
      <c r="BF77" s="448"/>
      <c r="BG77" s="384"/>
      <c r="BH77" s="384"/>
      <c r="BI77" s="384"/>
      <c r="BJ77" s="424"/>
      <c r="BK77" s="448"/>
      <c r="BL77" s="384"/>
      <c r="BM77" s="384"/>
      <c r="BN77" s="384"/>
      <c r="BO77" s="424"/>
    </row>
    <row r="78" spans="1:67" s="1132" customFormat="1">
      <c r="A78" s="1036" t="s">
        <v>71</v>
      </c>
      <c r="B78" s="1163" t="s">
        <v>337</v>
      </c>
      <c r="C78" s="1104"/>
      <c r="D78" s="1104"/>
      <c r="E78" s="1104"/>
      <c r="F78" s="1104"/>
      <c r="G78" s="1128">
        <f>SUM(C78:F78)</f>
        <v>0</v>
      </c>
      <c r="H78" s="1104">
        <f>'IS (GAAP)'!H77+H133</f>
        <v>-0.17100000000000001</v>
      </c>
      <c r="I78" s="1104">
        <f>'IS (GAAP)'!I77+I133</f>
        <v>-0.155</v>
      </c>
      <c r="J78" s="1104">
        <f>'IS (GAAP)'!J77+J133</f>
        <v>-0.19900000000000001</v>
      </c>
      <c r="K78" s="1104">
        <f>'IS (GAAP)'!K77+K133</f>
        <v>-0.308</v>
      </c>
      <c r="L78" s="1128">
        <f>SUM(H78:K78)</f>
        <v>-0.83299999999999996</v>
      </c>
      <c r="M78" s="1104">
        <f>'IS (GAAP)'!M77+M133</f>
        <v>0.159</v>
      </c>
      <c r="N78" s="1104">
        <f>'IS (GAAP)'!N77+N133</f>
        <v>-0.52100000000000002</v>
      </c>
      <c r="O78" s="1104">
        <f>'IS (GAAP)'!O77+O133</f>
        <v>-0.376</v>
      </c>
      <c r="P78" s="1104">
        <f>'IS (GAAP)'!P77+P133</f>
        <v>-0.255</v>
      </c>
      <c r="Q78" s="1128">
        <f>SUM(M78:P78)</f>
        <v>-0.99299999999999999</v>
      </c>
      <c r="R78" s="1104">
        <f>'IS (GAAP)'!R77+R133</f>
        <v>0.24399999999999999</v>
      </c>
      <c r="S78" s="1104">
        <f>'IS (GAAP)'!S77+S133</f>
        <v>-0.53100000000000003</v>
      </c>
      <c r="T78" s="1104">
        <f>'IS (GAAP)'!T77+T133</f>
        <v>-0.433</v>
      </c>
      <c r="U78" s="1104">
        <f>'IS (GAAP)'!U77+U133</f>
        <v>-1.3420000000000001</v>
      </c>
      <c r="V78" s="1128">
        <f>SUM(R78:U78)</f>
        <v>-2.0620000000000003</v>
      </c>
      <c r="W78" s="1104">
        <f>'IS (GAAP)'!W77+W133</f>
        <v>0.251</v>
      </c>
      <c r="X78" s="1104">
        <f>'IS (GAAP)'!X77+X133</f>
        <v>-0.51400000000000001</v>
      </c>
      <c r="Y78" s="1104">
        <f>'IS (GAAP)'!Y77+Y133</f>
        <v>-1.179</v>
      </c>
      <c r="Z78" s="1104">
        <f>'IS (GAAP)'!Z77+Z133</f>
        <v>-1.546</v>
      </c>
      <c r="AA78" s="1128">
        <f>SUM(W78:Z78)</f>
        <v>-2.9880000000000004</v>
      </c>
      <c r="AB78" s="1104">
        <f>'IS (GAAP)'!AB77+AB133</f>
        <v>26.693999999999999</v>
      </c>
      <c r="AC78" s="1104">
        <f>'IS (GAAP)'!AC77+AC133</f>
        <v>-3.8460000000000001</v>
      </c>
      <c r="AD78" s="1104">
        <f>'IS (GAAP)'!AD77+AD133</f>
        <v>-13.51</v>
      </c>
      <c r="AE78" s="1104">
        <f>'IS (GAAP)'!AE77+AE133</f>
        <v>-17.007000000000001</v>
      </c>
      <c r="AF78" s="1128">
        <f>SUM(AB78:AE78)</f>
        <v>-7.6690000000000023</v>
      </c>
      <c r="AG78" s="1129">
        <f>'IS (GAAP)'!AG77+AG133</f>
        <v>-19.026</v>
      </c>
      <c r="AH78" s="1129">
        <f>'IS (GAAP)'!AH77+AH133</f>
        <v>-28.225999999999999</v>
      </c>
      <c r="AI78" s="1129">
        <f>'IS (GAAP)'!AI77+AI133</f>
        <v>-31.527999999999999</v>
      </c>
      <c r="AJ78" s="1129">
        <f>'IS (GAAP)'!AJ77+AJ133</f>
        <v>-44.788000000000004</v>
      </c>
      <c r="AK78" s="1128">
        <f>SUM(AG78:AJ78)</f>
        <v>-123.56800000000001</v>
      </c>
      <c r="AL78" s="1130">
        <f>'IS (GAAP)'!AL77+AL133</f>
        <v>-18.276</v>
      </c>
      <c r="AM78" s="1130">
        <f>'IS (GAAP)'!AM77+AM133</f>
        <v>-21.969000000000001</v>
      </c>
      <c r="AN78" s="1130">
        <f>'IS (GAAP)'!AN77+AN133</f>
        <v>-25.757000000000001</v>
      </c>
      <c r="AO78" s="1129">
        <f>'IS (GAAP)'!AO77+AO133</f>
        <v>-39.4</v>
      </c>
      <c r="AP78" s="1128">
        <f>SUM(AL78:AO78)</f>
        <v>-105.40200000000002</v>
      </c>
      <c r="AQ78" s="1130">
        <f>'IS (GAAP)'!AQ77+AQ133</f>
        <v>-29.190999999999999</v>
      </c>
      <c r="AR78" s="1130">
        <f>'IS (GAAP)'!AR77+AR133</f>
        <v>-43.067999999999998</v>
      </c>
      <c r="AS78" s="1130">
        <f>'IS (GAAP)'!AS77+AS133</f>
        <v>-43.681000000000004</v>
      </c>
      <c r="AT78" s="1131">
        <f>-AT76*AT79</f>
        <v>-33.029948619244635</v>
      </c>
      <c r="AU78" s="1128">
        <f>SUM(AQ78:AT78)</f>
        <v>-148.96994861924463</v>
      </c>
      <c r="AV78" s="1131">
        <f>-AV76*AV79</f>
        <v>-49.907912166070723</v>
      </c>
      <c r="AW78" s="1131">
        <f>-AW76*AW79</f>
        <v>-60.633083648151668</v>
      </c>
      <c r="AX78" s="1131">
        <f>-AX76*AX79</f>
        <v>-61.809910893451722</v>
      </c>
      <c r="AY78" s="1131">
        <f>-AY76*AY79</f>
        <v>-47.790356608462893</v>
      </c>
      <c r="AZ78" s="1128">
        <f>SUM(AV78:AY78)</f>
        <v>-220.14126331613701</v>
      </c>
      <c r="BA78" s="1131">
        <f>-BA76*BA79</f>
        <v>-70.589567869639183</v>
      </c>
      <c r="BB78" s="1131">
        <f>-BB76*BB79</f>
        <v>-85.77281455652934</v>
      </c>
      <c r="BC78" s="1131">
        <f>-BC76*BC79</f>
        <v>-89.316436407520925</v>
      </c>
      <c r="BD78" s="1131">
        <f>-BD76*BD79</f>
        <v>-72.564066754399889</v>
      </c>
      <c r="BE78" s="1128">
        <f>SUM(BA78:BD78)</f>
        <v>-318.24288558808934</v>
      </c>
      <c r="BF78" s="1131">
        <f>-BF76*BF79</f>
        <v>-101.89670173993976</v>
      </c>
      <c r="BG78" s="1131">
        <f>-BG76*BG79</f>
        <v>-121.59076488651506</v>
      </c>
      <c r="BH78" s="1131">
        <f>-BH76*BH79</f>
        <v>-128.91846812385859</v>
      </c>
      <c r="BI78" s="1131">
        <f>-BI76*BI79</f>
        <v>-108.87687568793345</v>
      </c>
      <c r="BJ78" s="1128">
        <f>SUM(BF78:BI78)</f>
        <v>-461.28281043824688</v>
      </c>
      <c r="BK78" s="1131">
        <f>-BK76*BK79</f>
        <v>-145.49104044494277</v>
      </c>
      <c r="BL78" s="1131">
        <f>-BL76*BL79</f>
        <v>-169.27078837121226</v>
      </c>
      <c r="BM78" s="1131">
        <f>-BM76*BM79</f>
        <v>-180.86136908957644</v>
      </c>
      <c r="BN78" s="1131">
        <f>-BN76*BN79</f>
        <v>-155.22764333543878</v>
      </c>
      <c r="BO78" s="1128">
        <f>SUM(BK78:BN78)</f>
        <v>-650.8508412411702</v>
      </c>
    </row>
    <row r="79" spans="1:67" s="913" customFormat="1">
      <c r="A79" s="681"/>
      <c r="B79" s="1079" t="s">
        <v>338</v>
      </c>
      <c r="C79" s="686" t="str">
        <f>IFERROR(C78/C76,"--")</f>
        <v>--</v>
      </c>
      <c r="D79" s="533" t="str">
        <f>IFERROR(D78/D76,"--")</f>
        <v>--</v>
      </c>
      <c r="E79" s="533" t="str">
        <f>IFERROR(E78/E76,"--")</f>
        <v>--</v>
      </c>
      <c r="F79" s="533" t="str">
        <f>IFERROR(F78/F76,"--")</f>
        <v>--</v>
      </c>
      <c r="G79" s="682" t="str">
        <f>IFERROR(G78/G76,"--")</f>
        <v>--</v>
      </c>
      <c r="H79" s="533">
        <f t="shared" ref="H79:Q79" si="92">IFERROR(IF(AND(H76&gt;=0,H78&gt;=0),-1*(H78/H76),IF(AND(H76&gt;=0,H78&lt;0),-1*(H78/H76),IF(AND(H76&lt;0,H78&gt;=0),(H78/H76),H78/H76))),"--")</f>
        <v>7.3403159340659357E-3</v>
      </c>
      <c r="I79" s="533">
        <f t="shared" si="92"/>
        <v>5.6596195275130526E-3</v>
      </c>
      <c r="J79" s="533">
        <f t="shared" si="92"/>
        <v>6.4990202482037877E-3</v>
      </c>
      <c r="K79" s="533">
        <f t="shared" si="92"/>
        <v>7.2242810902096938E-3</v>
      </c>
      <c r="L79" s="682">
        <f t="shared" si="92"/>
        <v>6.7211567167189791E-3</v>
      </c>
      <c r="M79" s="533">
        <f t="shared" si="92"/>
        <v>-2.3426794949241948E-3</v>
      </c>
      <c r="N79" s="533">
        <f t="shared" si="92"/>
        <v>6.985506080474102E-3</v>
      </c>
      <c r="O79" s="533">
        <f t="shared" si="92"/>
        <v>5.7979953739398593E-3</v>
      </c>
      <c r="P79" s="533">
        <f t="shared" si="92"/>
        <v>4.1050242276920107E-3</v>
      </c>
      <c r="Q79" s="682">
        <f t="shared" si="92"/>
        <v>3.6856541572174609E-3</v>
      </c>
      <c r="R79" s="533">
        <f t="shared" ref="R79:AK79" si="93">IFERROR(IF(AND(R76&gt;=0,R78&gt;=0),-1*(R78/R76),IF(AND(R76&gt;=0,R78&lt;0),-1*(R78/R76),IF(AND(R76&lt;0,R78&gt;=0),(R78/R76),R78/R76))),"--")</f>
        <v>-3.4537913853383722E-3</v>
      </c>
      <c r="S79" s="533">
        <f t="shared" si="93"/>
        <v>9.1121254761986452E-3</v>
      </c>
      <c r="T79" s="533">
        <f t="shared" si="93"/>
        <v>9.1908643233146545E-3</v>
      </c>
      <c r="U79" s="533">
        <f t="shared" si="93"/>
        <v>3.1088563022679361E-2</v>
      </c>
      <c r="V79" s="682">
        <f t="shared" si="93"/>
        <v>9.4069343065693433E-3</v>
      </c>
      <c r="W79" s="686">
        <f t="shared" si="93"/>
        <v>-7.4518303001514085E-3</v>
      </c>
      <c r="X79" s="533">
        <f t="shared" si="93"/>
        <v>4.6889253785805406E-2</v>
      </c>
      <c r="Y79" s="533">
        <f t="shared" si="93"/>
        <v>9.7712580805569063E-2</v>
      </c>
      <c r="Z79" s="533">
        <f t="shared" si="93"/>
        <v>3.915906788247215E-2</v>
      </c>
      <c r="AA79" s="682">
        <f t="shared" si="93"/>
        <v>0.4329807274308079</v>
      </c>
      <c r="AB79" s="686">
        <f t="shared" si="93"/>
        <v>-13.040547142159332</v>
      </c>
      <c r="AC79" s="533">
        <f t="shared" si="93"/>
        <v>0.61703834429647975</v>
      </c>
      <c r="AD79" s="533">
        <f t="shared" si="93"/>
        <v>0.26001770660918455</v>
      </c>
      <c r="AE79" s="533">
        <f t="shared" si="93"/>
        <v>0.25999419075718927</v>
      </c>
      <c r="AF79" s="682">
        <f t="shared" si="93"/>
        <v>6.3089743906151061E-2</v>
      </c>
      <c r="AG79" s="686">
        <f t="shared" si="93"/>
        <v>0.26000683293474508</v>
      </c>
      <c r="AH79" s="533">
        <f t="shared" si="93"/>
        <v>0.25998931525523661</v>
      </c>
      <c r="AI79" s="533">
        <f t="shared" si="93"/>
        <v>0.26000544289496041</v>
      </c>
      <c r="AJ79" s="533">
        <f t="shared" si="93"/>
        <v>0.26000232207128765</v>
      </c>
      <c r="AK79" s="682">
        <f t="shared" si="93"/>
        <v>0.26000084164457354</v>
      </c>
      <c r="AL79" s="1117">
        <f t="shared" ref="AL79:AQ79" si="94">IFERROR(IF(AND(AL76&gt;=0,AL78&gt;=0),-1*(AL78/AL76),IF(AND(AL76&gt;=0,AL78&lt;0),-1*(AL78/AL76),IF(AND(AL76&lt;0,AL78&gt;=0),(AL78/AL76),AL78/AL76))),"--")</f>
        <v>0.26213049153052914</v>
      </c>
      <c r="AM79" s="1118">
        <f t="shared" si="94"/>
        <v>0.25826132957150422</v>
      </c>
      <c r="AN79" s="1118">
        <f t="shared" si="94"/>
        <v>0.25999051166358794</v>
      </c>
      <c r="AO79" s="533">
        <f t="shared" si="94"/>
        <v>0.26000079188058411</v>
      </c>
      <c r="AP79" s="682">
        <f t="shared" si="94"/>
        <v>0.25999955598641322</v>
      </c>
      <c r="AQ79" s="1117">
        <f t="shared" si="94"/>
        <v>0.25000214108921465</v>
      </c>
      <c r="AR79" s="1118">
        <f t="shared" ref="AR79:AS79" si="95">IFERROR(IF(AND(AR76&gt;=0,AR78&gt;=0),-1*(AR78/AR76),IF(AND(AR76&gt;=0,AR78&lt;0),-1*(AR78/AR76),IF(AND(AR76&lt;0,AR78&gt;=0),(AR78/AR76),AR78/AR76))),"--")</f>
        <v>0.25031676101688988</v>
      </c>
      <c r="AS79" s="1118">
        <f t="shared" si="95"/>
        <v>0.24969132273922523</v>
      </c>
      <c r="AT79" s="1083">
        <f t="shared" ref="AT79:BO79" si="96">AS79</f>
        <v>0.24969132273922523</v>
      </c>
      <c r="AU79" s="671">
        <f t="shared" si="96"/>
        <v>0.24969132273922523</v>
      </c>
      <c r="AV79" s="1083">
        <f t="shared" si="96"/>
        <v>0.24969132273922523</v>
      </c>
      <c r="AW79" s="1083">
        <f t="shared" si="96"/>
        <v>0.24969132273922523</v>
      </c>
      <c r="AX79" s="1083">
        <f t="shared" si="96"/>
        <v>0.24969132273922523</v>
      </c>
      <c r="AY79" s="1083">
        <f t="shared" si="96"/>
        <v>0.24969132273922523</v>
      </c>
      <c r="AZ79" s="671">
        <f t="shared" si="96"/>
        <v>0.24969132273922523</v>
      </c>
      <c r="BA79" s="1083">
        <f t="shared" si="96"/>
        <v>0.24969132273922523</v>
      </c>
      <c r="BB79" s="1083">
        <f t="shared" si="96"/>
        <v>0.24969132273922523</v>
      </c>
      <c r="BC79" s="1083">
        <f t="shared" si="96"/>
        <v>0.24969132273922523</v>
      </c>
      <c r="BD79" s="1083">
        <f t="shared" si="96"/>
        <v>0.24969132273922523</v>
      </c>
      <c r="BE79" s="671">
        <f t="shared" si="96"/>
        <v>0.24969132273922523</v>
      </c>
      <c r="BF79" s="1083">
        <f t="shared" si="96"/>
        <v>0.24969132273922523</v>
      </c>
      <c r="BG79" s="1083">
        <f t="shared" si="96"/>
        <v>0.24969132273922523</v>
      </c>
      <c r="BH79" s="1083">
        <f t="shared" si="96"/>
        <v>0.24969132273922523</v>
      </c>
      <c r="BI79" s="1083">
        <f t="shared" si="96"/>
        <v>0.24969132273922523</v>
      </c>
      <c r="BJ79" s="671">
        <f t="shared" si="96"/>
        <v>0.24969132273922523</v>
      </c>
      <c r="BK79" s="1083">
        <f t="shared" si="96"/>
        <v>0.24969132273922523</v>
      </c>
      <c r="BL79" s="1083">
        <f t="shared" si="96"/>
        <v>0.24969132273922523</v>
      </c>
      <c r="BM79" s="1083">
        <f t="shared" si="96"/>
        <v>0.24969132273922523</v>
      </c>
      <c r="BN79" s="1083">
        <f t="shared" si="96"/>
        <v>0.24969132273922523</v>
      </c>
      <c r="BO79" s="671">
        <f t="shared" si="96"/>
        <v>0.24969132273922523</v>
      </c>
    </row>
    <row r="80" spans="1:67">
      <c r="C80" s="448"/>
      <c r="D80" s="384"/>
      <c r="E80" s="384"/>
      <c r="F80" s="384"/>
      <c r="G80" s="635"/>
      <c r="H80" s="448"/>
      <c r="I80" s="384"/>
      <c r="J80" s="384"/>
      <c r="K80" s="384"/>
      <c r="L80" s="635"/>
      <c r="M80" s="448"/>
      <c r="N80" s="384"/>
      <c r="O80" s="384"/>
      <c r="P80" s="384"/>
      <c r="Q80" s="635"/>
      <c r="R80" s="448"/>
      <c r="S80" s="384"/>
      <c r="T80" s="384"/>
      <c r="U80" s="384"/>
      <c r="V80" s="635"/>
      <c r="W80" s="448"/>
      <c r="X80" s="384"/>
      <c r="Y80" s="384"/>
      <c r="Z80" s="384"/>
      <c r="AA80" s="635"/>
      <c r="AB80" s="448"/>
      <c r="AC80" s="384"/>
      <c r="AD80" s="384"/>
      <c r="AE80" s="384"/>
      <c r="AF80" s="635"/>
      <c r="AG80" s="448"/>
      <c r="AH80" s="384"/>
      <c r="AI80" s="384"/>
      <c r="AJ80" s="384"/>
      <c r="AK80" s="635"/>
      <c r="AL80" s="1115"/>
      <c r="AM80" s="1116"/>
      <c r="AN80" s="1116"/>
      <c r="AO80" s="384"/>
      <c r="AP80" s="635"/>
      <c r="AQ80" s="1115"/>
      <c r="AR80" s="1116"/>
      <c r="AS80" s="1116"/>
      <c r="AT80" s="384"/>
      <c r="AU80" s="635"/>
      <c r="AV80" s="448"/>
      <c r="AW80" s="384"/>
      <c r="AX80" s="384"/>
      <c r="AY80" s="384"/>
      <c r="AZ80" s="635"/>
      <c r="BA80" s="448"/>
      <c r="BB80" s="384"/>
      <c r="BC80" s="384"/>
      <c r="BD80" s="384"/>
      <c r="BE80" s="635"/>
      <c r="BF80" s="448"/>
      <c r="BG80" s="384"/>
      <c r="BH80" s="384"/>
      <c r="BI80" s="384"/>
      <c r="BJ80" s="635"/>
      <c r="BK80" s="448"/>
      <c r="BL80" s="384"/>
      <c r="BM80" s="384"/>
      <c r="BN80" s="384"/>
      <c r="BO80" s="635"/>
    </row>
    <row r="81" spans="1:67" s="1127" customFormat="1">
      <c r="A81" s="1123"/>
      <c r="B81" s="1078" t="s">
        <v>350</v>
      </c>
      <c r="C81" s="1124">
        <f>C76+C78</f>
        <v>0</v>
      </c>
      <c r="D81" s="1124">
        <f>D76+D78</f>
        <v>0</v>
      </c>
      <c r="E81" s="1124">
        <f>E76+E78</f>
        <v>0</v>
      </c>
      <c r="F81" s="1124">
        <f>F76+F78</f>
        <v>0</v>
      </c>
      <c r="G81" s="1125">
        <f>SUM(C81:F81)</f>
        <v>0</v>
      </c>
      <c r="H81" s="1124">
        <f>H76+H78</f>
        <v>-23.466999999999995</v>
      </c>
      <c r="I81" s="1124">
        <f>I76+I78</f>
        <v>-27.542000000000005</v>
      </c>
      <c r="J81" s="1124">
        <f>J76+J78</f>
        <v>-30.819000000000006</v>
      </c>
      <c r="K81" s="1124">
        <f>K76+K78</f>
        <v>-42.941999999999986</v>
      </c>
      <c r="L81" s="1045">
        <f>SUM(H81:K81)</f>
        <v>-124.76999999999998</v>
      </c>
      <c r="M81" s="1124">
        <f>M76+M78</f>
        <v>-67.711999999999989</v>
      </c>
      <c r="N81" s="1124">
        <f>N76+N78</f>
        <v>-75.104000000000013</v>
      </c>
      <c r="O81" s="1124">
        <f>O76+O78</f>
        <v>-65.226000000000028</v>
      </c>
      <c r="P81" s="1124">
        <f>P76+P78</f>
        <v>-62.374000000000002</v>
      </c>
      <c r="Q81" s="1045">
        <f>SUM(M81:P81)</f>
        <v>-270.41600000000005</v>
      </c>
      <c r="R81" s="1124">
        <f>R76+R78</f>
        <v>-70.403000000000006</v>
      </c>
      <c r="S81" s="1124">
        <f>S76+S78</f>
        <v>-58.805000000000014</v>
      </c>
      <c r="T81" s="1124">
        <f>T76+T78</f>
        <v>-47.545000000000002</v>
      </c>
      <c r="U81" s="1124">
        <f>U76+U78</f>
        <v>-44.509</v>
      </c>
      <c r="V81" s="1045">
        <f>SUM(R81:U81)</f>
        <v>-221.26200000000006</v>
      </c>
      <c r="W81" s="1124">
        <f>W76+W78</f>
        <v>-33.432000000000016</v>
      </c>
      <c r="X81" s="1124">
        <f>X76+X78</f>
        <v>-11.476000000000024</v>
      </c>
      <c r="Y81" s="1124">
        <f>Y76+Y78</f>
        <v>10.887000000000038</v>
      </c>
      <c r="Z81" s="1124">
        <f>Z76+Z78</f>
        <v>37.93399999999999</v>
      </c>
      <c r="AA81" s="1045">
        <f>SUM(W81:Z81)</f>
        <v>3.9129999999999825</v>
      </c>
      <c r="AB81" s="1124">
        <f>AB76+AB78</f>
        <v>24.647000000000013</v>
      </c>
      <c r="AC81" s="1124">
        <f>AC76+AC78</f>
        <v>2.387000000000068</v>
      </c>
      <c r="AD81" s="1124">
        <f>AD76+AD78</f>
        <v>38.447999999999958</v>
      </c>
      <c r="AE81" s="1124">
        <f>AE76+AE78</f>
        <v>48.405999999999921</v>
      </c>
      <c r="AF81" s="1045">
        <f>SUM(AB81:AE81)</f>
        <v>113.88799999999996</v>
      </c>
      <c r="AG81" s="1124">
        <f>AG76+AG78</f>
        <v>54.149000000000115</v>
      </c>
      <c r="AH81" s="1124">
        <f>AH76+AH78</f>
        <v>80.339999999999932</v>
      </c>
      <c r="AI81" s="1124">
        <f>AI76+AI78</f>
        <v>89.730999999999995</v>
      </c>
      <c r="AJ81" s="1124">
        <f>AJ76+AJ78</f>
        <v>127.47199999999995</v>
      </c>
      <c r="AK81" s="1045">
        <f>SUM(AG81:AJ81)</f>
        <v>351.69200000000001</v>
      </c>
      <c r="AL81" s="1126">
        <f>AL76+AL78</f>
        <v>51.444999999999922</v>
      </c>
      <c r="AM81" s="1126">
        <f>AM76+AM78</f>
        <v>63.095999999999982</v>
      </c>
      <c r="AN81" s="1126">
        <f>AN76+AN78</f>
        <v>73.312000000000026</v>
      </c>
      <c r="AO81" s="1124">
        <f>AO76+AO78</f>
        <v>112.13800000000015</v>
      </c>
      <c r="AP81" s="1045">
        <f>SUM(AL81:AO81)</f>
        <v>299.9910000000001</v>
      </c>
      <c r="AQ81" s="1126">
        <f>AQ76+AQ78</f>
        <v>87.572000000000116</v>
      </c>
      <c r="AR81" s="1126">
        <f>AR76+AR78</f>
        <v>128.9860000000001</v>
      </c>
      <c r="AS81" s="1126">
        <f>AS76+AS78</f>
        <v>131.25899999999976</v>
      </c>
      <c r="AT81" s="1124">
        <f>AT76+AT78</f>
        <v>99.25317702922149</v>
      </c>
      <c r="AU81" s="1045">
        <f>SUM(AQ81:AT81)</f>
        <v>447.0701770292215</v>
      </c>
      <c r="AV81" s="1124">
        <f>AV76+AV78</f>
        <v>149.97052821607252</v>
      </c>
      <c r="AW81" s="1124">
        <f>AW76+AW78</f>
        <v>182.19907801041012</v>
      </c>
      <c r="AX81" s="1124">
        <f>AX76+AX78</f>
        <v>185.73537908847243</v>
      </c>
      <c r="AY81" s="1124">
        <f>AY76+AY78</f>
        <v>143.60739035439249</v>
      </c>
      <c r="AZ81" s="1045">
        <f>SUM(AV81:AY81)</f>
        <v>661.51237566934753</v>
      </c>
      <c r="BA81" s="1124">
        <f>BA76+BA78</f>
        <v>212.11776490925004</v>
      </c>
      <c r="BB81" s="1124">
        <f>BB76+BB78</f>
        <v>257.74258524016079</v>
      </c>
      <c r="BC81" s="1124">
        <f>BC76+BC78</f>
        <v>268.39097379672552</v>
      </c>
      <c r="BD81" s="1124">
        <f>BD76+BD78</f>
        <v>218.05102534547643</v>
      </c>
      <c r="BE81" s="1045">
        <f>SUM(BA81:BD81)</f>
        <v>956.30234929161281</v>
      </c>
      <c r="BF81" s="1124">
        <f>BF76+BF78</f>
        <v>306.19397847308272</v>
      </c>
      <c r="BG81" s="1124">
        <f>BG76+BG78</f>
        <v>365.3735539076269</v>
      </c>
      <c r="BH81" s="1124">
        <f>BH76+BH78</f>
        <v>387.39289868522974</v>
      </c>
      <c r="BI81" s="1124">
        <f>BI76+BI78</f>
        <v>327.16901687054849</v>
      </c>
      <c r="BJ81" s="1045">
        <f>SUM(BF81:BI81)</f>
        <v>1386.1294479364878</v>
      </c>
      <c r="BK81" s="1124">
        <f>BK76+BK78</f>
        <v>437.1925660530369</v>
      </c>
      <c r="BL81" s="1124">
        <f>BL76+BL78</f>
        <v>508.64939929985371</v>
      </c>
      <c r="BM81" s="1124">
        <f>BM76+BM78</f>
        <v>543.47845620129272</v>
      </c>
      <c r="BN81" s="1124">
        <f>BN76+BN78</f>
        <v>466.45052165853167</v>
      </c>
      <c r="BO81" s="1045">
        <f>SUM(BK81:BN81)</f>
        <v>1955.7709432127149</v>
      </c>
    </row>
    <row r="82" spans="1:67">
      <c r="B82" s="1162" t="s">
        <v>351</v>
      </c>
      <c r="C82" s="686" t="str">
        <f t="shared" ref="C82:AH82" si="97">IFERROR(C81/C10,"--")</f>
        <v>--</v>
      </c>
      <c r="D82" s="533" t="str">
        <f t="shared" si="97"/>
        <v>--</v>
      </c>
      <c r="E82" s="533" t="str">
        <f t="shared" si="97"/>
        <v>--</v>
      </c>
      <c r="F82" s="533" t="str">
        <f t="shared" si="97"/>
        <v>--</v>
      </c>
      <c r="G82" s="682" t="str">
        <f t="shared" si="97"/>
        <v>--</v>
      </c>
      <c r="H82" s="686">
        <f t="shared" si="97"/>
        <v>-1.7508766694023721</v>
      </c>
      <c r="I82" s="533">
        <f t="shared" si="97"/>
        <v>-1.5382295448198828</v>
      </c>
      <c r="J82" s="533">
        <f t="shared" si="97"/>
        <v>-1.0745815899581592</v>
      </c>
      <c r="K82" s="533">
        <f t="shared" si="97"/>
        <v>-1.170783575985604</v>
      </c>
      <c r="L82" s="682">
        <f t="shared" si="97"/>
        <v>-1.2907330395382035</v>
      </c>
      <c r="M82" s="686">
        <f t="shared" si="97"/>
        <v>-1.5492964191740073</v>
      </c>
      <c r="N82" s="533">
        <f t="shared" si="97"/>
        <v>-1.244700773960457</v>
      </c>
      <c r="O82" s="533">
        <f t="shared" si="97"/>
        <v>-0.89335999561715917</v>
      </c>
      <c r="P82" s="533">
        <f t="shared" si="97"/>
        <v>-0.71128495187702412</v>
      </c>
      <c r="Q82" s="682">
        <f t="shared" si="97"/>
        <v>-1.021409038028616</v>
      </c>
      <c r="R82" s="686">
        <f t="shared" si="97"/>
        <v>-0.64699719707760883</v>
      </c>
      <c r="S82" s="533">
        <f t="shared" si="97"/>
        <v>-0.44166134665214635</v>
      </c>
      <c r="T82" s="533">
        <f t="shared" si="97"/>
        <v>-0.29785621209843127</v>
      </c>
      <c r="U82" s="533">
        <f t="shared" si="97"/>
        <v>-0.23368597905126925</v>
      </c>
      <c r="V82" s="682">
        <f t="shared" si="97"/>
        <v>-0.37372244527057735</v>
      </c>
      <c r="W82" s="686">
        <f t="shared" si="97"/>
        <v>-0.14604611338756046</v>
      </c>
      <c r="X82" s="533">
        <f t="shared" si="97"/>
        <v>-4.2160486116723947E-2</v>
      </c>
      <c r="Y82" s="533">
        <f t="shared" si="97"/>
        <v>3.2552826956025238E-2</v>
      </c>
      <c r="Z82" s="533">
        <f t="shared" si="97"/>
        <v>9.8844632518096567E-2</v>
      </c>
      <c r="AA82" s="682">
        <f t="shared" si="97"/>
        <v>3.2091473411152076E-3</v>
      </c>
      <c r="AB82" s="686">
        <f t="shared" si="97"/>
        <v>5.8353911608514816E-2</v>
      </c>
      <c r="AC82" s="533">
        <f t="shared" si="97"/>
        <v>4.8004215200464721E-3</v>
      </c>
      <c r="AD82" s="533">
        <f t="shared" si="97"/>
        <v>6.902346022103012E-2</v>
      </c>
      <c r="AE82" s="533">
        <f t="shared" si="97"/>
        <v>8.2181687300088832E-2</v>
      </c>
      <c r="AF82" s="682">
        <f t="shared" si="97"/>
        <v>5.5133979035261863E-2</v>
      </c>
      <c r="AG82" s="686">
        <f t="shared" si="97"/>
        <v>8.6833044953568098E-2</v>
      </c>
      <c r="AH82" s="533">
        <f t="shared" si="97"/>
        <v>0.11919562979030225</v>
      </c>
      <c r="AI82" s="533">
        <f t="shared" ref="AI82:BN82" si="98">IFERROR(AI81/AI10,"--")</f>
        <v>0.12222051205914682</v>
      </c>
      <c r="AJ82" s="533">
        <f t="shared" si="98"/>
        <v>0.16454390673022676</v>
      </c>
      <c r="AK82" s="682">
        <f t="shared" si="98"/>
        <v>0.12531387081866346</v>
      </c>
      <c r="AL82" s="1117">
        <f t="shared" si="98"/>
        <v>6.2078485934145673E-2</v>
      </c>
      <c r="AM82" s="1118">
        <f t="shared" si="98"/>
        <v>7.2622386838285799E-2</v>
      </c>
      <c r="AN82" s="1118">
        <f t="shared" si="98"/>
        <v>7.7818137043649593E-2</v>
      </c>
      <c r="AO82" s="533">
        <f t="shared" si="98"/>
        <v>0.11364147673723375</v>
      </c>
      <c r="AP82" s="682">
        <f t="shared" si="98"/>
        <v>8.2724280525348054E-2</v>
      </c>
      <c r="AQ82" s="1117">
        <f t="shared" ref="AQ82:AS82" si="99">IFERROR(AQ81/AQ10,"--")</f>
        <v>8.403625846149132E-2</v>
      </c>
      <c r="AR82" s="1118">
        <f t="shared" si="99"/>
        <v>0.11265457842090057</v>
      </c>
      <c r="AS82" s="1118">
        <f t="shared" si="99"/>
        <v>0.10821834119459892</v>
      </c>
      <c r="AT82" s="686">
        <f t="shared" si="98"/>
        <v>7.947864681485986E-2</v>
      </c>
      <c r="AU82" s="682">
        <f t="shared" si="98"/>
        <v>9.61698716416787E-2</v>
      </c>
      <c r="AV82" s="686">
        <f t="shared" si="98"/>
        <v>0.11421879284892865</v>
      </c>
      <c r="AW82" s="686">
        <f t="shared" si="98"/>
        <v>0.1287593762258234</v>
      </c>
      <c r="AX82" s="686">
        <f t="shared" si="98"/>
        <v>0.12363283501710642</v>
      </c>
      <c r="AY82" s="686">
        <f t="shared" si="98"/>
        <v>9.2696148735271933E-2</v>
      </c>
      <c r="AZ82" s="682">
        <f t="shared" si="98"/>
        <v>0.11445666903210903</v>
      </c>
      <c r="BA82" s="686">
        <f t="shared" si="98"/>
        <v>0.13019307742651939</v>
      </c>
      <c r="BB82" s="686">
        <f t="shared" si="98"/>
        <v>0.14637662540553834</v>
      </c>
      <c r="BC82" s="686">
        <f t="shared" si="98"/>
        <v>0.14317687564785495</v>
      </c>
      <c r="BD82" s="686">
        <f t="shared" si="98"/>
        <v>0.11394024778560286</v>
      </c>
      <c r="BE82" s="682">
        <f t="shared" si="98"/>
        <v>0.13322043196089764</v>
      </c>
      <c r="BF82" s="686">
        <f t="shared" si="98"/>
        <v>0.15336459633055916</v>
      </c>
      <c r="BG82" s="686">
        <f t="shared" si="98"/>
        <v>0.16972583445909298</v>
      </c>
      <c r="BH82" s="686">
        <f t="shared" si="98"/>
        <v>0.16606629279457943</v>
      </c>
      <c r="BI82" s="686">
        <f t="shared" si="98"/>
        <v>0.13677686786891341</v>
      </c>
      <c r="BJ82" s="682">
        <f t="shared" si="98"/>
        <v>0.15620138319051305</v>
      </c>
      <c r="BK82" s="686">
        <f t="shared" si="98"/>
        <v>0.17612262475838147</v>
      </c>
      <c r="BL82" s="686">
        <f t="shared" si="98"/>
        <v>0.19247054389296925</v>
      </c>
      <c r="BM82" s="686">
        <f t="shared" si="98"/>
        <v>0.18850381229140167</v>
      </c>
      <c r="BN82" s="686">
        <f t="shared" si="98"/>
        <v>0.15942596394581207</v>
      </c>
      <c r="BO82" s="682">
        <f>IFERROR(BO81/BO10,"--")</f>
        <v>0.17887078827464492</v>
      </c>
    </row>
    <row r="83" spans="1:67">
      <c r="B83" s="1079"/>
      <c r="C83" s="448"/>
      <c r="D83" s="384"/>
      <c r="E83" s="384"/>
      <c r="F83" s="384"/>
      <c r="G83" s="639"/>
      <c r="H83" s="448"/>
      <c r="I83" s="384"/>
      <c r="J83" s="384"/>
      <c r="K83" s="384"/>
      <c r="L83" s="639"/>
      <c r="M83" s="448"/>
      <c r="N83" s="384"/>
      <c r="O83" s="384"/>
      <c r="P83" s="384"/>
      <c r="Q83" s="639"/>
      <c r="R83" s="448"/>
      <c r="S83" s="384"/>
      <c r="T83" s="384"/>
      <c r="U83" s="384"/>
      <c r="V83" s="639"/>
      <c r="W83" s="448"/>
      <c r="X83" s="384"/>
      <c r="Y83" s="384"/>
      <c r="Z83" s="384"/>
      <c r="AA83" s="639"/>
      <c r="AB83" s="448"/>
      <c r="AC83" s="384"/>
      <c r="AD83" s="384"/>
      <c r="AE83" s="384"/>
      <c r="AF83" s="639"/>
      <c r="AG83" s="448"/>
      <c r="AH83" s="384"/>
      <c r="AI83" s="384"/>
      <c r="AJ83" s="384"/>
      <c r="AK83" s="639"/>
      <c r="AL83" s="1115"/>
      <c r="AM83" s="1116"/>
      <c r="AN83" s="1116"/>
      <c r="AO83" s="384"/>
      <c r="AP83" s="639"/>
      <c r="AQ83" s="1115"/>
      <c r="AR83" s="1116"/>
      <c r="AS83" s="1116"/>
      <c r="AT83" s="384"/>
      <c r="AU83" s="639"/>
      <c r="AV83" s="448"/>
      <c r="AW83" s="384"/>
      <c r="AX83" s="384"/>
      <c r="AY83" s="384"/>
      <c r="AZ83" s="639"/>
      <c r="BA83" s="448"/>
      <c r="BB83" s="384"/>
      <c r="BC83" s="384"/>
      <c r="BD83" s="384"/>
      <c r="BE83" s="639"/>
      <c r="BF83" s="448"/>
      <c r="BG83" s="384"/>
      <c r="BH83" s="384"/>
      <c r="BI83" s="384"/>
      <c r="BJ83" s="639"/>
      <c r="BK83" s="448"/>
      <c r="BL83" s="384"/>
      <c r="BM83" s="384"/>
      <c r="BN83" s="384"/>
      <c r="BO83" s="639"/>
    </row>
    <row r="84" spans="1:67" hidden="1" outlineLevel="1">
      <c r="B84" s="1164" t="s">
        <v>341</v>
      </c>
      <c r="C84" s="448"/>
      <c r="D84" s="384"/>
      <c r="E84" s="384"/>
      <c r="F84" s="384"/>
      <c r="G84" s="639"/>
      <c r="H84" s="448"/>
      <c r="I84" s="384"/>
      <c r="J84" s="384"/>
      <c r="K84" s="384"/>
      <c r="L84" s="639"/>
      <c r="M84" s="448"/>
      <c r="N84" s="384"/>
      <c r="O84" s="384"/>
      <c r="P84" s="384"/>
      <c r="Q84" s="639"/>
      <c r="R84" s="448"/>
      <c r="S84" s="384"/>
      <c r="T84" s="384"/>
      <c r="U84" s="384"/>
      <c r="V84" s="639"/>
      <c r="W84" s="448"/>
      <c r="X84" s="384"/>
      <c r="Y84" s="384"/>
      <c r="Z84" s="384"/>
      <c r="AA84" s="639"/>
      <c r="AB84" s="448"/>
      <c r="AC84" s="384"/>
      <c r="AD84" s="384"/>
      <c r="AE84" s="384"/>
      <c r="AF84" s="639"/>
      <c r="AG84" s="448"/>
      <c r="AH84" s="384"/>
      <c r="AI84" s="390"/>
      <c r="AJ84" s="384"/>
      <c r="AK84" s="639"/>
      <c r="AL84" s="1115"/>
      <c r="AM84" s="1116"/>
      <c r="AN84" s="1270"/>
      <c r="AO84" s="384"/>
      <c r="AP84" s="639"/>
      <c r="AQ84" s="1115"/>
      <c r="AR84" s="1116"/>
      <c r="AS84" s="1270"/>
      <c r="AT84" s="384"/>
      <c r="AU84" s="639"/>
      <c r="AV84" s="448"/>
      <c r="AW84" s="384"/>
      <c r="AX84" s="384"/>
      <c r="AY84" s="384"/>
      <c r="AZ84" s="639"/>
      <c r="BA84" s="448"/>
      <c r="BB84" s="384"/>
      <c r="BC84" s="384"/>
      <c r="BD84" s="384"/>
      <c r="BE84" s="639"/>
      <c r="BF84" s="448"/>
      <c r="BG84" s="384"/>
      <c r="BH84" s="384"/>
      <c r="BI84" s="384"/>
      <c r="BJ84" s="639"/>
      <c r="BK84" s="448"/>
      <c r="BL84" s="384"/>
      <c r="BM84" s="384"/>
      <c r="BN84" s="384"/>
      <c r="BO84" s="639"/>
    </row>
    <row r="85" spans="1:67" hidden="1" outlineLevel="1">
      <c r="B85" s="1165" t="s">
        <v>345</v>
      </c>
      <c r="C85" s="448"/>
      <c r="D85" s="384"/>
      <c r="E85" s="384"/>
      <c r="F85" s="384"/>
      <c r="G85" s="639"/>
      <c r="H85" s="448"/>
      <c r="I85" s="384"/>
      <c r="J85" s="384"/>
      <c r="K85" s="384"/>
      <c r="L85" s="639"/>
      <c r="M85" s="448"/>
      <c r="N85" s="384"/>
      <c r="O85" s="384"/>
      <c r="P85" s="384"/>
      <c r="Q85" s="639"/>
      <c r="R85" s="388"/>
      <c r="S85" s="388"/>
      <c r="T85" s="388"/>
      <c r="U85" s="388"/>
      <c r="V85" s="639"/>
      <c r="W85" s="388"/>
      <c r="X85" s="388"/>
      <c r="Y85" s="388"/>
      <c r="Z85" s="388"/>
      <c r="AA85" s="639"/>
      <c r="AB85" s="388"/>
      <c r="AC85" s="388"/>
      <c r="AD85" s="388">
        <f>'IS (GAAP)'!AD84-AD134</f>
        <v>-0.13100000000000001</v>
      </c>
      <c r="AE85" s="388">
        <f>'IS (GAAP)'!AE84-AE134</f>
        <v>-0.32900000000000001</v>
      </c>
      <c r="AF85" s="639">
        <f>SUM(AB85:AE85)</f>
        <v>-0.46</v>
      </c>
      <c r="AG85" s="388">
        <f>'IS (GAAP)'!AG84-AG134</f>
        <v>-0.377</v>
      </c>
      <c r="AH85" s="388">
        <f>'IS (GAAP)'!AH84-AH134</f>
        <v>-0.40300000000000002</v>
      </c>
      <c r="AI85" s="388">
        <f>'IS (GAAP)'!AI84-AI134</f>
        <v>-0.379</v>
      </c>
      <c r="AJ85" s="388">
        <f>'IS (GAAP)'!AJ84-AJ134</f>
        <v>-0.49800000000000005</v>
      </c>
      <c r="AK85" s="563">
        <f>SUM(AG85:AJ85)</f>
        <v>-1.657</v>
      </c>
      <c r="AL85" s="393">
        <f>'IS (GAAP)'!AL84-AL134</f>
        <v>-0.71499999999999997</v>
      </c>
      <c r="AM85" s="393">
        <f>'IS (GAAP)'!AM84-AM134</f>
        <v>-0.754</v>
      </c>
      <c r="AN85" s="393">
        <f>'IS (GAAP)'!AN84-AN134</f>
        <v>9.5999999999999641E-2</v>
      </c>
      <c r="AO85" s="388">
        <f>'IS (GAAP)'!AO84-AO134</f>
        <v>2.2999999999999909E-2</v>
      </c>
      <c r="AP85" s="563">
        <f>SUM(AL85:AO85)</f>
        <v>-1.3500000000000003</v>
      </c>
      <c r="AQ85" s="393">
        <f>'IS (GAAP)'!AQ84-AQ134</f>
        <v>0.28700000000000003</v>
      </c>
      <c r="AR85" s="393">
        <f>'IS (GAAP)'!AR84-AR134</f>
        <v>-0.30300000000000005</v>
      </c>
      <c r="AS85" s="393">
        <f>'IS (GAAP)'!AS84-AS134</f>
        <v>7.6000000000000068E-2</v>
      </c>
      <c r="AT85" s="384"/>
      <c r="AU85" s="639"/>
      <c r="AV85" s="448"/>
      <c r="AW85" s="384"/>
      <c r="AX85" s="384"/>
      <c r="AY85" s="384"/>
      <c r="AZ85" s="639"/>
      <c r="BA85" s="448"/>
      <c r="BB85" s="384"/>
      <c r="BC85" s="384"/>
      <c r="BD85" s="384"/>
      <c r="BE85" s="639"/>
      <c r="BF85" s="448"/>
      <c r="BG85" s="384"/>
      <c r="BH85" s="384"/>
      <c r="BI85" s="384"/>
      <c r="BJ85" s="639"/>
      <c r="BK85" s="448"/>
      <c r="BL85" s="384"/>
      <c r="BM85" s="384"/>
      <c r="BN85" s="384"/>
      <c r="BO85" s="639"/>
    </row>
    <row r="86" spans="1:67" s="653" customFormat="1" hidden="1" outlineLevel="1">
      <c r="A86" s="636"/>
      <c r="B86" s="1078" t="s">
        <v>342</v>
      </c>
      <c r="C86" s="637"/>
      <c r="D86" s="637"/>
      <c r="E86" s="637"/>
      <c r="F86" s="637"/>
      <c r="G86" s="638"/>
      <c r="H86" s="637"/>
      <c r="I86" s="637"/>
      <c r="J86" s="637"/>
      <c r="K86" s="637"/>
      <c r="L86" s="638"/>
      <c r="M86" s="637"/>
      <c r="N86" s="637"/>
      <c r="O86" s="637"/>
      <c r="P86" s="637"/>
      <c r="Q86" s="638"/>
      <c r="R86" s="637">
        <f>R81-R85</f>
        <v>-70.403000000000006</v>
      </c>
      <c r="S86" s="637">
        <f>S81-S85</f>
        <v>-58.805000000000014</v>
      </c>
      <c r="T86" s="637">
        <f>T81-T85</f>
        <v>-47.545000000000002</v>
      </c>
      <c r="U86" s="637">
        <f>U81-U85</f>
        <v>-44.509</v>
      </c>
      <c r="V86" s="638">
        <f>SUM(R86:U86)</f>
        <v>-221.26200000000006</v>
      </c>
      <c r="W86" s="637">
        <f>W81-W85</f>
        <v>-33.432000000000016</v>
      </c>
      <c r="X86" s="637">
        <f>X81-X85</f>
        <v>-11.476000000000024</v>
      </c>
      <c r="Y86" s="637">
        <f>Y81-Y85</f>
        <v>10.887000000000038</v>
      </c>
      <c r="Z86" s="637">
        <f>Z81-Z85</f>
        <v>37.93399999999999</v>
      </c>
      <c r="AA86" s="638">
        <f>SUM(W86:Z86)</f>
        <v>3.9129999999999825</v>
      </c>
      <c r="AB86" s="637">
        <f>AB81-AB85</f>
        <v>24.647000000000013</v>
      </c>
      <c r="AC86" s="637">
        <f>AC81-AC85</f>
        <v>2.387000000000068</v>
      </c>
      <c r="AD86" s="637">
        <f>AD81-AD85</f>
        <v>38.578999999999958</v>
      </c>
      <c r="AE86" s="637">
        <f>AE81-AE85</f>
        <v>48.734999999999921</v>
      </c>
      <c r="AF86" s="638">
        <f>SUM(AB86:AE86)</f>
        <v>114.34799999999996</v>
      </c>
      <c r="AG86" s="637">
        <f>AG81-AG85</f>
        <v>54.526000000000117</v>
      </c>
      <c r="AH86" s="637">
        <f>AH81-AH85</f>
        <v>80.742999999999938</v>
      </c>
      <c r="AI86" s="637">
        <f>AI81-AI85</f>
        <v>90.11</v>
      </c>
      <c r="AJ86" s="637">
        <f>AJ81-AJ85</f>
        <v>127.96999999999996</v>
      </c>
      <c r="AK86" s="638">
        <f>SUM(AG86:AJ86)</f>
        <v>353.34900000000005</v>
      </c>
      <c r="AL86" s="1119">
        <f t="shared" ref="AL86:AY86" si="100">AL81-AL85</f>
        <v>52.159999999999926</v>
      </c>
      <c r="AM86" s="1119">
        <f t="shared" si="100"/>
        <v>63.84999999999998</v>
      </c>
      <c r="AN86" s="1119">
        <f t="shared" si="100"/>
        <v>73.216000000000022</v>
      </c>
      <c r="AO86" s="637">
        <f>AO81-AO85</f>
        <v>112.11500000000015</v>
      </c>
      <c r="AP86" s="638">
        <f>SUM(AL86:AO86)</f>
        <v>301.34100000000012</v>
      </c>
      <c r="AQ86" s="1119">
        <f t="shared" ref="AQ86:AS86" si="101">AQ81-AQ85</f>
        <v>87.28500000000011</v>
      </c>
      <c r="AR86" s="1119">
        <f t="shared" si="101"/>
        <v>129.2890000000001</v>
      </c>
      <c r="AS86" s="1119">
        <f t="shared" si="101"/>
        <v>131.18299999999977</v>
      </c>
      <c r="AT86" s="637">
        <f t="shared" si="100"/>
        <v>99.25317702922149</v>
      </c>
      <c r="AU86" s="638">
        <f>SUM(AQ86:AT86)</f>
        <v>447.01017702922144</v>
      </c>
      <c r="AV86" s="637">
        <f>AV81-AV85</f>
        <v>149.97052821607252</v>
      </c>
      <c r="AW86" s="637">
        <f t="shared" si="100"/>
        <v>182.19907801041012</v>
      </c>
      <c r="AX86" s="637">
        <f t="shared" si="100"/>
        <v>185.73537908847243</v>
      </c>
      <c r="AY86" s="637">
        <f t="shared" si="100"/>
        <v>143.60739035439249</v>
      </c>
      <c r="AZ86" s="638">
        <f>SUM(AV86:AY86)</f>
        <v>661.51237566934753</v>
      </c>
      <c r="BA86" s="637">
        <f>BA81-BA85</f>
        <v>212.11776490925004</v>
      </c>
      <c r="BB86" s="637">
        <f>BB81-BB85</f>
        <v>257.74258524016079</v>
      </c>
      <c r="BC86" s="637">
        <f>BC81-BC85</f>
        <v>268.39097379672552</v>
      </c>
      <c r="BD86" s="637">
        <f>BD81-BD85</f>
        <v>218.05102534547643</v>
      </c>
      <c r="BE86" s="638">
        <f>SUM(BA86:BD86)</f>
        <v>956.30234929161281</v>
      </c>
      <c r="BF86" s="637">
        <f>BF81-BF85</f>
        <v>306.19397847308272</v>
      </c>
      <c r="BG86" s="637">
        <f>BG81-BG85</f>
        <v>365.3735539076269</v>
      </c>
      <c r="BH86" s="637">
        <f>BH81-BH85</f>
        <v>387.39289868522974</v>
      </c>
      <c r="BI86" s="637">
        <f>BI81-BI85</f>
        <v>327.16901687054849</v>
      </c>
      <c r="BJ86" s="638">
        <f>SUM(BF86:BI86)</f>
        <v>1386.1294479364878</v>
      </c>
      <c r="BK86" s="637">
        <f>BK81-BK85</f>
        <v>437.1925660530369</v>
      </c>
      <c r="BL86" s="637">
        <f>BL81-BL85</f>
        <v>508.64939929985371</v>
      </c>
      <c r="BM86" s="637">
        <f>BM81-BM85</f>
        <v>543.47845620129272</v>
      </c>
      <c r="BN86" s="637">
        <f>BN81-BN85</f>
        <v>466.45052165853167</v>
      </c>
      <c r="BO86" s="638">
        <f>SUM(BK86:BN86)</f>
        <v>1955.7709432127149</v>
      </c>
    </row>
    <row r="87" spans="1:67" collapsed="1">
      <c r="B87" s="1079"/>
      <c r="C87" s="448"/>
      <c r="D87" s="384"/>
      <c r="E87" s="384"/>
      <c r="F87" s="384"/>
      <c r="G87" s="639"/>
      <c r="H87" s="448"/>
      <c r="I87" s="384"/>
      <c r="J87" s="384"/>
      <c r="K87" s="384"/>
      <c r="L87" s="639"/>
      <c r="M87" s="448"/>
      <c r="N87" s="384"/>
      <c r="O87" s="384"/>
      <c r="P87" s="384"/>
      <c r="Q87" s="639"/>
      <c r="R87" s="448"/>
      <c r="S87" s="384"/>
      <c r="T87" s="384"/>
      <c r="U87" s="384"/>
      <c r="V87" s="639"/>
      <c r="W87" s="448"/>
      <c r="X87" s="384"/>
      <c r="Y87" s="384"/>
      <c r="Z87" s="384"/>
      <c r="AA87" s="639"/>
      <c r="AB87" s="448"/>
      <c r="AC87" s="384"/>
      <c r="AD87" s="384"/>
      <c r="AE87" s="384"/>
      <c r="AF87" s="639"/>
      <c r="AG87" s="448"/>
      <c r="AH87" s="384"/>
      <c r="AI87" s="384"/>
      <c r="AJ87" s="384"/>
      <c r="AK87" s="639"/>
      <c r="AL87" s="1115"/>
      <c r="AM87" s="1116"/>
      <c r="AN87" s="1116"/>
      <c r="AO87" s="384"/>
      <c r="AP87" s="639"/>
      <c r="AQ87" s="1115"/>
      <c r="AR87" s="1116"/>
      <c r="AS87" s="1116"/>
      <c r="AT87" s="384"/>
      <c r="AU87" s="639"/>
      <c r="AV87" s="448"/>
      <c r="AW87" s="384"/>
      <c r="AX87" s="384"/>
      <c r="AY87" s="384"/>
      <c r="AZ87" s="639"/>
      <c r="BA87" s="448"/>
      <c r="BB87" s="384"/>
      <c r="BC87" s="384"/>
      <c r="BD87" s="384"/>
      <c r="BE87" s="639"/>
      <c r="BF87" s="448"/>
      <c r="BG87" s="384"/>
      <c r="BH87" s="384"/>
      <c r="BI87" s="384"/>
      <c r="BJ87" s="639"/>
      <c r="BK87" s="448"/>
      <c r="BL87" s="384"/>
      <c r="BM87" s="384"/>
      <c r="BN87" s="384"/>
      <c r="BO87" s="639"/>
    </row>
    <row r="88" spans="1:67">
      <c r="B88" s="1166" t="s">
        <v>73</v>
      </c>
      <c r="C88" s="642" t="str">
        <f t="shared" ref="C88:AH88" si="102">IFERROR(C81/C91,"--")</f>
        <v>--</v>
      </c>
      <c r="D88" s="642" t="str">
        <f t="shared" si="102"/>
        <v>--</v>
      </c>
      <c r="E88" s="642" t="str">
        <f t="shared" si="102"/>
        <v>--</v>
      </c>
      <c r="F88" s="642" t="str">
        <f t="shared" si="102"/>
        <v>--</v>
      </c>
      <c r="G88" s="643" t="str">
        <f t="shared" si="102"/>
        <v>--</v>
      </c>
      <c r="H88" s="642" t="str">
        <f t="shared" si="102"/>
        <v>--</v>
      </c>
      <c r="I88" s="642" t="str">
        <f t="shared" si="102"/>
        <v>--</v>
      </c>
      <c r="J88" s="642" t="str">
        <f t="shared" si="102"/>
        <v>--</v>
      </c>
      <c r="K88" s="642" t="str">
        <f t="shared" si="102"/>
        <v>--</v>
      </c>
      <c r="L88" s="643" t="str">
        <f t="shared" si="102"/>
        <v>--</v>
      </c>
      <c r="M88" s="642" t="str">
        <f t="shared" si="102"/>
        <v>--</v>
      </c>
      <c r="N88" s="642" t="str">
        <f t="shared" si="102"/>
        <v>--</v>
      </c>
      <c r="O88" s="642" t="str">
        <f t="shared" si="102"/>
        <v>--</v>
      </c>
      <c r="P88" s="642" t="str">
        <f t="shared" si="102"/>
        <v>--</v>
      </c>
      <c r="Q88" s="643" t="str">
        <f t="shared" si="102"/>
        <v>--</v>
      </c>
      <c r="R88" s="642">
        <f t="shared" si="102"/>
        <v>-0.29941268663901499</v>
      </c>
      <c r="S88" s="642">
        <f t="shared" si="102"/>
        <v>-0.24390294483616762</v>
      </c>
      <c r="T88" s="642">
        <f t="shared" si="102"/>
        <v>-0.28492546812394454</v>
      </c>
      <c r="U88" s="642">
        <f t="shared" si="102"/>
        <v>-0.15665465868179473</v>
      </c>
      <c r="V88" s="643">
        <f t="shared" si="102"/>
        <v>-0.95451062665051445</v>
      </c>
      <c r="W88" s="642">
        <f t="shared" si="102"/>
        <v>-0.11473446634419625</v>
      </c>
      <c r="X88" s="642">
        <f t="shared" si="102"/>
        <v>-3.8546660700868991E-2</v>
      </c>
      <c r="Y88" s="642">
        <f t="shared" si="102"/>
        <v>3.5929900358469116E-2</v>
      </c>
      <c r="Z88" s="642">
        <f t="shared" si="102"/>
        <v>0.1228856582090036</v>
      </c>
      <c r="AA88" s="643">
        <f t="shared" si="102"/>
        <v>1.3034609898934063E-2</v>
      </c>
      <c r="AB88" s="642">
        <f t="shared" si="102"/>
        <v>7.8403491527256924E-2</v>
      </c>
      <c r="AC88" s="642">
        <f t="shared" si="102"/>
        <v>7.4978954378119717E-3</v>
      </c>
      <c r="AD88" s="642">
        <f t="shared" si="102"/>
        <v>0.1200993330938509</v>
      </c>
      <c r="AE88" s="642">
        <f t="shared" si="102"/>
        <v>0.15036468234738609</v>
      </c>
      <c r="AF88" s="643">
        <f t="shared" si="102"/>
        <v>0.35735846925263726</v>
      </c>
      <c r="AG88" s="642">
        <f t="shared" si="102"/>
        <v>0.16704559827491036</v>
      </c>
      <c r="AH88" s="642">
        <f t="shared" si="102"/>
        <v>0.24543663219637354</v>
      </c>
      <c r="AI88" s="642">
        <f t="shared" ref="AI88:AZ88" si="103">IFERROR(AI81/AI91,"--")</f>
        <v>0.27248185600194341</v>
      </c>
      <c r="AJ88" s="642">
        <f t="shared" si="103"/>
        <v>0.38501988951277472</v>
      </c>
      <c r="AK88" s="643">
        <f t="shared" si="103"/>
        <v>1.0723289688622675</v>
      </c>
      <c r="AL88" s="1120">
        <f t="shared" si="103"/>
        <v>0.15421902729147657</v>
      </c>
      <c r="AM88" s="1120">
        <f t="shared" si="103"/>
        <v>0.18887003062223293</v>
      </c>
      <c r="AN88" s="1120">
        <f>IFERROR(AN81/AN91,"--")</f>
        <v>0.22097835490006365</v>
      </c>
      <c r="AO88" s="642">
        <f>IFERROR(AO81/AO91,"--")</f>
        <v>0.33465853835804532</v>
      </c>
      <c r="AP88" s="643">
        <f>IFERROR(AP81/AP91,"--")</f>
        <v>0.89918766506841008</v>
      </c>
      <c r="AQ88" s="1120">
        <f t="shared" ref="AQ88:AR88" si="104">IFERROR(AQ81/AQ91,"--")</f>
        <v>0.26325013452294743</v>
      </c>
      <c r="AR88" s="1120">
        <f t="shared" si="104"/>
        <v>0.38478588368658956</v>
      </c>
      <c r="AS88" s="1120">
        <f>IFERROR(AS81/AS91,"--")</f>
        <v>0.38645597795364539</v>
      </c>
      <c r="AT88" s="642">
        <f t="shared" si="103"/>
        <v>0.29138487008482472</v>
      </c>
      <c r="AU88" s="643">
        <f t="shared" si="103"/>
        <v>1.3264743569158506</v>
      </c>
      <c r="AV88" s="642">
        <f t="shared" si="103"/>
        <v>0.43908825558518327</v>
      </c>
      <c r="AW88" s="642">
        <f t="shared" si="103"/>
        <v>0.53197573546647736</v>
      </c>
      <c r="AX88" s="642">
        <f t="shared" si="103"/>
        <v>0.54077572725941647</v>
      </c>
      <c r="AY88" s="642">
        <f t="shared" si="103"/>
        <v>0.41692133313254232</v>
      </c>
      <c r="AZ88" s="643">
        <f t="shared" si="103"/>
        <v>1.9286733457319858</v>
      </c>
      <c r="BA88" s="642">
        <f t="shared" ref="BA88:BJ88" si="105">IFERROR(BA81/BA91,"--")</f>
        <v>0.61273760460152937</v>
      </c>
      <c r="BB88" s="642">
        <f t="shared" si="105"/>
        <v>0.74025581591512357</v>
      </c>
      <c r="BC88" s="642">
        <f t="shared" si="105"/>
        <v>0.7664362539047217</v>
      </c>
      <c r="BD88" s="642">
        <f t="shared" si="105"/>
        <v>0.61914578246383956</v>
      </c>
      <c r="BE88" s="643">
        <f t="shared" si="105"/>
        <v>2.7387054898659091</v>
      </c>
      <c r="BF88" s="642">
        <f t="shared" si="105"/>
        <v>0.86451411796266286</v>
      </c>
      <c r="BG88" s="642">
        <f t="shared" si="105"/>
        <v>1.0258103123221256</v>
      </c>
      <c r="BH88" s="642">
        <f t="shared" si="105"/>
        <v>1.0815579822409962</v>
      </c>
      <c r="BI88" s="642">
        <f t="shared" si="105"/>
        <v>0.90834757629519436</v>
      </c>
      <c r="BJ88" s="643">
        <f t="shared" si="105"/>
        <v>3.8807542282007237</v>
      </c>
      <c r="BK88" s="642">
        <f>IFERROR(BK81/BK91,"--")</f>
        <v>1.2071126290147869</v>
      </c>
      <c r="BL88" s="642">
        <f>IFERROR(BL81/BL91,"--")</f>
        <v>1.3966961515869147</v>
      </c>
      <c r="BM88" s="642">
        <f>IFERROR(BM81/BM91,"--")</f>
        <v>1.4841821621291371</v>
      </c>
      <c r="BN88" s="642">
        <f>IFERROR(BN81/BN91,"--")</f>
        <v>1.2669074423300679</v>
      </c>
      <c r="BO88" s="643">
        <f>IFERROR(BO81/BO91,"--")</f>
        <v>5.3556291757374606</v>
      </c>
    </row>
    <row r="89" spans="1:67">
      <c r="A89" s="107" t="s">
        <v>74</v>
      </c>
      <c r="B89" s="1166" t="s">
        <v>72</v>
      </c>
      <c r="C89" s="642" t="str">
        <f t="shared" ref="C89:AH89" si="106">IFERROR(C81/C92,"--")</f>
        <v>--</v>
      </c>
      <c r="D89" s="642" t="str">
        <f t="shared" si="106"/>
        <v>--</v>
      </c>
      <c r="E89" s="642" t="str">
        <f t="shared" si="106"/>
        <v>--</v>
      </c>
      <c r="F89" s="642" t="str">
        <f t="shared" si="106"/>
        <v>--</v>
      </c>
      <c r="G89" s="658" t="str">
        <f t="shared" si="106"/>
        <v>--</v>
      </c>
      <c r="H89" s="642" t="str">
        <f t="shared" si="106"/>
        <v>--</v>
      </c>
      <c r="I89" s="642" t="str">
        <f t="shared" si="106"/>
        <v>--</v>
      </c>
      <c r="J89" s="642" t="str">
        <f t="shared" si="106"/>
        <v>--</v>
      </c>
      <c r="K89" s="642" t="str">
        <f t="shared" si="106"/>
        <v>--</v>
      </c>
      <c r="L89" s="658" t="str">
        <f t="shared" si="106"/>
        <v>--</v>
      </c>
      <c r="M89" s="642" t="str">
        <f t="shared" si="106"/>
        <v>--</v>
      </c>
      <c r="N89" s="642" t="str">
        <f t="shared" si="106"/>
        <v>--</v>
      </c>
      <c r="O89" s="642" t="str">
        <f t="shared" si="106"/>
        <v>--</v>
      </c>
      <c r="P89" s="642" t="str">
        <f t="shared" si="106"/>
        <v>--</v>
      </c>
      <c r="Q89" s="658" t="str">
        <f t="shared" si="106"/>
        <v>--</v>
      </c>
      <c r="R89" s="642" t="str">
        <f t="shared" si="106"/>
        <v>--</v>
      </c>
      <c r="S89" s="642" t="str">
        <f t="shared" si="106"/>
        <v>--</v>
      </c>
      <c r="T89" s="642">
        <f t="shared" si="106"/>
        <v>-0.28492546812394454</v>
      </c>
      <c r="U89" s="642">
        <f t="shared" si="106"/>
        <v>-0.15665465868179473</v>
      </c>
      <c r="V89" s="658">
        <f t="shared" si="106"/>
        <v>-1.9624560303698284</v>
      </c>
      <c r="W89" s="642">
        <f t="shared" si="106"/>
        <v>-0.11473446634419625</v>
      </c>
      <c r="X89" s="642">
        <f t="shared" si="106"/>
        <v>-3.8546660700868991E-2</v>
      </c>
      <c r="Y89" s="642">
        <f t="shared" si="106"/>
        <v>3.5929900358469116E-2</v>
      </c>
      <c r="Z89" s="642">
        <f t="shared" si="106"/>
        <v>0.1228856582090036</v>
      </c>
      <c r="AA89" s="658">
        <f t="shared" si="106"/>
        <v>1.3034609898934063E-2</v>
      </c>
      <c r="AB89" s="642">
        <f t="shared" si="106"/>
        <v>7.8403491527256924E-2</v>
      </c>
      <c r="AC89" s="642">
        <f t="shared" si="106"/>
        <v>7.4978954378119717E-3</v>
      </c>
      <c r="AD89" s="642">
        <f t="shared" si="106"/>
        <v>0.10684451854939546</v>
      </c>
      <c r="AE89" s="642">
        <f t="shared" si="106"/>
        <v>0.13464325351239015</v>
      </c>
      <c r="AF89" s="658">
        <f t="shared" si="106"/>
        <v>0.3369268090645523</v>
      </c>
      <c r="AG89" s="642">
        <f t="shared" si="106"/>
        <v>0.15028489435456818</v>
      </c>
      <c r="AH89" s="642">
        <f t="shared" si="106"/>
        <v>0.2213021956681622</v>
      </c>
      <c r="AI89" s="642">
        <f t="shared" ref="AI89:AZ89" si="107">IFERROR(AI81/AI92,"--")</f>
        <v>0.24810391879823152</v>
      </c>
      <c r="AJ89" s="642">
        <f t="shared" si="107"/>
        <v>0.35043174426883866</v>
      </c>
      <c r="AK89" s="658">
        <f t="shared" si="107"/>
        <v>0.97101119159339744</v>
      </c>
      <c r="AL89" s="1120">
        <f t="shared" si="107"/>
        <v>0.14159927775973377</v>
      </c>
      <c r="AM89" s="1120">
        <f t="shared" si="107"/>
        <v>0.17559884114115865</v>
      </c>
      <c r="AN89" s="1120">
        <f>IFERROR(AN81/AN92,"--")</f>
        <v>0.20243377798886111</v>
      </c>
      <c r="AO89" s="642">
        <f>IFERROR(AO81/AO92,"--")</f>
        <v>0.3040833886534019</v>
      </c>
      <c r="AP89" s="658">
        <f>IFERROR(AP81/AP92,"--")</f>
        <v>0.82553463849929831</v>
      </c>
      <c r="AQ89" s="1120">
        <f t="shared" ref="AQ89:AR89" si="108">IFERROR(AQ81/AQ92,"--")</f>
        <v>0.23609403644990865</v>
      </c>
      <c r="AR89" s="1120">
        <f t="shared" si="108"/>
        <v>0.34637993678551415</v>
      </c>
      <c r="AS89" s="1120">
        <f>IFERROR(AS81/AS92,"--")</f>
        <v>0.35156808703827142</v>
      </c>
      <c r="AT89" s="642">
        <f t="shared" si="107"/>
        <v>0.26423425100907438</v>
      </c>
      <c r="AU89" s="658">
        <f t="shared" si="107"/>
        <v>1.1983533009740803</v>
      </c>
      <c r="AV89" s="642">
        <f t="shared" si="107"/>
        <v>0.39512735381227454</v>
      </c>
      <c r="AW89" s="642">
        <f t="shared" si="107"/>
        <v>0.47884738133605809</v>
      </c>
      <c r="AX89" s="642">
        <f t="shared" si="107"/>
        <v>0.48690527409191814</v>
      </c>
      <c r="AY89" s="642">
        <f t="shared" si="107"/>
        <v>0.37549598027788056</v>
      </c>
      <c r="AZ89" s="658">
        <f t="shared" si="107"/>
        <v>1.7363063129978857</v>
      </c>
      <c r="BA89" s="642">
        <f t="shared" ref="BA89:BJ89" si="109">IFERROR(BA81/BA92,"--")</f>
        <v>0.55213058923379166</v>
      </c>
      <c r="BB89" s="642">
        <f t="shared" si="109"/>
        <v>0.66741493864591028</v>
      </c>
      <c r="BC89" s="642">
        <f t="shared" si="109"/>
        <v>0.69140779881739223</v>
      </c>
      <c r="BD89" s="642">
        <f t="shared" si="109"/>
        <v>0.55884665371847642</v>
      </c>
      <c r="BE89" s="658">
        <f t="shared" si="109"/>
        <v>2.4699139868339635</v>
      </c>
      <c r="BF89" s="642">
        <f t="shared" si="109"/>
        <v>0.78074773311704471</v>
      </c>
      <c r="BG89" s="642">
        <f t="shared" si="109"/>
        <v>0.92691957775069989</v>
      </c>
      <c r="BH89" s="642">
        <f t="shared" si="109"/>
        <v>0.97781938073232111</v>
      </c>
      <c r="BI89" s="642">
        <f t="shared" si="109"/>
        <v>0.82166022137674311</v>
      </c>
      <c r="BJ89" s="658">
        <f t="shared" si="109"/>
        <v>3.507586300295594</v>
      </c>
      <c r="BK89" s="642">
        <f>IFERROR(BK81/BK92,"--")</f>
        <v>1.0924886320951084</v>
      </c>
      <c r="BL89" s="642">
        <f>IFERROR(BL81/BL92,"--")</f>
        <v>1.2647293766124259</v>
      </c>
      <c r="BM89" s="642">
        <f>IFERROR(BM81/BM92,"--")</f>
        <v>1.3446431875755958</v>
      </c>
      <c r="BN89" s="642">
        <f>IFERROR(BN81/BN92,"--")</f>
        <v>1.148382570765685</v>
      </c>
      <c r="BO89" s="658">
        <f>IFERROR(BO81/BO92,"--")</f>
        <v>4.8508578733175876</v>
      </c>
    </row>
    <row r="90" spans="1:67">
      <c r="B90" s="988"/>
      <c r="C90" s="645"/>
      <c r="D90" s="645"/>
      <c r="E90" s="645"/>
      <c r="F90" s="645"/>
      <c r="G90" s="375"/>
      <c r="H90" s="645"/>
      <c r="I90" s="645"/>
      <c r="J90" s="645"/>
      <c r="K90" s="645"/>
      <c r="L90" s="375"/>
      <c r="M90" s="645"/>
      <c r="N90" s="645"/>
      <c r="O90" s="645"/>
      <c r="P90" s="645"/>
      <c r="Q90" s="375"/>
      <c r="R90" s="929"/>
      <c r="S90" s="929"/>
      <c r="T90" s="929"/>
      <c r="U90" s="929"/>
      <c r="V90" s="375"/>
      <c r="W90" s="929"/>
      <c r="X90" s="929"/>
      <c r="Y90" s="929"/>
      <c r="Z90" s="929"/>
      <c r="AA90" s="375"/>
      <c r="AB90" s="645"/>
      <c r="AC90" s="645"/>
      <c r="AD90" s="645"/>
      <c r="AE90" s="645"/>
      <c r="AF90" s="375"/>
      <c r="AG90" s="645"/>
      <c r="AH90" s="645"/>
      <c r="AI90" s="645"/>
      <c r="AJ90" s="645"/>
      <c r="AK90" s="375"/>
      <c r="AL90" s="1121"/>
      <c r="AM90" s="1121"/>
      <c r="AN90" s="1121"/>
      <c r="AO90" s="645"/>
      <c r="AP90" s="375"/>
      <c r="AQ90" s="1121"/>
      <c r="AR90" s="1121"/>
      <c r="AS90" s="929"/>
      <c r="AT90" s="929"/>
      <c r="AU90" s="375"/>
      <c r="AV90" s="929"/>
      <c r="AW90" s="929"/>
      <c r="AX90" s="929"/>
      <c r="AY90" s="929"/>
      <c r="AZ90" s="375"/>
      <c r="BA90" s="929"/>
      <c r="BB90" s="929"/>
      <c r="BC90" s="929"/>
      <c r="BD90" s="929"/>
      <c r="BE90" s="375"/>
      <c r="BF90" s="929"/>
      <c r="BG90" s="929"/>
      <c r="BH90" s="929"/>
      <c r="BI90" s="929"/>
      <c r="BJ90" s="375"/>
      <c r="BK90" s="929"/>
      <c r="BL90" s="929"/>
      <c r="BM90" s="929"/>
      <c r="BN90" s="929"/>
      <c r="BO90" s="375"/>
    </row>
    <row r="91" spans="1:67" s="1039" customFormat="1">
      <c r="A91" s="1036"/>
      <c r="B91" s="1040" t="s">
        <v>343</v>
      </c>
      <c r="C91" s="1106"/>
      <c r="D91" s="1106"/>
      <c r="E91" s="1106"/>
      <c r="F91" s="1106"/>
      <c r="G91" s="1107" t="str">
        <f>IFERROR(AVERAGE(C91:F91),"--")</f>
        <v>--</v>
      </c>
      <c r="H91" s="1106"/>
      <c r="I91" s="1106"/>
      <c r="J91" s="1106"/>
      <c r="K91" s="1106"/>
      <c r="L91" s="1107" t="str">
        <f>IFERROR(AVERAGE(H91:K91),"--")</f>
        <v>--</v>
      </c>
      <c r="M91" s="1106"/>
      <c r="N91" s="1106"/>
      <c r="O91" s="1106"/>
      <c r="P91" s="1106"/>
      <c r="Q91" s="1107" t="str">
        <f>IFERROR(AVERAGE(M91:P91),"--")</f>
        <v>--</v>
      </c>
      <c r="R91" s="1106">
        <f>'IS (GAAP)'!R90</f>
        <v>235.13699700000001</v>
      </c>
      <c r="S91" s="1106">
        <f>'IS (GAAP)'!S90</f>
        <v>241.1</v>
      </c>
      <c r="T91" s="1106">
        <f>'IS (GAAP)'!T90</f>
        <v>166.8682</v>
      </c>
      <c r="U91" s="1106">
        <f>'IS (GAAP)'!U90</f>
        <v>284.12177700000001</v>
      </c>
      <c r="V91" s="1107">
        <f>IFERROR(AVERAGE(R91:U91),"--")</f>
        <v>231.80674349999998</v>
      </c>
      <c r="W91" s="1106">
        <f>'IS (GAAP)'!W90</f>
        <v>291.38585</v>
      </c>
      <c r="X91" s="1106">
        <f>'IS (GAAP)'!X90</f>
        <v>297.71709900000002</v>
      </c>
      <c r="Y91" s="1106">
        <f>'IS (GAAP)'!Y90</f>
        <v>303.006685</v>
      </c>
      <c r="Z91" s="1106">
        <f>'IS (GAAP)'!Z90</f>
        <v>308.693468</v>
      </c>
      <c r="AA91" s="1107">
        <f>IFERROR(AVERAGE(W91:Z91),"--")</f>
        <v>300.20077550000002</v>
      </c>
      <c r="AB91" s="1106">
        <f>'IS (GAAP)'!AB90</f>
        <v>314.36099999999999</v>
      </c>
      <c r="AC91" s="1106">
        <f>'IS (GAAP)'!AC90</f>
        <v>318.35599999999999</v>
      </c>
      <c r="AD91" s="1100">
        <v>320.13499999999999</v>
      </c>
      <c r="AE91" s="1100">
        <v>321.92399999999998</v>
      </c>
      <c r="AF91" s="1107">
        <f>IFERROR(AVERAGE(AB91:AE91),"--")</f>
        <v>318.69399999999996</v>
      </c>
      <c r="AG91" s="1100">
        <v>324.15699999999998</v>
      </c>
      <c r="AH91" s="1100">
        <v>327.33499999999998</v>
      </c>
      <c r="AI91" s="1100">
        <v>329.31</v>
      </c>
      <c r="AJ91" s="1100">
        <v>331.07900000000001</v>
      </c>
      <c r="AK91" s="1107">
        <f>IFERROR(AVERAGE(AG91:AJ91),"--")</f>
        <v>327.97024999999996</v>
      </c>
      <c r="AL91" s="1122">
        <v>333.584</v>
      </c>
      <c r="AM91" s="1122">
        <v>334.07100000000003</v>
      </c>
      <c r="AN91" s="1122">
        <v>331.76100000000002</v>
      </c>
      <c r="AO91" s="1100">
        <v>335.08184357162781</v>
      </c>
      <c r="AP91" s="1107">
        <f>IFERROR(AVERAGE(AL91:AO91),"--")</f>
        <v>333.62446089290694</v>
      </c>
      <c r="AQ91" s="1122">
        <v>332.65699999999998</v>
      </c>
      <c r="AR91" s="1122">
        <v>335.21499999999997</v>
      </c>
      <c r="AS91" s="1100">
        <v>339.64800000000002</v>
      </c>
      <c r="AT91" s="1106">
        <f>'Share Count'!AT13</f>
        <v>340.6257057901737</v>
      </c>
      <c r="AU91" s="1107">
        <f>IFERROR(AVERAGE(AQ91:AT91),"--")</f>
        <v>337.03642644754342</v>
      </c>
      <c r="AV91" s="1106">
        <f>'Share Count'!AV13</f>
        <v>341.54985087497562</v>
      </c>
      <c r="AW91" s="1106">
        <f>'Share Count'!AW13</f>
        <v>342.49509115419318</v>
      </c>
      <c r="AX91" s="1106">
        <f>'Share Count'!AX13</f>
        <v>343.46101299656334</v>
      </c>
      <c r="AY91" s="1106">
        <f>'Share Count'!AY13</f>
        <v>344.44721088123993</v>
      </c>
      <c r="AZ91" s="1107">
        <f>IFERROR(AVERAGE(AV91:AY91),"--")</f>
        <v>342.98829147674303</v>
      </c>
      <c r="BA91" s="1106">
        <f>'Share Count'!BA13</f>
        <v>346.18042587282167</v>
      </c>
      <c r="BB91" s="1106">
        <f>'Share Count'!BB13</f>
        <v>348.18042587282167</v>
      </c>
      <c r="BC91" s="1106">
        <f>'Share Count'!BC13</f>
        <v>350.18042587282167</v>
      </c>
      <c r="BD91" s="1106">
        <f>'Share Count'!BD13</f>
        <v>352.18042587282167</v>
      </c>
      <c r="BE91" s="1107">
        <f>IFERROR(AVERAGE(BA91:BD91),"--")</f>
        <v>349.18042587282167</v>
      </c>
      <c r="BF91" s="1106">
        <f>'Share Count'!BF13</f>
        <v>354.18042587282167</v>
      </c>
      <c r="BG91" s="1106">
        <f>'Share Count'!BG13</f>
        <v>356.18042587282167</v>
      </c>
      <c r="BH91" s="1106">
        <f>'Share Count'!BH13</f>
        <v>358.18042587282167</v>
      </c>
      <c r="BI91" s="1106">
        <f>'Share Count'!BI13</f>
        <v>360.18042587282167</v>
      </c>
      <c r="BJ91" s="1107">
        <f>IFERROR(AVERAGE(BF91:BI91),"--")</f>
        <v>357.18042587282167</v>
      </c>
      <c r="BK91" s="1106">
        <f>'Share Count'!BK13</f>
        <v>362.18042587282167</v>
      </c>
      <c r="BL91" s="1106">
        <f>'Share Count'!BL13</f>
        <v>364.18042587282167</v>
      </c>
      <c r="BM91" s="1106">
        <f>'Share Count'!BM13</f>
        <v>366.18042587282167</v>
      </c>
      <c r="BN91" s="1106">
        <f>'Share Count'!BN13</f>
        <v>368.18042587282167</v>
      </c>
      <c r="BO91" s="1107">
        <f>IFERROR(AVERAGE(BK91:BN91),"--")</f>
        <v>365.18042587282167</v>
      </c>
    </row>
    <row r="92" spans="1:67" s="1039" customFormat="1">
      <c r="A92" s="1036" t="s">
        <v>83</v>
      </c>
      <c r="B92" s="1040" t="s">
        <v>344</v>
      </c>
      <c r="C92" s="1104"/>
      <c r="D92" s="1104"/>
      <c r="E92" s="1104"/>
      <c r="F92" s="1104"/>
      <c r="G92" s="1107" t="str">
        <f>IFERROR(AVERAGE(C92:F92),"--")</f>
        <v>--</v>
      </c>
      <c r="H92" s="1104"/>
      <c r="I92" s="1104"/>
      <c r="J92" s="1104"/>
      <c r="K92" s="1104"/>
      <c r="L92" s="1107" t="str">
        <f>IFERROR(AVERAGE(H92:K92),"--")</f>
        <v>--</v>
      </c>
      <c r="M92" s="1104"/>
      <c r="N92" s="1104"/>
      <c r="O92" s="1104"/>
      <c r="P92" s="1104"/>
      <c r="Q92" s="1107" t="str">
        <f>IFERROR(AVERAGE(M92:P92),"--")</f>
        <v>--</v>
      </c>
      <c r="R92" s="1106">
        <f>'IS (GAAP)'!R91</f>
        <v>0</v>
      </c>
      <c r="S92" s="1106">
        <f>'IS (GAAP)'!S91</f>
        <v>0</v>
      </c>
      <c r="T92" s="1106">
        <f>'IS (GAAP)'!T91</f>
        <v>166.8682</v>
      </c>
      <c r="U92" s="1106">
        <f>'IS (GAAP)'!U91</f>
        <v>284.12177700000001</v>
      </c>
      <c r="V92" s="1107">
        <f>IFERROR(AVERAGE(R92:U92),"--")</f>
        <v>112.74749425</v>
      </c>
      <c r="W92" s="1106">
        <f>'IS (GAAP)'!W91</f>
        <v>291.38585</v>
      </c>
      <c r="X92" s="1106">
        <f>'IS (GAAP)'!X91</f>
        <v>297.71709900000002</v>
      </c>
      <c r="Y92" s="1106">
        <f>'IS (GAAP)'!Y91</f>
        <v>303.006685</v>
      </c>
      <c r="Z92" s="1106">
        <f>'IS (GAAP)'!Z91</f>
        <v>308.693468</v>
      </c>
      <c r="AA92" s="1107">
        <f>IFERROR(AVERAGE(W92:Z92),"--")</f>
        <v>300.20077550000002</v>
      </c>
      <c r="AB92" s="1106">
        <f>'IS (GAAP)'!AB91</f>
        <v>314.36099999999999</v>
      </c>
      <c r="AC92" s="1106">
        <f>'IS (GAAP)'!AC91</f>
        <v>318.35599999999999</v>
      </c>
      <c r="AD92" s="1100">
        <v>359.85</v>
      </c>
      <c r="AE92" s="1100">
        <v>359.51299999999998</v>
      </c>
      <c r="AF92" s="1107">
        <f>IFERROR(AVERAGE(AB92:AE92),"--")</f>
        <v>338.02</v>
      </c>
      <c r="AG92" s="1100">
        <v>360.30900000000003</v>
      </c>
      <c r="AH92" s="1100">
        <v>363.03300000000002</v>
      </c>
      <c r="AI92" s="1100">
        <v>361.66699999999997</v>
      </c>
      <c r="AJ92" s="1100">
        <v>363.75700000000001</v>
      </c>
      <c r="AK92" s="1107">
        <f>IFERROR(AVERAGE(AG92:AJ92),"--")</f>
        <v>362.19150000000002</v>
      </c>
      <c r="AL92" s="1122">
        <v>363.31400000000002</v>
      </c>
      <c r="AM92" s="1122">
        <v>359.31900000000002</v>
      </c>
      <c r="AN92" s="1122">
        <v>362.15300000000002</v>
      </c>
      <c r="AO92" s="1100">
        <v>368.77384357162782</v>
      </c>
      <c r="AP92" s="1107">
        <f>IFERROR(AVERAGE(AL92:AO92),"--")</f>
        <v>363.38996089290697</v>
      </c>
      <c r="AQ92" s="1122">
        <v>370.92</v>
      </c>
      <c r="AR92" s="1122">
        <v>372.38299999999998</v>
      </c>
      <c r="AS92" s="1100">
        <v>373.35300000000001</v>
      </c>
      <c r="AT92" s="1106">
        <f>'Share Count'!AT17</f>
        <v>375.6257057901737</v>
      </c>
      <c r="AU92" s="1107">
        <f>IFERROR(AVERAGE(AQ92:AT92),"--")</f>
        <v>373.07042644754341</v>
      </c>
      <c r="AV92" s="1106">
        <f>'Share Count'!AV17</f>
        <v>379.54985087497562</v>
      </c>
      <c r="AW92" s="1106">
        <f>'Share Count'!AW17</f>
        <v>380.49509115419318</v>
      </c>
      <c r="AX92" s="1106">
        <f>'Share Count'!AX17</f>
        <v>381.46101299656334</v>
      </c>
      <c r="AY92" s="1106">
        <f>'Share Count'!AY17</f>
        <v>382.44721088123993</v>
      </c>
      <c r="AZ92" s="1107">
        <f>IFERROR(AVERAGE(AV92:AY92),"--")</f>
        <v>380.98829147674303</v>
      </c>
      <c r="BA92" s="1106">
        <f>'Share Count'!BA17</f>
        <v>384.18042587282167</v>
      </c>
      <c r="BB92" s="1106">
        <f>'Share Count'!BB17</f>
        <v>386.18042587282167</v>
      </c>
      <c r="BC92" s="1106">
        <f>'Share Count'!BC17</f>
        <v>388.18042587282167</v>
      </c>
      <c r="BD92" s="1106">
        <f>'Share Count'!BD17</f>
        <v>390.18042587282167</v>
      </c>
      <c r="BE92" s="1107">
        <f>IFERROR(AVERAGE(BA92:BD92),"--")</f>
        <v>387.18042587282167</v>
      </c>
      <c r="BF92" s="1106">
        <f>'Share Count'!BF17</f>
        <v>392.18042587282167</v>
      </c>
      <c r="BG92" s="1106">
        <f>'Share Count'!BG17</f>
        <v>394.18042587282167</v>
      </c>
      <c r="BH92" s="1106">
        <f>'Share Count'!BH17</f>
        <v>396.18042587282167</v>
      </c>
      <c r="BI92" s="1106">
        <f>'Share Count'!BI17</f>
        <v>398.18042587282167</v>
      </c>
      <c r="BJ92" s="1107">
        <f>IFERROR(AVERAGE(BF92:BI92),"--")</f>
        <v>395.18042587282167</v>
      </c>
      <c r="BK92" s="1106">
        <f>'Share Count'!BK17</f>
        <v>400.18042587282167</v>
      </c>
      <c r="BL92" s="1106">
        <f>'Share Count'!BL17</f>
        <v>402.18042587282167</v>
      </c>
      <c r="BM92" s="1106">
        <f>'Share Count'!BM17</f>
        <v>404.18042587282167</v>
      </c>
      <c r="BN92" s="1106">
        <f>'Share Count'!BN17</f>
        <v>406.18042587282167</v>
      </c>
      <c r="BO92" s="1107">
        <f>IFERROR(AVERAGE(BK92:BN92),"--")</f>
        <v>403.18042587282167</v>
      </c>
    </row>
    <row r="93" spans="1:67" s="1039" customFormat="1">
      <c r="A93" s="1036"/>
      <c r="B93" s="1063"/>
      <c r="C93" s="1108"/>
      <c r="D93" s="1109"/>
      <c r="E93" s="1109"/>
      <c r="F93" s="1109"/>
      <c r="G93" s="1102"/>
      <c r="H93" s="1108"/>
      <c r="I93" s="1109"/>
      <c r="J93" s="1109"/>
      <c r="K93" s="1109"/>
      <c r="L93" s="1102"/>
      <c r="M93" s="1108"/>
      <c r="N93" s="1109"/>
      <c r="O93" s="1109"/>
      <c r="P93" s="1109"/>
      <c r="Q93" s="1102"/>
      <c r="R93" s="1108"/>
      <c r="S93" s="1109"/>
      <c r="T93" s="1109"/>
      <c r="U93" s="1109"/>
      <c r="V93" s="1102"/>
      <c r="W93" s="1108"/>
      <c r="X93" s="1109"/>
      <c r="Y93" s="1109"/>
      <c r="Z93" s="1109"/>
      <c r="AA93" s="1102"/>
      <c r="AB93" s="1108"/>
      <c r="AC93" s="1109"/>
      <c r="AD93" s="1109"/>
      <c r="AE93" s="1109"/>
      <c r="AF93" s="1102"/>
      <c r="AG93" s="1108"/>
      <c r="AH93" s="1109"/>
      <c r="AI93" s="1109"/>
      <c r="AJ93" s="1109"/>
      <c r="AK93" s="1102"/>
      <c r="AL93" s="1108"/>
      <c r="AM93" s="1109"/>
      <c r="AN93" s="1205"/>
      <c r="AO93" s="1109"/>
      <c r="AP93" s="1102"/>
      <c r="AQ93" s="1108"/>
      <c r="AR93" s="1205"/>
      <c r="AS93" s="1101"/>
      <c r="AT93" s="1109"/>
      <c r="AU93" s="1110"/>
      <c r="AV93" s="1108"/>
      <c r="AW93" s="1109"/>
      <c r="AX93" s="1109"/>
      <c r="AY93" s="1109"/>
      <c r="AZ93" s="1110"/>
      <c r="BA93" s="1108"/>
      <c r="BB93" s="1109"/>
      <c r="BC93" s="1109"/>
      <c r="BD93" s="1109"/>
      <c r="BE93" s="1110"/>
      <c r="BF93" s="1108"/>
      <c r="BG93" s="1109"/>
      <c r="BH93" s="1109"/>
      <c r="BI93" s="1109"/>
      <c r="BJ93" s="1110"/>
      <c r="BK93" s="1108"/>
      <c r="BL93" s="1109"/>
      <c r="BM93" s="1109"/>
      <c r="BN93" s="1109"/>
      <c r="BO93" s="1110"/>
    </row>
    <row r="94" spans="1:67" s="1039" customFormat="1">
      <c r="A94" s="1036"/>
      <c r="B94" s="1063" t="s">
        <v>352</v>
      </c>
      <c r="C94" s="1108"/>
      <c r="D94" s="1109"/>
      <c r="E94" s="1109"/>
      <c r="F94" s="1109"/>
      <c r="G94" s="1102"/>
      <c r="H94" s="1108"/>
      <c r="I94" s="1109"/>
      <c r="J94" s="1109"/>
      <c r="K94" s="1109"/>
      <c r="L94" s="1102"/>
      <c r="M94" s="1108"/>
      <c r="N94" s="1109"/>
      <c r="O94" s="1109"/>
      <c r="P94" s="1109"/>
      <c r="Q94" s="1102"/>
      <c r="R94" s="1108"/>
      <c r="S94" s="1109"/>
      <c r="T94" s="1109"/>
      <c r="U94" s="1109"/>
      <c r="V94" s="1102"/>
      <c r="W94" s="1108"/>
      <c r="X94" s="1109"/>
      <c r="Y94" s="1109"/>
      <c r="Z94" s="1109"/>
      <c r="AA94" s="1102"/>
      <c r="AB94" s="1108"/>
      <c r="AC94" s="1109"/>
      <c r="AD94" s="1109"/>
      <c r="AE94" s="1109"/>
      <c r="AF94" s="1102"/>
      <c r="AG94" s="1108"/>
      <c r="AH94" s="1109"/>
      <c r="AI94" s="1109"/>
      <c r="AJ94" s="1109"/>
      <c r="AK94" s="1102"/>
      <c r="AL94" s="1111"/>
      <c r="AM94" s="1112"/>
      <c r="AN94" s="1271"/>
      <c r="AO94" s="1109"/>
      <c r="AP94" s="1102"/>
      <c r="AQ94" s="1111"/>
      <c r="AR94" s="1271"/>
      <c r="AS94" s="1390"/>
      <c r="AT94" s="1112"/>
      <c r="AU94" s="1102"/>
      <c r="AV94" s="1111"/>
      <c r="AW94" s="1112"/>
      <c r="AX94" s="1112"/>
      <c r="AY94" s="1112"/>
      <c r="AZ94" s="1102"/>
      <c r="BA94" s="1111"/>
      <c r="BB94" s="1112"/>
      <c r="BC94" s="1112"/>
      <c r="BD94" s="1112"/>
      <c r="BE94" s="1102"/>
      <c r="BF94" s="1111"/>
      <c r="BG94" s="1112"/>
      <c r="BH94" s="1112"/>
      <c r="BI94" s="1112"/>
      <c r="BJ94" s="1102"/>
      <c r="BK94" s="1111"/>
      <c r="BL94" s="1112"/>
      <c r="BM94" s="1112"/>
      <c r="BN94" s="1112"/>
      <c r="BO94" s="1102"/>
    </row>
    <row r="95" spans="1:67" s="1039" customFormat="1" hidden="1" outlineLevel="1">
      <c r="A95" s="1036"/>
      <c r="B95" s="1040" t="s">
        <v>374</v>
      </c>
      <c r="C95" s="1100"/>
      <c r="D95" s="1100"/>
      <c r="E95" s="1100"/>
      <c r="F95" s="1100"/>
      <c r="G95" s="1105">
        <f t="shared" ref="G95:G100" si="110">SUM(C95:F95)</f>
        <v>0</v>
      </c>
      <c r="H95" s="1100">
        <v>7.3999999999999996E-2</v>
      </c>
      <c r="I95" s="1100">
        <v>0.10299999999999999</v>
      </c>
      <c r="J95" s="1100">
        <v>0.111</v>
      </c>
      <c r="K95" s="1100">
        <v>0.70399999999999996</v>
      </c>
      <c r="L95" s="1105">
        <f t="shared" ref="L95:L100" si="111">SUM(H95:K95)</f>
        <v>0.99199999999999999</v>
      </c>
      <c r="M95" s="1100">
        <v>0.36399999999999999</v>
      </c>
      <c r="N95" s="1100">
        <v>0.69899999999999995</v>
      </c>
      <c r="O95" s="1100">
        <v>0.38400000000000001</v>
      </c>
      <c r="P95" s="1100">
        <v>0.47199999999999998</v>
      </c>
      <c r="Q95" s="1105">
        <f t="shared" ref="Q95:Q100" si="112">SUM(M95:P95)</f>
        <v>1.919</v>
      </c>
      <c r="R95" s="1100">
        <v>0.61499999999999999</v>
      </c>
      <c r="S95" s="1100">
        <v>0.61299999999999999</v>
      </c>
      <c r="T95" s="1100">
        <v>7.3250000000000002</v>
      </c>
      <c r="U95" s="1100">
        <v>10.170999999999999</v>
      </c>
      <c r="V95" s="1105">
        <f t="shared" ref="V95:V100" si="113">SUM(R95:U95)</f>
        <v>18.724</v>
      </c>
      <c r="W95" s="1100">
        <v>12.167999999999999</v>
      </c>
      <c r="X95" s="1100">
        <v>13.226000000000001</v>
      </c>
      <c r="Y95" s="1100">
        <v>12.419</v>
      </c>
      <c r="Z95" s="1100">
        <v>11.891999999999999</v>
      </c>
      <c r="AA95" s="1105">
        <f t="shared" ref="AA95:AA100" si="114">SUM(W95:Z95)</f>
        <v>49.704999999999998</v>
      </c>
      <c r="AB95" s="1100">
        <v>13.141</v>
      </c>
      <c r="AC95" s="1100">
        <v>15.122</v>
      </c>
      <c r="AD95" s="1100">
        <v>15.784000000000001</v>
      </c>
      <c r="AE95" s="1100">
        <v>17.332000000000001</v>
      </c>
      <c r="AF95" s="1105">
        <f t="shared" ref="AF95:AF100" si="115">SUM(AB95:AE95)</f>
        <v>61.378999999999998</v>
      </c>
      <c r="AG95" s="1100">
        <v>18.8</v>
      </c>
      <c r="AH95" s="1100">
        <v>19.738</v>
      </c>
      <c r="AI95" s="1100">
        <v>19.434000000000001</v>
      </c>
      <c r="AJ95" s="1100">
        <v>20.928000000000001</v>
      </c>
      <c r="AK95" s="1105">
        <f t="shared" ref="AK95:AK100" si="116">SUM(AG95:AJ95)</f>
        <v>78.899999999999991</v>
      </c>
      <c r="AL95" s="1101">
        <v>27.234999999999999</v>
      </c>
      <c r="AM95" s="1101">
        <v>29.777999999999999</v>
      </c>
      <c r="AN95" s="1205">
        <v>32.24</v>
      </c>
      <c r="AO95" s="1100">
        <v>33.540999999999997</v>
      </c>
      <c r="AP95" s="1105">
        <f t="shared" ref="AP95:AP100" si="117">SUM(AL95:AO95)</f>
        <v>122.794</v>
      </c>
      <c r="AQ95" s="1205">
        <v>30.852</v>
      </c>
      <c r="AR95" s="1205">
        <v>31.899000000000001</v>
      </c>
      <c r="AS95" s="1101">
        <v>32.417999999999999</v>
      </c>
      <c r="AT95" s="1113">
        <f t="shared" ref="AT95:AT100" si="118">AT$10*AT103</f>
        <v>32.128554577127751</v>
      </c>
      <c r="AU95" s="1105">
        <f t="shared" ref="AU95:AU100" si="119">SUM(AQ95:AT95)</f>
        <v>127.29755457712776</v>
      </c>
      <c r="AV95" s="1113">
        <f t="shared" ref="AV95:AY100" si="120">AV$10*AV103</f>
        <v>32.467451424129571</v>
      </c>
      <c r="AW95" s="1113">
        <f t="shared" si="120"/>
        <v>33.575223413673953</v>
      </c>
      <c r="AX95" s="1113">
        <f t="shared" si="120"/>
        <v>34.143817488196213</v>
      </c>
      <c r="AY95" s="1113">
        <f t="shared" si="120"/>
        <v>33.660800597375555</v>
      </c>
      <c r="AZ95" s="1105">
        <f t="shared" ref="AZ95:AZ100" si="121">SUM(AV95:AY95)</f>
        <v>133.84729292337531</v>
      </c>
      <c r="BA95" s="1113">
        <f t="shared" ref="BA95:BD100" si="122">BA$10*BA103</f>
        <v>33.770355804998417</v>
      </c>
      <c r="BB95" s="1113">
        <f t="shared" si="122"/>
        <v>34.736498812782294</v>
      </c>
      <c r="BC95" s="1113">
        <f t="shared" si="122"/>
        <v>35.105434039093616</v>
      </c>
      <c r="BD95" s="1113">
        <f t="shared" si="122"/>
        <v>33.925632768685617</v>
      </c>
      <c r="BE95" s="1105">
        <f t="shared" ref="BE95:BE100" si="123">SUM(BA95:BD95)</f>
        <v>137.53792142555994</v>
      </c>
      <c r="BF95" s="1113">
        <f t="shared" ref="BF95:BI100" si="124">BF$10*BF103</f>
        <v>33.396582465598755</v>
      </c>
      <c r="BG95" s="1113">
        <f t="shared" si="124"/>
        <v>33.856984511771863</v>
      </c>
      <c r="BH95" s="1113">
        <f t="shared" si="124"/>
        <v>34.355682538394895</v>
      </c>
      <c r="BI95" s="1113">
        <f t="shared" si="124"/>
        <v>32.836004547707603</v>
      </c>
      <c r="BJ95" s="1105">
        <f t="shared" ref="BJ95:BJ100" si="125">SUM(BF95:BI95)</f>
        <v>134.4452540634731</v>
      </c>
      <c r="BK95" s="1113">
        <f t="shared" ref="BK95:BN100" si="126">BK$10*BK103</f>
        <v>31.593665343108739</v>
      </c>
      <c r="BL95" s="1113">
        <f t="shared" si="126"/>
        <v>30.992665686888955</v>
      </c>
      <c r="BM95" s="1113">
        <f t="shared" si="126"/>
        <v>30.92857238675175</v>
      </c>
      <c r="BN95" s="1113">
        <f t="shared" si="126"/>
        <v>28.46078272590568</v>
      </c>
      <c r="BO95" s="1105">
        <f t="shared" ref="BO95:BO100" si="127">SUM(BK95:BN95)</f>
        <v>121.97568614265512</v>
      </c>
    </row>
    <row r="96" spans="1:67" s="1039" customFormat="1" hidden="1" outlineLevel="1">
      <c r="A96" s="1036"/>
      <c r="B96" s="1040" t="s">
        <v>375</v>
      </c>
      <c r="C96" s="1100"/>
      <c r="D96" s="1100"/>
      <c r="E96" s="1100"/>
      <c r="F96" s="1100"/>
      <c r="G96" s="1105">
        <f t="shared" si="110"/>
        <v>0</v>
      </c>
      <c r="H96" s="1100">
        <v>0</v>
      </c>
      <c r="I96" s="1100">
        <v>0</v>
      </c>
      <c r="J96" s="1100">
        <v>0</v>
      </c>
      <c r="K96" s="1100">
        <v>0</v>
      </c>
      <c r="L96" s="1105">
        <f t="shared" si="111"/>
        <v>0</v>
      </c>
      <c r="M96" s="1100">
        <v>0</v>
      </c>
      <c r="N96" s="1100">
        <v>0</v>
      </c>
      <c r="O96" s="1100">
        <v>0</v>
      </c>
      <c r="P96" s="1100">
        <v>0</v>
      </c>
      <c r="Q96" s="1105">
        <f t="shared" si="112"/>
        <v>0</v>
      </c>
      <c r="R96" s="1100">
        <v>0</v>
      </c>
      <c r="S96" s="1100">
        <v>0</v>
      </c>
      <c r="T96" s="1100">
        <v>6.2030000000000003</v>
      </c>
      <c r="U96" s="1100">
        <v>8.702</v>
      </c>
      <c r="V96" s="1105">
        <f>SUM(R96:U96)</f>
        <v>14.905000000000001</v>
      </c>
      <c r="W96" s="1100">
        <v>12.156000000000001</v>
      </c>
      <c r="X96" s="1100">
        <v>9.8770000000000007</v>
      </c>
      <c r="Y96" s="1100">
        <v>9.9079999999999995</v>
      </c>
      <c r="Z96" s="1100">
        <v>10.529</v>
      </c>
      <c r="AA96" s="1105">
        <f>SUM(W96:Z96)</f>
        <v>42.47</v>
      </c>
      <c r="AB96" s="1100">
        <v>11.749000000000001</v>
      </c>
      <c r="AC96" s="1100">
        <v>12.571999999999999</v>
      </c>
      <c r="AD96" s="1100">
        <v>13.753</v>
      </c>
      <c r="AE96" s="1100">
        <v>14.25</v>
      </c>
      <c r="AF96" s="1105">
        <f>SUM(AB96:AE96)</f>
        <v>52.323999999999998</v>
      </c>
      <c r="AG96" s="1100">
        <v>14.92</v>
      </c>
      <c r="AH96" s="1100">
        <v>15.510999999999999</v>
      </c>
      <c r="AI96" s="1100">
        <v>14.42</v>
      </c>
      <c r="AJ96" s="1100">
        <v>13.38</v>
      </c>
      <c r="AK96" s="1105">
        <f t="shared" si="116"/>
        <v>58.231000000000002</v>
      </c>
      <c r="AL96" s="1101">
        <v>13.914999999999999</v>
      </c>
      <c r="AM96" s="1101">
        <v>13.689</v>
      </c>
      <c r="AN96" s="1205">
        <v>14.067</v>
      </c>
      <c r="AO96" s="1100">
        <v>15.753</v>
      </c>
      <c r="AP96" s="1105">
        <f t="shared" si="117"/>
        <v>57.423999999999999</v>
      </c>
      <c r="AQ96" s="1205">
        <v>14.641</v>
      </c>
      <c r="AR96" s="1205">
        <v>15.019</v>
      </c>
      <c r="AS96" s="1101">
        <v>15.031000000000001</v>
      </c>
      <c r="AT96" s="1113">
        <f t="shared" si="118"/>
        <v>14.227014779262072</v>
      </c>
      <c r="AU96" s="1105">
        <f t="shared" si="119"/>
        <v>58.918014779262073</v>
      </c>
      <c r="AV96" s="1113">
        <f t="shared" si="120"/>
        <v>13.645493824934528</v>
      </c>
      <c r="AW96" s="1113">
        <f t="shared" si="120"/>
        <v>13.290749601790345</v>
      </c>
      <c r="AX96" s="1113">
        <f t="shared" si="120"/>
        <v>12.608204207196675</v>
      </c>
      <c r="AY96" s="1113">
        <f t="shared" si="120"/>
        <v>11.452693918893786</v>
      </c>
      <c r="AZ96" s="1105">
        <f t="shared" si="121"/>
        <v>50.997141552815336</v>
      </c>
      <c r="BA96" s="1113">
        <f t="shared" si="122"/>
        <v>10.415048550275012</v>
      </c>
      <c r="BB96" s="1113">
        <f t="shared" si="122"/>
        <v>9.495247248415712</v>
      </c>
      <c r="BC96" s="1113">
        <f t="shared" si="122"/>
        <v>8.2339618542749982</v>
      </c>
      <c r="BD96" s="1113">
        <f t="shared" si="122"/>
        <v>6.4923734268068296</v>
      </c>
      <c r="BE96" s="1105">
        <f t="shared" si="123"/>
        <v>34.636631079772556</v>
      </c>
      <c r="BF96" s="1113">
        <f t="shared" si="124"/>
        <v>4.7766921250449483</v>
      </c>
      <c r="BG96" s="1113">
        <f t="shared" si="124"/>
        <v>2.9977184786982978</v>
      </c>
      <c r="BH96" s="1113">
        <f t="shared" si="124"/>
        <v>0.91565702125194792</v>
      </c>
      <c r="BI96" s="1113">
        <f t="shared" si="124"/>
        <v>-1.4530847116111756</v>
      </c>
      <c r="BJ96" s="1105">
        <f t="shared" si="125"/>
        <v>7.2369829133840184</v>
      </c>
      <c r="BK96" s="1113">
        <f t="shared" si="126"/>
        <v>-3.9902764409544127</v>
      </c>
      <c r="BL96" s="1113">
        <f t="shared" si="126"/>
        <v>-6.8908868160128165</v>
      </c>
      <c r="BM96" s="1113">
        <f t="shared" si="126"/>
        <v>-10.400782920483108</v>
      </c>
      <c r="BN96" s="1113">
        <f t="shared" si="126"/>
        <v>-13.480621521186972</v>
      </c>
      <c r="BO96" s="1105">
        <f t="shared" si="127"/>
        <v>-34.762567698637312</v>
      </c>
    </row>
    <row r="97" spans="1:67" s="1039" customFormat="1" hidden="1" outlineLevel="1">
      <c r="A97" s="1036"/>
      <c r="B97" s="1040" t="s">
        <v>353</v>
      </c>
      <c r="C97" s="1100"/>
      <c r="D97" s="1100"/>
      <c r="E97" s="1100"/>
      <c r="F97" s="1100"/>
      <c r="G97" s="1105">
        <f t="shared" si="110"/>
        <v>0</v>
      </c>
      <c r="H97" s="1100">
        <v>3.8170000000000002</v>
      </c>
      <c r="I97" s="1100">
        <v>1.49</v>
      </c>
      <c r="J97" s="1100">
        <v>3.2290000000000001</v>
      </c>
      <c r="K97" s="1100">
        <v>7.3330000000000002</v>
      </c>
      <c r="L97" s="1105">
        <f t="shared" si="111"/>
        <v>15.869000000000002</v>
      </c>
      <c r="M97" s="1100">
        <v>5.6070000000000002</v>
      </c>
      <c r="N97" s="1100">
        <v>5.0780000000000003</v>
      </c>
      <c r="O97" s="1100">
        <v>4.8129999999999997</v>
      </c>
      <c r="P97" s="1100">
        <v>5.4240000000000004</v>
      </c>
      <c r="Q97" s="1105">
        <f t="shared" si="112"/>
        <v>20.922000000000001</v>
      </c>
      <c r="R97" s="1100">
        <v>6.391</v>
      </c>
      <c r="S97" s="1100">
        <v>5.3710000000000004</v>
      </c>
      <c r="T97" s="1100">
        <v>40.337000000000003</v>
      </c>
      <c r="U97" s="1100">
        <v>52.438000000000002</v>
      </c>
      <c r="V97" s="1105">
        <f t="shared" si="113"/>
        <v>104.53700000000001</v>
      </c>
      <c r="W97" s="1100">
        <v>54.244999999999997</v>
      </c>
      <c r="X97" s="1100">
        <v>57.625999999999998</v>
      </c>
      <c r="Y97" s="1100">
        <v>54.097999999999999</v>
      </c>
      <c r="Z97" s="1100">
        <v>49.790999999999997</v>
      </c>
      <c r="AA97" s="1105">
        <f t="shared" si="114"/>
        <v>215.76</v>
      </c>
      <c r="AB97" s="1100">
        <v>57.624000000000002</v>
      </c>
      <c r="AC97" s="1100">
        <v>62.173000000000002</v>
      </c>
      <c r="AD97" s="1100">
        <v>67.415000000000006</v>
      </c>
      <c r="AE97" s="1100">
        <v>70.843999999999994</v>
      </c>
      <c r="AF97" s="1105">
        <f t="shared" si="115"/>
        <v>258.05599999999998</v>
      </c>
      <c r="AG97" s="1100">
        <v>79.625</v>
      </c>
      <c r="AH97" s="1100">
        <v>84.822000000000003</v>
      </c>
      <c r="AI97" s="1100">
        <v>78.411000000000001</v>
      </c>
      <c r="AJ97" s="1100">
        <v>77.120999999999995</v>
      </c>
      <c r="AK97" s="1105">
        <f t="shared" si="116"/>
        <v>319.97899999999998</v>
      </c>
      <c r="AL97" s="1101">
        <v>80.620999999999995</v>
      </c>
      <c r="AM97" s="1101">
        <v>83.74</v>
      </c>
      <c r="AN97" s="1205">
        <v>89.45</v>
      </c>
      <c r="AO97" s="1100">
        <v>95.718000000000004</v>
      </c>
      <c r="AP97" s="1105">
        <f t="shared" si="117"/>
        <v>349.529</v>
      </c>
      <c r="AQ97" s="1205">
        <v>92.911000000000001</v>
      </c>
      <c r="AR97" s="1205">
        <v>100.52800000000001</v>
      </c>
      <c r="AS97" s="1101">
        <v>110.629</v>
      </c>
      <c r="AT97" s="1113">
        <f t="shared" si="118"/>
        <v>248.72513988895849</v>
      </c>
      <c r="AU97" s="1105">
        <f t="shared" si="119"/>
        <v>552.79313988895854</v>
      </c>
      <c r="AV97" s="1113">
        <f t="shared" si="120"/>
        <v>260.20047276767713</v>
      </c>
      <c r="AW97" s="1113">
        <f t="shared" si="120"/>
        <v>279.00370677939355</v>
      </c>
      <c r="AX97" s="1113">
        <f t="shared" si="120"/>
        <v>294.71024651776736</v>
      </c>
      <c r="AY97" s="1113">
        <f t="shared" si="120"/>
        <v>302.36394720454689</v>
      </c>
      <c r="AZ97" s="1105">
        <f t="shared" si="121"/>
        <v>1136.2783732693849</v>
      </c>
      <c r="BA97" s="1113">
        <f t="shared" si="122"/>
        <v>316.35385741444327</v>
      </c>
      <c r="BB97" s="1113">
        <f t="shared" si="122"/>
        <v>340.13865748577723</v>
      </c>
      <c r="BC97" s="1113">
        <f t="shared" si="122"/>
        <v>360.23216521712777</v>
      </c>
      <c r="BD97" s="1113">
        <f t="shared" si="122"/>
        <v>365.84961051127397</v>
      </c>
      <c r="BE97" s="1105">
        <f t="shared" si="123"/>
        <v>1382.5742906286223</v>
      </c>
      <c r="BF97" s="1113">
        <f t="shared" si="124"/>
        <v>379.67799678852089</v>
      </c>
      <c r="BG97" s="1113">
        <f t="shared" si="124"/>
        <v>407.23333780122499</v>
      </c>
      <c r="BH97" s="1113">
        <f t="shared" si="124"/>
        <v>438.95748894932734</v>
      </c>
      <c r="BI97" s="1113">
        <f t="shared" si="124"/>
        <v>447.7109108899262</v>
      </c>
      <c r="BJ97" s="1105">
        <f t="shared" si="125"/>
        <v>1673.5797344289995</v>
      </c>
      <c r="BK97" s="1113">
        <f t="shared" si="126"/>
        <v>462.13541590704466</v>
      </c>
      <c r="BL97" s="1113">
        <f t="shared" si="126"/>
        <v>489.35815850266823</v>
      </c>
      <c r="BM97" s="1113">
        <f t="shared" si="126"/>
        <v>530.98596039723725</v>
      </c>
      <c r="BN97" s="1113">
        <f t="shared" si="126"/>
        <v>535.9235510508114</v>
      </c>
      <c r="BO97" s="1105">
        <f t="shared" si="127"/>
        <v>2018.4030858577617</v>
      </c>
    </row>
    <row r="98" spans="1:67" s="1039" customFormat="1" hidden="1" outlineLevel="1">
      <c r="A98" s="1036"/>
      <c r="B98" s="1040" t="s">
        <v>376</v>
      </c>
      <c r="C98" s="1100"/>
      <c r="D98" s="1100"/>
      <c r="E98" s="1100"/>
      <c r="F98" s="1100"/>
      <c r="G98" s="1105">
        <f t="shared" si="110"/>
        <v>0</v>
      </c>
      <c r="H98" s="1100">
        <v>11.936</v>
      </c>
      <c r="I98" s="1100">
        <v>1.004</v>
      </c>
      <c r="J98" s="1100">
        <v>1.9450000000000001</v>
      </c>
      <c r="K98" s="1100">
        <v>14.148</v>
      </c>
      <c r="L98" s="1105">
        <f t="shared" si="111"/>
        <v>29.033000000000001</v>
      </c>
      <c r="M98" s="1100">
        <v>2.9830000000000001</v>
      </c>
      <c r="N98" s="1100">
        <v>3.4569999999999999</v>
      </c>
      <c r="O98" s="1100">
        <v>4.4169999999999998</v>
      </c>
      <c r="P98" s="1100">
        <v>4.9290000000000003</v>
      </c>
      <c r="Q98" s="1105">
        <f t="shared" si="112"/>
        <v>15.786</v>
      </c>
      <c r="R98" s="1100">
        <v>5.9420000000000002</v>
      </c>
      <c r="S98" s="1100">
        <v>5.1660000000000004</v>
      </c>
      <c r="T98" s="1100">
        <v>39.405999999999999</v>
      </c>
      <c r="U98" s="1100">
        <v>53.44</v>
      </c>
      <c r="V98" s="1105">
        <f t="shared" si="113"/>
        <v>103.95399999999999</v>
      </c>
      <c r="W98" s="1100">
        <v>60.811999999999998</v>
      </c>
      <c r="X98" s="1100">
        <v>65.840999999999994</v>
      </c>
      <c r="Y98" s="1100">
        <v>59.692999999999998</v>
      </c>
      <c r="Z98" s="1100">
        <v>61.686</v>
      </c>
      <c r="AA98" s="1105">
        <f t="shared" si="114"/>
        <v>248.03200000000001</v>
      </c>
      <c r="AB98" s="1100">
        <v>75.784000000000006</v>
      </c>
      <c r="AC98" s="1100">
        <v>97.838999999999999</v>
      </c>
      <c r="AD98" s="1100">
        <v>111.431</v>
      </c>
      <c r="AE98" s="1100">
        <v>128.02600000000001</v>
      </c>
      <c r="AF98" s="1105">
        <f t="shared" si="115"/>
        <v>413.08</v>
      </c>
      <c r="AG98" s="1100">
        <v>146.62799999999999</v>
      </c>
      <c r="AH98" s="1100">
        <v>166.25800000000001</v>
      </c>
      <c r="AI98" s="1100">
        <v>169.52600000000001</v>
      </c>
      <c r="AJ98" s="1100">
        <v>181.059</v>
      </c>
      <c r="AK98" s="1105">
        <f t="shared" si="116"/>
        <v>663.471</v>
      </c>
      <c r="AL98" s="1101">
        <v>204.041</v>
      </c>
      <c r="AM98" s="1101">
        <v>209.73500000000001</v>
      </c>
      <c r="AN98" s="1205">
        <v>204.13900000000001</v>
      </c>
      <c r="AO98" s="1100">
        <v>256.85000000000002</v>
      </c>
      <c r="AP98" s="1105">
        <f t="shared" si="117"/>
        <v>874.76499999999999</v>
      </c>
      <c r="AQ98" s="1205">
        <v>230.94499999999999</v>
      </c>
      <c r="AR98" s="1205">
        <v>242.15600000000001</v>
      </c>
      <c r="AS98" s="1101">
        <v>242.78899999999999</v>
      </c>
      <c r="AT98" s="1113">
        <f t="shared" si="118"/>
        <v>112.65408106995993</v>
      </c>
      <c r="AU98" s="1105">
        <f t="shared" si="119"/>
        <v>828.54408106995993</v>
      </c>
      <c r="AV98" s="1113">
        <f t="shared" si="120"/>
        <v>117.13324344061569</v>
      </c>
      <c r="AW98" s="1113">
        <f t="shared" si="120"/>
        <v>124.81977286448371</v>
      </c>
      <c r="AX98" s="1113">
        <f t="shared" si="120"/>
        <v>131.01629982098825</v>
      </c>
      <c r="AY98" s="1113">
        <f t="shared" si="120"/>
        <v>133.55832354157167</v>
      </c>
      <c r="AZ98" s="1105">
        <f t="shared" si="121"/>
        <v>506.52763966765929</v>
      </c>
      <c r="BA98" s="1113">
        <f t="shared" si="122"/>
        <v>138.82826894120205</v>
      </c>
      <c r="BB98" s="1113">
        <f t="shared" si="122"/>
        <v>148.27785304874453</v>
      </c>
      <c r="BC98" s="1113">
        <f t="shared" si="122"/>
        <v>155.97992135989941</v>
      </c>
      <c r="BD98" s="1113">
        <f t="shared" si="122"/>
        <v>157.3271768181296</v>
      </c>
      <c r="BE98" s="1105">
        <f t="shared" si="123"/>
        <v>600.41322016797562</v>
      </c>
      <c r="BF98" s="1113">
        <f t="shared" si="124"/>
        <v>162.13588443977801</v>
      </c>
      <c r="BG98" s="1113">
        <f t="shared" si="124"/>
        <v>172.66954882492067</v>
      </c>
      <c r="BH98" s="1113">
        <f t="shared" si="124"/>
        <v>184.7771374024467</v>
      </c>
      <c r="BI98" s="1113">
        <f t="shared" si="124"/>
        <v>187.07675683738282</v>
      </c>
      <c r="BJ98" s="1105">
        <f t="shared" si="125"/>
        <v>706.65932750452816</v>
      </c>
      <c r="BK98" s="1113">
        <f t="shared" si="126"/>
        <v>191.65898258434444</v>
      </c>
      <c r="BL98" s="1113">
        <f t="shared" si="126"/>
        <v>201.40219722219999</v>
      </c>
      <c r="BM98" s="1113">
        <f t="shared" si="126"/>
        <v>216.83817196886187</v>
      </c>
      <c r="BN98" s="1113">
        <f t="shared" si="126"/>
        <v>217.12352889082007</v>
      </c>
      <c r="BO98" s="1105">
        <f t="shared" si="127"/>
        <v>827.02288066622646</v>
      </c>
    </row>
    <row r="99" spans="1:67" s="1039" customFormat="1" hidden="1" outlineLevel="1">
      <c r="A99" s="1036"/>
      <c r="B99" s="1040" t="s">
        <v>354</v>
      </c>
      <c r="C99" s="1100"/>
      <c r="D99" s="1100"/>
      <c r="E99" s="1100"/>
      <c r="F99" s="1100"/>
      <c r="G99" s="1105">
        <f t="shared" si="110"/>
        <v>0</v>
      </c>
      <c r="H99" s="1100">
        <v>1.714</v>
      </c>
      <c r="I99" s="1100">
        <v>1.2689999999999999</v>
      </c>
      <c r="J99" s="1100">
        <v>1.24</v>
      </c>
      <c r="K99" s="1100">
        <v>2.7719999999999998</v>
      </c>
      <c r="L99" s="1105">
        <f t="shared" si="111"/>
        <v>6.9949999999999992</v>
      </c>
      <c r="M99" s="1100">
        <v>6.7220000000000004</v>
      </c>
      <c r="N99" s="1100">
        <v>8.8580000000000005</v>
      </c>
      <c r="O99" s="1100">
        <v>12.919</v>
      </c>
      <c r="P99" s="1100">
        <v>9.7579999999999991</v>
      </c>
      <c r="Q99" s="1105">
        <f t="shared" si="112"/>
        <v>38.257000000000005</v>
      </c>
      <c r="R99" s="1100">
        <v>9.8970000000000002</v>
      </c>
      <c r="S99" s="1100">
        <v>6.84</v>
      </c>
      <c r="T99" s="1100">
        <v>27.196999999999999</v>
      </c>
      <c r="U99" s="1100">
        <v>28.713000000000001</v>
      </c>
      <c r="V99" s="1105">
        <f t="shared" si="113"/>
        <v>72.646999999999991</v>
      </c>
      <c r="W99" s="1100">
        <v>28.117000000000001</v>
      </c>
      <c r="X99" s="1100">
        <v>29.838999999999999</v>
      </c>
      <c r="Y99" s="1100">
        <v>27.667999999999999</v>
      </c>
      <c r="Z99" s="1100">
        <v>33.868000000000002</v>
      </c>
      <c r="AA99" s="1105">
        <f t="shared" si="114"/>
        <v>119.49199999999999</v>
      </c>
      <c r="AB99" s="1100">
        <v>24.943000000000001</v>
      </c>
      <c r="AC99" s="1100">
        <v>26.576000000000001</v>
      </c>
      <c r="AD99" s="1100">
        <v>26.808</v>
      </c>
      <c r="AE99" s="1100">
        <v>25.832999999999998</v>
      </c>
      <c r="AF99" s="1105">
        <f t="shared" si="115"/>
        <v>104.16</v>
      </c>
      <c r="AG99" s="1100">
        <v>27.648</v>
      </c>
      <c r="AH99" s="1100">
        <v>27.911999999999999</v>
      </c>
      <c r="AI99" s="1100">
        <v>25.565999999999999</v>
      </c>
      <c r="AJ99" s="1100">
        <v>27.815999999999999</v>
      </c>
      <c r="AK99" s="1105">
        <f t="shared" si="116"/>
        <v>108.94200000000001</v>
      </c>
      <c r="AL99" s="1101">
        <v>34.576999999999998</v>
      </c>
      <c r="AM99" s="1101">
        <v>36.395000000000003</v>
      </c>
      <c r="AN99" s="1205">
        <v>41.548999999999999</v>
      </c>
      <c r="AO99" s="1100">
        <v>47.26</v>
      </c>
      <c r="AP99" s="1105">
        <f t="shared" si="117"/>
        <v>159.78100000000001</v>
      </c>
      <c r="AQ99" s="1205">
        <v>39.372999999999998</v>
      </c>
      <c r="AR99" s="1205">
        <v>46.58</v>
      </c>
      <c r="AS99" s="1101">
        <v>41.524999999999999</v>
      </c>
      <c r="AT99" s="1113">
        <f t="shared" si="118"/>
        <v>41.505061331551332</v>
      </c>
      <c r="AU99" s="1105">
        <f t="shared" si="119"/>
        <v>168.98306133155134</v>
      </c>
      <c r="AV99" s="1113">
        <f t="shared" si="120"/>
        <v>42.326056580618285</v>
      </c>
      <c r="AW99" s="1113">
        <f t="shared" si="120"/>
        <v>44.199868436094384</v>
      </c>
      <c r="AX99" s="1113">
        <f t="shared" si="120"/>
        <v>45.423787014282524</v>
      </c>
      <c r="AY99" s="1113">
        <f t="shared" si="120"/>
        <v>45.29301015169392</v>
      </c>
      <c r="AZ99" s="1105">
        <f t="shared" si="121"/>
        <v>177.24272218268914</v>
      </c>
      <c r="BA99" s="1113">
        <f t="shared" si="122"/>
        <v>46.003448527651322</v>
      </c>
      <c r="BB99" s="1113">
        <f t="shared" si="122"/>
        <v>47.957415474465535</v>
      </c>
      <c r="BC99" s="1113">
        <f t="shared" si="122"/>
        <v>49.180231139636739</v>
      </c>
      <c r="BD99" s="1113">
        <f t="shared" si="122"/>
        <v>48.29468394637528</v>
      </c>
      <c r="BE99" s="1105">
        <f t="shared" si="123"/>
        <v>191.43577908812887</v>
      </c>
      <c r="BF99" s="1113">
        <f t="shared" si="124"/>
        <v>48.387169762511597</v>
      </c>
      <c r="BG99" s="1113">
        <f t="shared" si="124"/>
        <v>50.020516792395377</v>
      </c>
      <c r="BH99" s="1113">
        <f t="shared" si="124"/>
        <v>51.870970534289583</v>
      </c>
      <c r="BI99" s="1113">
        <f t="shared" si="124"/>
        <v>50.796016964146105</v>
      </c>
      <c r="BJ99" s="1105">
        <f t="shared" si="125"/>
        <v>201.07467405334265</v>
      </c>
      <c r="BK99" s="1113">
        <f t="shared" si="126"/>
        <v>50.231898380864727</v>
      </c>
      <c r="BL99" s="1113">
        <f t="shared" si="126"/>
        <v>50.835393739107658</v>
      </c>
      <c r="BM99" s="1113">
        <f t="shared" si="126"/>
        <v>52.57615039232995</v>
      </c>
      <c r="BN99" s="1113">
        <f t="shared" si="126"/>
        <v>50.428941032587289</v>
      </c>
      <c r="BO99" s="1105">
        <f t="shared" si="127"/>
        <v>204.07238354488962</v>
      </c>
    </row>
    <row r="100" spans="1:67" s="1039" customFormat="1" hidden="1" outlineLevel="1">
      <c r="A100" s="1036"/>
      <c r="B100" s="1040" t="s">
        <v>355</v>
      </c>
      <c r="C100" s="1037"/>
      <c r="D100" s="1037"/>
      <c r="E100" s="1037"/>
      <c r="F100" s="1037"/>
      <c r="G100" s="1105">
        <f t="shared" si="110"/>
        <v>0</v>
      </c>
      <c r="H100" s="1100">
        <v>0</v>
      </c>
      <c r="I100" s="1100">
        <v>0</v>
      </c>
      <c r="J100" s="1100">
        <v>0</v>
      </c>
      <c r="K100" s="1100">
        <v>0</v>
      </c>
      <c r="L100" s="1105">
        <f t="shared" si="111"/>
        <v>0</v>
      </c>
      <c r="M100" s="1100">
        <v>0</v>
      </c>
      <c r="N100" s="1100">
        <v>0</v>
      </c>
      <c r="O100" s="1100">
        <v>0</v>
      </c>
      <c r="P100" s="1100">
        <v>0</v>
      </c>
      <c r="Q100" s="1105">
        <f t="shared" si="112"/>
        <v>0</v>
      </c>
      <c r="R100" s="1100">
        <v>0</v>
      </c>
      <c r="S100" s="1100">
        <v>0</v>
      </c>
      <c r="T100" s="1100">
        <v>0</v>
      </c>
      <c r="U100" s="1100">
        <v>0</v>
      </c>
      <c r="V100" s="1105">
        <f t="shared" si="113"/>
        <v>0</v>
      </c>
      <c r="W100" s="1100">
        <v>0</v>
      </c>
      <c r="X100" s="1100">
        <v>0</v>
      </c>
      <c r="Y100" s="1100">
        <v>0</v>
      </c>
      <c r="Z100" s="1100">
        <v>0</v>
      </c>
      <c r="AA100" s="1105">
        <f t="shared" si="114"/>
        <v>0</v>
      </c>
      <c r="AB100" s="1100">
        <v>0</v>
      </c>
      <c r="AC100" s="1100">
        <v>0</v>
      </c>
      <c r="AD100" s="1100">
        <v>0</v>
      </c>
      <c r="AE100" s="1100">
        <v>0</v>
      </c>
      <c r="AF100" s="1105">
        <f t="shared" si="115"/>
        <v>0</v>
      </c>
      <c r="AG100" s="1100">
        <v>0</v>
      </c>
      <c r="AH100" s="1100">
        <v>0</v>
      </c>
      <c r="AI100" s="1100">
        <v>0</v>
      </c>
      <c r="AJ100" s="1100">
        <v>0</v>
      </c>
      <c r="AK100" s="1105">
        <f t="shared" si="116"/>
        <v>0</v>
      </c>
      <c r="AL100" s="1101">
        <v>0</v>
      </c>
      <c r="AM100" s="1101">
        <v>0</v>
      </c>
      <c r="AN100" s="1205">
        <v>0</v>
      </c>
      <c r="AO100" s="1100">
        <v>0</v>
      </c>
      <c r="AP100" s="1105">
        <f t="shared" si="117"/>
        <v>0</v>
      </c>
      <c r="AQ100" s="1205">
        <v>0</v>
      </c>
      <c r="AR100" s="1205">
        <v>0</v>
      </c>
      <c r="AS100" s="1101">
        <v>0</v>
      </c>
      <c r="AT100" s="1113">
        <f t="shared" si="118"/>
        <v>0</v>
      </c>
      <c r="AU100" s="1105">
        <f t="shared" si="119"/>
        <v>0</v>
      </c>
      <c r="AV100" s="1113">
        <f t="shared" si="120"/>
        <v>0</v>
      </c>
      <c r="AW100" s="1113">
        <f t="shared" si="120"/>
        <v>0</v>
      </c>
      <c r="AX100" s="1113">
        <f t="shared" si="120"/>
        <v>0</v>
      </c>
      <c r="AY100" s="1113">
        <f t="shared" si="120"/>
        <v>0</v>
      </c>
      <c r="AZ100" s="1105">
        <f t="shared" si="121"/>
        <v>0</v>
      </c>
      <c r="BA100" s="1113">
        <f t="shared" si="122"/>
        <v>0</v>
      </c>
      <c r="BB100" s="1113">
        <f t="shared" si="122"/>
        <v>0</v>
      </c>
      <c r="BC100" s="1113">
        <f t="shared" si="122"/>
        <v>0</v>
      </c>
      <c r="BD100" s="1113">
        <f t="shared" si="122"/>
        <v>0</v>
      </c>
      <c r="BE100" s="1105">
        <f t="shared" si="123"/>
        <v>0</v>
      </c>
      <c r="BF100" s="1113">
        <f t="shared" si="124"/>
        <v>0</v>
      </c>
      <c r="BG100" s="1113">
        <f t="shared" si="124"/>
        <v>0</v>
      </c>
      <c r="BH100" s="1113">
        <f t="shared" si="124"/>
        <v>0</v>
      </c>
      <c r="BI100" s="1113">
        <f t="shared" si="124"/>
        <v>0</v>
      </c>
      <c r="BJ100" s="1105">
        <f t="shared" si="125"/>
        <v>0</v>
      </c>
      <c r="BK100" s="1113">
        <f t="shared" si="126"/>
        <v>0</v>
      </c>
      <c r="BL100" s="1113">
        <f t="shared" si="126"/>
        <v>0</v>
      </c>
      <c r="BM100" s="1113">
        <f t="shared" si="126"/>
        <v>0</v>
      </c>
      <c r="BN100" s="1113">
        <f t="shared" si="126"/>
        <v>0</v>
      </c>
      <c r="BO100" s="1105">
        <f t="shared" si="127"/>
        <v>0</v>
      </c>
    </row>
    <row r="101" spans="1:67" s="1039" customFormat="1" hidden="1" outlineLevel="1">
      <c r="A101" s="1036"/>
      <c r="B101" s="986" t="s">
        <v>356</v>
      </c>
      <c r="C101" s="1114">
        <f>SUM(C95:C100)</f>
        <v>0</v>
      </c>
      <c r="D101" s="1114">
        <f>SUM(D95:D100)</f>
        <v>0</v>
      </c>
      <c r="E101" s="1114">
        <f>SUM(E95:E100)</f>
        <v>0</v>
      </c>
      <c r="F101" s="1114">
        <f>SUM(F95:F100)</f>
        <v>0</v>
      </c>
      <c r="G101" s="1102">
        <f>SUM(G95:G99)</f>
        <v>0</v>
      </c>
      <c r="H101" s="1114">
        <f>SUM(H95:H100)</f>
        <v>17.541</v>
      </c>
      <c r="I101" s="1114">
        <f>SUM(I95:I100)</f>
        <v>3.8659999999999997</v>
      </c>
      <c r="J101" s="1114">
        <f>SUM(J95:J100)</f>
        <v>6.5250000000000004</v>
      </c>
      <c r="K101" s="1114">
        <f>SUM(K95:K100)</f>
        <v>24.957000000000001</v>
      </c>
      <c r="L101" s="1102">
        <f>SUM(L95:L99)</f>
        <v>52.889000000000003</v>
      </c>
      <c r="M101" s="1114">
        <f>SUM(M95:M100)</f>
        <v>15.676000000000002</v>
      </c>
      <c r="N101" s="1114">
        <f>SUM(N95:N100)</f>
        <v>18.091999999999999</v>
      </c>
      <c r="O101" s="1114">
        <f>SUM(O95:O100)</f>
        <v>22.533000000000001</v>
      </c>
      <c r="P101" s="1114">
        <f>SUM(P95:P100)</f>
        <v>20.582999999999998</v>
      </c>
      <c r="Q101" s="1102">
        <f>SUM(Q95:Q99)</f>
        <v>76.884000000000015</v>
      </c>
      <c r="R101" s="1114">
        <f>SUM(R95:R100)</f>
        <v>22.844999999999999</v>
      </c>
      <c r="S101" s="1114">
        <f>SUM(S95:S100)</f>
        <v>17.990000000000002</v>
      </c>
      <c r="T101" s="1114">
        <f>SUM(T95:T100)</f>
        <v>120.468</v>
      </c>
      <c r="U101" s="1114">
        <f>SUM(U95:U100)</f>
        <v>153.464</v>
      </c>
      <c r="V101" s="1102">
        <f>SUM(V95:V99)</f>
        <v>314.767</v>
      </c>
      <c r="W101" s="1114">
        <f>SUM(W95:W100)</f>
        <v>167.49799999999996</v>
      </c>
      <c r="X101" s="1114">
        <f>SUM(X95:X100)</f>
        <v>176.40899999999999</v>
      </c>
      <c r="Y101" s="1114">
        <f>SUM(Y95:Y100)</f>
        <v>163.786</v>
      </c>
      <c r="Z101" s="1114">
        <f>SUM(Z95:Z100)</f>
        <v>167.76599999999999</v>
      </c>
      <c r="AA101" s="1102">
        <f>SUM(AA95:AA99)</f>
        <v>675.45899999999995</v>
      </c>
      <c r="AB101" s="1114">
        <f>SUM(AB95:AB100)</f>
        <v>183.24100000000001</v>
      </c>
      <c r="AC101" s="1114">
        <f>SUM(AC95:AC100)</f>
        <v>214.28200000000001</v>
      </c>
      <c r="AD101" s="1114">
        <f>SUM(AD95:AD100)</f>
        <v>235.19099999999997</v>
      </c>
      <c r="AE101" s="1114">
        <f>SUM(AE95:AE100)</f>
        <v>256.28499999999997</v>
      </c>
      <c r="AF101" s="1102">
        <f>SUM(AF95:AF99)</f>
        <v>888.99899999999991</v>
      </c>
      <c r="AG101" s="1114">
        <f>SUM(AG95:AG100)</f>
        <v>287.62099999999998</v>
      </c>
      <c r="AH101" s="1114">
        <f>SUM(AH95:AH100)</f>
        <v>314.24099999999999</v>
      </c>
      <c r="AI101" s="1114">
        <f>SUM(AI95:AI100)</f>
        <v>307.35699999999997</v>
      </c>
      <c r="AJ101" s="1114">
        <f>SUM(AJ95:AJ100)</f>
        <v>320.30399999999997</v>
      </c>
      <c r="AK101" s="1102">
        <f>SUM(AK95:AK99)</f>
        <v>1229.5230000000001</v>
      </c>
      <c r="AL101" s="1114">
        <f>SUM(AL95:AL100)</f>
        <v>360.38900000000001</v>
      </c>
      <c r="AM101" s="1114">
        <f>SUM(AM95:AM100)</f>
        <v>373.33699999999999</v>
      </c>
      <c r="AN101" s="1206">
        <f>SUM(AN95:AN100)</f>
        <v>381.44499999999999</v>
      </c>
      <c r="AO101" s="1114">
        <f>SUM(AO95:AO100)</f>
        <v>449.12200000000001</v>
      </c>
      <c r="AP101" s="1102">
        <f>SUM(AP95:AP99)</f>
        <v>1564.2929999999999</v>
      </c>
      <c r="AQ101" s="1114">
        <f>SUM(AQ95:AQ100)</f>
        <v>408.72199999999998</v>
      </c>
      <c r="AR101" s="1206">
        <f>SUM(AR95:AR100)</f>
        <v>436.18199999999996</v>
      </c>
      <c r="AS101" s="1206">
        <f>SUM(AS95:AS100)</f>
        <v>442.39199999999994</v>
      </c>
      <c r="AT101" s="1114">
        <f t="shared" ref="AT101:AY101" si="128">SUM(AT95:AT100)</f>
        <v>449.23985164685962</v>
      </c>
      <c r="AU101" s="1102">
        <f>SUM(AU95:AU99)</f>
        <v>1736.5358516468598</v>
      </c>
      <c r="AV101" s="1114">
        <f t="shared" si="128"/>
        <v>465.77271803797521</v>
      </c>
      <c r="AW101" s="1114">
        <f t="shared" si="128"/>
        <v>494.88932109543595</v>
      </c>
      <c r="AX101" s="1114">
        <f t="shared" si="128"/>
        <v>517.90235504843099</v>
      </c>
      <c r="AY101" s="1114">
        <f t="shared" si="128"/>
        <v>526.32877541408175</v>
      </c>
      <c r="AZ101" s="1102">
        <f>SUM(AZ95:AZ99)</f>
        <v>2004.8931695959241</v>
      </c>
      <c r="BA101" s="1114">
        <f>SUM(BA95:BA100)</f>
        <v>545.37097923857004</v>
      </c>
      <c r="BB101" s="1114">
        <f>SUM(BB95:BB100)</f>
        <v>580.60567207018528</v>
      </c>
      <c r="BC101" s="1114">
        <f>SUM(BC95:BC100)</f>
        <v>608.73171361003256</v>
      </c>
      <c r="BD101" s="1114">
        <f>SUM(BD95:BD100)</f>
        <v>611.88947747127122</v>
      </c>
      <c r="BE101" s="1102">
        <f>SUM(BE95:BE99)</f>
        <v>2346.5978423900592</v>
      </c>
      <c r="BF101" s="1114">
        <f>SUM(BF95:BF100)</f>
        <v>628.37432558145417</v>
      </c>
      <c r="BG101" s="1114">
        <f>SUM(BG95:BG100)</f>
        <v>666.77810640901123</v>
      </c>
      <c r="BH101" s="1114">
        <f>SUM(BH95:BH100)</f>
        <v>710.87693644571038</v>
      </c>
      <c r="BI101" s="1114">
        <f>SUM(BI95:BI100)</f>
        <v>716.96660452755157</v>
      </c>
      <c r="BJ101" s="1102">
        <f>SUM(BJ95:BJ99)</f>
        <v>2722.9959729637276</v>
      </c>
      <c r="BK101" s="1114">
        <f>SUM(BK95:BK100)</f>
        <v>731.62968577440824</v>
      </c>
      <c r="BL101" s="1114">
        <f>SUM(BL95:BL100)</f>
        <v>765.697528334852</v>
      </c>
      <c r="BM101" s="1114">
        <f>SUM(BM95:BM100)</f>
        <v>820.92807222469764</v>
      </c>
      <c r="BN101" s="1114">
        <f>SUM(BN95:BN100)</f>
        <v>818.45618217893752</v>
      </c>
      <c r="BO101" s="1102">
        <f>SUM(BO95:BO99)</f>
        <v>3136.7114685128954</v>
      </c>
    </row>
    <row r="102" spans="1:67" s="1039" customFormat="1" hidden="1" outlineLevel="1">
      <c r="A102" s="1036"/>
      <c r="B102" s="986"/>
      <c r="C102" s="1114"/>
      <c r="D102" s="1114"/>
      <c r="E102" s="1114"/>
      <c r="F102" s="1114"/>
      <c r="G102" s="1102"/>
      <c r="H102" s="1114"/>
      <c r="I102" s="1114"/>
      <c r="J102" s="1114"/>
      <c r="K102" s="1114"/>
      <c r="L102" s="1102"/>
      <c r="M102" s="1114"/>
      <c r="N102" s="1114"/>
      <c r="O102" s="1114"/>
      <c r="P102" s="1114"/>
      <c r="Q102" s="1102"/>
      <c r="R102" s="1114"/>
      <c r="S102" s="1114"/>
      <c r="T102" s="1114"/>
      <c r="U102" s="1114"/>
      <c r="V102" s="1102"/>
      <c r="W102" s="1114"/>
      <c r="X102" s="1114"/>
      <c r="Y102" s="1114"/>
      <c r="Z102" s="1114"/>
      <c r="AA102" s="1102"/>
      <c r="AB102" s="1114"/>
      <c r="AC102" s="1114"/>
      <c r="AD102" s="1114"/>
      <c r="AE102" s="1114"/>
      <c r="AF102" s="1102"/>
      <c r="AG102" s="1114"/>
      <c r="AH102" s="1114"/>
      <c r="AI102" s="1114"/>
      <c r="AJ102" s="1114"/>
      <c r="AK102" s="1102"/>
      <c r="AL102" s="1114"/>
      <c r="AM102" s="1114"/>
      <c r="AN102" s="1206"/>
      <c r="AO102" s="1114"/>
      <c r="AP102" s="1102"/>
      <c r="AQ102" s="1114"/>
      <c r="AR102" s="1206"/>
      <c r="AS102" s="1206"/>
      <c r="AT102" s="1114"/>
      <c r="AU102" s="1102"/>
      <c r="AV102" s="1114"/>
      <c r="AW102" s="1114"/>
      <c r="AX102" s="1114"/>
      <c r="AY102" s="1114"/>
      <c r="AZ102" s="1102"/>
      <c r="BA102" s="1114"/>
      <c r="BB102" s="1114"/>
      <c r="BC102" s="1114"/>
      <c r="BD102" s="1114"/>
      <c r="BE102" s="1102"/>
      <c r="BF102" s="1114"/>
      <c r="BG102" s="1114"/>
      <c r="BH102" s="1114"/>
      <c r="BI102" s="1114"/>
      <c r="BJ102" s="1102"/>
      <c r="BK102" s="1114"/>
      <c r="BL102" s="1114"/>
      <c r="BM102" s="1114"/>
      <c r="BN102" s="1114"/>
      <c r="BO102" s="1102"/>
    </row>
    <row r="103" spans="1:67" hidden="1" outlineLevel="1">
      <c r="B103" s="1040" t="s">
        <v>377</v>
      </c>
      <c r="C103" s="468" t="str">
        <f t="shared" ref="C103:AP103" si="129">IFERROR(C95/C$10,"--")</f>
        <v>--</v>
      </c>
      <c r="D103" s="468" t="str">
        <f t="shared" si="129"/>
        <v>--</v>
      </c>
      <c r="E103" s="468" t="str">
        <f t="shared" si="129"/>
        <v>--</v>
      </c>
      <c r="F103" s="468" t="str">
        <f t="shared" si="129"/>
        <v>--</v>
      </c>
      <c r="G103" s="424" t="str">
        <f t="shared" si="129"/>
        <v>--</v>
      </c>
      <c r="H103" s="468">
        <f t="shared" si="129"/>
        <v>5.5211519808997982E-3</v>
      </c>
      <c r="I103" s="468">
        <f t="shared" si="129"/>
        <v>5.752583077352694E-3</v>
      </c>
      <c r="J103" s="468">
        <f t="shared" si="129"/>
        <v>3.870292887029289E-3</v>
      </c>
      <c r="K103" s="468">
        <f t="shared" si="129"/>
        <v>1.9194067288292708E-2</v>
      </c>
      <c r="L103" s="424">
        <f t="shared" si="129"/>
        <v>1.0262139738894751E-2</v>
      </c>
      <c r="M103" s="468">
        <f t="shared" si="129"/>
        <v>8.3285665255691567E-3</v>
      </c>
      <c r="N103" s="468">
        <f t="shared" si="129"/>
        <v>1.158454730771143E-2</v>
      </c>
      <c r="O103" s="468">
        <f t="shared" si="129"/>
        <v>5.2594094121514272E-3</v>
      </c>
      <c r="P103" s="468">
        <f t="shared" si="129"/>
        <v>5.3824750262281614E-3</v>
      </c>
      <c r="Q103" s="424">
        <f t="shared" si="129"/>
        <v>7.2484022542191068E-3</v>
      </c>
      <c r="R103" s="468">
        <f t="shared" si="129"/>
        <v>5.6517943298258514E-3</v>
      </c>
      <c r="S103" s="468">
        <f t="shared" si="129"/>
        <v>4.6040031544556693E-3</v>
      </c>
      <c r="T103" s="468">
        <f t="shared" si="129"/>
        <v>4.5889089359995985E-2</v>
      </c>
      <c r="U103" s="468">
        <f t="shared" si="129"/>
        <v>5.3400887302128996E-2</v>
      </c>
      <c r="V103" s="424">
        <f t="shared" si="129"/>
        <v>3.1625760705617276E-2</v>
      </c>
      <c r="W103" s="468">
        <f t="shared" si="129"/>
        <v>5.3155333444000794E-2</v>
      </c>
      <c r="X103" s="468">
        <f t="shared" si="129"/>
        <v>4.8589629607858995E-2</v>
      </c>
      <c r="Y103" s="468">
        <f t="shared" si="129"/>
        <v>3.7133605030483699E-2</v>
      </c>
      <c r="Z103" s="468">
        <f t="shared" si="129"/>
        <v>3.0986987133052264E-2</v>
      </c>
      <c r="AA103" s="424">
        <f t="shared" si="129"/>
        <v>4.0764290465150038E-2</v>
      </c>
      <c r="AB103" s="468">
        <f t="shared" si="129"/>
        <v>3.1112458004929313E-2</v>
      </c>
      <c r="AC103" s="468">
        <f t="shared" si="129"/>
        <v>3.0411384258961324E-2</v>
      </c>
      <c r="AD103" s="468">
        <f t="shared" si="129"/>
        <v>2.8336098005845314E-2</v>
      </c>
      <c r="AE103" s="468">
        <f t="shared" si="129"/>
        <v>2.9425546508390327E-2</v>
      </c>
      <c r="AF103" s="424">
        <f t="shared" si="129"/>
        <v>2.9714004102322798E-2</v>
      </c>
      <c r="AG103" s="468">
        <f t="shared" si="129"/>
        <v>3.0147578812666474E-2</v>
      </c>
      <c r="AH103" s="468">
        <f t="shared" si="129"/>
        <v>2.9284084401306792E-2</v>
      </c>
      <c r="AI103" s="468">
        <f t="shared" si="129"/>
        <v>2.6470600253618699E-2</v>
      </c>
      <c r="AJ103" s="468">
        <f t="shared" si="129"/>
        <v>2.7014362997757838E-2</v>
      </c>
      <c r="AK103" s="424">
        <f t="shared" si="129"/>
        <v>2.8113418581009936E-2</v>
      </c>
      <c r="AL103" s="468">
        <f t="shared" si="129"/>
        <v>3.2864370967372145E-2</v>
      </c>
      <c r="AM103" s="468">
        <f t="shared" si="129"/>
        <v>3.4273954533892405E-2</v>
      </c>
      <c r="AN103" s="587">
        <f t="shared" si="129"/>
        <v>3.4221638180478804E-2</v>
      </c>
      <c r="AO103" s="468">
        <f t="shared" si="129"/>
        <v>3.399069692025497E-2</v>
      </c>
      <c r="AP103" s="424">
        <f t="shared" si="129"/>
        <v>3.3861166844437282E-2</v>
      </c>
      <c r="AQ103" s="468">
        <f t="shared" ref="AQ103:AS103" si="130">IFERROR(AQ95/AQ$10,"--")</f>
        <v>2.9606342735736615E-2</v>
      </c>
      <c r="AR103" s="587">
        <f t="shared" si="130"/>
        <v>2.7860142938367763E-2</v>
      </c>
      <c r="AS103" s="587">
        <f t="shared" si="130"/>
        <v>2.6727479143117912E-2</v>
      </c>
      <c r="AT103" s="577">
        <f>AS103-0.1%</f>
        <v>2.5727479143117911E-2</v>
      </c>
      <c r="AU103" s="424">
        <f t="shared" ref="AU103:AU109" si="131">IFERROR(AU95/AU$10,"--")</f>
        <v>2.738314947628857E-2</v>
      </c>
      <c r="AV103" s="577">
        <f>AT103-0.1%</f>
        <v>2.472747914311791E-2</v>
      </c>
      <c r="AW103" s="577">
        <f t="shared" ref="AW103:AY107" si="132">AV103-0.1%</f>
        <v>2.3727479143117909E-2</v>
      </c>
      <c r="AX103" s="577">
        <f t="shared" si="132"/>
        <v>2.2727479143117908E-2</v>
      </c>
      <c r="AY103" s="577">
        <f t="shared" si="132"/>
        <v>2.1727479143117907E-2</v>
      </c>
      <c r="AZ103" s="424">
        <f t="shared" ref="AZ103:AZ109" si="133">IFERROR(AZ95/AZ$10,"--")</f>
        <v>2.3158622378717179E-2</v>
      </c>
      <c r="BA103" s="577">
        <f>AY103-0.1%</f>
        <v>2.0727479143117906E-2</v>
      </c>
      <c r="BB103" s="577">
        <f t="shared" ref="BB103:BD107" si="134">BA103-0.1%</f>
        <v>1.9727479143117906E-2</v>
      </c>
      <c r="BC103" s="577">
        <f t="shared" si="134"/>
        <v>1.8727479143117905E-2</v>
      </c>
      <c r="BD103" s="577">
        <f t="shared" si="134"/>
        <v>1.7727479143117904E-2</v>
      </c>
      <c r="BE103" s="424">
        <f t="shared" ref="BE103:BE109" si="135">IFERROR(BE95/BE$10,"--")</f>
        <v>1.9160113239175741E-2</v>
      </c>
      <c r="BF103" s="577">
        <f>BD103-0.1%</f>
        <v>1.6727479143117903E-2</v>
      </c>
      <c r="BG103" s="577">
        <f t="shared" ref="BG103:BI107" si="136">BF103-0.1%</f>
        <v>1.5727479143117902E-2</v>
      </c>
      <c r="BH103" s="577">
        <f t="shared" si="136"/>
        <v>1.4727479143117901E-2</v>
      </c>
      <c r="BI103" s="577">
        <f t="shared" si="136"/>
        <v>1.37274791431179E-2</v>
      </c>
      <c r="BJ103" s="424">
        <f t="shared" ref="BJ103:BJ109" si="137">IFERROR(BJ95/BJ$10,"--")</f>
        <v>1.5150485893924016E-2</v>
      </c>
      <c r="BK103" s="468">
        <f>BI103-0.1%</f>
        <v>1.2727479143117899E-2</v>
      </c>
      <c r="BL103" s="468">
        <f t="shared" ref="BL103:BN107" si="138">BK103-0.1%</f>
        <v>1.1727479143117898E-2</v>
      </c>
      <c r="BM103" s="468">
        <f t="shared" si="138"/>
        <v>1.0727479143117898E-2</v>
      </c>
      <c r="BN103" s="468">
        <f t="shared" si="138"/>
        <v>9.7274791431178967E-3</v>
      </c>
      <c r="BO103" s="424">
        <f t="shared" ref="BO103:BO109" si="139">IFERROR(BO95/BO$10,"--")</f>
        <v>1.1155645402338116E-2</v>
      </c>
    </row>
    <row r="104" spans="1:67" hidden="1" outlineLevel="1">
      <c r="B104" s="1040" t="s">
        <v>378</v>
      </c>
      <c r="C104" s="468"/>
      <c r="D104" s="468"/>
      <c r="E104" s="468"/>
      <c r="F104" s="468"/>
      <c r="G104" s="424"/>
      <c r="H104" s="468">
        <f t="shared" ref="H104:AP104" si="140">IFERROR(H96/H$10,"--")</f>
        <v>0</v>
      </c>
      <c r="I104" s="468">
        <f t="shared" si="140"/>
        <v>0</v>
      </c>
      <c r="J104" s="468">
        <f t="shared" si="140"/>
        <v>0</v>
      </c>
      <c r="K104" s="468">
        <f t="shared" si="140"/>
        <v>0</v>
      </c>
      <c r="L104" s="424">
        <f t="shared" si="140"/>
        <v>0</v>
      </c>
      <c r="M104" s="468">
        <f t="shared" si="140"/>
        <v>0</v>
      </c>
      <c r="N104" s="468">
        <f t="shared" si="140"/>
        <v>0</v>
      </c>
      <c r="O104" s="468">
        <f t="shared" si="140"/>
        <v>0</v>
      </c>
      <c r="P104" s="468">
        <f t="shared" si="140"/>
        <v>0</v>
      </c>
      <c r="Q104" s="424">
        <f t="shared" si="140"/>
        <v>0</v>
      </c>
      <c r="R104" s="468">
        <f t="shared" si="140"/>
        <v>0</v>
      </c>
      <c r="S104" s="468">
        <f t="shared" si="140"/>
        <v>0</v>
      </c>
      <c r="T104" s="468">
        <f t="shared" si="140"/>
        <v>3.8860071167243014E-2</v>
      </c>
      <c r="U104" s="468">
        <f t="shared" si="140"/>
        <v>4.5688184180820622E-2</v>
      </c>
      <c r="V104" s="424">
        <f t="shared" si="140"/>
        <v>2.5175281100044088E-2</v>
      </c>
      <c r="W104" s="468">
        <f t="shared" si="140"/>
        <v>5.3102912010624073E-2</v>
      </c>
      <c r="X104" s="468">
        <f t="shared" si="140"/>
        <v>3.6286085863966679E-2</v>
      </c>
      <c r="Y104" s="468">
        <f t="shared" si="140"/>
        <v>2.9625554283117198E-2</v>
      </c>
      <c r="Z104" s="468">
        <f t="shared" si="140"/>
        <v>2.7435417719803842E-2</v>
      </c>
      <c r="AA104" s="424">
        <f t="shared" si="140"/>
        <v>3.4830689388490536E-2</v>
      </c>
      <c r="AB104" s="468">
        <f t="shared" si="140"/>
        <v>2.7816777193509969E-2</v>
      </c>
      <c r="AC104" s="468">
        <f t="shared" si="140"/>
        <v>2.5283158504408262E-2</v>
      </c>
      <c r="AD104" s="468">
        <f t="shared" si="140"/>
        <v>2.468996172544289E-2</v>
      </c>
      <c r="AE104" s="468">
        <f t="shared" si="140"/>
        <v>2.4193055489531625E-2</v>
      </c>
      <c r="AF104" s="424">
        <f t="shared" si="140"/>
        <v>2.5330415136283389E-2</v>
      </c>
      <c r="AG104" s="468">
        <f t="shared" si="140"/>
        <v>2.3925631696009773E-2</v>
      </c>
      <c r="AH104" s="468">
        <f t="shared" si="140"/>
        <v>2.3012738532205375E-2</v>
      </c>
      <c r="AI104" s="468">
        <f t="shared" si="140"/>
        <v>1.9641147250035074E-2</v>
      </c>
      <c r="AJ104" s="468">
        <f t="shared" si="140"/>
        <v>1.7271224049598619E-2</v>
      </c>
      <c r="AK104" s="424">
        <f t="shared" si="140"/>
        <v>2.0748700600643724E-2</v>
      </c>
      <c r="AL104" s="468">
        <f t="shared" si="140"/>
        <v>1.6791177602753199E-2</v>
      </c>
      <c r="AM104" s="468">
        <f t="shared" si="140"/>
        <v>1.5755798361691623E-2</v>
      </c>
      <c r="AN104" s="587">
        <f t="shared" si="140"/>
        <v>1.493163102620333E-2</v>
      </c>
      <c r="AO104" s="468">
        <f t="shared" si="140"/>
        <v>1.5964206451351378E-2</v>
      </c>
      <c r="AP104" s="424">
        <f t="shared" si="140"/>
        <v>1.5835005333118612E-2</v>
      </c>
      <c r="AQ104" s="468">
        <f t="shared" ref="AQ104:AS104" si="141">IFERROR(AQ96/AQ$10,"--")</f>
        <v>1.4049865940422656E-2</v>
      </c>
      <c r="AR104" s="587">
        <f t="shared" si="141"/>
        <v>1.3117385710879509E-2</v>
      </c>
      <c r="AS104" s="587">
        <f t="shared" si="141"/>
        <v>1.239252079092496E-2</v>
      </c>
      <c r="AT104" s="577">
        <f t="shared" ref="AT104:AT107" si="142">AS104-0.1%</f>
        <v>1.1392520790924961E-2</v>
      </c>
      <c r="AU104" s="424">
        <f t="shared" si="131"/>
        <v>1.2673934003729823E-2</v>
      </c>
      <c r="AV104" s="577">
        <f>AT104-0.1%</f>
        <v>1.039252079092496E-2</v>
      </c>
      <c r="AW104" s="577">
        <f t="shared" si="132"/>
        <v>9.3925207909249589E-3</v>
      </c>
      <c r="AX104" s="577">
        <f t="shared" si="132"/>
        <v>8.392520790924958E-3</v>
      </c>
      <c r="AY104" s="577">
        <f t="shared" si="132"/>
        <v>7.392520790924958E-3</v>
      </c>
      <c r="AZ104" s="424">
        <f t="shared" si="133"/>
        <v>8.8236640265242239E-3</v>
      </c>
      <c r="BA104" s="577">
        <f>AY104-0.1%</f>
        <v>6.392520790924958E-3</v>
      </c>
      <c r="BB104" s="577">
        <f t="shared" si="134"/>
        <v>5.3925207909249579E-3</v>
      </c>
      <c r="BC104" s="577">
        <f t="shared" si="134"/>
        <v>4.3925207909249579E-3</v>
      </c>
      <c r="BD104" s="577">
        <f t="shared" si="134"/>
        <v>3.3925207909249579E-3</v>
      </c>
      <c r="BE104" s="424">
        <f t="shared" si="135"/>
        <v>4.8251548869827944E-3</v>
      </c>
      <c r="BF104" s="577">
        <f>BD104-0.1%</f>
        <v>2.3925207909249579E-3</v>
      </c>
      <c r="BG104" s="577">
        <f t="shared" si="136"/>
        <v>1.3925207909249579E-3</v>
      </c>
      <c r="BH104" s="577">
        <f t="shared" si="136"/>
        <v>3.9252079092495784E-4</v>
      </c>
      <c r="BI104" s="577">
        <f t="shared" si="136"/>
        <v>-6.0747920907504218E-4</v>
      </c>
      <c r="BJ104" s="424">
        <f t="shared" si="137"/>
        <v>8.1552754173107246E-4</v>
      </c>
      <c r="BK104" s="468">
        <f>BI104-0.1%</f>
        <v>-1.6074792090750422E-3</v>
      </c>
      <c r="BL104" s="468">
        <f t="shared" si="138"/>
        <v>-2.6074792090750422E-3</v>
      </c>
      <c r="BM104" s="468">
        <f t="shared" si="138"/>
        <v>-3.6074792090750422E-3</v>
      </c>
      <c r="BN104" s="468">
        <f t="shared" si="138"/>
        <v>-4.6074792090750423E-3</v>
      </c>
      <c r="BO104" s="424">
        <f t="shared" si="139"/>
        <v>-3.1793129498548225E-3</v>
      </c>
    </row>
    <row r="105" spans="1:67" hidden="1" outlineLevel="1">
      <c r="B105" s="1040" t="s">
        <v>357</v>
      </c>
      <c r="C105" s="468" t="str">
        <f t="shared" ref="C105:AP105" si="143">IFERROR(C98/C$10,"--")</f>
        <v>--</v>
      </c>
      <c r="D105" s="468" t="str">
        <f t="shared" si="143"/>
        <v>--</v>
      </c>
      <c r="E105" s="468" t="str">
        <f t="shared" si="143"/>
        <v>--</v>
      </c>
      <c r="F105" s="468" t="str">
        <f t="shared" si="143"/>
        <v>--</v>
      </c>
      <c r="G105" s="424" t="str">
        <f t="shared" si="143"/>
        <v>--</v>
      </c>
      <c r="H105" s="468">
        <f t="shared" si="143"/>
        <v>0.89054689248675667</v>
      </c>
      <c r="I105" s="468">
        <f t="shared" si="143"/>
        <v>5.6073722423903932E-2</v>
      </c>
      <c r="J105" s="468">
        <f t="shared" si="143"/>
        <v>6.7817294281729432E-2</v>
      </c>
      <c r="K105" s="468">
        <f t="shared" si="143"/>
        <v>0.38573531817438239</v>
      </c>
      <c r="L105" s="424">
        <f t="shared" si="143"/>
        <v>0.30034345064448725</v>
      </c>
      <c r="M105" s="468">
        <f t="shared" si="143"/>
        <v>6.8253060290584602E-2</v>
      </c>
      <c r="N105" s="468">
        <f t="shared" si="143"/>
        <v>5.729296143456139E-2</v>
      </c>
      <c r="O105" s="468">
        <f t="shared" si="143"/>
        <v>6.049690461841889E-2</v>
      </c>
      <c r="P105" s="468">
        <f t="shared" si="143"/>
        <v>5.6208091958217396E-2</v>
      </c>
      <c r="Q105" s="424">
        <f t="shared" si="143"/>
        <v>5.9626512759303189E-2</v>
      </c>
      <c r="R105" s="468">
        <f t="shared" si="143"/>
        <v>5.4606442126545057E-2</v>
      </c>
      <c r="S105" s="468">
        <f t="shared" si="143"/>
        <v>3.8799804724172902E-2</v>
      </c>
      <c r="T105" s="468">
        <f t="shared" si="143"/>
        <v>0.24686763895153607</v>
      </c>
      <c r="U105" s="468">
        <f t="shared" si="143"/>
        <v>0.28057648386842726</v>
      </c>
      <c r="V105" s="424">
        <f t="shared" si="143"/>
        <v>0.17558343988419878</v>
      </c>
      <c r="W105" s="468">
        <f t="shared" si="143"/>
        <v>0.26565435054212494</v>
      </c>
      <c r="X105" s="468">
        <f t="shared" si="143"/>
        <v>0.24188642091418747</v>
      </c>
      <c r="Y105" s="468">
        <f t="shared" si="143"/>
        <v>0.1784858913829345</v>
      </c>
      <c r="Z105" s="468">
        <f t="shared" si="143"/>
        <v>0.16073522437684679</v>
      </c>
      <c r="AA105" s="424">
        <f t="shared" si="143"/>
        <v>0.20341713092550234</v>
      </c>
      <c r="AB105" s="468">
        <f t="shared" si="143"/>
        <v>0.17942519727916925</v>
      </c>
      <c r="AC105" s="468">
        <f t="shared" si="143"/>
        <v>0.19676097239204582</v>
      </c>
      <c r="AD105" s="468">
        <f t="shared" si="143"/>
        <v>0.2000455991440287</v>
      </c>
      <c r="AE105" s="468">
        <f t="shared" si="143"/>
        <v>0.21735720155107199</v>
      </c>
      <c r="AF105" s="424">
        <f t="shared" si="143"/>
        <v>0.19997492325693644</v>
      </c>
      <c r="AG105" s="468">
        <f t="shared" si="143"/>
        <v>0.23513187160338611</v>
      </c>
      <c r="AH105" s="468">
        <f t="shared" si="143"/>
        <v>0.24666700295837801</v>
      </c>
      <c r="AI105" s="468">
        <f t="shared" si="143"/>
        <v>0.23090742917541235</v>
      </c>
      <c r="AJ105" s="468">
        <f t="shared" si="143"/>
        <v>0.23371528813126127</v>
      </c>
      <c r="AK105" s="424">
        <f t="shared" si="143"/>
        <v>0.23640605753309563</v>
      </c>
      <c r="AL105" s="468">
        <f t="shared" si="143"/>
        <v>0.24621549904731335</v>
      </c>
      <c r="AM105" s="468">
        <f t="shared" si="143"/>
        <v>0.24140129807797447</v>
      </c>
      <c r="AN105" s="587">
        <f t="shared" si="143"/>
        <v>0.21668644530163655</v>
      </c>
      <c r="AO105" s="468">
        <f t="shared" si="143"/>
        <v>0.26029368545861753</v>
      </c>
      <c r="AP105" s="424">
        <f t="shared" si="143"/>
        <v>0.24122158749347836</v>
      </c>
      <c r="AQ105" s="468">
        <f t="shared" ref="AQ105:AS105" si="144">IFERROR(AQ98/AQ$10,"--")</f>
        <v>0.22162053750501401</v>
      </c>
      <c r="AR105" s="587">
        <f t="shared" si="144"/>
        <v>0.21149568241585578</v>
      </c>
      <c r="AS105" s="587">
        <f t="shared" si="144"/>
        <v>0.20017082897397909</v>
      </c>
      <c r="AT105" s="577">
        <f t="shared" si="142"/>
        <v>0.19917082897397909</v>
      </c>
      <c r="AU105" s="424">
        <f t="shared" si="131"/>
        <v>0.11891208145616675</v>
      </c>
      <c r="AV105" s="577">
        <f>AT105-0.1%</f>
        <v>0.19817082897397909</v>
      </c>
      <c r="AW105" s="577">
        <f t="shared" si="132"/>
        <v>0.19717082897397908</v>
      </c>
      <c r="AX105" s="577">
        <f t="shared" si="132"/>
        <v>0.19617082897397908</v>
      </c>
      <c r="AY105" s="577">
        <f t="shared" si="132"/>
        <v>0.19517082897397908</v>
      </c>
      <c r="AZ105" s="424">
        <f t="shared" si="133"/>
        <v>0.19660197220957837</v>
      </c>
      <c r="BA105" s="577">
        <f>AY105-0.1%</f>
        <v>0.19417082897397908</v>
      </c>
      <c r="BB105" s="577">
        <f t="shared" si="134"/>
        <v>0.19317082897397908</v>
      </c>
      <c r="BC105" s="577">
        <f t="shared" si="134"/>
        <v>0.19217082897397908</v>
      </c>
      <c r="BD105" s="577">
        <f t="shared" si="134"/>
        <v>0.19117082897397908</v>
      </c>
      <c r="BE105" s="424">
        <f t="shared" si="135"/>
        <v>0.19260346307003692</v>
      </c>
      <c r="BF105" s="577">
        <f>BD105-0.1%</f>
        <v>0.19017082897397908</v>
      </c>
      <c r="BG105" s="577">
        <f t="shared" si="136"/>
        <v>0.18917082897397908</v>
      </c>
      <c r="BH105" s="577">
        <f t="shared" si="136"/>
        <v>0.18817082897397908</v>
      </c>
      <c r="BI105" s="577">
        <f t="shared" si="136"/>
        <v>0.18717082897397908</v>
      </c>
      <c r="BJ105" s="424">
        <f t="shared" si="137"/>
        <v>0.18859383572478522</v>
      </c>
      <c r="BK105" s="468">
        <f>BI105-0.1%</f>
        <v>0.18617082897397907</v>
      </c>
      <c r="BL105" s="468">
        <f t="shared" si="138"/>
        <v>0.18517082897397907</v>
      </c>
      <c r="BM105" s="468">
        <f t="shared" si="138"/>
        <v>0.18417082897397907</v>
      </c>
      <c r="BN105" s="468">
        <f t="shared" si="138"/>
        <v>0.18317082897397907</v>
      </c>
      <c r="BO105" s="424">
        <f t="shared" si="139"/>
        <v>0.18459899523319931</v>
      </c>
    </row>
    <row r="106" spans="1:67" hidden="1" outlineLevel="1">
      <c r="B106" s="1040" t="s">
        <v>358</v>
      </c>
      <c r="C106" s="468" t="str">
        <f t="shared" ref="C106:AP106" si="145">IFERROR(C97/C$10,"--")</f>
        <v>--</v>
      </c>
      <c r="D106" s="468" t="str">
        <f t="shared" si="145"/>
        <v>--</v>
      </c>
      <c r="E106" s="468" t="str">
        <f t="shared" si="145"/>
        <v>--</v>
      </c>
      <c r="F106" s="468" t="str">
        <f t="shared" si="145"/>
        <v>--</v>
      </c>
      <c r="G106" s="424" t="str">
        <f t="shared" si="145"/>
        <v>--</v>
      </c>
      <c r="H106" s="468">
        <f t="shared" si="145"/>
        <v>0.28478698798776392</v>
      </c>
      <c r="I106" s="468">
        <f t="shared" si="145"/>
        <v>8.3216978497626354E-2</v>
      </c>
      <c r="J106" s="468">
        <f t="shared" si="145"/>
        <v>0.11258716875871688</v>
      </c>
      <c r="K106" s="468">
        <f t="shared" si="145"/>
        <v>0.1999291128196739</v>
      </c>
      <c r="L106" s="424">
        <f t="shared" si="145"/>
        <v>0.16416320112552502</v>
      </c>
      <c r="M106" s="468">
        <f t="shared" si="145"/>
        <v>0.1282919574419403</v>
      </c>
      <c r="N106" s="468">
        <f t="shared" si="145"/>
        <v>8.4157841528696209E-2</v>
      </c>
      <c r="O106" s="468">
        <f t="shared" si="145"/>
        <v>6.5920670574700038E-2</v>
      </c>
      <c r="P106" s="468">
        <f t="shared" si="145"/>
        <v>6.1852848606486335E-2</v>
      </c>
      <c r="Q106" s="424">
        <f t="shared" si="145"/>
        <v>7.902609273724448E-2</v>
      </c>
      <c r="R106" s="468">
        <f t="shared" si="145"/>
        <v>5.8732711482791897E-2</v>
      </c>
      <c r="S106" s="468">
        <f t="shared" si="145"/>
        <v>4.0339479514814681E-2</v>
      </c>
      <c r="T106" s="468">
        <f t="shared" si="145"/>
        <v>0.25270009522377584</v>
      </c>
      <c r="U106" s="468">
        <f t="shared" si="145"/>
        <v>0.27531567479589425</v>
      </c>
      <c r="V106" s="424">
        <f t="shared" si="145"/>
        <v>0.17656815567630382</v>
      </c>
      <c r="W106" s="468">
        <f t="shared" si="145"/>
        <v>0.23696672112671133</v>
      </c>
      <c r="X106" s="468">
        <f t="shared" si="145"/>
        <v>0.21170618446865885</v>
      </c>
      <c r="Y106" s="468">
        <f t="shared" si="145"/>
        <v>0.16175648320630542</v>
      </c>
      <c r="Z106" s="468">
        <f t="shared" si="145"/>
        <v>0.12974042014310505</v>
      </c>
      <c r="AA106" s="424">
        <f t="shared" si="145"/>
        <v>0.17695007163787893</v>
      </c>
      <c r="AB106" s="468">
        <f t="shared" si="145"/>
        <v>0.13642982117616975</v>
      </c>
      <c r="AC106" s="468">
        <f t="shared" si="145"/>
        <v>0.12503418817169704</v>
      </c>
      <c r="AD106" s="468">
        <f t="shared" si="145"/>
        <v>0.12102623207450976</v>
      </c>
      <c r="AE106" s="468">
        <f t="shared" si="145"/>
        <v>0.12027598758599146</v>
      </c>
      <c r="AF106" s="424">
        <f t="shared" si="145"/>
        <v>0.12492671830152026</v>
      </c>
      <c r="AG106" s="468">
        <f t="shared" si="145"/>
        <v>0.12768622143396638</v>
      </c>
      <c r="AH106" s="468">
        <f t="shared" si="145"/>
        <v>0.1258453038346157</v>
      </c>
      <c r="AI106" s="468">
        <f t="shared" si="145"/>
        <v>0.10680180284483358</v>
      </c>
      <c r="AJ106" s="468">
        <f t="shared" si="145"/>
        <v>9.9549631534312025E-2</v>
      </c>
      <c r="AK106" s="424">
        <f t="shared" si="145"/>
        <v>0.11401398687114041</v>
      </c>
      <c r="AL106" s="468">
        <f t="shared" si="145"/>
        <v>9.7285054222893685E-2</v>
      </c>
      <c r="AM106" s="468">
        <f t="shared" si="145"/>
        <v>9.6383267938348768E-2</v>
      </c>
      <c r="AN106" s="587">
        <f t="shared" si="145"/>
        <v>9.4948062507562936E-2</v>
      </c>
      <c r="AO106" s="468">
        <f t="shared" si="145"/>
        <v>9.7001327563667319E-2</v>
      </c>
      <c r="AP106" s="424">
        <f t="shared" si="145"/>
        <v>9.6384675032732223E-2</v>
      </c>
      <c r="AQ106" s="468">
        <f t="shared" ref="AQ106:AS106" si="146">IFERROR(AQ97/AQ$10,"--")</f>
        <v>8.9159694992869978E-2</v>
      </c>
      <c r="AR106" s="587">
        <f t="shared" si="146"/>
        <v>8.7799757023989303E-2</v>
      </c>
      <c r="AS106" s="587">
        <f t="shared" si="146"/>
        <v>9.1209645571102213E-2</v>
      </c>
      <c r="AT106" s="577">
        <f t="shared" si="142"/>
        <v>9.0209645571102212E-2</v>
      </c>
      <c r="AU106" s="424">
        <f t="shared" si="131"/>
        <v>0.1782292401059947</v>
      </c>
      <c r="AV106" s="577">
        <f>AT106-0.1%</f>
        <v>8.9209645571102211E-2</v>
      </c>
      <c r="AW106" s="577">
        <f t="shared" si="132"/>
        <v>8.820964557110221E-2</v>
      </c>
      <c r="AX106" s="577">
        <f t="shared" si="132"/>
        <v>8.7209645571102209E-2</v>
      </c>
      <c r="AY106" s="577">
        <f t="shared" si="132"/>
        <v>8.6209645571102209E-2</v>
      </c>
      <c r="AZ106" s="424">
        <f t="shared" si="133"/>
        <v>8.7640788806701481E-2</v>
      </c>
      <c r="BA106" s="577">
        <f>AY106-0.1%</f>
        <v>8.5209645571102208E-2</v>
      </c>
      <c r="BB106" s="577">
        <f t="shared" si="134"/>
        <v>8.4209645571102207E-2</v>
      </c>
      <c r="BC106" s="577">
        <f t="shared" si="134"/>
        <v>8.3209645571102206E-2</v>
      </c>
      <c r="BD106" s="577">
        <f t="shared" si="134"/>
        <v>8.2209645571102205E-2</v>
      </c>
      <c r="BE106" s="424">
        <f t="shared" si="135"/>
        <v>8.3642279667160049E-2</v>
      </c>
      <c r="BF106" s="577">
        <f>BD106-0.1%</f>
        <v>8.1209645571102204E-2</v>
      </c>
      <c r="BG106" s="577">
        <f t="shared" si="136"/>
        <v>8.0209645571102203E-2</v>
      </c>
      <c r="BH106" s="577">
        <f t="shared" si="136"/>
        <v>7.9209645571102202E-2</v>
      </c>
      <c r="BI106" s="577">
        <f t="shared" si="136"/>
        <v>7.8209645571102202E-2</v>
      </c>
      <c r="BJ106" s="424">
        <f t="shared" si="137"/>
        <v>7.9632652321908318E-2</v>
      </c>
      <c r="BK106" s="468">
        <f>BI106-0.1%</f>
        <v>7.7209645571102201E-2</v>
      </c>
      <c r="BL106" s="468">
        <f t="shared" si="138"/>
        <v>7.62096455711022E-2</v>
      </c>
      <c r="BM106" s="468">
        <f t="shared" si="138"/>
        <v>7.5209645571102199E-2</v>
      </c>
      <c r="BN106" s="468">
        <f t="shared" si="138"/>
        <v>7.4209645571102198E-2</v>
      </c>
      <c r="BO106" s="424">
        <f t="shared" si="139"/>
        <v>7.5637811830322421E-2</v>
      </c>
    </row>
    <row r="107" spans="1:67" hidden="1" outlineLevel="1">
      <c r="B107" s="1040" t="s">
        <v>359</v>
      </c>
      <c r="C107" s="468" t="str">
        <f t="shared" ref="C107:AP107" si="147">IFERROR(C99/C$10,"--")</f>
        <v>--</v>
      </c>
      <c r="D107" s="468" t="str">
        <f t="shared" si="147"/>
        <v>--</v>
      </c>
      <c r="E107" s="468" t="str">
        <f t="shared" si="147"/>
        <v>--</v>
      </c>
      <c r="F107" s="468" t="str">
        <f t="shared" si="147"/>
        <v>--</v>
      </c>
      <c r="G107" s="424" t="str">
        <f t="shared" si="147"/>
        <v>--</v>
      </c>
      <c r="H107" s="468">
        <f t="shared" si="147"/>
        <v>0.12788181750354397</v>
      </c>
      <c r="I107" s="468">
        <f t="shared" si="147"/>
        <v>7.0874057525830758E-2</v>
      </c>
      <c r="J107" s="468">
        <f t="shared" si="147"/>
        <v>4.3235704323570434E-2</v>
      </c>
      <c r="K107" s="468">
        <f t="shared" si="147"/>
        <v>7.5576639947652527E-2</v>
      </c>
      <c r="L107" s="424">
        <f t="shared" si="147"/>
        <v>7.236256801771046E-2</v>
      </c>
      <c r="M107" s="468">
        <f t="shared" si="147"/>
        <v>0.15380391259581286</v>
      </c>
      <c r="N107" s="468">
        <f t="shared" si="147"/>
        <v>0.14680389134722155</v>
      </c>
      <c r="O107" s="468">
        <f t="shared" si="147"/>
        <v>0.17694351613433409</v>
      </c>
      <c r="P107" s="468">
        <f t="shared" si="147"/>
        <v>0.1112758290379966</v>
      </c>
      <c r="Q107" s="424">
        <f t="shared" si="147"/>
        <v>0.14450345233958334</v>
      </c>
      <c r="R107" s="468">
        <f t="shared" si="147"/>
        <v>9.0952534117538952E-2</v>
      </c>
      <c r="S107" s="468">
        <f t="shared" si="147"/>
        <v>5.1372563746291643E-2</v>
      </c>
      <c r="T107" s="468">
        <f t="shared" si="147"/>
        <v>0.17038164687014482</v>
      </c>
      <c r="U107" s="468">
        <f t="shared" si="147"/>
        <v>0.15075210668626782</v>
      </c>
      <c r="V107" s="424">
        <f t="shared" si="147"/>
        <v>0.12270437075309644</v>
      </c>
      <c r="W107" s="468">
        <f t="shared" si="147"/>
        <v>0.12282778685445189</v>
      </c>
      <c r="X107" s="468">
        <f t="shared" si="147"/>
        <v>0.10962240721827493</v>
      </c>
      <c r="Y107" s="468">
        <f t="shared" si="147"/>
        <v>8.2729091229843219E-2</v>
      </c>
      <c r="Z107" s="468">
        <f t="shared" si="147"/>
        <v>8.8249855383637249E-2</v>
      </c>
      <c r="AA107" s="424">
        <f t="shared" si="147"/>
        <v>9.799832202518273E-2</v>
      </c>
      <c r="AB107" s="468">
        <f t="shared" si="147"/>
        <v>5.9054717298299357E-2</v>
      </c>
      <c r="AC107" s="468">
        <f t="shared" si="147"/>
        <v>5.3446167707059657E-2</v>
      </c>
      <c r="AD107" s="468">
        <f t="shared" si="147"/>
        <v>4.8126844611042899E-2</v>
      </c>
      <c r="AE107" s="468">
        <f t="shared" si="147"/>
        <v>4.3858189646390905E-2</v>
      </c>
      <c r="AF107" s="424">
        <f t="shared" si="147"/>
        <v>5.0424586052199329E-2</v>
      </c>
      <c r="AG107" s="468">
        <f t="shared" si="147"/>
        <v>4.4336183990032051E-2</v>
      </c>
      <c r="AH107" s="468">
        <f t="shared" si="147"/>
        <v>4.1411356966727896E-2</v>
      </c>
      <c r="AI107" s="468">
        <f t="shared" si="147"/>
        <v>3.4822855103633608E-2</v>
      </c>
      <c r="AJ107" s="468">
        <f t="shared" si="147"/>
        <v>3.590555815871712E-2</v>
      </c>
      <c r="AK107" s="424">
        <f t="shared" si="147"/>
        <v>3.8817896667330605E-2</v>
      </c>
      <c r="AL107" s="468">
        <f t="shared" si="147"/>
        <v>4.172393445708928E-2</v>
      </c>
      <c r="AM107" s="468">
        <f t="shared" si="147"/>
        <v>4.1890005213950372E-2</v>
      </c>
      <c r="AN107" s="587">
        <f t="shared" si="147"/>
        <v>4.4102817765530822E-2</v>
      </c>
      <c r="AO107" s="468">
        <f t="shared" si="147"/>
        <v>4.7893632761433769E-2</v>
      </c>
      <c r="AP107" s="424">
        <f t="shared" si="147"/>
        <v>4.4060549371883272E-2</v>
      </c>
      <c r="AQ107" s="468">
        <f t="shared" ref="AQ107:AS107" si="148">IFERROR(AQ99/AQ$10,"--")</f>
        <v>3.7783305216328202E-2</v>
      </c>
      <c r="AR107" s="587">
        <f t="shared" si="148"/>
        <v>4.068232415026083E-2</v>
      </c>
      <c r="AS107" s="587">
        <f t="shared" si="148"/>
        <v>3.4235874249428443E-2</v>
      </c>
      <c r="AT107" s="577">
        <f t="shared" si="142"/>
        <v>3.3235874249428442E-2</v>
      </c>
      <c r="AU107" s="424">
        <f t="shared" si="131"/>
        <v>3.635017532563127E-2</v>
      </c>
      <c r="AV107" s="577">
        <f>AT107-0.1%</f>
        <v>3.2235874249428441E-2</v>
      </c>
      <c r="AW107" s="577">
        <f t="shared" si="132"/>
        <v>3.123587424942844E-2</v>
      </c>
      <c r="AX107" s="577">
        <f t="shared" si="132"/>
        <v>3.0235874249428439E-2</v>
      </c>
      <c r="AY107" s="577">
        <f t="shared" si="132"/>
        <v>2.9235874249428438E-2</v>
      </c>
      <c r="AZ107" s="424">
        <f t="shared" si="133"/>
        <v>3.066701748502771E-2</v>
      </c>
      <c r="BA107" s="577">
        <f>AY107-0.1%</f>
        <v>2.8235874249428437E-2</v>
      </c>
      <c r="BB107" s="577">
        <f t="shared" si="134"/>
        <v>2.7235874249428436E-2</v>
      </c>
      <c r="BC107" s="577">
        <f t="shared" si="134"/>
        <v>2.6235874249428436E-2</v>
      </c>
      <c r="BD107" s="577">
        <f t="shared" si="134"/>
        <v>2.5235874249428435E-2</v>
      </c>
      <c r="BE107" s="424">
        <f t="shared" si="135"/>
        <v>2.6668508345486272E-2</v>
      </c>
      <c r="BF107" s="577">
        <f>BD107-0.1%</f>
        <v>2.4235874249428434E-2</v>
      </c>
      <c r="BG107" s="577">
        <f t="shared" si="136"/>
        <v>2.3235874249428433E-2</v>
      </c>
      <c r="BH107" s="577">
        <f t="shared" si="136"/>
        <v>2.2235874249428432E-2</v>
      </c>
      <c r="BI107" s="577">
        <f t="shared" si="136"/>
        <v>2.1235874249428431E-2</v>
      </c>
      <c r="BJ107" s="424">
        <f t="shared" si="137"/>
        <v>2.2658881000234547E-2</v>
      </c>
      <c r="BK107" s="468">
        <f>BI107-0.1%</f>
        <v>2.023587424942843E-2</v>
      </c>
      <c r="BL107" s="468">
        <f t="shared" si="138"/>
        <v>1.9235874249428429E-2</v>
      </c>
      <c r="BM107" s="468">
        <f t="shared" si="138"/>
        <v>1.8235874249428428E-2</v>
      </c>
      <c r="BN107" s="468">
        <f t="shared" si="138"/>
        <v>1.7235874249428428E-2</v>
      </c>
      <c r="BO107" s="424">
        <f t="shared" si="139"/>
        <v>1.8664040508648647E-2</v>
      </c>
    </row>
    <row r="108" spans="1:67" hidden="1" outlineLevel="1">
      <c r="B108" s="1040" t="s">
        <v>360</v>
      </c>
      <c r="C108" s="468" t="str">
        <f t="shared" ref="C108:AP108" si="149">IFERROR(C100/C$10,"--")</f>
        <v>--</v>
      </c>
      <c r="D108" s="468" t="str">
        <f t="shared" si="149"/>
        <v>--</v>
      </c>
      <c r="E108" s="468" t="str">
        <f t="shared" si="149"/>
        <v>--</v>
      </c>
      <c r="F108" s="468" t="str">
        <f t="shared" si="149"/>
        <v>--</v>
      </c>
      <c r="G108" s="424" t="str">
        <f t="shared" si="149"/>
        <v>--</v>
      </c>
      <c r="H108" s="468">
        <f t="shared" si="149"/>
        <v>0</v>
      </c>
      <c r="I108" s="468">
        <f t="shared" si="149"/>
        <v>0</v>
      </c>
      <c r="J108" s="468">
        <f t="shared" si="149"/>
        <v>0</v>
      </c>
      <c r="K108" s="468">
        <f t="shared" si="149"/>
        <v>0</v>
      </c>
      <c r="L108" s="424">
        <f t="shared" si="149"/>
        <v>0</v>
      </c>
      <c r="M108" s="468">
        <f t="shared" si="149"/>
        <v>0</v>
      </c>
      <c r="N108" s="468">
        <f t="shared" si="149"/>
        <v>0</v>
      </c>
      <c r="O108" s="468">
        <f t="shared" si="149"/>
        <v>0</v>
      </c>
      <c r="P108" s="468">
        <f t="shared" si="149"/>
        <v>0</v>
      </c>
      <c r="Q108" s="424">
        <f t="shared" si="149"/>
        <v>0</v>
      </c>
      <c r="R108" s="468">
        <f t="shared" si="149"/>
        <v>0</v>
      </c>
      <c r="S108" s="468">
        <f t="shared" si="149"/>
        <v>0</v>
      </c>
      <c r="T108" s="468">
        <f t="shared" si="149"/>
        <v>0</v>
      </c>
      <c r="U108" s="468">
        <f t="shared" si="149"/>
        <v>0</v>
      </c>
      <c r="V108" s="424">
        <f t="shared" si="149"/>
        <v>0</v>
      </c>
      <c r="W108" s="468">
        <f t="shared" si="149"/>
        <v>0</v>
      </c>
      <c r="X108" s="468">
        <f t="shared" si="149"/>
        <v>0</v>
      </c>
      <c r="Y108" s="468">
        <f t="shared" si="149"/>
        <v>0</v>
      </c>
      <c r="Z108" s="468">
        <f t="shared" si="149"/>
        <v>0</v>
      </c>
      <c r="AA108" s="424">
        <f t="shared" si="149"/>
        <v>0</v>
      </c>
      <c r="AB108" s="468">
        <f t="shared" si="149"/>
        <v>0</v>
      </c>
      <c r="AC108" s="468">
        <f t="shared" si="149"/>
        <v>0</v>
      </c>
      <c r="AD108" s="468">
        <f t="shared" si="149"/>
        <v>0</v>
      </c>
      <c r="AE108" s="468">
        <f t="shared" si="149"/>
        <v>0</v>
      </c>
      <c r="AF108" s="424">
        <f t="shared" si="149"/>
        <v>0</v>
      </c>
      <c r="AG108" s="468">
        <f t="shared" si="149"/>
        <v>0</v>
      </c>
      <c r="AH108" s="468">
        <f t="shared" si="149"/>
        <v>0</v>
      </c>
      <c r="AI108" s="468">
        <f t="shared" si="149"/>
        <v>0</v>
      </c>
      <c r="AJ108" s="468">
        <f t="shared" si="149"/>
        <v>0</v>
      </c>
      <c r="AK108" s="424">
        <f t="shared" si="149"/>
        <v>0</v>
      </c>
      <c r="AL108" s="468">
        <f t="shared" si="149"/>
        <v>0</v>
      </c>
      <c r="AM108" s="468">
        <f t="shared" si="149"/>
        <v>0</v>
      </c>
      <c r="AN108" s="587">
        <f t="shared" si="149"/>
        <v>0</v>
      </c>
      <c r="AO108" s="468">
        <f t="shared" si="149"/>
        <v>0</v>
      </c>
      <c r="AP108" s="424">
        <f t="shared" si="149"/>
        <v>0</v>
      </c>
      <c r="AQ108" s="468">
        <f t="shared" ref="AQ108:AS108" si="150">IFERROR(AQ100/AQ$10,"--")</f>
        <v>0</v>
      </c>
      <c r="AR108" s="587">
        <f t="shared" si="150"/>
        <v>0</v>
      </c>
      <c r="AS108" s="587">
        <f t="shared" si="150"/>
        <v>0</v>
      </c>
      <c r="AT108" s="577">
        <f>AS108</f>
        <v>0</v>
      </c>
      <c r="AU108" s="424">
        <f t="shared" si="131"/>
        <v>0</v>
      </c>
      <c r="AV108" s="577">
        <f>AT108</f>
        <v>0</v>
      </c>
      <c r="AW108" s="577">
        <f>AV108</f>
        <v>0</v>
      </c>
      <c r="AX108" s="577">
        <f>AW108</f>
        <v>0</v>
      </c>
      <c r="AY108" s="577">
        <f>AX108</f>
        <v>0</v>
      </c>
      <c r="AZ108" s="424">
        <f t="shared" si="133"/>
        <v>0</v>
      </c>
      <c r="BA108" s="577">
        <f>AY108</f>
        <v>0</v>
      </c>
      <c r="BB108" s="577">
        <f>BA108</f>
        <v>0</v>
      </c>
      <c r="BC108" s="577">
        <f>BB108</f>
        <v>0</v>
      </c>
      <c r="BD108" s="577">
        <f>BC108</f>
        <v>0</v>
      </c>
      <c r="BE108" s="424">
        <f t="shared" si="135"/>
        <v>0</v>
      </c>
      <c r="BF108" s="577">
        <f>BD108</f>
        <v>0</v>
      </c>
      <c r="BG108" s="577">
        <f>BF108</f>
        <v>0</v>
      </c>
      <c r="BH108" s="577">
        <f>BG108</f>
        <v>0</v>
      </c>
      <c r="BI108" s="577">
        <f>BH108</f>
        <v>0</v>
      </c>
      <c r="BJ108" s="424">
        <f t="shared" si="137"/>
        <v>0</v>
      </c>
      <c r="BK108" s="468">
        <f>BI108</f>
        <v>0</v>
      </c>
      <c r="BL108" s="468">
        <f>BK108</f>
        <v>0</v>
      </c>
      <c r="BM108" s="468">
        <f>BL108</f>
        <v>0</v>
      </c>
      <c r="BN108" s="468">
        <f>BM108</f>
        <v>0</v>
      </c>
      <c r="BO108" s="424">
        <f t="shared" si="139"/>
        <v>0</v>
      </c>
    </row>
    <row r="109" spans="1:67" s="59" customFormat="1" hidden="1" outlineLevel="1">
      <c r="A109" s="131"/>
      <c r="B109" s="986" t="s">
        <v>361</v>
      </c>
      <c r="C109" s="648" t="str">
        <f t="shared" ref="C109:AP109" si="151">IFERROR(C101/C$10,"--")</f>
        <v>--</v>
      </c>
      <c r="D109" s="648" t="str">
        <f t="shared" si="151"/>
        <v>--</v>
      </c>
      <c r="E109" s="648" t="str">
        <f t="shared" si="151"/>
        <v>--</v>
      </c>
      <c r="F109" s="648" t="str">
        <f t="shared" si="151"/>
        <v>--</v>
      </c>
      <c r="G109" s="659" t="str">
        <f t="shared" si="151"/>
        <v>--</v>
      </c>
      <c r="H109" s="648">
        <f t="shared" si="151"/>
        <v>1.3087368499589644</v>
      </c>
      <c r="I109" s="648">
        <f t="shared" si="151"/>
        <v>0.21591734152471373</v>
      </c>
      <c r="J109" s="648">
        <f t="shared" si="151"/>
        <v>0.22751046025104604</v>
      </c>
      <c r="K109" s="648">
        <f t="shared" si="151"/>
        <v>0.68043513823000157</v>
      </c>
      <c r="L109" s="659">
        <f t="shared" si="151"/>
        <v>0.54713135952661751</v>
      </c>
      <c r="M109" s="648">
        <f t="shared" si="151"/>
        <v>0.35867749685390693</v>
      </c>
      <c r="N109" s="648">
        <f t="shared" si="151"/>
        <v>0.29983924161819053</v>
      </c>
      <c r="O109" s="648">
        <f t="shared" si="151"/>
        <v>0.30862050073960445</v>
      </c>
      <c r="P109" s="648">
        <f t="shared" si="151"/>
        <v>0.23471924462892849</v>
      </c>
      <c r="Q109" s="659">
        <f t="shared" si="151"/>
        <v>0.29040446009035015</v>
      </c>
      <c r="R109" s="648">
        <f t="shared" si="151"/>
        <v>0.20994348205670174</v>
      </c>
      <c r="S109" s="648">
        <f t="shared" si="151"/>
        <v>0.1351158511397349</v>
      </c>
      <c r="T109" s="648">
        <f t="shared" si="151"/>
        <v>0.75469854157269578</v>
      </c>
      <c r="U109" s="648">
        <f t="shared" si="151"/>
        <v>0.80573333683353898</v>
      </c>
      <c r="V109" s="659">
        <f t="shared" si="151"/>
        <v>0.53165700811926042</v>
      </c>
      <c r="W109" s="648">
        <f t="shared" si="151"/>
        <v>0.73170710397791283</v>
      </c>
      <c r="X109" s="648">
        <f t="shared" si="151"/>
        <v>0.64809072807294688</v>
      </c>
      <c r="Y109" s="648">
        <f t="shared" si="151"/>
        <v>0.48973062513268406</v>
      </c>
      <c r="Z109" s="648">
        <f t="shared" si="151"/>
        <v>0.43714790475644516</v>
      </c>
      <c r="AA109" s="659">
        <f t="shared" si="151"/>
        <v>0.55396050444220457</v>
      </c>
      <c r="AB109" s="648">
        <f t="shared" si="151"/>
        <v>0.43383897095207768</v>
      </c>
      <c r="AC109" s="648">
        <f t="shared" si="151"/>
        <v>0.43093587103417214</v>
      </c>
      <c r="AD109" s="648">
        <f t="shared" si="151"/>
        <v>0.42222473556086948</v>
      </c>
      <c r="AE109" s="648">
        <f t="shared" si="151"/>
        <v>0.43510998078137625</v>
      </c>
      <c r="AF109" s="659">
        <f t="shared" si="151"/>
        <v>0.43037064684926218</v>
      </c>
      <c r="AG109" s="648">
        <f t="shared" si="151"/>
        <v>0.46122748753606074</v>
      </c>
      <c r="AH109" s="648">
        <f t="shared" si="151"/>
        <v>0.46622048669323374</v>
      </c>
      <c r="AI109" s="648">
        <f t="shared" si="151"/>
        <v>0.41864383462753324</v>
      </c>
      <c r="AJ109" s="648">
        <f t="shared" si="151"/>
        <v>0.41345606487164688</v>
      </c>
      <c r="AK109" s="659">
        <f t="shared" si="151"/>
        <v>0.43810006025322035</v>
      </c>
      <c r="AL109" s="648">
        <f t="shared" si="151"/>
        <v>0.43488003629742167</v>
      </c>
      <c r="AM109" s="648">
        <f t="shared" si="151"/>
        <v>0.42970432412585763</v>
      </c>
      <c r="AN109" s="1272">
        <f t="shared" si="151"/>
        <v>0.40489059478141243</v>
      </c>
      <c r="AO109" s="648">
        <f t="shared" si="151"/>
        <v>0.45514354915532496</v>
      </c>
      <c r="AP109" s="659">
        <f t="shared" si="151"/>
        <v>0.43136298407564971</v>
      </c>
      <c r="AQ109" s="648">
        <f t="shared" ref="AQ109:AS109" si="152">IFERROR(AQ101/AQ$10,"--")</f>
        <v>0.39221974639037144</v>
      </c>
      <c r="AR109" s="1272">
        <f t="shared" si="152"/>
        <v>0.38095529223935315</v>
      </c>
      <c r="AS109" s="1272">
        <f t="shared" si="152"/>
        <v>0.3647363487285526</v>
      </c>
      <c r="AT109" s="648">
        <f>IFERROR(AT101/AT$10,"--")</f>
        <v>0.35973634872855265</v>
      </c>
      <c r="AU109" s="659">
        <f t="shared" si="131"/>
        <v>0.37354858036781113</v>
      </c>
      <c r="AV109" s="648">
        <f>IFERROR(AV101/AV$10,"--")</f>
        <v>0.35473634872855264</v>
      </c>
      <c r="AW109" s="648">
        <f>IFERROR(AW101/AW$10,"--")</f>
        <v>0.34973634872855264</v>
      </c>
      <c r="AX109" s="648">
        <f>IFERROR(AX101/AX$10,"--")</f>
        <v>0.34473634872855258</v>
      </c>
      <c r="AY109" s="648">
        <f>IFERROR(AY101/AY$10,"--")</f>
        <v>0.33973634872855252</v>
      </c>
      <c r="AZ109" s="659">
        <f t="shared" si="133"/>
        <v>0.346892064906549</v>
      </c>
      <c r="BA109" s="648">
        <f>IFERROR(BA101/BA$10,"--")</f>
        <v>0.33473634872855257</v>
      </c>
      <c r="BB109" s="648">
        <f>IFERROR(BB101/BB$10,"--")</f>
        <v>0.32973634872855256</v>
      </c>
      <c r="BC109" s="648">
        <f>IFERROR(BC101/BC$10,"--")</f>
        <v>0.32473634872855262</v>
      </c>
      <c r="BD109" s="648">
        <f>IFERROR(BD101/BD$10,"--")</f>
        <v>0.31973634872855256</v>
      </c>
      <c r="BE109" s="659">
        <f t="shared" si="135"/>
        <v>0.32689951920884175</v>
      </c>
      <c r="BF109" s="648">
        <f>IFERROR(BF101/BF$10,"--")</f>
        <v>0.31473634872855255</v>
      </c>
      <c r="BG109" s="648">
        <f>IFERROR(BG101/BG$10,"--")</f>
        <v>0.3097363487285526</v>
      </c>
      <c r="BH109" s="648">
        <f>IFERROR(BH101/BH$10,"--")</f>
        <v>0.30473634872855254</v>
      </c>
      <c r="BI109" s="648">
        <f>IFERROR(BI101/BI$10,"--")</f>
        <v>0.29973634872855259</v>
      </c>
      <c r="BJ109" s="659">
        <f t="shared" si="137"/>
        <v>0.3068513824825832</v>
      </c>
      <c r="BK109" s="648">
        <f>IFERROR(BK101/BK$10,"--")</f>
        <v>0.29473634872855259</v>
      </c>
      <c r="BL109" s="648">
        <f>IFERROR(BL101/BL$10,"--")</f>
        <v>0.28973634872855253</v>
      </c>
      <c r="BM109" s="648">
        <f>IFERROR(BM101/BM$10,"--")</f>
        <v>0.28473634872855252</v>
      </c>
      <c r="BN109" s="648">
        <f>IFERROR(BN101/BN$10,"--")</f>
        <v>0.27973634872855258</v>
      </c>
      <c r="BO109" s="659">
        <f t="shared" si="139"/>
        <v>0.28687718002465362</v>
      </c>
    </row>
    <row r="110" spans="1:67" collapsed="1">
      <c r="B110" s="1063"/>
      <c r="G110" s="635"/>
      <c r="L110" s="635"/>
      <c r="Q110" s="635"/>
      <c r="V110" s="635"/>
      <c r="AA110" s="635"/>
      <c r="AF110" s="635"/>
      <c r="AK110" s="635"/>
      <c r="AP110" s="635"/>
      <c r="AU110" s="635"/>
      <c r="AZ110" s="635"/>
      <c r="BE110" s="635"/>
      <c r="BJ110" s="635"/>
      <c r="BO110" s="635"/>
    </row>
    <row r="111" spans="1:67">
      <c r="B111" s="986" t="s">
        <v>362</v>
      </c>
      <c r="C111" s="370"/>
      <c r="D111" s="564"/>
      <c r="E111" s="564"/>
      <c r="F111" s="564"/>
      <c r="G111" s="635"/>
      <c r="H111" s="370"/>
      <c r="I111" s="564"/>
      <c r="J111" s="564"/>
      <c r="K111" s="564"/>
      <c r="L111" s="635"/>
      <c r="M111" s="370"/>
      <c r="N111" s="564"/>
      <c r="O111" s="564"/>
      <c r="P111" s="564"/>
      <c r="Q111" s="635"/>
      <c r="R111" s="370"/>
      <c r="S111" s="564"/>
      <c r="T111" s="564"/>
      <c r="U111" s="564"/>
      <c r="V111" s="635"/>
      <c r="W111" s="370"/>
      <c r="X111" s="564"/>
      <c r="Y111" s="564"/>
      <c r="Z111" s="564"/>
      <c r="AA111" s="635"/>
      <c r="AB111" s="370"/>
      <c r="AC111" s="564"/>
      <c r="AD111" s="564"/>
      <c r="AE111" s="564"/>
      <c r="AF111" s="635"/>
      <c r="AG111" s="370"/>
      <c r="AH111" s="564"/>
      <c r="AI111" s="564"/>
      <c r="AJ111" s="564"/>
      <c r="AK111" s="635"/>
      <c r="AL111" s="370"/>
      <c r="AM111" s="564"/>
      <c r="AN111" s="585"/>
      <c r="AO111" s="564"/>
      <c r="AP111" s="635"/>
      <c r="AQ111" s="370"/>
      <c r="AR111" s="585"/>
      <c r="AS111" s="564"/>
      <c r="AT111" s="564"/>
      <c r="AU111" s="635"/>
      <c r="AV111" s="370"/>
      <c r="AW111" s="564"/>
      <c r="AX111" s="564"/>
      <c r="AY111" s="564"/>
      <c r="AZ111" s="635"/>
      <c r="BA111" s="370"/>
      <c r="BB111" s="564"/>
      <c r="BC111" s="564"/>
      <c r="BD111" s="564"/>
      <c r="BE111" s="635"/>
      <c r="BF111" s="370"/>
      <c r="BG111" s="564"/>
      <c r="BH111" s="564"/>
      <c r="BI111" s="564"/>
      <c r="BJ111" s="635"/>
      <c r="BK111" s="370"/>
      <c r="BL111" s="564"/>
      <c r="BM111" s="564"/>
      <c r="BN111" s="564"/>
      <c r="BO111" s="635"/>
    </row>
    <row r="112" spans="1:67" hidden="1" outlineLevel="1">
      <c r="B112" s="984" t="s">
        <v>150</v>
      </c>
      <c r="C112" s="370"/>
      <c r="D112" s="564"/>
      <c r="E112" s="564"/>
      <c r="F112" s="564"/>
      <c r="G112" s="635"/>
      <c r="H112" s="370"/>
      <c r="I112" s="564"/>
      <c r="J112" s="564"/>
      <c r="K112" s="564"/>
      <c r="L112" s="635"/>
      <c r="M112" s="370"/>
      <c r="N112" s="564"/>
      <c r="O112" s="564"/>
      <c r="P112" s="564"/>
      <c r="Q112" s="635"/>
      <c r="R112" s="370"/>
      <c r="S112" s="564"/>
      <c r="T112" s="564"/>
      <c r="U112" s="564"/>
      <c r="V112" s="635"/>
      <c r="W112" s="370"/>
      <c r="X112" s="564"/>
      <c r="Y112" s="564"/>
      <c r="Z112" s="564"/>
      <c r="AA112" s="635"/>
      <c r="AB112" s="370"/>
      <c r="AC112" s="564"/>
      <c r="AD112" s="564"/>
      <c r="AE112" s="564"/>
      <c r="AF112" s="635"/>
      <c r="AG112" s="370"/>
      <c r="AH112" s="564"/>
      <c r="AI112" s="564"/>
      <c r="AJ112" s="564"/>
      <c r="AK112" s="635"/>
      <c r="AL112" s="370"/>
      <c r="AM112" s="564"/>
      <c r="AN112" s="585"/>
      <c r="AO112" s="564"/>
      <c r="AP112" s="635"/>
      <c r="AQ112" s="370"/>
      <c r="AR112" s="585"/>
      <c r="AS112" s="564"/>
      <c r="AT112" s="564"/>
      <c r="AU112" s="635"/>
      <c r="AV112" s="370"/>
      <c r="AW112" s="564"/>
      <c r="AX112" s="564"/>
      <c r="AY112" s="564"/>
      <c r="AZ112" s="635"/>
      <c r="BA112" s="370"/>
      <c r="BB112" s="564"/>
      <c r="BC112" s="564"/>
      <c r="BD112" s="564"/>
      <c r="BE112" s="635"/>
      <c r="BF112" s="370"/>
      <c r="BG112" s="564"/>
      <c r="BH112" s="564"/>
      <c r="BI112" s="564"/>
      <c r="BJ112" s="635"/>
      <c r="BK112" s="370"/>
      <c r="BL112" s="564"/>
      <c r="BM112" s="564"/>
      <c r="BN112" s="564"/>
      <c r="BO112" s="635"/>
    </row>
    <row r="113" spans="1:67" s="1039" customFormat="1" hidden="1" outlineLevel="1">
      <c r="A113" s="1036"/>
      <c r="B113" s="1167" t="s">
        <v>363</v>
      </c>
      <c r="C113" s="1100"/>
      <c r="D113" s="1101"/>
      <c r="E113" s="1101"/>
      <c r="F113" s="1101"/>
      <c r="G113" s="1102"/>
      <c r="H113" s="1100">
        <v>0</v>
      </c>
      <c r="I113" s="1100">
        <v>0</v>
      </c>
      <c r="J113" s="1100">
        <v>0</v>
      </c>
      <c r="K113" s="1100">
        <v>0</v>
      </c>
      <c r="L113" s="1103">
        <f>SUM(H113:K113)</f>
        <v>0</v>
      </c>
      <c r="M113" s="1100">
        <v>8.4000000000000005E-2</v>
      </c>
      <c r="N113" s="1100">
        <v>0.20200000000000001</v>
      </c>
      <c r="O113" s="1100">
        <v>0.28199999999999997</v>
      </c>
      <c r="P113" s="1100">
        <v>0.28100000000000003</v>
      </c>
      <c r="Q113" s="1103">
        <f>SUM(M113:P113)</f>
        <v>0.84900000000000009</v>
      </c>
      <c r="R113" s="1100">
        <v>0.28199999999999997</v>
      </c>
      <c r="S113" s="1100">
        <v>0.28100000000000003</v>
      </c>
      <c r="T113" s="1101">
        <v>0.56699999999999995</v>
      </c>
      <c r="U113" s="1101">
        <v>0.56599999999999995</v>
      </c>
      <c r="V113" s="1103">
        <f>SUM(R113:U113)</f>
        <v>1.6959999999999997</v>
      </c>
      <c r="W113" s="1100">
        <v>0.56699999999999995</v>
      </c>
      <c r="X113" s="1101">
        <v>0.56599999999999995</v>
      </c>
      <c r="Y113" s="1101">
        <v>0.56699999999999995</v>
      </c>
      <c r="Z113" s="1101">
        <v>0.56599999999999995</v>
      </c>
      <c r="AA113" s="1103">
        <f>SUM(W113:Z113)</f>
        <v>2.266</v>
      </c>
      <c r="AB113" s="1100">
        <v>0.56699999999999995</v>
      </c>
      <c r="AC113" s="1101">
        <v>0.56599999999999995</v>
      </c>
      <c r="AD113" s="1101">
        <v>1.2989999999999999</v>
      </c>
      <c r="AE113" s="1101">
        <v>2.335</v>
      </c>
      <c r="AF113" s="1103">
        <f>SUM(AB113:AE113)</f>
        <v>4.7669999999999995</v>
      </c>
      <c r="AG113" s="1100">
        <v>4.5810000000000004</v>
      </c>
      <c r="AH113" s="1101">
        <v>7.8769999999999998</v>
      </c>
      <c r="AI113" s="1101">
        <v>9.1850000000000005</v>
      </c>
      <c r="AJ113" s="1101">
        <v>9.76</v>
      </c>
      <c r="AK113" s="1103">
        <f>SUM(AG113:AJ113)</f>
        <v>31.402999999999999</v>
      </c>
      <c r="AL113" s="1100">
        <v>10.147</v>
      </c>
      <c r="AM113" s="1100">
        <v>10.336</v>
      </c>
      <c r="AN113" s="1122">
        <v>10.324999999999999</v>
      </c>
      <c r="AO113" s="1101">
        <v>11.67</v>
      </c>
      <c r="AP113" s="1103">
        <f>SUM(AL113:AO113)</f>
        <v>42.478000000000002</v>
      </c>
      <c r="AQ113" s="1122">
        <v>11.734999999999999</v>
      </c>
      <c r="AR113" s="1122">
        <v>13.552</v>
      </c>
      <c r="AS113" s="1100">
        <v>14.193</v>
      </c>
      <c r="AT113" s="1104">
        <f>AT137</f>
        <v>10.816711123428137</v>
      </c>
      <c r="AU113" s="1103">
        <f>SUM(AQ113:AT113)</f>
        <v>50.296711123428132</v>
      </c>
      <c r="AV113" s="1104">
        <f>AV137</f>
        <v>10.430751203796724</v>
      </c>
      <c r="AW113" s="1104">
        <f>AW137</f>
        <v>10.430751203796724</v>
      </c>
      <c r="AX113" s="1104">
        <f>AX137</f>
        <v>10.430751203796724</v>
      </c>
      <c r="AY113" s="1104">
        <f>AY137</f>
        <v>10.430751203796724</v>
      </c>
      <c r="AZ113" s="1103">
        <f>SUM(AV113:AY113)</f>
        <v>41.723004815186897</v>
      </c>
      <c r="BA113" s="1104">
        <f>BA137</f>
        <v>6.4279535022690277</v>
      </c>
      <c r="BB113" s="1104">
        <f>BB137</f>
        <v>6.4279535022690277</v>
      </c>
      <c r="BC113" s="1104">
        <f>BC137</f>
        <v>6.4279535022690277</v>
      </c>
      <c r="BD113" s="1104">
        <f>BD137</f>
        <v>6.4279535022690277</v>
      </c>
      <c r="BE113" s="1103">
        <f>SUM(BA113:BD113)</f>
        <v>25.711814009076111</v>
      </c>
      <c r="BF113" s="1104">
        <f>BF137</f>
        <v>1.4298954602140854</v>
      </c>
      <c r="BG113" s="1104">
        <f>BG137</f>
        <v>1.4298954602140854</v>
      </c>
      <c r="BH113" s="1104">
        <f>BH137</f>
        <v>1.4298954602140854</v>
      </c>
      <c r="BI113" s="1104">
        <f>BI137</f>
        <v>1.4298954602140854</v>
      </c>
      <c r="BJ113" s="1103">
        <f>SUM(BF113:BI113)</f>
        <v>5.7195818408563417</v>
      </c>
      <c r="BK113" s="1104">
        <f>BK137</f>
        <v>1.4298954602140854</v>
      </c>
      <c r="BL113" s="1104">
        <f>BL137</f>
        <v>1.4298954602140854</v>
      </c>
      <c r="BM113" s="1104">
        <f>BM137</f>
        <v>1.4298954602140854</v>
      </c>
      <c r="BN113" s="1104">
        <f>BN137</f>
        <v>1.4298954602140854</v>
      </c>
      <c r="BO113" s="1103">
        <f>SUM(BK113:BN113)</f>
        <v>5.7195818408563417</v>
      </c>
    </row>
    <row r="114" spans="1:67" s="1039" customFormat="1" hidden="1" outlineLevel="1">
      <c r="A114" s="1036"/>
      <c r="B114" s="1167" t="s">
        <v>467</v>
      </c>
      <c r="C114" s="1100"/>
      <c r="D114" s="1101"/>
      <c r="E114" s="1101"/>
      <c r="F114" s="1101"/>
      <c r="G114" s="1102"/>
      <c r="H114" s="1100"/>
      <c r="I114" s="1100"/>
      <c r="J114" s="1100"/>
      <c r="K114" s="1100"/>
      <c r="L114" s="1103"/>
      <c r="M114" s="1100"/>
      <c r="N114" s="1100"/>
      <c r="O114" s="1100"/>
      <c r="P114" s="1100"/>
      <c r="Q114" s="1103"/>
      <c r="R114" s="1100"/>
      <c r="S114" s="1100"/>
      <c r="T114" s="1101"/>
      <c r="U114" s="1101"/>
      <c r="V114" s="1103"/>
      <c r="W114" s="1100"/>
      <c r="X114" s="1101"/>
      <c r="Y114" s="1101"/>
      <c r="Z114" s="1101"/>
      <c r="AA114" s="1103"/>
      <c r="AB114" s="1100"/>
      <c r="AC114" s="1101"/>
      <c r="AD114" s="1101"/>
      <c r="AE114" s="1101"/>
      <c r="AF114" s="1103"/>
      <c r="AG114" s="1100"/>
      <c r="AH114" s="1101"/>
      <c r="AI114" s="1101"/>
      <c r="AJ114" s="1101"/>
      <c r="AK114" s="1103"/>
      <c r="AL114" s="1100"/>
      <c r="AM114" s="1100"/>
      <c r="AN114" s="1122">
        <v>7.6779999999999999</v>
      </c>
      <c r="AO114" s="1101"/>
      <c r="AP114" s="1103"/>
      <c r="AQ114" s="1122"/>
      <c r="AR114" s="1122"/>
      <c r="AS114" s="1100">
        <v>-5.0129999999999999</v>
      </c>
      <c r="AT114" s="1104"/>
      <c r="AU114" s="1103"/>
      <c r="AV114" s="1104"/>
      <c r="AW114" s="1104"/>
      <c r="AX114" s="1104"/>
      <c r="AY114" s="1104"/>
      <c r="AZ114" s="1103"/>
      <c r="BA114" s="1104"/>
      <c r="BB114" s="1104"/>
      <c r="BC114" s="1104"/>
      <c r="BD114" s="1104"/>
      <c r="BE114" s="1103"/>
      <c r="BF114" s="1104"/>
      <c r="BG114" s="1104"/>
      <c r="BH114" s="1104"/>
      <c r="BI114" s="1104"/>
      <c r="BJ114" s="1103"/>
      <c r="BK114" s="1104"/>
      <c r="BL114" s="1104"/>
      <c r="BM114" s="1104"/>
      <c r="BN114" s="1104"/>
      <c r="BO114" s="1103"/>
    </row>
    <row r="115" spans="1:67" s="1039" customFormat="1" hidden="1" outlineLevel="1">
      <c r="A115" s="1036"/>
      <c r="B115" s="1167"/>
      <c r="C115" s="1100"/>
      <c r="D115" s="1101"/>
      <c r="E115" s="1101"/>
      <c r="F115" s="1101"/>
      <c r="G115" s="1102"/>
      <c r="H115" s="1100"/>
      <c r="I115" s="1100"/>
      <c r="J115" s="1100"/>
      <c r="K115" s="1100"/>
      <c r="L115" s="1103"/>
      <c r="M115" s="1100"/>
      <c r="N115" s="1100"/>
      <c r="O115" s="1100"/>
      <c r="P115" s="1100"/>
      <c r="Q115" s="1103"/>
      <c r="R115" s="1100"/>
      <c r="S115" s="1100"/>
      <c r="T115" s="1101"/>
      <c r="U115" s="1101"/>
      <c r="V115" s="1103"/>
      <c r="W115" s="1100"/>
      <c r="X115" s="1101"/>
      <c r="Y115" s="1101"/>
      <c r="Z115" s="1101"/>
      <c r="AA115" s="1103"/>
      <c r="AB115" s="1100"/>
      <c r="AC115" s="1101"/>
      <c r="AD115" s="1101"/>
      <c r="AE115" s="1101"/>
      <c r="AF115" s="1103"/>
      <c r="AG115" s="1100"/>
      <c r="AH115" s="1101"/>
      <c r="AI115" s="1101"/>
      <c r="AJ115" s="1101"/>
      <c r="AK115" s="1103"/>
      <c r="AL115" s="1100"/>
      <c r="AM115" s="1100"/>
      <c r="AN115" s="1122"/>
      <c r="AO115" s="1101"/>
      <c r="AP115" s="1103"/>
      <c r="AQ115" s="1122"/>
      <c r="AR115" s="1122"/>
      <c r="AS115" s="1100"/>
      <c r="AT115" s="1104"/>
      <c r="AU115" s="1103"/>
      <c r="AV115" s="1104"/>
      <c r="AW115" s="1104"/>
      <c r="AX115" s="1104"/>
      <c r="AY115" s="1104"/>
      <c r="AZ115" s="1103"/>
      <c r="BA115" s="1104"/>
      <c r="BB115" s="1104"/>
      <c r="BC115" s="1104"/>
      <c r="BD115" s="1104"/>
      <c r="BE115" s="1103"/>
      <c r="BF115" s="1104"/>
      <c r="BG115" s="1104"/>
      <c r="BH115" s="1104"/>
      <c r="BI115" s="1104"/>
      <c r="BJ115" s="1103"/>
      <c r="BK115" s="1104"/>
      <c r="BL115" s="1104"/>
      <c r="BM115" s="1104"/>
      <c r="BN115" s="1104"/>
      <c r="BO115" s="1103"/>
    </row>
    <row r="116" spans="1:67" s="1039" customFormat="1" hidden="1" outlineLevel="1">
      <c r="A116" s="1036"/>
      <c r="B116" s="984" t="s">
        <v>364</v>
      </c>
      <c r="C116" s="1100"/>
      <c r="D116" s="1101"/>
      <c r="E116" s="1101"/>
      <c r="F116" s="1101"/>
      <c r="G116" s="1102"/>
      <c r="H116" s="1100"/>
      <c r="I116" s="1101"/>
      <c r="J116" s="1101"/>
      <c r="K116" s="1101"/>
      <c r="L116" s="1102"/>
      <c r="M116" s="1100"/>
      <c r="N116" s="1101"/>
      <c r="O116" s="1101"/>
      <c r="P116" s="1101"/>
      <c r="Q116" s="1102"/>
      <c r="R116" s="1100"/>
      <c r="S116" s="1101"/>
      <c r="T116" s="1101"/>
      <c r="U116" s="1101"/>
      <c r="V116" s="1102"/>
      <c r="W116" s="1100"/>
      <c r="X116" s="1101"/>
      <c r="Y116" s="1101"/>
      <c r="Z116" s="1101"/>
      <c r="AA116" s="1102"/>
      <c r="AB116" s="1100"/>
      <c r="AC116" s="1101"/>
      <c r="AD116" s="1101"/>
      <c r="AE116" s="1101"/>
      <c r="AF116" s="1102"/>
      <c r="AG116" s="1100"/>
      <c r="AH116" s="1101"/>
      <c r="AI116" s="1101"/>
      <c r="AJ116" s="1101"/>
      <c r="AK116" s="1102"/>
      <c r="AL116" s="1100"/>
      <c r="AM116" s="1101"/>
      <c r="AN116" s="1205"/>
      <c r="AO116" s="1101"/>
      <c r="AP116" s="1102"/>
      <c r="AQ116" s="1122"/>
      <c r="AR116" s="1205"/>
      <c r="AS116" s="1101"/>
      <c r="AT116" s="1101"/>
      <c r="AU116" s="1102"/>
      <c r="AV116" s="1100"/>
      <c r="AW116" s="1101"/>
      <c r="AX116" s="1101"/>
      <c r="AY116" s="1101"/>
      <c r="AZ116" s="1102"/>
      <c r="BA116" s="1100"/>
      <c r="BB116" s="1101"/>
      <c r="BC116" s="1101"/>
      <c r="BD116" s="1101"/>
      <c r="BE116" s="1102"/>
      <c r="BF116" s="1100"/>
      <c r="BG116" s="1101"/>
      <c r="BH116" s="1101"/>
      <c r="BI116" s="1101"/>
      <c r="BJ116" s="1102"/>
      <c r="BK116" s="1100"/>
      <c r="BL116" s="1101"/>
      <c r="BM116" s="1101"/>
      <c r="BN116" s="1101"/>
      <c r="BO116" s="1102"/>
    </row>
    <row r="117" spans="1:67" s="1039" customFormat="1" hidden="1" outlineLevel="1">
      <c r="A117" s="1036"/>
      <c r="B117" s="1167" t="s">
        <v>363</v>
      </c>
      <c r="C117" s="1100"/>
      <c r="D117" s="1101"/>
      <c r="E117" s="1101"/>
      <c r="F117" s="1101"/>
      <c r="G117" s="1102"/>
      <c r="H117" s="1100">
        <v>0</v>
      </c>
      <c r="I117" s="1100">
        <v>0</v>
      </c>
      <c r="J117" s="1100">
        <v>0</v>
      </c>
      <c r="K117" s="1100">
        <v>0</v>
      </c>
      <c r="L117" s="1103">
        <f>SUM(H117:K117)</f>
        <v>0</v>
      </c>
      <c r="M117" s="1100">
        <v>0</v>
      </c>
      <c r="N117" s="1100">
        <v>0</v>
      </c>
      <c r="O117" s="1100">
        <v>0</v>
      </c>
      <c r="P117" s="1100">
        <v>0</v>
      </c>
      <c r="Q117" s="1103">
        <f>SUM(M117:P117)</f>
        <v>0</v>
      </c>
      <c r="R117" s="1100">
        <v>0</v>
      </c>
      <c r="S117" s="1100">
        <v>0</v>
      </c>
      <c r="T117" s="1101">
        <v>0</v>
      </c>
      <c r="U117" s="1101">
        <v>0</v>
      </c>
      <c r="V117" s="1103">
        <f>SUM(R117:U117)</f>
        <v>0</v>
      </c>
      <c r="W117" s="1100">
        <v>0</v>
      </c>
      <c r="X117" s="1100">
        <v>0</v>
      </c>
      <c r="Y117" s="1100">
        <v>0</v>
      </c>
      <c r="Z117" s="1100">
        <v>0</v>
      </c>
      <c r="AA117" s="1103">
        <f>SUM(W117:Z117)</f>
        <v>0</v>
      </c>
      <c r="AB117" s="1100">
        <v>0</v>
      </c>
      <c r="AC117" s="1101">
        <v>0</v>
      </c>
      <c r="AD117" s="1101">
        <v>0</v>
      </c>
      <c r="AE117" s="1101">
        <v>0</v>
      </c>
      <c r="AF117" s="1103">
        <f>SUM(AB117:AE117)</f>
        <v>0</v>
      </c>
      <c r="AG117" s="1100">
        <v>1.446</v>
      </c>
      <c r="AH117" s="1101">
        <v>1.6619999999999999</v>
      </c>
      <c r="AI117" s="1101">
        <v>1.663</v>
      </c>
      <c r="AJ117" s="1101">
        <v>1.663</v>
      </c>
      <c r="AK117" s="1103">
        <f>SUM(AG117:AJ117)</f>
        <v>6.4340000000000002</v>
      </c>
      <c r="AL117" s="1100">
        <v>1.627</v>
      </c>
      <c r="AM117" s="1100">
        <v>1.6619999999999999</v>
      </c>
      <c r="AN117" s="1122">
        <v>1.663</v>
      </c>
      <c r="AO117" s="1101">
        <v>1.6619999999999999</v>
      </c>
      <c r="AP117" s="1103">
        <f>SUM(AL117:AO117)</f>
        <v>6.6139999999999999</v>
      </c>
      <c r="AQ117" s="1122">
        <v>1.6080000000000001</v>
      </c>
      <c r="AR117" s="1122">
        <v>1.663</v>
      </c>
      <c r="AS117" s="1100">
        <v>1.663</v>
      </c>
      <c r="AT117" s="1104">
        <f>AT140</f>
        <v>1.2673987598295633</v>
      </c>
      <c r="AU117" s="1103">
        <f>SUM(AQ117:AT117)</f>
        <v>6.2013987598295639</v>
      </c>
      <c r="AV117" s="1104">
        <f>AV140</f>
        <v>1.2221756677174629</v>
      </c>
      <c r="AW117" s="1104">
        <f>AW140</f>
        <v>1.2221756677174629</v>
      </c>
      <c r="AX117" s="1104">
        <f>AX140</f>
        <v>1.2221756677174629</v>
      </c>
      <c r="AY117" s="1104">
        <f>AY140</f>
        <v>1.2221756677174629</v>
      </c>
      <c r="AZ117" s="1103">
        <f>SUM(AV117:AY117)</f>
        <v>4.8887026708698516</v>
      </c>
      <c r="BA117" s="1104">
        <f>BA140</f>
        <v>0.75316611528735244</v>
      </c>
      <c r="BB117" s="1104">
        <f>BB140</f>
        <v>0.75316611528735244</v>
      </c>
      <c r="BC117" s="1104">
        <f>BC140</f>
        <v>0.75316611528735244</v>
      </c>
      <c r="BD117" s="1104">
        <f>BD140</f>
        <v>0.75316611528735244</v>
      </c>
      <c r="BE117" s="1103">
        <f>SUM(BA117:BD117)</f>
        <v>3.0126644611494098</v>
      </c>
      <c r="BF117" s="1104">
        <f>BF140</f>
        <v>0.1675414746942876</v>
      </c>
      <c r="BG117" s="1104">
        <f>BG140</f>
        <v>0.1675414746942876</v>
      </c>
      <c r="BH117" s="1104">
        <f>BH140</f>
        <v>0.1675414746942876</v>
      </c>
      <c r="BI117" s="1104">
        <f>BI140</f>
        <v>0.1675414746942876</v>
      </c>
      <c r="BJ117" s="1103">
        <f>SUM(BF117:BI117)</f>
        <v>0.67016589877715038</v>
      </c>
      <c r="BK117" s="1104">
        <f>BK140</f>
        <v>0.1675414746942876</v>
      </c>
      <c r="BL117" s="1104">
        <f>BL140</f>
        <v>0.1675414746942876</v>
      </c>
      <c r="BM117" s="1104">
        <f>BM140</f>
        <v>0.1675414746942876</v>
      </c>
      <c r="BN117" s="1104">
        <f>BN140</f>
        <v>0.1675414746942876</v>
      </c>
      <c r="BO117" s="1103">
        <f>SUM(BK117:BN117)</f>
        <v>0.67016589877715038</v>
      </c>
    </row>
    <row r="118" spans="1:67" s="1039" customFormat="1" hidden="1" outlineLevel="1">
      <c r="A118" s="1036"/>
      <c r="B118" s="1167"/>
      <c r="C118" s="1100"/>
      <c r="D118" s="1101"/>
      <c r="E118" s="1101"/>
      <c r="F118" s="1101"/>
      <c r="G118" s="1102"/>
      <c r="H118" s="1100"/>
      <c r="I118" s="1100"/>
      <c r="J118" s="1100"/>
      <c r="K118" s="1100"/>
      <c r="L118" s="1103"/>
      <c r="M118" s="1100"/>
      <c r="N118" s="1100"/>
      <c r="O118" s="1100"/>
      <c r="P118" s="1100"/>
      <c r="Q118" s="1103"/>
      <c r="R118" s="1100"/>
      <c r="S118" s="1100"/>
      <c r="T118" s="1101"/>
      <c r="U118" s="1101"/>
      <c r="V118" s="1103"/>
      <c r="W118" s="1100"/>
      <c r="X118" s="1100"/>
      <c r="Y118" s="1100"/>
      <c r="Z118" s="1100"/>
      <c r="AA118" s="1103"/>
      <c r="AB118" s="1100"/>
      <c r="AC118" s="1101"/>
      <c r="AD118" s="1101"/>
      <c r="AE118" s="1101"/>
      <c r="AF118" s="1103"/>
      <c r="AG118" s="1100"/>
      <c r="AH118" s="1101"/>
      <c r="AI118" s="1101"/>
      <c r="AJ118" s="1101"/>
      <c r="AK118" s="1103"/>
      <c r="AL118" s="1100"/>
      <c r="AM118" s="1100"/>
      <c r="AN118" s="1122"/>
      <c r="AO118" s="1101"/>
      <c r="AP118" s="1103"/>
      <c r="AQ118" s="1122"/>
      <c r="AR118" s="1122"/>
      <c r="AS118" s="1100"/>
      <c r="AT118" s="1104"/>
      <c r="AU118" s="1103"/>
      <c r="AV118" s="1104"/>
      <c r="AW118" s="1104"/>
      <c r="AX118" s="1104"/>
      <c r="AY118" s="1104"/>
      <c r="AZ118" s="1103"/>
      <c r="BA118" s="1104"/>
      <c r="BB118" s="1104"/>
      <c r="BC118" s="1104"/>
      <c r="BD118" s="1104"/>
      <c r="BE118" s="1103"/>
      <c r="BF118" s="1104"/>
      <c r="BG118" s="1104"/>
      <c r="BH118" s="1104"/>
      <c r="BI118" s="1104"/>
      <c r="BJ118" s="1103"/>
      <c r="BK118" s="1104"/>
      <c r="BL118" s="1104"/>
      <c r="BM118" s="1104"/>
      <c r="BN118" s="1104"/>
      <c r="BO118" s="1103"/>
    </row>
    <row r="119" spans="1:67" s="1039" customFormat="1" hidden="1" outlineLevel="1">
      <c r="A119" s="1036"/>
      <c r="B119" s="984" t="s">
        <v>3</v>
      </c>
      <c r="C119" s="1100"/>
      <c r="D119" s="1101"/>
      <c r="E119" s="1101"/>
      <c r="F119" s="1101"/>
      <c r="G119" s="1102"/>
      <c r="H119" s="1100"/>
      <c r="I119" s="1101"/>
      <c r="J119" s="1101"/>
      <c r="K119" s="1101"/>
      <c r="L119" s="1102"/>
      <c r="M119" s="1100"/>
      <c r="N119" s="1101"/>
      <c r="O119" s="1101"/>
      <c r="P119" s="1101"/>
      <c r="Q119" s="1102"/>
      <c r="R119" s="1100"/>
      <c r="S119" s="1101"/>
      <c r="T119" s="1101"/>
      <c r="U119" s="1101"/>
      <c r="V119" s="1102"/>
      <c r="W119" s="1100"/>
      <c r="X119" s="1101"/>
      <c r="Y119" s="1101"/>
      <c r="Z119" s="1101"/>
      <c r="AA119" s="1102"/>
      <c r="AB119" s="1100"/>
      <c r="AC119" s="1101"/>
      <c r="AD119" s="1101"/>
      <c r="AE119" s="1101"/>
      <c r="AF119" s="1102"/>
      <c r="AG119" s="1100"/>
      <c r="AH119" s="1101"/>
      <c r="AI119" s="1101"/>
      <c r="AJ119" s="1101"/>
      <c r="AK119" s="1102"/>
      <c r="AL119" s="1100"/>
      <c r="AM119" s="1101"/>
      <c r="AN119" s="1205"/>
      <c r="AO119" s="1101"/>
      <c r="AP119" s="1102"/>
      <c r="AQ119" s="1122"/>
      <c r="AR119" s="1205"/>
      <c r="AS119" s="1101"/>
      <c r="AT119" s="1101"/>
      <c r="AU119" s="1102"/>
      <c r="AV119" s="1100"/>
      <c r="AW119" s="1101"/>
      <c r="AX119" s="1101"/>
      <c r="AY119" s="1101"/>
      <c r="AZ119" s="1102"/>
      <c r="BA119" s="1100"/>
      <c r="BB119" s="1101"/>
      <c r="BC119" s="1101"/>
      <c r="BD119" s="1101"/>
      <c r="BE119" s="1102"/>
      <c r="BF119" s="1100"/>
      <c r="BG119" s="1101"/>
      <c r="BH119" s="1101"/>
      <c r="BI119" s="1101"/>
      <c r="BJ119" s="1102"/>
      <c r="BK119" s="1100"/>
      <c r="BL119" s="1101"/>
      <c r="BM119" s="1101"/>
      <c r="BN119" s="1101"/>
      <c r="BO119" s="1102"/>
    </row>
    <row r="120" spans="1:67" s="1039" customFormat="1" hidden="1" outlineLevel="1">
      <c r="A120" s="1036"/>
      <c r="B120" s="1167" t="s">
        <v>363</v>
      </c>
      <c r="C120" s="1100"/>
      <c r="D120" s="1101"/>
      <c r="E120" s="1101"/>
      <c r="F120" s="1101"/>
      <c r="G120" s="1102"/>
      <c r="H120" s="1100">
        <v>4.0000000000000001E-3</v>
      </c>
      <c r="I120" s="1100">
        <v>4.0000000000000001E-3</v>
      </c>
      <c r="J120" s="1100">
        <v>4.0000000000000001E-3</v>
      </c>
      <c r="K120" s="1100">
        <v>4.0000000000000001E-3</v>
      </c>
      <c r="L120" s="1103">
        <f>SUM(H120:K120)</f>
        <v>1.6E-2</v>
      </c>
      <c r="M120" s="1100">
        <v>8.9999999999999993E-3</v>
      </c>
      <c r="N120" s="1100">
        <v>1.7000000000000001E-2</v>
      </c>
      <c r="O120" s="1100">
        <v>1.6E-2</v>
      </c>
      <c r="P120" s="1100">
        <v>1.6E-2</v>
      </c>
      <c r="Q120" s="1103">
        <f>SUM(M120:P120)</f>
        <v>5.8000000000000003E-2</v>
      </c>
      <c r="R120" s="1100">
        <v>1.0999999999999999E-2</v>
      </c>
      <c r="S120" s="1100">
        <v>1E-3</v>
      </c>
      <c r="T120" s="1101">
        <v>0</v>
      </c>
      <c r="U120" s="1101">
        <v>0</v>
      </c>
      <c r="V120" s="1103">
        <f>SUM(R120:U120)</f>
        <v>1.2E-2</v>
      </c>
      <c r="W120" s="1100">
        <v>0</v>
      </c>
      <c r="X120" s="1100">
        <v>0</v>
      </c>
      <c r="Y120" s="1100">
        <v>0</v>
      </c>
      <c r="Z120" s="1100">
        <v>0</v>
      </c>
      <c r="AA120" s="1103">
        <f>SUM(W120:Z120)</f>
        <v>0</v>
      </c>
      <c r="AB120" s="1100">
        <v>2.5459999999999998</v>
      </c>
      <c r="AC120" s="1101">
        <v>7.5549999999999997</v>
      </c>
      <c r="AD120" s="1101">
        <v>7.5529999999999999</v>
      </c>
      <c r="AE120" s="1101">
        <v>7.5529999999999999</v>
      </c>
      <c r="AF120" s="1103">
        <f>SUM(AB120:AE120)</f>
        <v>25.207000000000001</v>
      </c>
      <c r="AG120" s="1100">
        <v>7.3070000000000004</v>
      </c>
      <c r="AH120" s="1101">
        <v>7.5529999999999999</v>
      </c>
      <c r="AI120" s="1101">
        <v>7.5750000000000002</v>
      </c>
      <c r="AJ120" s="1101">
        <v>7.8</v>
      </c>
      <c r="AK120" s="1103">
        <f>SUM(AG120:AJ120)</f>
        <v>30.234999999999999</v>
      </c>
      <c r="AL120" s="1100">
        <v>7.63</v>
      </c>
      <c r="AM120" s="1100">
        <v>7.8010000000000002</v>
      </c>
      <c r="AN120" s="1122">
        <v>7.9059999999999997</v>
      </c>
      <c r="AO120" s="1101">
        <v>8.0210000000000008</v>
      </c>
      <c r="AP120" s="1103">
        <f>SUM(AL120:AO120)</f>
        <v>31.358000000000001</v>
      </c>
      <c r="AQ120" s="1122">
        <v>7.76</v>
      </c>
      <c r="AR120" s="1122">
        <v>9.3260000000000005</v>
      </c>
      <c r="AS120" s="1100">
        <v>10.164</v>
      </c>
      <c r="AT120" s="1104">
        <f>AT143</f>
        <v>7.7461461184050995</v>
      </c>
      <c r="AU120" s="1103">
        <f>SUM(AQ120:AT120)</f>
        <v>34.9961461184051</v>
      </c>
      <c r="AV120" s="1104">
        <f>AV143</f>
        <v>7.4697495409983725</v>
      </c>
      <c r="AW120" s="1104">
        <f>AW143</f>
        <v>7.4697495409983725</v>
      </c>
      <c r="AX120" s="1104">
        <f>AX143</f>
        <v>7.4697495409983725</v>
      </c>
      <c r="AY120" s="1104">
        <f>AY143</f>
        <v>7.4697495409983725</v>
      </c>
      <c r="AZ120" s="1103">
        <f>SUM(AV120:AY120)</f>
        <v>29.87899816399349</v>
      </c>
      <c r="BA120" s="1104">
        <f>BA143</f>
        <v>4.6032353552499394</v>
      </c>
      <c r="BB120" s="1104">
        <f>BB143</f>
        <v>4.6032353552499394</v>
      </c>
      <c r="BC120" s="1104">
        <f>BC143</f>
        <v>4.6032353552499394</v>
      </c>
      <c r="BD120" s="1104">
        <f>BD143</f>
        <v>4.6032353552499394</v>
      </c>
      <c r="BE120" s="1103">
        <f>SUM(BA120:BD120)</f>
        <v>18.412941420999758</v>
      </c>
      <c r="BF120" s="1104">
        <f>BF143</f>
        <v>1.0239877022205286</v>
      </c>
      <c r="BG120" s="1104">
        <f>BG143</f>
        <v>1.0239877022205286</v>
      </c>
      <c r="BH120" s="1104">
        <f>BH143</f>
        <v>1.0239877022205286</v>
      </c>
      <c r="BI120" s="1104">
        <f>BI143</f>
        <v>1.0239877022205286</v>
      </c>
      <c r="BJ120" s="1103">
        <f>SUM(BF120:BI120)</f>
        <v>4.0959508088821144</v>
      </c>
      <c r="BK120" s="1104">
        <f>BK143</f>
        <v>1.0239877022205286</v>
      </c>
      <c r="BL120" s="1104">
        <f>BL143</f>
        <v>1.0239877022205286</v>
      </c>
      <c r="BM120" s="1104">
        <f>BM143</f>
        <v>1.0239877022205286</v>
      </c>
      <c r="BN120" s="1104">
        <f>BN143</f>
        <v>1.0239877022205286</v>
      </c>
      <c r="BO120" s="1103">
        <f>SUM(BK120:BN120)</f>
        <v>4.0959508088821144</v>
      </c>
    </row>
    <row r="121" spans="1:67" s="1039" customFormat="1" hidden="1" outlineLevel="1">
      <c r="A121" s="1036"/>
      <c r="B121" s="1167"/>
      <c r="C121" s="1100"/>
      <c r="D121" s="1101"/>
      <c r="E121" s="1101"/>
      <c r="F121" s="1101"/>
      <c r="G121" s="1102"/>
      <c r="H121" s="1100"/>
      <c r="I121" s="1100"/>
      <c r="J121" s="1100"/>
      <c r="K121" s="1100"/>
      <c r="L121" s="1103"/>
      <c r="M121" s="1100"/>
      <c r="N121" s="1100"/>
      <c r="O121" s="1100"/>
      <c r="P121" s="1100"/>
      <c r="Q121" s="1103"/>
      <c r="R121" s="1100"/>
      <c r="S121" s="1100"/>
      <c r="T121" s="1101"/>
      <c r="U121" s="1101"/>
      <c r="V121" s="1103"/>
      <c r="W121" s="1100"/>
      <c r="X121" s="1100"/>
      <c r="Y121" s="1100"/>
      <c r="Z121" s="1100"/>
      <c r="AA121" s="1103"/>
      <c r="AB121" s="1100"/>
      <c r="AC121" s="1101"/>
      <c r="AD121" s="1101"/>
      <c r="AE121" s="1101"/>
      <c r="AF121" s="1103"/>
      <c r="AG121" s="1100"/>
      <c r="AH121" s="1101"/>
      <c r="AI121" s="1101"/>
      <c r="AJ121" s="1101"/>
      <c r="AK121" s="1103"/>
      <c r="AL121" s="1100"/>
      <c r="AM121" s="1100"/>
      <c r="AN121" s="1122"/>
      <c r="AO121" s="1101"/>
      <c r="AP121" s="1103"/>
      <c r="AQ121" s="1122"/>
      <c r="AR121" s="1122"/>
      <c r="AS121" s="1100"/>
      <c r="AT121" s="1104"/>
      <c r="AU121" s="1103"/>
      <c r="AV121" s="1104"/>
      <c r="AW121" s="1104"/>
      <c r="AX121" s="1104"/>
      <c r="AY121" s="1104"/>
      <c r="AZ121" s="1103"/>
      <c r="BA121" s="1104"/>
      <c r="BB121" s="1104"/>
      <c r="BC121" s="1104"/>
      <c r="BD121" s="1104"/>
      <c r="BE121" s="1103"/>
      <c r="BF121" s="1104"/>
      <c r="BG121" s="1104"/>
      <c r="BH121" s="1104"/>
      <c r="BI121" s="1104"/>
      <c r="BJ121" s="1103"/>
      <c r="BK121" s="1104"/>
      <c r="BL121" s="1104"/>
      <c r="BM121" s="1104"/>
      <c r="BN121" s="1104"/>
      <c r="BO121" s="1103"/>
    </row>
    <row r="122" spans="1:67" s="1039" customFormat="1" hidden="1" outlineLevel="1">
      <c r="A122" s="1036"/>
      <c r="B122" s="984" t="s">
        <v>10</v>
      </c>
      <c r="C122" s="1100"/>
      <c r="D122" s="1101"/>
      <c r="E122" s="1101"/>
      <c r="F122" s="1101"/>
      <c r="G122" s="1102"/>
      <c r="H122" s="1100"/>
      <c r="I122" s="1101"/>
      <c r="J122" s="1101"/>
      <c r="K122" s="1101"/>
      <c r="L122" s="1102"/>
      <c r="M122" s="1100"/>
      <c r="N122" s="1101"/>
      <c r="O122" s="1101"/>
      <c r="P122" s="1101"/>
      <c r="Q122" s="1102"/>
      <c r="R122" s="1100"/>
      <c r="S122" s="1101"/>
      <c r="T122" s="1101"/>
      <c r="U122" s="1101"/>
      <c r="V122" s="1102"/>
      <c r="W122" s="1100"/>
      <c r="X122" s="1101"/>
      <c r="Y122" s="1101"/>
      <c r="Z122" s="1101"/>
      <c r="AA122" s="1102"/>
      <c r="AB122" s="1100"/>
      <c r="AC122" s="1101"/>
      <c r="AD122" s="1101"/>
      <c r="AE122" s="1101"/>
      <c r="AF122" s="1102"/>
      <c r="AG122" s="1100"/>
      <c r="AH122" s="1101"/>
      <c r="AI122" s="1101"/>
      <c r="AJ122" s="1101"/>
      <c r="AK122" s="1102"/>
      <c r="AL122" s="1100"/>
      <c r="AM122" s="1101"/>
      <c r="AN122" s="1205"/>
      <c r="AO122" s="1101"/>
      <c r="AP122" s="1102"/>
      <c r="AQ122" s="1122"/>
      <c r="AR122" s="1205"/>
      <c r="AS122" s="1101"/>
      <c r="AT122" s="1101"/>
      <c r="AU122" s="1102"/>
      <c r="AV122" s="1100"/>
      <c r="AW122" s="1101"/>
      <c r="AX122" s="1101"/>
      <c r="AY122" s="1101"/>
      <c r="AZ122" s="1102"/>
      <c r="BA122" s="1100"/>
      <c r="BB122" s="1101"/>
      <c r="BC122" s="1101"/>
      <c r="BD122" s="1101"/>
      <c r="BE122" s="1102"/>
      <c r="BF122" s="1100"/>
      <c r="BG122" s="1101"/>
      <c r="BH122" s="1101"/>
      <c r="BI122" s="1101"/>
      <c r="BJ122" s="1102"/>
      <c r="BK122" s="1100"/>
      <c r="BL122" s="1101"/>
      <c r="BM122" s="1101"/>
      <c r="BN122" s="1101"/>
      <c r="BO122" s="1102"/>
    </row>
    <row r="123" spans="1:67" s="1039" customFormat="1" hidden="1" outlineLevel="1">
      <c r="A123" s="1036"/>
      <c r="B123" s="1167" t="s">
        <v>363</v>
      </c>
      <c r="C123" s="1100"/>
      <c r="D123" s="1101"/>
      <c r="E123" s="1101"/>
      <c r="F123" s="1101"/>
      <c r="G123" s="1102"/>
      <c r="H123" s="1100">
        <v>0</v>
      </c>
      <c r="I123" s="1100">
        <v>0</v>
      </c>
      <c r="J123" s="1100">
        <v>0</v>
      </c>
      <c r="K123" s="1100">
        <v>0</v>
      </c>
      <c r="L123" s="1103">
        <f>SUM(H123:K123)</f>
        <v>0</v>
      </c>
      <c r="M123" s="1100">
        <v>0</v>
      </c>
      <c r="N123" s="1100">
        <v>0</v>
      </c>
      <c r="O123" s="1100">
        <v>0</v>
      </c>
      <c r="P123" s="1100">
        <v>0</v>
      </c>
      <c r="Q123" s="1103">
        <f>SUM(M123:P123)</f>
        <v>0</v>
      </c>
      <c r="R123" s="1100">
        <v>0</v>
      </c>
      <c r="S123" s="1100">
        <v>0</v>
      </c>
      <c r="T123" s="1101">
        <v>0</v>
      </c>
      <c r="U123" s="1101">
        <v>0</v>
      </c>
      <c r="V123" s="1103">
        <f>SUM(R123:U123)</f>
        <v>0</v>
      </c>
      <c r="W123" s="1100">
        <v>0.85499999999999998</v>
      </c>
      <c r="X123" s="1101">
        <v>0.94199999999999995</v>
      </c>
      <c r="Y123" s="1101">
        <v>0.94399999999999995</v>
      </c>
      <c r="Z123" s="1101">
        <v>1.2</v>
      </c>
      <c r="AA123" s="1103">
        <f>SUM(W123:Z123)</f>
        <v>3.9409999999999998</v>
      </c>
      <c r="AB123" s="1100">
        <v>1.766</v>
      </c>
      <c r="AC123" s="1101">
        <v>1.7589999999999999</v>
      </c>
      <c r="AD123" s="1101">
        <v>1.7849999999999999</v>
      </c>
      <c r="AE123" s="1101">
        <v>1.8129999999999999</v>
      </c>
      <c r="AF123" s="1103">
        <f>SUM(AB123:AE123)</f>
        <v>7.1229999999999993</v>
      </c>
      <c r="AG123" s="1100">
        <v>1.8240000000000001</v>
      </c>
      <c r="AH123" s="1101">
        <v>3.254</v>
      </c>
      <c r="AI123" s="1101">
        <v>3.6240000000000001</v>
      </c>
      <c r="AJ123" s="1101">
        <v>3.6819999999999999</v>
      </c>
      <c r="AK123" s="1103">
        <f>SUM(AG123:AJ123)</f>
        <v>12.384</v>
      </c>
      <c r="AL123" s="1100">
        <v>3.6</v>
      </c>
      <c r="AM123" s="1100">
        <v>3.6789999999999998</v>
      </c>
      <c r="AN123" s="1122">
        <v>3.68</v>
      </c>
      <c r="AO123" s="1101">
        <v>3.6789999999999998</v>
      </c>
      <c r="AP123" s="1103">
        <f>SUM(AL123:AO123)</f>
        <v>14.638</v>
      </c>
      <c r="AQ123" s="1122">
        <v>2.645</v>
      </c>
      <c r="AR123" s="1122">
        <v>2.7229999999999999</v>
      </c>
      <c r="AS123" s="1100">
        <v>2.7229999999999999</v>
      </c>
      <c r="AT123" s="1104">
        <f>AT146</f>
        <v>2.075241625385388</v>
      </c>
      <c r="AU123" s="1103">
        <f>SUM(AQ123:AT123)</f>
        <v>10.166241625385389</v>
      </c>
      <c r="AV123" s="1104">
        <f>AV146</f>
        <v>2.001193231025046</v>
      </c>
      <c r="AW123" s="1104">
        <f>AW146</f>
        <v>2.001193231025046</v>
      </c>
      <c r="AX123" s="1104">
        <f>AX146</f>
        <v>2.001193231025046</v>
      </c>
      <c r="AY123" s="1104">
        <f>AY146</f>
        <v>2.001193231025046</v>
      </c>
      <c r="AZ123" s="1103">
        <f>SUM(AV123:AY123)</f>
        <v>8.0047729241001839</v>
      </c>
      <c r="BA123" s="1104">
        <f>BA146</f>
        <v>1.2332359181764645</v>
      </c>
      <c r="BB123" s="1104">
        <f>BB146</f>
        <v>1.2332359181764645</v>
      </c>
      <c r="BC123" s="1104">
        <f>BC146</f>
        <v>1.2332359181764645</v>
      </c>
      <c r="BD123" s="1104">
        <f>BD146</f>
        <v>1.2332359181764645</v>
      </c>
      <c r="BE123" s="1103">
        <f>SUM(BA123:BD123)</f>
        <v>4.932943672705858</v>
      </c>
      <c r="BF123" s="1104">
        <f>BF146</f>
        <v>0.27433279350122974</v>
      </c>
      <c r="BG123" s="1104">
        <f>BG146</f>
        <v>0.27433279350122974</v>
      </c>
      <c r="BH123" s="1104">
        <f>BH146</f>
        <v>0.27433279350122974</v>
      </c>
      <c r="BI123" s="1104">
        <f>BI146</f>
        <v>0.27433279350122974</v>
      </c>
      <c r="BJ123" s="1103">
        <f>SUM(BF123:BI123)</f>
        <v>1.097331174004919</v>
      </c>
      <c r="BK123" s="1104">
        <f>BK146</f>
        <v>0.27433279350122974</v>
      </c>
      <c r="BL123" s="1104">
        <f>BL146</f>
        <v>0.27433279350122974</v>
      </c>
      <c r="BM123" s="1104">
        <f>BM146</f>
        <v>0.27433279350122974</v>
      </c>
      <c r="BN123" s="1104">
        <f>BN146</f>
        <v>0.27433279350122974</v>
      </c>
      <c r="BO123" s="1103">
        <f>SUM(BK123:BN123)</f>
        <v>1.097331174004919</v>
      </c>
    </row>
    <row r="124" spans="1:67" s="1039" customFormat="1" hidden="1" outlineLevel="1">
      <c r="A124" s="1036"/>
      <c r="B124" s="1167" t="s">
        <v>467</v>
      </c>
      <c r="C124" s="1100"/>
      <c r="D124" s="1101"/>
      <c r="E124" s="1101"/>
      <c r="F124" s="1101"/>
      <c r="G124" s="1102"/>
      <c r="H124" s="1100"/>
      <c r="I124" s="1100"/>
      <c r="J124" s="1100"/>
      <c r="K124" s="1100"/>
      <c r="L124" s="1103"/>
      <c r="M124" s="1100"/>
      <c r="N124" s="1100"/>
      <c r="O124" s="1100"/>
      <c r="P124" s="1100"/>
      <c r="Q124" s="1103"/>
      <c r="R124" s="1100"/>
      <c r="S124" s="1100"/>
      <c r="T124" s="1101"/>
      <c r="U124" s="1101"/>
      <c r="V124" s="1103"/>
      <c r="W124" s="1100"/>
      <c r="X124" s="1101"/>
      <c r="Y124" s="1101"/>
      <c r="Z124" s="1101"/>
      <c r="AA124" s="1103"/>
      <c r="AB124" s="1100"/>
      <c r="AC124" s="1101"/>
      <c r="AD124" s="1101"/>
      <c r="AE124" s="1101"/>
      <c r="AF124" s="1103"/>
      <c r="AG124" s="1100"/>
      <c r="AH124" s="1101"/>
      <c r="AI124" s="1101"/>
      <c r="AJ124" s="1101"/>
      <c r="AK124" s="1103"/>
      <c r="AL124" s="1100"/>
      <c r="AM124" s="1100"/>
      <c r="AN124" s="1122">
        <v>9.8629999999999995</v>
      </c>
      <c r="AO124" s="1101">
        <v>1.151</v>
      </c>
      <c r="AP124" s="1103"/>
      <c r="AQ124" s="1122">
        <v>-8.0000000000000002E-3</v>
      </c>
      <c r="AR124" s="1122">
        <v>0</v>
      </c>
      <c r="AS124" s="1100">
        <v>-6.0259999999999998</v>
      </c>
      <c r="AT124" s="1104"/>
      <c r="AU124" s="1103"/>
      <c r="AV124" s="1104"/>
      <c r="AW124" s="1104"/>
      <c r="AX124" s="1104"/>
      <c r="AY124" s="1104"/>
      <c r="AZ124" s="1103"/>
      <c r="BA124" s="1104"/>
      <c r="BB124" s="1104"/>
      <c r="BC124" s="1104"/>
      <c r="BD124" s="1104"/>
      <c r="BE124" s="1103"/>
      <c r="BF124" s="1104"/>
      <c r="BG124" s="1104"/>
      <c r="BH124" s="1104"/>
      <c r="BI124" s="1104"/>
      <c r="BJ124" s="1103"/>
      <c r="BK124" s="1104"/>
      <c r="BL124" s="1104"/>
      <c r="BM124" s="1104"/>
      <c r="BN124" s="1104"/>
      <c r="BO124" s="1103"/>
    </row>
    <row r="125" spans="1:67" s="1039" customFormat="1" hidden="1" outlineLevel="1">
      <c r="A125" s="1036"/>
      <c r="B125" s="1167"/>
      <c r="C125" s="1100"/>
      <c r="D125" s="1101"/>
      <c r="E125" s="1101"/>
      <c r="F125" s="1101"/>
      <c r="G125" s="1102"/>
      <c r="H125" s="1100"/>
      <c r="I125" s="1100"/>
      <c r="J125" s="1100"/>
      <c r="K125" s="1100"/>
      <c r="L125" s="1103"/>
      <c r="M125" s="1100"/>
      <c r="N125" s="1100"/>
      <c r="O125" s="1100"/>
      <c r="P125" s="1100"/>
      <c r="Q125" s="1103"/>
      <c r="R125" s="1100"/>
      <c r="S125" s="1100"/>
      <c r="T125" s="1101"/>
      <c r="U125" s="1101"/>
      <c r="V125" s="1103"/>
      <c r="W125" s="1100"/>
      <c r="X125" s="1101"/>
      <c r="Y125" s="1101"/>
      <c r="Z125" s="1101"/>
      <c r="AA125" s="1103"/>
      <c r="AB125" s="1100"/>
      <c r="AC125" s="1101"/>
      <c r="AD125" s="1101"/>
      <c r="AE125" s="1101"/>
      <c r="AF125" s="1103"/>
      <c r="AG125" s="1100"/>
      <c r="AH125" s="1101"/>
      <c r="AI125" s="1101"/>
      <c r="AJ125" s="1101"/>
      <c r="AK125" s="1103"/>
      <c r="AL125" s="1100"/>
      <c r="AM125" s="1100"/>
      <c r="AN125" s="1122"/>
      <c r="AO125" s="1101"/>
      <c r="AP125" s="1103"/>
      <c r="AQ125" s="1122"/>
      <c r="AR125" s="1122"/>
      <c r="AS125" s="1100"/>
      <c r="AT125" s="1104"/>
      <c r="AU125" s="1103"/>
      <c r="AV125" s="1104"/>
      <c r="AW125" s="1104"/>
      <c r="AX125" s="1104"/>
      <c r="AY125" s="1104"/>
      <c r="AZ125" s="1103"/>
      <c r="BA125" s="1104"/>
      <c r="BB125" s="1104"/>
      <c r="BC125" s="1104"/>
      <c r="BD125" s="1104"/>
      <c r="BE125" s="1103"/>
      <c r="BF125" s="1104"/>
      <c r="BG125" s="1104"/>
      <c r="BH125" s="1104"/>
      <c r="BI125" s="1104"/>
      <c r="BJ125" s="1103"/>
      <c r="BK125" s="1104"/>
      <c r="BL125" s="1104"/>
      <c r="BM125" s="1104"/>
      <c r="BN125" s="1104"/>
      <c r="BO125" s="1103"/>
    </row>
    <row r="126" spans="1:67" s="1039" customFormat="1" hidden="1" outlineLevel="1">
      <c r="A126" s="1036"/>
      <c r="B126" s="984" t="s">
        <v>11</v>
      </c>
      <c r="C126" s="1100"/>
      <c r="D126" s="1101"/>
      <c r="E126" s="1101"/>
      <c r="F126" s="1101"/>
      <c r="G126" s="1102"/>
      <c r="H126" s="1100"/>
      <c r="I126" s="1101"/>
      <c r="J126" s="1101"/>
      <c r="K126" s="1101"/>
      <c r="L126" s="1102"/>
      <c r="M126" s="1100"/>
      <c r="N126" s="1101"/>
      <c r="O126" s="1101"/>
      <c r="P126" s="1101"/>
      <c r="Q126" s="1102"/>
      <c r="R126" s="1100"/>
      <c r="S126" s="1101"/>
      <c r="T126" s="1101"/>
      <c r="U126" s="1101"/>
      <c r="V126" s="1102"/>
      <c r="W126" s="1100"/>
      <c r="X126" s="1101"/>
      <c r="Y126" s="1101"/>
      <c r="Z126" s="1101"/>
      <c r="AA126" s="1102"/>
      <c r="AB126" s="1100"/>
      <c r="AC126" s="1101"/>
      <c r="AD126" s="1101"/>
      <c r="AE126" s="1101"/>
      <c r="AF126" s="1102"/>
      <c r="AG126" s="1100"/>
      <c r="AH126" s="1101"/>
      <c r="AI126" s="1101"/>
      <c r="AJ126" s="1101"/>
      <c r="AK126" s="1102"/>
      <c r="AL126" s="1100"/>
      <c r="AM126" s="1101"/>
      <c r="AN126" s="1205"/>
      <c r="AO126" s="1101"/>
      <c r="AP126" s="1102"/>
      <c r="AQ126" s="1122"/>
      <c r="AR126" s="1205"/>
      <c r="AS126" s="1101"/>
      <c r="AT126" s="1101"/>
      <c r="AU126" s="1102"/>
      <c r="AV126" s="1100"/>
      <c r="AW126" s="1101"/>
      <c r="AX126" s="1101"/>
      <c r="AY126" s="1101"/>
      <c r="AZ126" s="1102"/>
      <c r="BA126" s="1100"/>
      <c r="BB126" s="1101"/>
      <c r="BC126" s="1101"/>
      <c r="BD126" s="1101"/>
      <c r="BE126" s="1102"/>
      <c r="BF126" s="1100"/>
      <c r="BG126" s="1101"/>
      <c r="BH126" s="1101"/>
      <c r="BI126" s="1101"/>
      <c r="BJ126" s="1102"/>
      <c r="BK126" s="1100"/>
      <c r="BL126" s="1101"/>
      <c r="BM126" s="1101"/>
      <c r="BN126" s="1101"/>
      <c r="BO126" s="1102"/>
    </row>
    <row r="127" spans="1:67" s="1039" customFormat="1" hidden="1" outlineLevel="1">
      <c r="A127" s="1036"/>
      <c r="B127" s="1167" t="s">
        <v>363</v>
      </c>
      <c r="C127" s="1100"/>
      <c r="D127" s="1101"/>
      <c r="E127" s="1101"/>
      <c r="F127" s="1101"/>
      <c r="G127" s="1102"/>
      <c r="H127" s="1100">
        <v>0</v>
      </c>
      <c r="I127" s="1100">
        <v>0</v>
      </c>
      <c r="J127" s="1100">
        <v>0</v>
      </c>
      <c r="K127" s="1100">
        <v>0</v>
      </c>
      <c r="L127" s="1103">
        <f>SUM(H127:K127)</f>
        <v>0</v>
      </c>
      <c r="M127" s="1100">
        <v>0</v>
      </c>
      <c r="N127" s="1100">
        <v>0</v>
      </c>
      <c r="O127" s="1100">
        <v>0</v>
      </c>
      <c r="P127" s="1100">
        <v>0</v>
      </c>
      <c r="Q127" s="1103">
        <f>SUM(M127:P127)</f>
        <v>0</v>
      </c>
      <c r="R127" s="1100">
        <v>0.10299999999999999</v>
      </c>
      <c r="S127" s="1100">
        <v>0.30499999999999999</v>
      </c>
      <c r="T127" s="1101">
        <v>0.309</v>
      </c>
      <c r="U127" s="1101">
        <v>0.35199999999999998</v>
      </c>
      <c r="V127" s="1103">
        <f>SUM(R127:U127)</f>
        <v>1.069</v>
      </c>
      <c r="W127" s="1100">
        <v>0.39700000000000002</v>
      </c>
      <c r="X127" s="1101">
        <v>0.40100000000000002</v>
      </c>
      <c r="Y127" s="1101">
        <v>0.41099999999999998</v>
      </c>
      <c r="Z127" s="1101">
        <v>0.41199999999999998</v>
      </c>
      <c r="AA127" s="1103">
        <f>SUM(W127:Z127)</f>
        <v>1.621</v>
      </c>
      <c r="AB127" s="1100">
        <v>0.41199999999999998</v>
      </c>
      <c r="AC127" s="1101">
        <v>0.41699999999999998</v>
      </c>
      <c r="AD127" s="1101">
        <v>0.45100000000000001</v>
      </c>
      <c r="AE127" s="1101">
        <v>0.45100000000000001</v>
      </c>
      <c r="AF127" s="1103">
        <f>SUM(AB127:AE127)</f>
        <v>1.7310000000000001</v>
      </c>
      <c r="AG127" s="1100">
        <v>0.436</v>
      </c>
      <c r="AH127" s="1101">
        <v>0.45100000000000001</v>
      </c>
      <c r="AI127" s="1101">
        <v>0.45100000000000001</v>
      </c>
      <c r="AJ127" s="1101">
        <v>0.45100000000000001</v>
      </c>
      <c r="AK127" s="1103">
        <f>SUM(AG127:AJ127)</f>
        <v>1.7890000000000001</v>
      </c>
      <c r="AL127" s="1100">
        <v>0.441</v>
      </c>
      <c r="AM127" s="1100">
        <v>0.45100000000000001</v>
      </c>
      <c r="AN127" s="1122">
        <v>0.45100000000000001</v>
      </c>
      <c r="AO127" s="1101">
        <v>0.45100000000000001</v>
      </c>
      <c r="AP127" s="1103">
        <f>SUM(AL127:AO127)</f>
        <v>1.794</v>
      </c>
      <c r="AQ127" s="1122">
        <v>0.33700000000000002</v>
      </c>
      <c r="AR127" s="1122">
        <v>0.54300000000000004</v>
      </c>
      <c r="AS127" s="1100">
        <v>0.124</v>
      </c>
      <c r="AT127" s="1104">
        <f>AT149</f>
        <v>9.450237295181349E-2</v>
      </c>
      <c r="AU127" s="1103">
        <f>SUM(AQ127:AT127)</f>
        <v>1.0985023729518135</v>
      </c>
      <c r="AV127" s="1104">
        <f>AV149</f>
        <v>9.1130356462396506E-2</v>
      </c>
      <c r="AW127" s="1104">
        <f>AW149</f>
        <v>9.1130356462396506E-2</v>
      </c>
      <c r="AX127" s="1104">
        <f>AX149</f>
        <v>9.1130356462396506E-2</v>
      </c>
      <c r="AY127" s="1104">
        <f>AY149</f>
        <v>9.1130356462396506E-2</v>
      </c>
      <c r="AZ127" s="1103">
        <f>SUM(AV127:AY127)</f>
        <v>0.36452142584958602</v>
      </c>
      <c r="BA127" s="1104">
        <f>BA149</f>
        <v>5.6159109017216893E-2</v>
      </c>
      <c r="BB127" s="1104">
        <f>BB149</f>
        <v>5.6159109017216893E-2</v>
      </c>
      <c r="BC127" s="1104">
        <f>BC149</f>
        <v>5.6159109017216893E-2</v>
      </c>
      <c r="BD127" s="1104">
        <f>BD149</f>
        <v>5.6159109017216893E-2</v>
      </c>
      <c r="BE127" s="1103">
        <f>SUM(BA127:BD127)</f>
        <v>0.22463643606886757</v>
      </c>
      <c r="BF127" s="1104">
        <f>BF149</f>
        <v>1.2492569369868707E-2</v>
      </c>
      <c r="BG127" s="1104">
        <f>BG149</f>
        <v>1.2492569369868707E-2</v>
      </c>
      <c r="BH127" s="1104">
        <f>BH149</f>
        <v>1.2492569369868707E-2</v>
      </c>
      <c r="BI127" s="1104">
        <f>BI149</f>
        <v>1.2492569369868707E-2</v>
      </c>
      <c r="BJ127" s="1103">
        <f>SUM(BF127:BI127)</f>
        <v>4.9970277479474828E-2</v>
      </c>
      <c r="BK127" s="1104">
        <f>BK149</f>
        <v>1.2492569369868707E-2</v>
      </c>
      <c r="BL127" s="1104">
        <f>BL149</f>
        <v>1.2492569369868707E-2</v>
      </c>
      <c r="BM127" s="1104">
        <f>BM149</f>
        <v>1.2492569369868707E-2</v>
      </c>
      <c r="BN127" s="1104">
        <f>BN149</f>
        <v>1.2492569369868707E-2</v>
      </c>
      <c r="BO127" s="1103">
        <f>SUM(BK127:BN127)</f>
        <v>4.9970277479474828E-2</v>
      </c>
    </row>
    <row r="128" spans="1:67" s="1039" customFormat="1" hidden="1" outlineLevel="1">
      <c r="A128" s="1036"/>
      <c r="B128" s="1167" t="s">
        <v>365</v>
      </c>
      <c r="C128" s="1100"/>
      <c r="D128" s="1101"/>
      <c r="E128" s="1101"/>
      <c r="F128" s="1101"/>
      <c r="G128" s="1102"/>
      <c r="H128" s="1100">
        <v>0</v>
      </c>
      <c r="I128" s="1100">
        <v>0</v>
      </c>
      <c r="J128" s="1100">
        <v>0</v>
      </c>
      <c r="K128" s="1100">
        <v>0</v>
      </c>
      <c r="L128" s="1103">
        <f>SUM(H128:K128)</f>
        <v>0</v>
      </c>
      <c r="M128" s="1100">
        <v>0.32800000000000001</v>
      </c>
      <c r="N128" s="1100">
        <v>0</v>
      </c>
      <c r="O128" s="1100">
        <v>0</v>
      </c>
      <c r="P128" s="1100">
        <v>0</v>
      </c>
      <c r="Q128" s="1103">
        <f>SUM(M128:P128)</f>
        <v>0.32800000000000001</v>
      </c>
      <c r="R128" s="1100">
        <v>0</v>
      </c>
      <c r="S128" s="1100">
        <v>0.252</v>
      </c>
      <c r="T128" s="1101">
        <v>0</v>
      </c>
      <c r="U128" s="1101">
        <v>4.3999999999999997E-2</v>
      </c>
      <c r="V128" s="1103">
        <f>SUM(R128:U128)</f>
        <v>0.29599999999999999</v>
      </c>
      <c r="W128" s="1100">
        <v>0.47099999999999997</v>
      </c>
      <c r="X128" s="1101">
        <v>-7.4999999999999997E-2</v>
      </c>
      <c r="Y128" s="1101">
        <v>3.5000000000000003E-2</v>
      </c>
      <c r="Z128" s="1101">
        <v>0.14299999999999999</v>
      </c>
      <c r="AA128" s="1103">
        <f>SUM(W128:Z128)</f>
        <v>0.57399999999999995</v>
      </c>
      <c r="AB128" s="1100">
        <v>1.909</v>
      </c>
      <c r="AC128" s="1101">
        <v>0.61399999999999999</v>
      </c>
      <c r="AD128" s="1101">
        <v>3.1120000000000001</v>
      </c>
      <c r="AE128" s="1101">
        <v>4.0880000000000001</v>
      </c>
      <c r="AF128" s="1103">
        <f>SUM(AB128:AE128)</f>
        <v>9.722999999999999</v>
      </c>
      <c r="AG128" s="1100">
        <v>2.629</v>
      </c>
      <c r="AH128" s="1101">
        <v>4.569</v>
      </c>
      <c r="AI128" s="1101">
        <v>2.706</v>
      </c>
      <c r="AJ128" s="1101">
        <v>2.8109999999999999</v>
      </c>
      <c r="AK128" s="1103">
        <f>SUM(AG128:AJ128)</f>
        <v>12.715</v>
      </c>
      <c r="AL128" s="1100">
        <v>0.98199999999999998</v>
      </c>
      <c r="AM128" s="1101">
        <v>1.7829999999999999</v>
      </c>
      <c r="AN128" s="1205">
        <v>1.3340000000000001</v>
      </c>
      <c r="AO128" s="1101">
        <f>3.006+0.761</f>
        <v>3.7669999999999999</v>
      </c>
      <c r="AP128" s="1103">
        <f>SUM(AL128:AO128)</f>
        <v>7.8659999999999997</v>
      </c>
      <c r="AQ128" s="1122">
        <v>0.378</v>
      </c>
      <c r="AR128" s="1205">
        <v>2.1909999999999998</v>
      </c>
      <c r="AS128" s="1101">
        <v>0.88900000000000001</v>
      </c>
      <c r="AT128" s="1101"/>
      <c r="AU128" s="1103">
        <f>SUM(AQ128:AT128)</f>
        <v>3.4580000000000002</v>
      </c>
      <c r="AV128" s="1100"/>
      <c r="AW128" s="1101"/>
      <c r="AX128" s="1101"/>
      <c r="AY128" s="1101"/>
      <c r="AZ128" s="1103">
        <f>SUM(AV128:AY128)</f>
        <v>0</v>
      </c>
      <c r="BA128" s="1100"/>
      <c r="BB128" s="1101"/>
      <c r="BC128" s="1101"/>
      <c r="BD128" s="1101"/>
      <c r="BE128" s="1103">
        <f>SUM(BA128:BD128)</f>
        <v>0</v>
      </c>
      <c r="BF128" s="1100"/>
      <c r="BG128" s="1101"/>
      <c r="BH128" s="1101"/>
      <c r="BI128" s="1101"/>
      <c r="BJ128" s="1103">
        <f>SUM(BF128:BI128)</f>
        <v>0</v>
      </c>
      <c r="BK128" s="1100"/>
      <c r="BL128" s="1101"/>
      <c r="BM128" s="1101"/>
      <c r="BN128" s="1101"/>
      <c r="BO128" s="1103">
        <f>SUM(BK128:BN128)</f>
        <v>0</v>
      </c>
    </row>
    <row r="129" spans="1:67" s="1039" customFormat="1" hidden="1" outlineLevel="1">
      <c r="A129" s="1036"/>
      <c r="B129" s="1167" t="s">
        <v>485</v>
      </c>
      <c r="C129" s="1100"/>
      <c r="D129" s="1101"/>
      <c r="E129" s="1101"/>
      <c r="F129" s="1101"/>
      <c r="G129" s="1102"/>
      <c r="H129" s="1100"/>
      <c r="I129" s="1100"/>
      <c r="J129" s="1100"/>
      <c r="K129" s="1100"/>
      <c r="L129" s="1103"/>
      <c r="M129" s="1100"/>
      <c r="N129" s="1100"/>
      <c r="O129" s="1100"/>
      <c r="P129" s="1100"/>
      <c r="Q129" s="1103"/>
      <c r="R129" s="1100"/>
      <c r="S129" s="1100"/>
      <c r="T129" s="1101"/>
      <c r="U129" s="1101"/>
      <c r="V129" s="1103"/>
      <c r="W129" s="1100"/>
      <c r="X129" s="1101"/>
      <c r="Y129" s="1101"/>
      <c r="Z129" s="1101"/>
      <c r="AA129" s="1103"/>
      <c r="AB129" s="1100"/>
      <c r="AC129" s="1101"/>
      <c r="AD129" s="1101"/>
      <c r="AE129" s="1101"/>
      <c r="AF129" s="1103"/>
      <c r="AG129" s="1100"/>
      <c r="AH129" s="1101"/>
      <c r="AI129" s="1101"/>
      <c r="AJ129" s="1101"/>
      <c r="AK129" s="1103"/>
      <c r="AL129" s="1100"/>
      <c r="AM129" s="1101"/>
      <c r="AN129" s="1205"/>
      <c r="AO129" s="1101"/>
      <c r="AP129" s="1103"/>
      <c r="AQ129" s="1122">
        <v>-0.75</v>
      </c>
      <c r="AR129" s="1205">
        <v>-0.46400000000000002</v>
      </c>
      <c r="AS129" s="1101">
        <v>-0.38900000000000001</v>
      </c>
      <c r="AT129" s="1101"/>
      <c r="AU129" s="1103">
        <f t="shared" ref="AU129:AU130" si="153">SUM(AQ129:AT129)</f>
        <v>-1.603</v>
      </c>
      <c r="AV129" s="1100"/>
      <c r="AW129" s="1101"/>
      <c r="AX129" s="1101"/>
      <c r="AY129" s="1101"/>
      <c r="AZ129" s="1103"/>
      <c r="BA129" s="1100"/>
      <c r="BB129" s="1101"/>
      <c r="BC129" s="1101"/>
      <c r="BD129" s="1101"/>
      <c r="BE129" s="1103"/>
      <c r="BF129" s="1100"/>
      <c r="BG129" s="1101"/>
      <c r="BH129" s="1101"/>
      <c r="BI129" s="1101"/>
      <c r="BJ129" s="1103"/>
      <c r="BK129" s="1100"/>
      <c r="BL129" s="1101"/>
      <c r="BM129" s="1101"/>
      <c r="BN129" s="1101"/>
      <c r="BO129" s="1103"/>
    </row>
    <row r="130" spans="1:67" s="1039" customFormat="1" hidden="1" outlineLevel="1">
      <c r="A130" s="1036"/>
      <c r="B130" s="1167" t="s">
        <v>486</v>
      </c>
      <c r="C130" s="1100"/>
      <c r="D130" s="1101"/>
      <c r="E130" s="1101"/>
      <c r="F130" s="1101"/>
      <c r="G130" s="1102"/>
      <c r="H130" s="1100"/>
      <c r="I130" s="1100"/>
      <c r="J130" s="1100"/>
      <c r="K130" s="1100"/>
      <c r="L130" s="1103"/>
      <c r="M130" s="1100"/>
      <c r="N130" s="1100"/>
      <c r="O130" s="1100"/>
      <c r="P130" s="1100"/>
      <c r="Q130" s="1103"/>
      <c r="R130" s="1100"/>
      <c r="S130" s="1100"/>
      <c r="T130" s="1101"/>
      <c r="U130" s="1101"/>
      <c r="V130" s="1103"/>
      <c r="W130" s="1100"/>
      <c r="X130" s="1101"/>
      <c r="Y130" s="1101"/>
      <c r="Z130" s="1101"/>
      <c r="AA130" s="1103"/>
      <c r="AB130" s="1100"/>
      <c r="AC130" s="1101"/>
      <c r="AD130" s="1101"/>
      <c r="AE130" s="1101"/>
      <c r="AF130" s="1103"/>
      <c r="AG130" s="1100"/>
      <c r="AH130" s="1101"/>
      <c r="AI130" s="1101"/>
      <c r="AJ130" s="1101"/>
      <c r="AK130" s="1103"/>
      <c r="AL130" s="1100"/>
      <c r="AM130" s="1101"/>
      <c r="AN130" s="1205"/>
      <c r="AO130" s="1101"/>
      <c r="AP130" s="1103"/>
      <c r="AQ130" s="1122">
        <v>106.488</v>
      </c>
      <c r="AR130" s="1205">
        <v>2.1320000000000001</v>
      </c>
      <c r="AS130" s="1101">
        <v>6.6000000000000003E-2</v>
      </c>
      <c r="AT130" s="1101"/>
      <c r="AU130" s="1103">
        <f t="shared" si="153"/>
        <v>108.68600000000001</v>
      </c>
      <c r="AV130" s="1100"/>
      <c r="AW130" s="1101"/>
      <c r="AX130" s="1101"/>
      <c r="AY130" s="1101"/>
      <c r="AZ130" s="1103"/>
      <c r="BA130" s="1100"/>
      <c r="BB130" s="1101"/>
      <c r="BC130" s="1101"/>
      <c r="BD130" s="1101"/>
      <c r="BE130" s="1103"/>
      <c r="BF130" s="1100"/>
      <c r="BG130" s="1101"/>
      <c r="BH130" s="1101"/>
      <c r="BI130" s="1101"/>
      <c r="BJ130" s="1103"/>
      <c r="BK130" s="1100"/>
      <c r="BL130" s="1101"/>
      <c r="BM130" s="1101"/>
      <c r="BN130" s="1101"/>
      <c r="BO130" s="1103"/>
    </row>
    <row r="131" spans="1:67" s="1039" customFormat="1" hidden="1" outlineLevel="1">
      <c r="A131" s="1036"/>
      <c r="B131" s="986"/>
      <c r="C131" s="1100"/>
      <c r="D131" s="1101"/>
      <c r="E131" s="1101"/>
      <c r="F131" s="1101"/>
      <c r="G131" s="1102"/>
      <c r="H131" s="1100"/>
      <c r="I131" s="1101"/>
      <c r="J131" s="1101"/>
      <c r="K131" s="1101"/>
      <c r="L131" s="1102"/>
      <c r="M131" s="1100"/>
      <c r="N131" s="1101"/>
      <c r="O131" s="1101"/>
      <c r="P131" s="1101"/>
      <c r="Q131" s="1102"/>
      <c r="R131" s="1100"/>
      <c r="S131" s="1101"/>
      <c r="T131" s="1101"/>
      <c r="U131" s="1101"/>
      <c r="V131" s="1102"/>
      <c r="W131" s="1100"/>
      <c r="X131" s="1101"/>
      <c r="Y131" s="1101"/>
      <c r="Z131" s="1101"/>
      <c r="AA131" s="1102"/>
      <c r="AB131" s="1100"/>
      <c r="AC131" s="1101"/>
      <c r="AD131" s="1101"/>
      <c r="AE131" s="1101"/>
      <c r="AF131" s="1102"/>
      <c r="AG131" s="1100"/>
      <c r="AH131" s="1101"/>
      <c r="AI131" s="1101"/>
      <c r="AJ131" s="1101"/>
      <c r="AK131" s="1102"/>
      <c r="AL131" s="1100"/>
      <c r="AM131" s="1101"/>
      <c r="AN131" s="1205"/>
      <c r="AO131" s="1101"/>
      <c r="AP131" s="1102"/>
      <c r="AQ131" s="1122"/>
      <c r="AR131" s="1205"/>
      <c r="AS131" s="1101"/>
      <c r="AT131" s="1101"/>
      <c r="AU131" s="1102"/>
      <c r="AV131" s="1100"/>
      <c r="AW131" s="1101"/>
      <c r="AX131" s="1101"/>
      <c r="AY131" s="1101"/>
      <c r="AZ131" s="1102"/>
      <c r="BA131" s="1100"/>
      <c r="BB131" s="1101"/>
      <c r="BC131" s="1101"/>
      <c r="BD131" s="1101"/>
      <c r="BE131" s="1102"/>
      <c r="BF131" s="1100"/>
      <c r="BG131" s="1101"/>
      <c r="BH131" s="1101"/>
      <c r="BI131" s="1101"/>
      <c r="BJ131" s="1102"/>
      <c r="BK131" s="1100"/>
      <c r="BL131" s="1101"/>
      <c r="BM131" s="1101"/>
      <c r="BN131" s="1101"/>
      <c r="BO131" s="1102"/>
    </row>
    <row r="132" spans="1:67" s="1039" customFormat="1" hidden="1" outlineLevel="1">
      <c r="A132" s="1036"/>
      <c r="B132" s="1025" t="s">
        <v>468</v>
      </c>
      <c r="C132" s="1100"/>
      <c r="D132" s="1101"/>
      <c r="E132" s="1101"/>
      <c r="F132" s="1101"/>
      <c r="G132" s="1105"/>
      <c r="H132" s="1100"/>
      <c r="I132" s="1101"/>
      <c r="J132" s="1101"/>
      <c r="K132" s="1101"/>
      <c r="L132" s="1103"/>
      <c r="M132" s="1100"/>
      <c r="N132" s="1101"/>
      <c r="O132" s="1101"/>
      <c r="P132" s="1101"/>
      <c r="Q132" s="1103"/>
      <c r="R132" s="1100"/>
      <c r="S132" s="1101"/>
      <c r="T132" s="1101"/>
      <c r="U132" s="1101"/>
      <c r="V132" s="1103"/>
      <c r="W132" s="1100"/>
      <c r="X132" s="1101"/>
      <c r="Y132" s="1101"/>
      <c r="Z132" s="1101"/>
      <c r="AA132" s="1103"/>
      <c r="AB132" s="1100"/>
      <c r="AC132" s="1100"/>
      <c r="AD132" s="1100"/>
      <c r="AE132" s="1101"/>
      <c r="AF132" s="1103"/>
      <c r="AG132" s="1100"/>
      <c r="AH132" s="1101"/>
      <c r="AI132" s="1101"/>
      <c r="AJ132" s="1101"/>
      <c r="AK132" s="1103"/>
      <c r="AL132" s="1100"/>
      <c r="AM132" s="1101"/>
      <c r="AN132" s="1205">
        <v>0.68899999999999995</v>
      </c>
      <c r="AO132" s="1101">
        <v>2.0699999999999998</v>
      </c>
      <c r="AP132" s="1103"/>
      <c r="AQ132" s="1122">
        <v>2.0710000000000002</v>
      </c>
      <c r="AR132" s="1205">
        <v>2.0739999999999998</v>
      </c>
      <c r="AS132" s="1101">
        <v>2.0750000000000002</v>
      </c>
      <c r="AT132" s="1101"/>
      <c r="AU132" s="1103">
        <f>SUM(AQ132:AT132)</f>
        <v>6.22</v>
      </c>
      <c r="AV132" s="1100"/>
      <c r="AW132" s="1101"/>
      <c r="AX132" s="1101"/>
      <c r="AY132" s="1101"/>
      <c r="AZ132" s="1103"/>
      <c r="BA132" s="1100"/>
      <c r="BB132" s="1101"/>
      <c r="BC132" s="1101"/>
      <c r="BD132" s="1101"/>
      <c r="BE132" s="1103"/>
      <c r="BF132" s="1100"/>
      <c r="BG132" s="1101"/>
      <c r="BH132" s="1101"/>
      <c r="BI132" s="1101"/>
      <c r="BJ132" s="1103"/>
      <c r="BK132" s="1100"/>
      <c r="BL132" s="1101"/>
      <c r="BM132" s="1101"/>
      <c r="BN132" s="1101"/>
      <c r="BO132" s="1103"/>
    </row>
    <row r="133" spans="1:67" s="1039" customFormat="1" hidden="1" outlineLevel="1">
      <c r="A133" s="1036"/>
      <c r="B133" s="1025" t="s">
        <v>366</v>
      </c>
      <c r="C133" s="1100"/>
      <c r="D133" s="1101"/>
      <c r="E133" s="1101"/>
      <c r="F133" s="1101"/>
      <c r="G133" s="1102"/>
      <c r="H133" s="1100"/>
      <c r="I133" s="1101"/>
      <c r="J133" s="1101"/>
      <c r="K133" s="1101"/>
      <c r="L133" s="1103">
        <f>SUM(H133:K133)</f>
        <v>0</v>
      </c>
      <c r="M133" s="1100"/>
      <c r="N133" s="1101"/>
      <c r="O133" s="1101"/>
      <c r="P133" s="1101"/>
      <c r="Q133" s="1103">
        <f>SUM(M133:P133)</f>
        <v>0</v>
      </c>
      <c r="R133" s="1100"/>
      <c r="S133" s="1101"/>
      <c r="T133" s="1101"/>
      <c r="U133" s="1101"/>
      <c r="V133" s="1103">
        <f>SUM(R133:U133)</f>
        <v>0</v>
      </c>
      <c r="W133" s="1100"/>
      <c r="X133" s="1101"/>
      <c r="Y133" s="1101"/>
      <c r="Z133" s="1101"/>
      <c r="AA133" s="1103">
        <f>SUM(W133:Z133)</f>
        <v>0</v>
      </c>
      <c r="AB133" s="1100">
        <v>0</v>
      </c>
      <c r="AC133" s="1100">
        <v>0</v>
      </c>
      <c r="AD133" s="1101">
        <v>-9.5009999999999994</v>
      </c>
      <c r="AE133" s="1101">
        <v>-16.635000000000002</v>
      </c>
      <c r="AF133" s="1103">
        <f>SUM(AB133:AE133)</f>
        <v>-26.136000000000003</v>
      </c>
      <c r="AG133" s="1100">
        <v>-25.631</v>
      </c>
      <c r="AH133" s="1101">
        <v>-31.946999999999999</v>
      </c>
      <c r="AI133" s="1101">
        <v>-28.135999999999999</v>
      </c>
      <c r="AJ133" s="1101">
        <v>-49.087000000000003</v>
      </c>
      <c r="AK133" s="1103">
        <f>SUM(AG133:AJ133)</f>
        <v>-134.80099999999999</v>
      </c>
      <c r="AL133" s="1100">
        <v>-15.555</v>
      </c>
      <c r="AM133" s="1101">
        <v>-18.183</v>
      </c>
      <c r="AN133" s="1205">
        <v>-23.82</v>
      </c>
      <c r="AO133" s="1101">
        <v>-43.731000000000002</v>
      </c>
      <c r="AP133" s="1103">
        <f>SUM(AL133:AO133)</f>
        <v>-101.289</v>
      </c>
      <c r="AQ133" s="1122">
        <v>-23.462</v>
      </c>
      <c r="AR133" s="1205">
        <v>-43.006</v>
      </c>
      <c r="AS133" s="1101">
        <v>-39.999000000000002</v>
      </c>
      <c r="AT133" s="1101"/>
      <c r="AU133" s="1103">
        <f>SUM(AQ133:AT133)</f>
        <v>-106.46700000000001</v>
      </c>
      <c r="AV133" s="1100"/>
      <c r="AW133" s="1101"/>
      <c r="AX133" s="1101"/>
      <c r="AY133" s="1101"/>
      <c r="AZ133" s="1103">
        <f>SUM(AV133:AY133)</f>
        <v>0</v>
      </c>
      <c r="BA133" s="1100"/>
      <c r="BB133" s="1101"/>
      <c r="BC133" s="1101"/>
      <c r="BD133" s="1101"/>
      <c r="BE133" s="1103">
        <f>SUM(BA133:BD133)</f>
        <v>0</v>
      </c>
      <c r="BF133" s="1100"/>
      <c r="BG133" s="1101"/>
      <c r="BH133" s="1101"/>
      <c r="BI133" s="1101"/>
      <c r="BJ133" s="1103">
        <f>SUM(BF133:BI133)</f>
        <v>0</v>
      </c>
      <c r="BK133" s="1100"/>
      <c r="BL133" s="1101"/>
      <c r="BM133" s="1101"/>
      <c r="BN133" s="1101"/>
      <c r="BO133" s="1103">
        <f>SUM(BK133:BN133)</f>
        <v>0</v>
      </c>
    </row>
    <row r="134" spans="1:67" s="1039" customFormat="1" hidden="1" outlineLevel="1">
      <c r="A134" s="1036"/>
      <c r="B134" s="1025" t="s">
        <v>367</v>
      </c>
      <c r="C134" s="1100"/>
      <c r="D134" s="1101"/>
      <c r="E134" s="1101"/>
      <c r="F134" s="1101"/>
      <c r="G134" s="1105"/>
      <c r="H134" s="1100"/>
      <c r="I134" s="1101"/>
      <c r="J134" s="1101"/>
      <c r="K134" s="1101"/>
      <c r="L134" s="1103">
        <f>SUM(H134:K134)</f>
        <v>0</v>
      </c>
      <c r="M134" s="1100"/>
      <c r="N134" s="1101"/>
      <c r="O134" s="1101"/>
      <c r="P134" s="1101"/>
      <c r="Q134" s="1103">
        <f>SUM(M134:P134)</f>
        <v>0</v>
      </c>
      <c r="R134" s="1100"/>
      <c r="S134" s="1101"/>
      <c r="T134" s="1101"/>
      <c r="U134" s="1101"/>
      <c r="V134" s="1103">
        <f>SUM(R134:U134)</f>
        <v>0</v>
      </c>
      <c r="W134" s="1100"/>
      <c r="X134" s="1101"/>
      <c r="Y134" s="1101"/>
      <c r="Z134" s="1101"/>
      <c r="AA134" s="1103">
        <f>SUM(W134:Z134)</f>
        <v>0</v>
      </c>
      <c r="AB134" s="1100">
        <v>0</v>
      </c>
      <c r="AC134" s="1100">
        <v>0</v>
      </c>
      <c r="AD134" s="1100">
        <v>-0.375</v>
      </c>
      <c r="AE134" s="1101">
        <v>1.4E-2</v>
      </c>
      <c r="AF134" s="1103">
        <f>SUM(AB134:AE134)</f>
        <v>-0.36099999999999999</v>
      </c>
      <c r="AG134" s="1100">
        <v>-0.06</v>
      </c>
      <c r="AH134" s="1101">
        <v>-0.05</v>
      </c>
      <c r="AI134" s="1101">
        <v>-6.4000000000000001E-2</v>
      </c>
      <c r="AJ134" s="1101">
        <v>-6.2E-2</v>
      </c>
      <c r="AK134" s="1103">
        <f>SUM(AG134:AJ134)</f>
        <v>-0.23599999999999999</v>
      </c>
      <c r="AL134" s="1100">
        <v>-0.113</v>
      </c>
      <c r="AM134" s="1101">
        <v>-0.11700000000000001</v>
      </c>
      <c r="AN134" s="1205">
        <v>-3.7189999999999999</v>
      </c>
      <c r="AO134" s="1101">
        <v>1.7270000000000001</v>
      </c>
      <c r="AP134" s="1103">
        <f>SUM(AL134:AO134)</f>
        <v>-2.2219999999999995</v>
      </c>
      <c r="AQ134" s="1122">
        <v>-0.14699999999999999</v>
      </c>
      <c r="AR134" s="1205">
        <v>0.39</v>
      </c>
      <c r="AS134" s="1101">
        <v>2.278</v>
      </c>
      <c r="AT134" s="1101"/>
      <c r="AU134" s="1103">
        <f>SUM(AQ134:AT134)</f>
        <v>2.5209999999999999</v>
      </c>
      <c r="AV134" s="1100"/>
      <c r="AW134" s="1101"/>
      <c r="AX134" s="1101"/>
      <c r="AY134" s="1101"/>
      <c r="AZ134" s="1103">
        <f>SUM(AV134:AY134)</f>
        <v>0</v>
      </c>
      <c r="BA134" s="1100"/>
      <c r="BB134" s="1101"/>
      <c r="BC134" s="1101"/>
      <c r="BD134" s="1101"/>
      <c r="BE134" s="1103">
        <f>SUM(BA134:BD134)</f>
        <v>0</v>
      </c>
      <c r="BF134" s="1100"/>
      <c r="BG134" s="1101"/>
      <c r="BH134" s="1101"/>
      <c r="BI134" s="1101"/>
      <c r="BJ134" s="1103">
        <f>SUM(BF134:BI134)</f>
        <v>0</v>
      </c>
      <c r="BK134" s="1100"/>
      <c r="BL134" s="1101"/>
      <c r="BM134" s="1101"/>
      <c r="BN134" s="1101"/>
      <c r="BO134" s="1103">
        <f>SUM(BK134:BN134)</f>
        <v>0</v>
      </c>
    </row>
    <row r="135" spans="1:67" collapsed="1">
      <c r="C135" s="370"/>
      <c r="D135" s="564"/>
      <c r="E135" s="564"/>
      <c r="F135" s="564"/>
      <c r="G135" s="567"/>
      <c r="H135" s="370"/>
      <c r="I135" s="564"/>
      <c r="J135" s="564"/>
      <c r="K135" s="564"/>
      <c r="L135" s="567"/>
      <c r="M135" s="370"/>
      <c r="N135" s="564"/>
      <c r="O135" s="564"/>
      <c r="P135" s="564"/>
      <c r="Q135" s="567"/>
      <c r="R135" s="370"/>
      <c r="S135" s="564"/>
      <c r="T135" s="564"/>
      <c r="U135" s="564"/>
      <c r="V135" s="567"/>
      <c r="W135" s="370"/>
      <c r="X135" s="564"/>
      <c r="Y135" s="564"/>
      <c r="Z135" s="564"/>
      <c r="AA135" s="567"/>
      <c r="AB135" s="370"/>
      <c r="AC135" s="564"/>
      <c r="AD135" s="564"/>
      <c r="AE135" s="564"/>
      <c r="AF135" s="567"/>
      <c r="AG135" s="370"/>
      <c r="AH135" s="564"/>
      <c r="AI135" s="564"/>
      <c r="AJ135" s="564"/>
      <c r="AK135" s="567"/>
      <c r="AL135" s="370"/>
      <c r="AM135" s="564"/>
      <c r="AN135" s="585"/>
      <c r="AO135" s="564"/>
      <c r="AP135" s="567"/>
      <c r="AQ135" s="370"/>
      <c r="AR135" s="585"/>
      <c r="AS135" s="564"/>
      <c r="AT135" s="564"/>
      <c r="AU135" s="567"/>
      <c r="AV135" s="370"/>
      <c r="AW135" s="564"/>
      <c r="AX135" s="564"/>
      <c r="AY135" s="564"/>
      <c r="AZ135" s="567"/>
      <c r="BA135" s="370"/>
      <c r="BB135" s="564"/>
      <c r="BC135" s="564"/>
      <c r="BD135" s="564"/>
      <c r="BE135" s="567"/>
      <c r="BF135" s="370"/>
      <c r="BG135" s="564"/>
      <c r="BH135" s="564"/>
      <c r="BI135" s="564"/>
      <c r="BJ135" s="567"/>
      <c r="BK135" s="370"/>
      <c r="BL135" s="564"/>
      <c r="BM135" s="564"/>
      <c r="BN135" s="564"/>
      <c r="BO135" s="567"/>
    </row>
    <row r="136" spans="1:67">
      <c r="B136" s="986" t="s">
        <v>368</v>
      </c>
      <c r="C136" s="370"/>
      <c r="D136" s="564"/>
      <c r="E136" s="564"/>
      <c r="F136" s="564"/>
      <c r="G136" s="567"/>
      <c r="H136" s="370"/>
      <c r="I136" s="564"/>
      <c r="J136" s="564"/>
      <c r="K136" s="564"/>
      <c r="L136" s="567"/>
      <c r="M136" s="370"/>
      <c r="N136" s="564"/>
      <c r="O136" s="564"/>
      <c r="P136" s="564"/>
      <c r="Q136" s="567"/>
      <c r="R136" s="370"/>
      <c r="S136" s="564"/>
      <c r="T136" s="564"/>
      <c r="U136" s="564"/>
      <c r="V136" s="567"/>
      <c r="W136" s="370"/>
      <c r="X136" s="564"/>
      <c r="Y136" s="564"/>
      <c r="Z136" s="564"/>
      <c r="AA136" s="567"/>
      <c r="AB136" s="370"/>
      <c r="AC136" s="564"/>
      <c r="AD136" s="564"/>
      <c r="AE136" s="564"/>
      <c r="AF136" s="567"/>
      <c r="AG136" s="370"/>
      <c r="AH136" s="564"/>
      <c r="AI136" s="564"/>
      <c r="AJ136" s="564"/>
      <c r="AK136" s="567"/>
      <c r="AL136" s="370"/>
      <c r="AM136" s="564"/>
      <c r="AN136" s="585"/>
      <c r="AO136" s="564"/>
      <c r="AP136" s="567"/>
      <c r="AQ136" s="370"/>
      <c r="AR136" s="585"/>
      <c r="AS136" s="564"/>
      <c r="AT136" s="564"/>
      <c r="AU136" s="567"/>
      <c r="AV136" s="370"/>
      <c r="AW136" s="564"/>
      <c r="AX136" s="564"/>
      <c r="AY136" s="564"/>
      <c r="AZ136" s="567"/>
      <c r="BA136" s="370"/>
      <c r="BB136" s="564"/>
      <c r="BC136" s="564"/>
      <c r="BD136" s="564"/>
      <c r="BE136" s="567"/>
      <c r="BF136" s="370"/>
      <c r="BG136" s="564"/>
      <c r="BH136" s="564"/>
      <c r="BI136" s="564"/>
      <c r="BJ136" s="567"/>
      <c r="BK136" s="370"/>
      <c r="BL136" s="564"/>
      <c r="BM136" s="564"/>
      <c r="BN136" s="564"/>
      <c r="BO136" s="567"/>
    </row>
    <row r="137" spans="1:67" s="1098" customFormat="1" hidden="1" outlineLevel="1">
      <c r="A137" s="1095"/>
      <c r="B137" s="1161" t="s">
        <v>150</v>
      </c>
      <c r="C137" s="1096">
        <f>C113</f>
        <v>0</v>
      </c>
      <c r="D137" s="1096">
        <f>D113</f>
        <v>0</v>
      </c>
      <c r="E137" s="1096">
        <f>E113</f>
        <v>0</v>
      </c>
      <c r="F137" s="1096">
        <f>F113</f>
        <v>0</v>
      </c>
      <c r="G137" s="1097">
        <f>SUM(C137:F137)</f>
        <v>0</v>
      </c>
      <c r="H137" s="1096">
        <f>H113</f>
        <v>0</v>
      </c>
      <c r="I137" s="1096">
        <f>I113</f>
        <v>0</v>
      </c>
      <c r="J137" s="1096">
        <f>J113</f>
        <v>0</v>
      </c>
      <c r="K137" s="1096">
        <f>K113</f>
        <v>0</v>
      </c>
      <c r="L137" s="1097">
        <f>SUM(H137:K137)</f>
        <v>0</v>
      </c>
      <c r="M137" s="1096">
        <f>M113</f>
        <v>8.4000000000000005E-2</v>
      </c>
      <c r="N137" s="1096">
        <f>N113</f>
        <v>0.20200000000000001</v>
      </c>
      <c r="O137" s="1096">
        <f>O113</f>
        <v>0.28199999999999997</v>
      </c>
      <c r="P137" s="1096">
        <f>P113</f>
        <v>0.28100000000000003</v>
      </c>
      <c r="Q137" s="1097">
        <f>SUM(M137:P137)</f>
        <v>0.84900000000000009</v>
      </c>
      <c r="R137" s="1096">
        <f>R113</f>
        <v>0.28199999999999997</v>
      </c>
      <c r="S137" s="1096">
        <f>S113</f>
        <v>0.28100000000000003</v>
      </c>
      <c r="T137" s="1096">
        <f>T113</f>
        <v>0.56699999999999995</v>
      </c>
      <c r="U137" s="1096">
        <f>U113</f>
        <v>0.56599999999999995</v>
      </c>
      <c r="V137" s="1097">
        <f>SUM(R137:U137)</f>
        <v>1.6959999999999997</v>
      </c>
      <c r="W137" s="1096">
        <f>W113</f>
        <v>0.56699999999999995</v>
      </c>
      <c r="X137" s="1096">
        <f>X113</f>
        <v>0.56599999999999995</v>
      </c>
      <c r="Y137" s="1096">
        <f>Y113</f>
        <v>0.56699999999999995</v>
      </c>
      <c r="Z137" s="1096">
        <f>Z113</f>
        <v>0.56599999999999995</v>
      </c>
      <c r="AA137" s="1097">
        <f>SUM(W137:Z137)</f>
        <v>2.266</v>
      </c>
      <c r="AB137" s="1096">
        <f>AB113</f>
        <v>0.56699999999999995</v>
      </c>
      <c r="AC137" s="1096">
        <f>AC113</f>
        <v>0.56599999999999995</v>
      </c>
      <c r="AD137" s="1096">
        <f>AD113</f>
        <v>1.2989999999999999</v>
      </c>
      <c r="AE137" s="1096">
        <f>AE113</f>
        <v>2.335</v>
      </c>
      <c r="AF137" s="1097">
        <f>SUM(AB137:AE137)</f>
        <v>4.7669999999999995</v>
      </c>
      <c r="AG137" s="1096">
        <f>AG113</f>
        <v>4.5810000000000004</v>
      </c>
      <c r="AH137" s="1096">
        <f>AH113</f>
        <v>7.8769999999999998</v>
      </c>
      <c r="AI137" s="1096">
        <f>AI113</f>
        <v>9.1850000000000005</v>
      </c>
      <c r="AJ137" s="1096">
        <f>AJ113</f>
        <v>9.76</v>
      </c>
      <c r="AK137" s="1097">
        <f>SUM(AG137:AJ137)</f>
        <v>31.402999999999999</v>
      </c>
      <c r="AL137" s="1096">
        <f>AL113</f>
        <v>10.147</v>
      </c>
      <c r="AM137" s="1096">
        <f>AM113</f>
        <v>10.336</v>
      </c>
      <c r="AN137" s="1274">
        <f>AN113</f>
        <v>10.324999999999999</v>
      </c>
      <c r="AO137" s="1096">
        <f>AO113</f>
        <v>11.67</v>
      </c>
      <c r="AP137" s="1097">
        <f>SUM(AL137:AO137)</f>
        <v>42.478000000000002</v>
      </c>
      <c r="AQ137" s="1096">
        <f>AQ113</f>
        <v>11.734999999999999</v>
      </c>
      <c r="AR137" s="1274">
        <f>AR113</f>
        <v>13.552</v>
      </c>
      <c r="AS137" s="1274">
        <f>AS113</f>
        <v>14.193</v>
      </c>
      <c r="AT137" s="1096">
        <f>AT138*AT$152</f>
        <v>10.816711123428137</v>
      </c>
      <c r="AU137" s="1097">
        <f>SUM(AQ137:AT137)</f>
        <v>50.296711123428132</v>
      </c>
      <c r="AV137" s="1096">
        <f>AV138*AV$152</f>
        <v>10.430751203796724</v>
      </c>
      <c r="AW137" s="1096">
        <f>AW138*AW$152</f>
        <v>10.430751203796724</v>
      </c>
      <c r="AX137" s="1096">
        <f>AX138*AX$152</f>
        <v>10.430751203796724</v>
      </c>
      <c r="AY137" s="1096">
        <f>AY138*AY$152</f>
        <v>10.430751203796724</v>
      </c>
      <c r="AZ137" s="1097">
        <f>SUM(AV137:AY137)</f>
        <v>41.723004815186897</v>
      </c>
      <c r="BA137" s="1096">
        <f t="shared" ref="BA137:BN137" si="154">BA138*BA$152</f>
        <v>6.4279535022690277</v>
      </c>
      <c r="BB137" s="1096">
        <f t="shared" si="154"/>
        <v>6.4279535022690277</v>
      </c>
      <c r="BC137" s="1096">
        <f t="shared" si="154"/>
        <v>6.4279535022690277</v>
      </c>
      <c r="BD137" s="1096">
        <f t="shared" si="154"/>
        <v>6.4279535022690277</v>
      </c>
      <c r="BE137" s="1097">
        <f>SUM(BA137:BD137)</f>
        <v>25.711814009076111</v>
      </c>
      <c r="BF137" s="1096">
        <f t="shared" si="154"/>
        <v>1.4298954602140854</v>
      </c>
      <c r="BG137" s="1096">
        <f t="shared" si="154"/>
        <v>1.4298954602140854</v>
      </c>
      <c r="BH137" s="1096">
        <f t="shared" si="154"/>
        <v>1.4298954602140854</v>
      </c>
      <c r="BI137" s="1096">
        <f t="shared" si="154"/>
        <v>1.4298954602140854</v>
      </c>
      <c r="BJ137" s="1097">
        <f>SUM(BF137:BI137)</f>
        <v>5.7195818408563417</v>
      </c>
      <c r="BK137" s="1096">
        <f t="shared" si="154"/>
        <v>1.4298954602140854</v>
      </c>
      <c r="BL137" s="1096">
        <f t="shared" si="154"/>
        <v>1.4298954602140854</v>
      </c>
      <c r="BM137" s="1096">
        <f t="shared" si="154"/>
        <v>1.4298954602140854</v>
      </c>
      <c r="BN137" s="1096">
        <f t="shared" si="154"/>
        <v>1.4298954602140854</v>
      </c>
      <c r="BO137" s="1097">
        <f>SUM(BK137:BN137)</f>
        <v>5.7195818408563417</v>
      </c>
    </row>
    <row r="138" spans="1:67" s="677" customFormat="1" hidden="1" outlineLevel="1">
      <c r="A138" s="664"/>
      <c r="B138" s="1023" t="s">
        <v>381</v>
      </c>
      <c r="C138" s="663" t="str">
        <f>IFERROR(C137/C$152,"--")</f>
        <v>--</v>
      </c>
      <c r="D138" s="663" t="str">
        <f>IFERROR(D137/D$152,"--")</f>
        <v>--</v>
      </c>
      <c r="E138" s="663" t="str">
        <f>IFERROR(E137/E$152,"--")</f>
        <v>--</v>
      </c>
      <c r="F138" s="663" t="str">
        <f>IFERROR(F137/F$152,"--")</f>
        <v>--</v>
      </c>
      <c r="G138" s="679"/>
      <c r="H138" s="663">
        <f>IFERROR(H137/H$152,"--")</f>
        <v>0</v>
      </c>
      <c r="I138" s="663">
        <f>IFERROR(I137/I$152,"--")</f>
        <v>0</v>
      </c>
      <c r="J138" s="663">
        <f>IFERROR(J137/J$152,"--")</f>
        <v>0</v>
      </c>
      <c r="K138" s="663">
        <f>IFERROR(K137/K$152,"--")</f>
        <v>0</v>
      </c>
      <c r="L138" s="679"/>
      <c r="M138" s="663">
        <f>IFERROR(M137/M$152,"--")</f>
        <v>0.90322580645161299</v>
      </c>
      <c r="N138" s="663">
        <f>IFERROR(N137/N$152,"--")</f>
        <v>0.92237442922374424</v>
      </c>
      <c r="O138" s="663">
        <f>IFERROR(O137/O$152,"--")</f>
        <v>0.94630872483221473</v>
      </c>
      <c r="P138" s="663">
        <f>IFERROR(P137/P$152,"--")</f>
        <v>0.94612794612794604</v>
      </c>
      <c r="Q138" s="679"/>
      <c r="R138" s="663">
        <f t="shared" ref="R138:AN138" si="155">IFERROR(R137/R$152,"--")</f>
        <v>0.71212121212121215</v>
      </c>
      <c r="S138" s="663">
        <f t="shared" si="155"/>
        <v>0.4787052810902897</v>
      </c>
      <c r="T138" s="663">
        <f t="shared" si="155"/>
        <v>0.64726027397260277</v>
      </c>
      <c r="U138" s="663">
        <f t="shared" si="155"/>
        <v>0.61655773420479298</v>
      </c>
      <c r="V138" s="679">
        <f t="shared" si="155"/>
        <v>0.6107310046813107</v>
      </c>
      <c r="W138" s="663">
        <f t="shared" si="155"/>
        <v>0.31170973062122043</v>
      </c>
      <c r="X138" s="663">
        <f t="shared" si="155"/>
        <v>0.29649030906233625</v>
      </c>
      <c r="Y138" s="663">
        <f t="shared" si="155"/>
        <v>0.29500520291363164</v>
      </c>
      <c r="Z138" s="663">
        <f t="shared" si="155"/>
        <v>0.25987144168962351</v>
      </c>
      <c r="AA138" s="679">
        <f t="shared" si="155"/>
        <v>0.28947368421052633</v>
      </c>
      <c r="AB138" s="663">
        <f t="shared" si="155"/>
        <v>0.10716310716310716</v>
      </c>
      <c r="AC138" s="663">
        <f t="shared" si="155"/>
        <v>5.4967466252306488E-2</v>
      </c>
      <c r="AD138" s="663">
        <f t="shared" si="155"/>
        <v>0.11715367965367963</v>
      </c>
      <c r="AE138" s="663">
        <f t="shared" si="155"/>
        <v>0.19214944042132981</v>
      </c>
      <c r="AF138" s="679">
        <f t="shared" si="155"/>
        <v>0.12277222622849487</v>
      </c>
      <c r="AG138" s="663">
        <f t="shared" si="155"/>
        <v>0.29376683339746062</v>
      </c>
      <c r="AH138" s="663">
        <f t="shared" si="155"/>
        <v>0.37875655142568637</v>
      </c>
      <c r="AI138" s="663">
        <f t="shared" si="155"/>
        <v>0.40825851186772155</v>
      </c>
      <c r="AJ138" s="663">
        <f t="shared" si="155"/>
        <v>0.41787977393389281</v>
      </c>
      <c r="AK138" s="679">
        <f t="shared" si="155"/>
        <v>0.38182260319776279</v>
      </c>
      <c r="AL138" s="663">
        <f t="shared" si="155"/>
        <v>0.43280017061207082</v>
      </c>
      <c r="AM138" s="663">
        <f t="shared" si="155"/>
        <v>0.43194450248652266</v>
      </c>
      <c r="AN138" s="1275">
        <f t="shared" si="155"/>
        <v>0.42976066597294482</v>
      </c>
      <c r="AO138" s="663">
        <f>IFERROR(AO137/AO$152,"--")</f>
        <v>0.4579523603971275</v>
      </c>
      <c r="AP138" s="679">
        <f>IFERROR(AP137/AP$152,"--")</f>
        <v>0.43845089903181189</v>
      </c>
      <c r="AQ138" s="663">
        <f t="shared" ref="AQ138:AS138" si="156">IFERROR(AQ137/AQ$152,"--")</f>
        <v>0.48723271745899932</v>
      </c>
      <c r="AR138" s="1275">
        <f t="shared" si="156"/>
        <v>0.48735929801848454</v>
      </c>
      <c r="AS138" s="1275">
        <f t="shared" si="156"/>
        <v>0.49166868742855169</v>
      </c>
      <c r="AT138" s="1083">
        <f>AS138</f>
        <v>0.49166868742855169</v>
      </c>
      <c r="AU138" s="671">
        <f>IFERROR(AU137/AU$152,"--")</f>
        <v>0.48946283170747223</v>
      </c>
      <c r="AV138" s="1083">
        <f>AT138</f>
        <v>0.49166868742855169</v>
      </c>
      <c r="AW138" s="1083">
        <f>AV138</f>
        <v>0.49166868742855169</v>
      </c>
      <c r="AX138" s="1083">
        <f>AW138</f>
        <v>0.49166868742855169</v>
      </c>
      <c r="AY138" s="1083">
        <f>AX138</f>
        <v>0.49166868742855169</v>
      </c>
      <c r="AZ138" s="671">
        <f>IFERROR(AZ137/AZ$152,"--")</f>
        <v>0.49166868742855169</v>
      </c>
      <c r="BA138" s="1083">
        <f>AY138</f>
        <v>0.49166868742855169</v>
      </c>
      <c r="BB138" s="1083">
        <f>BA138</f>
        <v>0.49166868742855169</v>
      </c>
      <c r="BC138" s="1083">
        <f>BB138</f>
        <v>0.49166868742855169</v>
      </c>
      <c r="BD138" s="1083">
        <f>BC138</f>
        <v>0.49166868742855169</v>
      </c>
      <c r="BE138" s="671">
        <f>IFERROR(BE137/BE$152,"--")</f>
        <v>0.49166868742855169</v>
      </c>
      <c r="BF138" s="1083">
        <f>BD138</f>
        <v>0.49166868742855169</v>
      </c>
      <c r="BG138" s="1083">
        <f>BF138</f>
        <v>0.49166868742855169</v>
      </c>
      <c r="BH138" s="1083">
        <f>BG138</f>
        <v>0.49166868742855169</v>
      </c>
      <c r="BI138" s="1083">
        <f>BH138</f>
        <v>0.49166868742855169</v>
      </c>
      <c r="BJ138" s="671">
        <f>IFERROR(BJ137/BJ$152,"--")</f>
        <v>0.49166868742855174</v>
      </c>
      <c r="BK138" s="1083">
        <f>BI138</f>
        <v>0.49166868742855169</v>
      </c>
      <c r="BL138" s="1083">
        <f>BK138</f>
        <v>0.49166868742855169</v>
      </c>
      <c r="BM138" s="1083">
        <f>BL138</f>
        <v>0.49166868742855169</v>
      </c>
      <c r="BN138" s="1083">
        <f>BM138</f>
        <v>0.49166868742855169</v>
      </c>
      <c r="BO138" s="671">
        <f>IFERROR(BO137/BO$152,"--")</f>
        <v>0.49166868742855174</v>
      </c>
    </row>
    <row r="139" spans="1:67" hidden="1" outlineLevel="1">
      <c r="B139" s="986"/>
      <c r="C139" s="370"/>
      <c r="D139" s="370"/>
      <c r="E139" s="370"/>
      <c r="F139" s="370"/>
      <c r="G139" s="567"/>
      <c r="H139" s="370"/>
      <c r="I139" s="370"/>
      <c r="J139" s="370"/>
      <c r="K139" s="370"/>
      <c r="L139" s="567"/>
      <c r="M139" s="370"/>
      <c r="N139" s="370"/>
      <c r="O139" s="370"/>
      <c r="P139" s="370"/>
      <c r="Q139" s="567"/>
      <c r="R139" s="370"/>
      <c r="S139" s="370"/>
      <c r="T139" s="370"/>
      <c r="U139" s="370"/>
      <c r="V139" s="567"/>
      <c r="W139" s="370"/>
      <c r="X139" s="370"/>
      <c r="Y139" s="370"/>
      <c r="Z139" s="370"/>
      <c r="AA139" s="567"/>
      <c r="AB139" s="370"/>
      <c r="AC139" s="370"/>
      <c r="AD139" s="370"/>
      <c r="AE139" s="370"/>
      <c r="AF139" s="567"/>
      <c r="AG139" s="370"/>
      <c r="AH139" s="370"/>
      <c r="AI139" s="370"/>
      <c r="AJ139" s="370"/>
      <c r="AK139" s="567"/>
      <c r="AL139" s="370"/>
      <c r="AM139" s="370"/>
      <c r="AN139" s="1276"/>
      <c r="AO139" s="370"/>
      <c r="AP139" s="567"/>
      <c r="AQ139" s="370"/>
      <c r="AR139" s="1276"/>
      <c r="AS139" s="1276"/>
      <c r="AT139" s="564"/>
      <c r="AU139" s="702"/>
      <c r="AV139" s="370"/>
      <c r="AW139" s="564"/>
      <c r="AX139" s="564"/>
      <c r="AY139" s="564"/>
      <c r="AZ139" s="702"/>
      <c r="BA139" s="370"/>
      <c r="BB139" s="564"/>
      <c r="BC139" s="564"/>
      <c r="BD139" s="564"/>
      <c r="BE139" s="702"/>
      <c r="BF139" s="370"/>
      <c r="BG139" s="564"/>
      <c r="BH139" s="564"/>
      <c r="BI139" s="564"/>
      <c r="BJ139" s="702"/>
      <c r="BK139" s="370"/>
      <c r="BL139" s="564"/>
      <c r="BM139" s="564"/>
      <c r="BN139" s="564"/>
      <c r="BO139" s="702"/>
    </row>
    <row r="140" spans="1:67" s="1098" customFormat="1" hidden="1" outlineLevel="1">
      <c r="A140" s="1095"/>
      <c r="B140" s="1161" t="s">
        <v>369</v>
      </c>
      <c r="C140" s="1096">
        <f>C117</f>
        <v>0</v>
      </c>
      <c r="D140" s="1096">
        <f>D117</f>
        <v>0</v>
      </c>
      <c r="E140" s="1096">
        <f>E117</f>
        <v>0</v>
      </c>
      <c r="F140" s="1096">
        <f>F117</f>
        <v>0</v>
      </c>
      <c r="G140" s="1097">
        <f>SUM(C140:F140)</f>
        <v>0</v>
      </c>
      <c r="H140" s="1096">
        <f>H117</f>
        <v>0</v>
      </c>
      <c r="I140" s="1096">
        <f>I117</f>
        <v>0</v>
      </c>
      <c r="J140" s="1096">
        <f>J117</f>
        <v>0</v>
      </c>
      <c r="K140" s="1096">
        <f>K117</f>
        <v>0</v>
      </c>
      <c r="L140" s="1097">
        <f>SUM(H140:K140)</f>
        <v>0</v>
      </c>
      <c r="M140" s="1096">
        <f>M117</f>
        <v>0</v>
      </c>
      <c r="N140" s="1096">
        <f>N117</f>
        <v>0</v>
      </c>
      <c r="O140" s="1096">
        <f>O117</f>
        <v>0</v>
      </c>
      <c r="P140" s="1096">
        <f>P117</f>
        <v>0</v>
      </c>
      <c r="Q140" s="1097">
        <f>SUM(M140:P140)</f>
        <v>0</v>
      </c>
      <c r="R140" s="1096">
        <f>R117</f>
        <v>0</v>
      </c>
      <c r="S140" s="1096">
        <f>S117</f>
        <v>0</v>
      </c>
      <c r="T140" s="1096">
        <f>T117</f>
        <v>0</v>
      </c>
      <c r="U140" s="1096">
        <f>U117</f>
        <v>0</v>
      </c>
      <c r="V140" s="1097">
        <f>SUM(R140:U140)</f>
        <v>0</v>
      </c>
      <c r="W140" s="1096">
        <f>W117</f>
        <v>0</v>
      </c>
      <c r="X140" s="1096">
        <f>X117</f>
        <v>0</v>
      </c>
      <c r="Y140" s="1096">
        <f>Y117</f>
        <v>0</v>
      </c>
      <c r="Z140" s="1096">
        <f>Z117</f>
        <v>0</v>
      </c>
      <c r="AA140" s="1097">
        <f>SUM(W140:Z140)</f>
        <v>0</v>
      </c>
      <c r="AB140" s="1096">
        <f>AB117</f>
        <v>0</v>
      </c>
      <c r="AC140" s="1096">
        <f>AC117</f>
        <v>0</v>
      </c>
      <c r="AD140" s="1096">
        <f>AD117</f>
        <v>0</v>
      </c>
      <c r="AE140" s="1096">
        <f>AE117</f>
        <v>0</v>
      </c>
      <c r="AF140" s="1097">
        <f>SUM(AB140:AE140)</f>
        <v>0</v>
      </c>
      <c r="AG140" s="1096">
        <f>AG117</f>
        <v>1.446</v>
      </c>
      <c r="AH140" s="1096">
        <f>AH117</f>
        <v>1.6619999999999999</v>
      </c>
      <c r="AI140" s="1096">
        <f>AI117</f>
        <v>1.663</v>
      </c>
      <c r="AJ140" s="1096">
        <f>AJ117</f>
        <v>1.663</v>
      </c>
      <c r="AK140" s="1097">
        <f>SUM(AG140:AJ140)</f>
        <v>6.4340000000000002</v>
      </c>
      <c r="AL140" s="1096">
        <f>AL117</f>
        <v>1.627</v>
      </c>
      <c r="AM140" s="1096">
        <f>AM117</f>
        <v>1.6619999999999999</v>
      </c>
      <c r="AN140" s="1274">
        <f>AN117</f>
        <v>1.663</v>
      </c>
      <c r="AO140" s="1096">
        <f>AO117</f>
        <v>1.6619999999999999</v>
      </c>
      <c r="AP140" s="1097">
        <f>SUM(AL140:AO140)</f>
        <v>6.6139999999999999</v>
      </c>
      <c r="AQ140" s="1096">
        <f>AQ117</f>
        <v>1.6080000000000001</v>
      </c>
      <c r="AR140" s="1274">
        <f>AR117</f>
        <v>1.663</v>
      </c>
      <c r="AS140" s="1274">
        <f>AS117</f>
        <v>1.663</v>
      </c>
      <c r="AT140" s="1096">
        <f>AT141*AT$152</f>
        <v>1.2673987598295633</v>
      </c>
      <c r="AU140" s="1099">
        <f>SUM(AQ140:AT140)</f>
        <v>6.2013987598295639</v>
      </c>
      <c r="AV140" s="1096">
        <f>AV141*AV$152</f>
        <v>1.2221756677174629</v>
      </c>
      <c r="AW140" s="1096">
        <f>AW141*AW$152</f>
        <v>1.2221756677174629</v>
      </c>
      <c r="AX140" s="1096">
        <f>AX141*AX$152</f>
        <v>1.2221756677174629</v>
      </c>
      <c r="AY140" s="1096">
        <f>AY141*AY$152</f>
        <v>1.2221756677174629</v>
      </c>
      <c r="AZ140" s="1099">
        <f>SUM(AV140:AY140)</f>
        <v>4.8887026708698516</v>
      </c>
      <c r="BA140" s="1096">
        <f t="shared" ref="BA140:BN140" si="157">BA141*BA$152</f>
        <v>0.75316611528735244</v>
      </c>
      <c r="BB140" s="1096">
        <f t="shared" si="157"/>
        <v>0.75316611528735244</v>
      </c>
      <c r="BC140" s="1096">
        <f t="shared" si="157"/>
        <v>0.75316611528735244</v>
      </c>
      <c r="BD140" s="1096">
        <f t="shared" si="157"/>
        <v>0.75316611528735244</v>
      </c>
      <c r="BE140" s="1099">
        <f>SUM(BA140:BD140)</f>
        <v>3.0126644611494098</v>
      </c>
      <c r="BF140" s="1096">
        <f t="shared" si="157"/>
        <v>0.1675414746942876</v>
      </c>
      <c r="BG140" s="1096">
        <f t="shared" si="157"/>
        <v>0.1675414746942876</v>
      </c>
      <c r="BH140" s="1096">
        <f t="shared" si="157"/>
        <v>0.1675414746942876</v>
      </c>
      <c r="BI140" s="1096">
        <f t="shared" si="157"/>
        <v>0.1675414746942876</v>
      </c>
      <c r="BJ140" s="1099">
        <f>SUM(BF140:BI140)</f>
        <v>0.67016589877715038</v>
      </c>
      <c r="BK140" s="1096">
        <f t="shared" si="157"/>
        <v>0.1675414746942876</v>
      </c>
      <c r="BL140" s="1096">
        <f t="shared" si="157"/>
        <v>0.1675414746942876</v>
      </c>
      <c r="BM140" s="1096">
        <f t="shared" si="157"/>
        <v>0.1675414746942876</v>
      </c>
      <c r="BN140" s="1096">
        <f t="shared" si="157"/>
        <v>0.1675414746942876</v>
      </c>
      <c r="BO140" s="1099">
        <f>SUM(BK140:BN140)</f>
        <v>0.67016589877715038</v>
      </c>
    </row>
    <row r="141" spans="1:67" s="92" customFormat="1" hidden="1" outlineLevel="1">
      <c r="A141" s="575"/>
      <c r="B141" s="1023" t="s">
        <v>381</v>
      </c>
      <c r="C141" s="663" t="str">
        <f>IFERROR(C140/C$152,"--")</f>
        <v>--</v>
      </c>
      <c r="D141" s="663" t="str">
        <f>IFERROR(D140/D$152,"--")</f>
        <v>--</v>
      </c>
      <c r="E141" s="663" t="str">
        <f>IFERROR(E140/E$152,"--")</f>
        <v>--</v>
      </c>
      <c r="F141" s="663" t="str">
        <f>IFERROR(F140/F$152,"--")</f>
        <v>--</v>
      </c>
      <c r="G141" s="662"/>
      <c r="H141" s="663">
        <f>IFERROR(H140/H$152,"--")</f>
        <v>0</v>
      </c>
      <c r="I141" s="663">
        <f>IFERROR(I140/I$152,"--")</f>
        <v>0</v>
      </c>
      <c r="J141" s="663">
        <f>IFERROR(J140/J$152,"--")</f>
        <v>0</v>
      </c>
      <c r="K141" s="663">
        <f>IFERROR(K140/K$152,"--")</f>
        <v>0</v>
      </c>
      <c r="L141" s="662"/>
      <c r="M141" s="663">
        <f>IFERROR(M140/M$152,"--")</f>
        <v>0</v>
      </c>
      <c r="N141" s="663">
        <f>IFERROR(N140/N$152,"--")</f>
        <v>0</v>
      </c>
      <c r="O141" s="663">
        <f>IFERROR(O140/O$152,"--")</f>
        <v>0</v>
      </c>
      <c r="P141" s="663">
        <f>IFERROR(P140/P$152,"--")</f>
        <v>0</v>
      </c>
      <c r="Q141" s="662"/>
      <c r="R141" s="663">
        <f t="shared" ref="R141:AN141" si="158">IFERROR(R140/R$152,"--")</f>
        <v>0</v>
      </c>
      <c r="S141" s="663">
        <f t="shared" si="158"/>
        <v>0</v>
      </c>
      <c r="T141" s="663">
        <f t="shared" si="158"/>
        <v>0</v>
      </c>
      <c r="U141" s="663">
        <f t="shared" si="158"/>
        <v>0</v>
      </c>
      <c r="V141" s="679">
        <f t="shared" si="158"/>
        <v>0</v>
      </c>
      <c r="W141" s="663">
        <f t="shared" si="158"/>
        <v>0</v>
      </c>
      <c r="X141" s="663">
        <f t="shared" si="158"/>
        <v>0</v>
      </c>
      <c r="Y141" s="663">
        <f t="shared" si="158"/>
        <v>0</v>
      </c>
      <c r="Z141" s="663">
        <f t="shared" si="158"/>
        <v>0</v>
      </c>
      <c r="AA141" s="679">
        <f t="shared" si="158"/>
        <v>0</v>
      </c>
      <c r="AB141" s="663">
        <f t="shared" si="158"/>
        <v>0</v>
      </c>
      <c r="AC141" s="663">
        <f t="shared" si="158"/>
        <v>0</v>
      </c>
      <c r="AD141" s="663">
        <f t="shared" si="158"/>
        <v>0</v>
      </c>
      <c r="AE141" s="663">
        <f t="shared" si="158"/>
        <v>0</v>
      </c>
      <c r="AF141" s="679">
        <f t="shared" si="158"/>
        <v>0</v>
      </c>
      <c r="AG141" s="663">
        <f t="shared" si="158"/>
        <v>9.2727972297037317E-2</v>
      </c>
      <c r="AH141" s="663">
        <f t="shared" si="158"/>
        <v>7.9915372409482127E-2</v>
      </c>
      <c r="AI141" s="663">
        <f t="shared" si="158"/>
        <v>7.391768157169526E-2</v>
      </c>
      <c r="AJ141" s="663">
        <f t="shared" si="158"/>
        <v>7.1202260661072103E-2</v>
      </c>
      <c r="AK141" s="679">
        <f t="shared" si="158"/>
        <v>7.822967961578213E-2</v>
      </c>
      <c r="AL141" s="663">
        <f t="shared" si="158"/>
        <v>6.939645979953081E-2</v>
      </c>
      <c r="AM141" s="663">
        <f t="shared" si="158"/>
        <v>6.9455472439299601E-2</v>
      </c>
      <c r="AN141" s="1275">
        <f t="shared" si="158"/>
        <v>6.9219562955254943E-2</v>
      </c>
      <c r="AO141" s="663">
        <f>IFERROR(AO140/AO$152,"--")</f>
        <v>6.5219950555272133E-2</v>
      </c>
      <c r="AP141" s="679">
        <f>IFERROR(AP140/AP$152,"--")</f>
        <v>6.8268615429078666E-2</v>
      </c>
      <c r="AQ141" s="663">
        <f t="shared" ref="AQ141:AS141" si="159">IFERROR(AQ140/AQ$152,"--")</f>
        <v>6.6763545775378866E-2</v>
      </c>
      <c r="AR141" s="1275">
        <f t="shared" si="159"/>
        <v>5.9805085050526847E-2</v>
      </c>
      <c r="AS141" s="1275">
        <f t="shared" si="159"/>
        <v>5.7609034537707424E-2</v>
      </c>
      <c r="AT141" s="1083">
        <f>AS141</f>
        <v>5.7609034537707424E-2</v>
      </c>
      <c r="AU141" s="671">
        <f>IFERROR(AU140/AU$152,"--")</f>
        <v>6.0348959797483087E-2</v>
      </c>
      <c r="AV141" s="1083">
        <f>AT141</f>
        <v>5.7609034537707424E-2</v>
      </c>
      <c r="AW141" s="1083">
        <f>AV141</f>
        <v>5.7609034537707424E-2</v>
      </c>
      <c r="AX141" s="1083">
        <f>AW141</f>
        <v>5.7609034537707424E-2</v>
      </c>
      <c r="AY141" s="1083">
        <f>AX141</f>
        <v>5.7609034537707424E-2</v>
      </c>
      <c r="AZ141" s="671">
        <f>IFERROR(AZ140/AZ$152,"--")</f>
        <v>5.7609034537707417E-2</v>
      </c>
      <c r="BA141" s="1083">
        <f>AY141</f>
        <v>5.7609034537707424E-2</v>
      </c>
      <c r="BB141" s="1083">
        <f>BA141</f>
        <v>5.7609034537707424E-2</v>
      </c>
      <c r="BC141" s="1083">
        <f>BB141</f>
        <v>5.7609034537707424E-2</v>
      </c>
      <c r="BD141" s="1083">
        <f>BC141</f>
        <v>5.7609034537707424E-2</v>
      </c>
      <c r="BE141" s="671">
        <f>IFERROR(BE140/BE$152,"--")</f>
        <v>5.7609034537707424E-2</v>
      </c>
      <c r="BF141" s="1083">
        <f>BD141</f>
        <v>5.7609034537707424E-2</v>
      </c>
      <c r="BG141" s="1083">
        <f>BF141</f>
        <v>5.7609034537707424E-2</v>
      </c>
      <c r="BH141" s="1083">
        <f>BG141</f>
        <v>5.7609034537707424E-2</v>
      </c>
      <c r="BI141" s="1083">
        <f>BH141</f>
        <v>5.7609034537707424E-2</v>
      </c>
      <c r="BJ141" s="671">
        <f>IFERROR(BJ140/BJ$152,"--")</f>
        <v>5.7609034537707424E-2</v>
      </c>
      <c r="BK141" s="1083">
        <f>BI141</f>
        <v>5.7609034537707424E-2</v>
      </c>
      <c r="BL141" s="1083">
        <f>BK141</f>
        <v>5.7609034537707424E-2</v>
      </c>
      <c r="BM141" s="1083">
        <f>BL141</f>
        <v>5.7609034537707424E-2</v>
      </c>
      <c r="BN141" s="1083">
        <f>BM141</f>
        <v>5.7609034537707424E-2</v>
      </c>
      <c r="BO141" s="671">
        <f>IFERROR(BO140/BO$152,"--")</f>
        <v>5.7609034537707424E-2</v>
      </c>
    </row>
    <row r="142" spans="1:67" hidden="1" outlineLevel="1">
      <c r="B142" s="986"/>
      <c r="C142" s="370"/>
      <c r="D142" s="370"/>
      <c r="E142" s="370"/>
      <c r="F142" s="370"/>
      <c r="G142" s="567"/>
      <c r="H142" s="370"/>
      <c r="I142" s="370"/>
      <c r="J142" s="370"/>
      <c r="K142" s="370"/>
      <c r="L142" s="567"/>
      <c r="M142" s="370"/>
      <c r="N142" s="370"/>
      <c r="O142" s="370"/>
      <c r="P142" s="370"/>
      <c r="Q142" s="567"/>
      <c r="R142" s="370"/>
      <c r="S142" s="370"/>
      <c r="T142" s="370"/>
      <c r="U142" s="370"/>
      <c r="V142" s="567"/>
      <c r="W142" s="370"/>
      <c r="X142" s="370"/>
      <c r="Y142" s="370"/>
      <c r="Z142" s="370"/>
      <c r="AA142" s="567"/>
      <c r="AB142" s="370"/>
      <c r="AC142" s="370"/>
      <c r="AD142" s="370"/>
      <c r="AE142" s="370"/>
      <c r="AF142" s="567"/>
      <c r="AG142" s="370"/>
      <c r="AH142" s="370"/>
      <c r="AI142" s="370"/>
      <c r="AJ142" s="370"/>
      <c r="AK142" s="567"/>
      <c r="AL142" s="370"/>
      <c r="AM142" s="370"/>
      <c r="AN142" s="1276"/>
      <c r="AO142" s="370"/>
      <c r="AP142" s="567"/>
      <c r="AQ142" s="370"/>
      <c r="AR142" s="1276"/>
      <c r="AS142" s="1276"/>
      <c r="AT142" s="564"/>
      <c r="AU142" s="702"/>
      <c r="AV142" s="370"/>
      <c r="AW142" s="564"/>
      <c r="AX142" s="564"/>
      <c r="AY142" s="564"/>
      <c r="AZ142" s="702"/>
      <c r="BA142" s="370"/>
      <c r="BB142" s="564"/>
      <c r="BC142" s="564"/>
      <c r="BD142" s="564"/>
      <c r="BE142" s="702"/>
      <c r="BF142" s="370"/>
      <c r="BG142" s="564"/>
      <c r="BH142" s="564"/>
      <c r="BI142" s="564"/>
      <c r="BJ142" s="702"/>
      <c r="BK142" s="370"/>
      <c r="BL142" s="564"/>
      <c r="BM142" s="564"/>
      <c r="BN142" s="564"/>
      <c r="BO142" s="702"/>
    </row>
    <row r="143" spans="1:67" s="1098" customFormat="1" hidden="1" outlineLevel="1">
      <c r="A143" s="1095"/>
      <c r="B143" s="1161" t="s">
        <v>3</v>
      </c>
      <c r="C143" s="1096">
        <f>C120</f>
        <v>0</v>
      </c>
      <c r="D143" s="1096">
        <f>D120</f>
        <v>0</v>
      </c>
      <c r="E143" s="1096">
        <f>E120</f>
        <v>0</v>
      </c>
      <c r="F143" s="1096">
        <f>F120</f>
        <v>0</v>
      </c>
      <c r="G143" s="1097">
        <f>SUM(C143:F143)</f>
        <v>0</v>
      </c>
      <c r="H143" s="1096">
        <f>H120</f>
        <v>4.0000000000000001E-3</v>
      </c>
      <c r="I143" s="1096">
        <f>I120</f>
        <v>4.0000000000000001E-3</v>
      </c>
      <c r="J143" s="1096">
        <f>J120</f>
        <v>4.0000000000000001E-3</v>
      </c>
      <c r="K143" s="1096">
        <f>K120</f>
        <v>4.0000000000000001E-3</v>
      </c>
      <c r="L143" s="1097">
        <f>SUM(H143:K143)</f>
        <v>1.6E-2</v>
      </c>
      <c r="M143" s="1096">
        <f>M120</f>
        <v>8.9999999999999993E-3</v>
      </c>
      <c r="N143" s="1096">
        <f>N120</f>
        <v>1.7000000000000001E-2</v>
      </c>
      <c r="O143" s="1096">
        <f>O120</f>
        <v>1.6E-2</v>
      </c>
      <c r="P143" s="1096">
        <f>P120</f>
        <v>1.6E-2</v>
      </c>
      <c r="Q143" s="1097">
        <f>SUM(M143:P143)</f>
        <v>5.8000000000000003E-2</v>
      </c>
      <c r="R143" s="1096">
        <f>R120</f>
        <v>1.0999999999999999E-2</v>
      </c>
      <c r="S143" s="1096">
        <f>S120</f>
        <v>1E-3</v>
      </c>
      <c r="T143" s="1096">
        <f>T120</f>
        <v>0</v>
      </c>
      <c r="U143" s="1096">
        <f>U120</f>
        <v>0</v>
      </c>
      <c r="V143" s="1097">
        <f>SUM(R143:U143)</f>
        <v>1.2E-2</v>
      </c>
      <c r="W143" s="1096">
        <f>W120</f>
        <v>0</v>
      </c>
      <c r="X143" s="1096">
        <f>X120</f>
        <v>0</v>
      </c>
      <c r="Y143" s="1096">
        <f>Y120</f>
        <v>0</v>
      </c>
      <c r="Z143" s="1096">
        <f>Z120</f>
        <v>0</v>
      </c>
      <c r="AA143" s="1097">
        <f>SUM(W143:Z143)</f>
        <v>0</v>
      </c>
      <c r="AB143" s="1096">
        <f>AB120</f>
        <v>2.5459999999999998</v>
      </c>
      <c r="AC143" s="1096">
        <f>AC120</f>
        <v>7.5549999999999997</v>
      </c>
      <c r="AD143" s="1096">
        <f>AD120</f>
        <v>7.5529999999999999</v>
      </c>
      <c r="AE143" s="1096">
        <f>AE120</f>
        <v>7.5529999999999999</v>
      </c>
      <c r="AF143" s="1097">
        <f>SUM(AB143:AE143)</f>
        <v>25.207000000000001</v>
      </c>
      <c r="AG143" s="1096">
        <f>AG120</f>
        <v>7.3070000000000004</v>
      </c>
      <c r="AH143" s="1096">
        <f>AH120</f>
        <v>7.5529999999999999</v>
      </c>
      <c r="AI143" s="1096">
        <f>AI120</f>
        <v>7.5750000000000002</v>
      </c>
      <c r="AJ143" s="1096">
        <f>AJ120</f>
        <v>7.8</v>
      </c>
      <c r="AK143" s="1097">
        <f>SUM(AG143:AJ143)</f>
        <v>30.234999999999999</v>
      </c>
      <c r="AL143" s="1096">
        <f>AL120</f>
        <v>7.63</v>
      </c>
      <c r="AM143" s="1096">
        <f>AM120</f>
        <v>7.8010000000000002</v>
      </c>
      <c r="AN143" s="1274">
        <f>AN120</f>
        <v>7.9059999999999997</v>
      </c>
      <c r="AO143" s="1096">
        <f>AO120</f>
        <v>8.0210000000000008</v>
      </c>
      <c r="AP143" s="1097">
        <f>SUM(AL143:AO143)</f>
        <v>31.358000000000001</v>
      </c>
      <c r="AQ143" s="1096">
        <f>AQ120</f>
        <v>7.76</v>
      </c>
      <c r="AR143" s="1274">
        <f>AR120</f>
        <v>9.3260000000000005</v>
      </c>
      <c r="AS143" s="1274">
        <f>AS120</f>
        <v>10.164</v>
      </c>
      <c r="AT143" s="1096">
        <f>AT144*AT$152</f>
        <v>7.7461461184050995</v>
      </c>
      <c r="AU143" s="1099">
        <f>SUM(AQ143:AT143)</f>
        <v>34.9961461184051</v>
      </c>
      <c r="AV143" s="1096">
        <f>AV144*AV$152</f>
        <v>7.4697495409983725</v>
      </c>
      <c r="AW143" s="1096">
        <f>AW144*AW$152</f>
        <v>7.4697495409983725</v>
      </c>
      <c r="AX143" s="1096">
        <f>AX144*AX$152</f>
        <v>7.4697495409983725</v>
      </c>
      <c r="AY143" s="1096">
        <f>AY144*AY$152</f>
        <v>7.4697495409983725</v>
      </c>
      <c r="AZ143" s="1099">
        <f>SUM(AV143:AY143)</f>
        <v>29.87899816399349</v>
      </c>
      <c r="BA143" s="1096">
        <f t="shared" ref="BA143:BN143" si="160">BA144*BA$152</f>
        <v>4.6032353552499394</v>
      </c>
      <c r="BB143" s="1096">
        <f t="shared" si="160"/>
        <v>4.6032353552499394</v>
      </c>
      <c r="BC143" s="1096">
        <f t="shared" si="160"/>
        <v>4.6032353552499394</v>
      </c>
      <c r="BD143" s="1096">
        <f t="shared" si="160"/>
        <v>4.6032353552499394</v>
      </c>
      <c r="BE143" s="1099">
        <f>SUM(BA143:BD143)</f>
        <v>18.412941420999758</v>
      </c>
      <c r="BF143" s="1096">
        <f t="shared" si="160"/>
        <v>1.0239877022205286</v>
      </c>
      <c r="BG143" s="1096">
        <f t="shared" si="160"/>
        <v>1.0239877022205286</v>
      </c>
      <c r="BH143" s="1096">
        <f t="shared" si="160"/>
        <v>1.0239877022205286</v>
      </c>
      <c r="BI143" s="1096">
        <f t="shared" si="160"/>
        <v>1.0239877022205286</v>
      </c>
      <c r="BJ143" s="1099">
        <f>SUM(BF143:BI143)</f>
        <v>4.0959508088821144</v>
      </c>
      <c r="BK143" s="1096">
        <f t="shared" si="160"/>
        <v>1.0239877022205286</v>
      </c>
      <c r="BL143" s="1096">
        <f t="shared" si="160"/>
        <v>1.0239877022205286</v>
      </c>
      <c r="BM143" s="1096">
        <f t="shared" si="160"/>
        <v>1.0239877022205286</v>
      </c>
      <c r="BN143" s="1096">
        <f t="shared" si="160"/>
        <v>1.0239877022205286</v>
      </c>
      <c r="BO143" s="1099">
        <f>SUM(BK143:BN143)</f>
        <v>4.0959508088821144</v>
      </c>
    </row>
    <row r="144" spans="1:67" s="92" customFormat="1" hidden="1" outlineLevel="1">
      <c r="A144" s="575"/>
      <c r="B144" s="1023" t="s">
        <v>381</v>
      </c>
      <c r="C144" s="663" t="str">
        <f>IFERROR(C143/C$152,"--")</f>
        <v>--</v>
      </c>
      <c r="D144" s="663" t="str">
        <f>IFERROR(D143/D$152,"--")</f>
        <v>--</v>
      </c>
      <c r="E144" s="663" t="str">
        <f>IFERROR(E143/E$152,"--")</f>
        <v>--</v>
      </c>
      <c r="F144" s="663" t="str">
        <f>IFERROR(F143/F$152,"--")</f>
        <v>--</v>
      </c>
      <c r="G144" s="662"/>
      <c r="H144" s="663">
        <f>IFERROR(H143/H$152,"--")</f>
        <v>1</v>
      </c>
      <c r="I144" s="663">
        <f>IFERROR(I143/I$152,"--")</f>
        <v>1</v>
      </c>
      <c r="J144" s="663">
        <f>IFERROR(J143/J$152,"--")</f>
        <v>1</v>
      </c>
      <c r="K144" s="663">
        <f>IFERROR(K143/K$152,"--")</f>
        <v>1</v>
      </c>
      <c r="L144" s="662"/>
      <c r="M144" s="663">
        <f>IFERROR(M143/M$152,"--")</f>
        <v>9.6774193548387094E-2</v>
      </c>
      <c r="N144" s="663">
        <f>IFERROR(N143/N$152,"--")</f>
        <v>7.7625570776255703E-2</v>
      </c>
      <c r="O144" s="663">
        <f>IFERROR(O143/O$152,"--")</f>
        <v>5.3691275167785241E-2</v>
      </c>
      <c r="P144" s="663">
        <f>IFERROR(P143/P$152,"--")</f>
        <v>5.3872053872053863E-2</v>
      </c>
      <c r="Q144" s="662"/>
      <c r="R144" s="663">
        <f t="shared" ref="R144:AN144" si="161">IFERROR(R143/R$152,"--")</f>
        <v>2.777777777777778E-2</v>
      </c>
      <c r="S144" s="663">
        <f t="shared" si="161"/>
        <v>1.7035775127768316E-3</v>
      </c>
      <c r="T144" s="663">
        <f t="shared" si="161"/>
        <v>0</v>
      </c>
      <c r="U144" s="663">
        <f t="shared" si="161"/>
        <v>0</v>
      </c>
      <c r="V144" s="679">
        <f t="shared" si="161"/>
        <v>4.3212099387828599E-3</v>
      </c>
      <c r="W144" s="663">
        <f t="shared" si="161"/>
        <v>0</v>
      </c>
      <c r="X144" s="663">
        <f t="shared" si="161"/>
        <v>0</v>
      </c>
      <c r="Y144" s="663">
        <f t="shared" si="161"/>
        <v>0</v>
      </c>
      <c r="Z144" s="663">
        <f t="shared" si="161"/>
        <v>0</v>
      </c>
      <c r="AA144" s="679">
        <f t="shared" si="161"/>
        <v>0</v>
      </c>
      <c r="AB144" s="663">
        <f t="shared" si="161"/>
        <v>0.48119448119448122</v>
      </c>
      <c r="AC144" s="663">
        <f t="shared" si="161"/>
        <v>0.73370884723705931</v>
      </c>
      <c r="AD144" s="663">
        <f t="shared" si="161"/>
        <v>0.68118686868686862</v>
      </c>
      <c r="AE144" s="663">
        <f t="shared" si="161"/>
        <v>0.62154377880184331</v>
      </c>
      <c r="AF144" s="679">
        <f t="shared" si="161"/>
        <v>0.64919645616565358</v>
      </c>
      <c r="AG144" s="663">
        <f t="shared" si="161"/>
        <v>0.46857765807361812</v>
      </c>
      <c r="AH144" s="663">
        <f t="shared" si="161"/>
        <v>0.36317738135307975</v>
      </c>
      <c r="AI144" s="663">
        <f t="shared" si="161"/>
        <v>0.33669659525291135</v>
      </c>
      <c r="AJ144" s="663">
        <f t="shared" si="161"/>
        <v>0.33396129474225039</v>
      </c>
      <c r="AK144" s="679">
        <f t="shared" si="161"/>
        <v>0.36762113198370727</v>
      </c>
      <c r="AL144" s="663">
        <f t="shared" si="161"/>
        <v>0.3254425250586479</v>
      </c>
      <c r="AM144" s="663">
        <f t="shared" si="161"/>
        <v>0.32600610138325886</v>
      </c>
      <c r="AN144" s="1275">
        <f t="shared" si="161"/>
        <v>0.32907388137356919</v>
      </c>
      <c r="AO144" s="663">
        <f>IFERROR(AO143/AO$152,"--")</f>
        <v>0.31475885884707455</v>
      </c>
      <c r="AP144" s="679">
        <f>IFERROR(AP143/AP$152,"--")</f>
        <v>0.32367209595177637</v>
      </c>
      <c r="AQ144" s="663">
        <f t="shared" ref="AQ144:AS144" si="162">IFERROR(AQ143/AQ$152,"--")</f>
        <v>0.32219223583143031</v>
      </c>
      <c r="AR144" s="1275">
        <f t="shared" si="162"/>
        <v>0.33538317689790342</v>
      </c>
      <c r="AS144" s="1275">
        <f t="shared" si="162"/>
        <v>0.35209755083659544</v>
      </c>
      <c r="AT144" s="1083">
        <f>AS144</f>
        <v>0.35209755083659544</v>
      </c>
      <c r="AU144" s="671">
        <f>IFERROR(AU143/AU$152,"--")</f>
        <v>0.34056526550866695</v>
      </c>
      <c r="AV144" s="1083">
        <f>AT144</f>
        <v>0.35209755083659544</v>
      </c>
      <c r="AW144" s="1083">
        <f>AV144</f>
        <v>0.35209755083659544</v>
      </c>
      <c r="AX144" s="1083">
        <f>AW144</f>
        <v>0.35209755083659544</v>
      </c>
      <c r="AY144" s="1083">
        <f>AX144</f>
        <v>0.35209755083659544</v>
      </c>
      <c r="AZ144" s="671">
        <f>IFERROR(AZ143/AZ$152,"--")</f>
        <v>0.35209755083659544</v>
      </c>
      <c r="BA144" s="1083">
        <f>AY144</f>
        <v>0.35209755083659544</v>
      </c>
      <c r="BB144" s="1083">
        <f>BA144</f>
        <v>0.35209755083659544</v>
      </c>
      <c r="BC144" s="1083">
        <f>BB144</f>
        <v>0.35209755083659544</v>
      </c>
      <c r="BD144" s="1083">
        <f>BC144</f>
        <v>0.35209755083659544</v>
      </c>
      <c r="BE144" s="671">
        <f>IFERROR(BE143/BE$152,"--")</f>
        <v>0.35209755083659539</v>
      </c>
      <c r="BF144" s="1083">
        <f>BD144</f>
        <v>0.35209755083659544</v>
      </c>
      <c r="BG144" s="1083">
        <f>BF144</f>
        <v>0.35209755083659544</v>
      </c>
      <c r="BH144" s="1083">
        <f>BG144</f>
        <v>0.35209755083659544</v>
      </c>
      <c r="BI144" s="1083">
        <f>BH144</f>
        <v>0.35209755083659544</v>
      </c>
      <c r="BJ144" s="671">
        <f>IFERROR(BJ143/BJ$152,"--")</f>
        <v>0.35209755083659544</v>
      </c>
      <c r="BK144" s="1083">
        <f>BI144</f>
        <v>0.35209755083659544</v>
      </c>
      <c r="BL144" s="1083">
        <f>BK144</f>
        <v>0.35209755083659544</v>
      </c>
      <c r="BM144" s="1083">
        <f>BL144</f>
        <v>0.35209755083659544</v>
      </c>
      <c r="BN144" s="1083">
        <f>BM144</f>
        <v>0.35209755083659544</v>
      </c>
      <c r="BO144" s="671">
        <f>IFERROR(BO143/BO$152,"--")</f>
        <v>0.35209755083659544</v>
      </c>
    </row>
    <row r="145" spans="1:67" s="92" customFormat="1" hidden="1" outlineLevel="1">
      <c r="A145" s="575"/>
      <c r="B145" s="1023"/>
      <c r="C145" s="660"/>
      <c r="D145" s="660"/>
      <c r="E145" s="660"/>
      <c r="F145" s="660"/>
      <c r="G145" s="662"/>
      <c r="H145" s="660"/>
      <c r="I145" s="660"/>
      <c r="J145" s="660"/>
      <c r="K145" s="660"/>
      <c r="L145" s="662"/>
      <c r="M145" s="660"/>
      <c r="N145" s="660"/>
      <c r="O145" s="660"/>
      <c r="P145" s="660"/>
      <c r="Q145" s="662"/>
      <c r="R145" s="660"/>
      <c r="S145" s="660"/>
      <c r="T145" s="660"/>
      <c r="U145" s="660"/>
      <c r="V145" s="662"/>
      <c r="W145" s="660"/>
      <c r="X145" s="660"/>
      <c r="Y145" s="660"/>
      <c r="Z145" s="660"/>
      <c r="AA145" s="662"/>
      <c r="AB145" s="660"/>
      <c r="AC145" s="660"/>
      <c r="AD145" s="660"/>
      <c r="AE145" s="660"/>
      <c r="AF145" s="662"/>
      <c r="AG145" s="660"/>
      <c r="AH145" s="660"/>
      <c r="AI145" s="660"/>
      <c r="AJ145" s="660"/>
      <c r="AK145" s="662"/>
      <c r="AL145" s="660"/>
      <c r="AM145" s="660"/>
      <c r="AN145" s="1277"/>
      <c r="AO145" s="660"/>
      <c r="AP145" s="662"/>
      <c r="AQ145" s="660"/>
      <c r="AR145" s="1277"/>
      <c r="AS145" s="1277"/>
      <c r="AT145" s="661"/>
      <c r="AU145" s="398"/>
      <c r="AV145" s="660"/>
      <c r="AW145" s="661"/>
      <c r="AX145" s="661"/>
      <c r="AY145" s="661"/>
      <c r="AZ145" s="398"/>
      <c r="BA145" s="660"/>
      <c r="BB145" s="661"/>
      <c r="BC145" s="661"/>
      <c r="BD145" s="661"/>
      <c r="BE145" s="398"/>
      <c r="BF145" s="660"/>
      <c r="BG145" s="661"/>
      <c r="BH145" s="661"/>
      <c r="BI145" s="661"/>
      <c r="BJ145" s="398"/>
      <c r="BK145" s="660"/>
      <c r="BL145" s="661"/>
      <c r="BM145" s="661"/>
      <c r="BN145" s="661"/>
      <c r="BO145" s="398"/>
    </row>
    <row r="146" spans="1:67" s="1098" customFormat="1" hidden="1" outlineLevel="1">
      <c r="A146" s="1095"/>
      <c r="B146" s="1161" t="s">
        <v>10</v>
      </c>
      <c r="C146" s="1096">
        <f>C123</f>
        <v>0</v>
      </c>
      <c r="D146" s="1096">
        <f>D123</f>
        <v>0</v>
      </c>
      <c r="E146" s="1096">
        <f>E123</f>
        <v>0</v>
      </c>
      <c r="F146" s="1096">
        <f>F123</f>
        <v>0</v>
      </c>
      <c r="G146" s="1097">
        <f>SUM(C146:F146)</f>
        <v>0</v>
      </c>
      <c r="H146" s="1096">
        <f>H123</f>
        <v>0</v>
      </c>
      <c r="I146" s="1096">
        <f>I123</f>
        <v>0</v>
      </c>
      <c r="J146" s="1096">
        <f>J123</f>
        <v>0</v>
      </c>
      <c r="K146" s="1096">
        <f>K123</f>
        <v>0</v>
      </c>
      <c r="L146" s="1097">
        <f>SUM(H146:K146)</f>
        <v>0</v>
      </c>
      <c r="M146" s="1096">
        <f>M123</f>
        <v>0</v>
      </c>
      <c r="N146" s="1096">
        <f>N123</f>
        <v>0</v>
      </c>
      <c r="O146" s="1096">
        <f>O123</f>
        <v>0</v>
      </c>
      <c r="P146" s="1096">
        <f>P123</f>
        <v>0</v>
      </c>
      <c r="Q146" s="1097">
        <f>SUM(M146:P146)</f>
        <v>0</v>
      </c>
      <c r="R146" s="1096">
        <f>R123</f>
        <v>0</v>
      </c>
      <c r="S146" s="1096">
        <f>S123</f>
        <v>0</v>
      </c>
      <c r="T146" s="1096">
        <f>T123</f>
        <v>0</v>
      </c>
      <c r="U146" s="1096">
        <f>U123</f>
        <v>0</v>
      </c>
      <c r="V146" s="1097">
        <f>SUM(R146:U146)</f>
        <v>0</v>
      </c>
      <c r="W146" s="1096">
        <f>W123</f>
        <v>0.85499999999999998</v>
      </c>
      <c r="X146" s="1096">
        <f>X123</f>
        <v>0.94199999999999995</v>
      </c>
      <c r="Y146" s="1096">
        <f>Y123</f>
        <v>0.94399999999999995</v>
      </c>
      <c r="Z146" s="1096">
        <f>Z123</f>
        <v>1.2</v>
      </c>
      <c r="AA146" s="1097">
        <f>SUM(W146:Z146)</f>
        <v>3.9409999999999998</v>
      </c>
      <c r="AB146" s="1096">
        <f>AB123</f>
        <v>1.766</v>
      </c>
      <c r="AC146" s="1096">
        <f>AC123</f>
        <v>1.7589999999999999</v>
      </c>
      <c r="AD146" s="1096">
        <f>AD123</f>
        <v>1.7849999999999999</v>
      </c>
      <c r="AE146" s="1096">
        <f>AE123</f>
        <v>1.8129999999999999</v>
      </c>
      <c r="AF146" s="1097">
        <f>SUM(AB146:AE146)</f>
        <v>7.1229999999999993</v>
      </c>
      <c r="AG146" s="1096">
        <f>AG123</f>
        <v>1.8240000000000001</v>
      </c>
      <c r="AH146" s="1096">
        <f>AH123</f>
        <v>3.254</v>
      </c>
      <c r="AI146" s="1096">
        <f>AI123</f>
        <v>3.6240000000000001</v>
      </c>
      <c r="AJ146" s="1096">
        <f>AJ123</f>
        <v>3.6819999999999999</v>
      </c>
      <c r="AK146" s="1097">
        <f>SUM(AG146:AJ146)</f>
        <v>12.384</v>
      </c>
      <c r="AL146" s="1096">
        <f>AL123</f>
        <v>3.6</v>
      </c>
      <c r="AM146" s="1096">
        <f>AM123</f>
        <v>3.6789999999999998</v>
      </c>
      <c r="AN146" s="1274">
        <f>AN123</f>
        <v>3.68</v>
      </c>
      <c r="AO146" s="1096">
        <f>AO123</f>
        <v>3.6789999999999998</v>
      </c>
      <c r="AP146" s="1097">
        <f>SUM(AL146:AO146)</f>
        <v>14.638</v>
      </c>
      <c r="AQ146" s="1096">
        <f>AQ123</f>
        <v>2.645</v>
      </c>
      <c r="AR146" s="1274">
        <f>AR123</f>
        <v>2.7229999999999999</v>
      </c>
      <c r="AS146" s="1274">
        <f>AS123</f>
        <v>2.7229999999999999</v>
      </c>
      <c r="AT146" s="1096">
        <f>AT147*AT$152</f>
        <v>2.075241625385388</v>
      </c>
      <c r="AU146" s="1099">
        <f>SUM(AQ146:AT146)</f>
        <v>10.166241625385389</v>
      </c>
      <c r="AV146" s="1096">
        <f>AV147*AV$152</f>
        <v>2.001193231025046</v>
      </c>
      <c r="AW146" s="1096">
        <f>AW147*AW$152</f>
        <v>2.001193231025046</v>
      </c>
      <c r="AX146" s="1096">
        <f>AX147*AX$152</f>
        <v>2.001193231025046</v>
      </c>
      <c r="AY146" s="1096">
        <f>AY147*AY$152</f>
        <v>2.001193231025046</v>
      </c>
      <c r="AZ146" s="1099">
        <f>SUM(AV146:AY146)</f>
        <v>8.0047729241001839</v>
      </c>
      <c r="BA146" s="1096">
        <f t="shared" ref="BA146:BN146" si="163">BA147*BA$152</f>
        <v>1.2332359181764645</v>
      </c>
      <c r="BB146" s="1096">
        <f t="shared" si="163"/>
        <v>1.2332359181764645</v>
      </c>
      <c r="BC146" s="1096">
        <f t="shared" si="163"/>
        <v>1.2332359181764645</v>
      </c>
      <c r="BD146" s="1096">
        <f t="shared" si="163"/>
        <v>1.2332359181764645</v>
      </c>
      <c r="BE146" s="1099">
        <f>SUM(BA146:BD146)</f>
        <v>4.932943672705858</v>
      </c>
      <c r="BF146" s="1096">
        <f t="shared" si="163"/>
        <v>0.27433279350122974</v>
      </c>
      <c r="BG146" s="1096">
        <f t="shared" si="163"/>
        <v>0.27433279350122974</v>
      </c>
      <c r="BH146" s="1096">
        <f t="shared" si="163"/>
        <v>0.27433279350122974</v>
      </c>
      <c r="BI146" s="1096">
        <f t="shared" si="163"/>
        <v>0.27433279350122974</v>
      </c>
      <c r="BJ146" s="1099">
        <f>SUM(BF146:BI146)</f>
        <v>1.097331174004919</v>
      </c>
      <c r="BK146" s="1096">
        <f t="shared" si="163"/>
        <v>0.27433279350122974</v>
      </c>
      <c r="BL146" s="1096">
        <f t="shared" si="163"/>
        <v>0.27433279350122974</v>
      </c>
      <c r="BM146" s="1096">
        <f t="shared" si="163"/>
        <v>0.27433279350122974</v>
      </c>
      <c r="BN146" s="1096">
        <f t="shared" si="163"/>
        <v>0.27433279350122974</v>
      </c>
      <c r="BO146" s="1099">
        <f>SUM(BK146:BN146)</f>
        <v>1.097331174004919</v>
      </c>
    </row>
    <row r="147" spans="1:67" s="92" customFormat="1" hidden="1" outlineLevel="1">
      <c r="A147" s="575"/>
      <c r="B147" s="1023" t="s">
        <v>381</v>
      </c>
      <c r="C147" s="663" t="str">
        <f>IFERROR(C146/C$152,"--")</f>
        <v>--</v>
      </c>
      <c r="D147" s="663" t="str">
        <f>IFERROR(D146/D$152,"--")</f>
        <v>--</v>
      </c>
      <c r="E147" s="663" t="str">
        <f>IFERROR(E146/E$152,"--")</f>
        <v>--</v>
      </c>
      <c r="F147" s="663" t="str">
        <f>IFERROR(F146/F$152,"--")</f>
        <v>--</v>
      </c>
      <c r="G147" s="662"/>
      <c r="H147" s="663">
        <f>IFERROR(H146/H$152,"--")</f>
        <v>0</v>
      </c>
      <c r="I147" s="663">
        <f>IFERROR(I146/I$152,"--")</f>
        <v>0</v>
      </c>
      <c r="J147" s="663">
        <f>IFERROR(J146/J$152,"--")</f>
        <v>0</v>
      </c>
      <c r="K147" s="663">
        <f>IFERROR(K146/K$152,"--")</f>
        <v>0</v>
      </c>
      <c r="L147" s="662"/>
      <c r="M147" s="663">
        <f>IFERROR(M146/M$152,"--")</f>
        <v>0</v>
      </c>
      <c r="N147" s="663">
        <f>IFERROR(N146/N$152,"--")</f>
        <v>0</v>
      </c>
      <c r="O147" s="663">
        <f>IFERROR(O146/O$152,"--")</f>
        <v>0</v>
      </c>
      <c r="P147" s="663">
        <f>IFERROR(P146/P$152,"--")</f>
        <v>0</v>
      </c>
      <c r="Q147" s="662"/>
      <c r="R147" s="663">
        <f t="shared" ref="R147:AN147" si="164">IFERROR(R146/R$152,"--")</f>
        <v>0</v>
      </c>
      <c r="S147" s="663">
        <f t="shared" si="164"/>
        <v>0</v>
      </c>
      <c r="T147" s="663">
        <f t="shared" si="164"/>
        <v>0</v>
      </c>
      <c r="U147" s="663">
        <f t="shared" si="164"/>
        <v>0</v>
      </c>
      <c r="V147" s="679">
        <f t="shared" si="164"/>
        <v>0</v>
      </c>
      <c r="W147" s="663">
        <f t="shared" si="164"/>
        <v>0.47003848268279275</v>
      </c>
      <c r="X147" s="663">
        <f t="shared" si="164"/>
        <v>0.49345206914614981</v>
      </c>
      <c r="Y147" s="663">
        <f t="shared" si="164"/>
        <v>0.49115504682622269</v>
      </c>
      <c r="Z147" s="663">
        <f t="shared" si="164"/>
        <v>0.55096418732782371</v>
      </c>
      <c r="AA147" s="679">
        <f t="shared" si="164"/>
        <v>0.50344915687276448</v>
      </c>
      <c r="AB147" s="663">
        <f t="shared" si="164"/>
        <v>0.3337743337743338</v>
      </c>
      <c r="AC147" s="663">
        <f t="shared" si="164"/>
        <v>0.17082645430707971</v>
      </c>
      <c r="AD147" s="663">
        <f t="shared" si="164"/>
        <v>0.16098484848484845</v>
      </c>
      <c r="AE147" s="663">
        <f t="shared" si="164"/>
        <v>0.14919354838709675</v>
      </c>
      <c r="AF147" s="679">
        <f t="shared" si="164"/>
        <v>0.18345008756567421</v>
      </c>
      <c r="AG147" s="663">
        <f t="shared" si="164"/>
        <v>0.11696806464024626</v>
      </c>
      <c r="AH147" s="663">
        <f t="shared" si="164"/>
        <v>0.15646487474154927</v>
      </c>
      <c r="AI147" s="663">
        <f t="shared" si="164"/>
        <v>0.16108098497644235</v>
      </c>
      <c r="AJ147" s="663">
        <f t="shared" si="164"/>
        <v>0.15764685733858538</v>
      </c>
      <c r="AK147" s="679">
        <f t="shared" si="164"/>
        <v>0.1505745030093015</v>
      </c>
      <c r="AL147" s="663">
        <f t="shared" si="164"/>
        <v>0.15355086372360846</v>
      </c>
      <c r="AM147" s="663">
        <f t="shared" si="164"/>
        <v>0.15374650006268545</v>
      </c>
      <c r="AN147" s="1275">
        <f t="shared" si="164"/>
        <v>0.15317377731529658</v>
      </c>
      <c r="AO147" s="663">
        <f>IFERROR(AO146/AO$152,"--")</f>
        <v>0.14437075697523838</v>
      </c>
      <c r="AP147" s="679">
        <f>IFERROR(AP146/AP$152,"--")</f>
        <v>0.1510910179393489</v>
      </c>
      <c r="AQ147" s="663">
        <f t="shared" ref="AQ147:AS147" si="165">IFERROR(AQ146/AQ$152,"--")</f>
        <v>0.10981938966161511</v>
      </c>
      <c r="AR147" s="1275">
        <f t="shared" si="165"/>
        <v>9.7924982917970291E-2</v>
      </c>
      <c r="AS147" s="1275">
        <f t="shared" si="165"/>
        <v>9.4329164790244918E-2</v>
      </c>
      <c r="AT147" s="1083">
        <f>AS147</f>
        <v>9.4329164790244918E-2</v>
      </c>
      <c r="AU147" s="671">
        <f>IFERROR(AU146/AU$152,"--")</f>
        <v>9.8932858682795569E-2</v>
      </c>
      <c r="AV147" s="1083">
        <f>AT147</f>
        <v>9.4329164790244918E-2</v>
      </c>
      <c r="AW147" s="1083">
        <f>AV147</f>
        <v>9.4329164790244918E-2</v>
      </c>
      <c r="AX147" s="1083">
        <f>AW147</f>
        <v>9.4329164790244918E-2</v>
      </c>
      <c r="AY147" s="1083">
        <f>AX147</f>
        <v>9.4329164790244918E-2</v>
      </c>
      <c r="AZ147" s="671">
        <f>IFERROR(AZ146/AZ$152,"--")</f>
        <v>9.4329164790244918E-2</v>
      </c>
      <c r="BA147" s="1083">
        <f>AY147</f>
        <v>9.4329164790244918E-2</v>
      </c>
      <c r="BB147" s="1083">
        <f>BA147</f>
        <v>9.4329164790244918E-2</v>
      </c>
      <c r="BC147" s="1083">
        <f>BB147</f>
        <v>9.4329164790244918E-2</v>
      </c>
      <c r="BD147" s="1083">
        <f>BC147</f>
        <v>9.4329164790244918E-2</v>
      </c>
      <c r="BE147" s="671">
        <f>IFERROR(BE146/BE$152,"--")</f>
        <v>9.4329164790244918E-2</v>
      </c>
      <c r="BF147" s="1083">
        <f>BD147</f>
        <v>9.4329164790244918E-2</v>
      </c>
      <c r="BG147" s="1083">
        <f>BF147</f>
        <v>9.4329164790244918E-2</v>
      </c>
      <c r="BH147" s="1083">
        <f>BG147</f>
        <v>9.4329164790244918E-2</v>
      </c>
      <c r="BI147" s="1083">
        <f>BH147</f>
        <v>9.4329164790244918E-2</v>
      </c>
      <c r="BJ147" s="671">
        <f>IFERROR(BJ146/BJ$152,"--")</f>
        <v>9.4329164790244918E-2</v>
      </c>
      <c r="BK147" s="1083">
        <f>BI147</f>
        <v>9.4329164790244918E-2</v>
      </c>
      <c r="BL147" s="1083">
        <f>BK147</f>
        <v>9.4329164790244918E-2</v>
      </c>
      <c r="BM147" s="1083">
        <f>BL147</f>
        <v>9.4329164790244918E-2</v>
      </c>
      <c r="BN147" s="1083">
        <f>BM147</f>
        <v>9.4329164790244918E-2</v>
      </c>
      <c r="BO147" s="671">
        <f>IFERROR(BO146/BO$152,"--")</f>
        <v>9.4329164790244918E-2</v>
      </c>
    </row>
    <row r="148" spans="1:67" s="92" customFormat="1" hidden="1" outlineLevel="1">
      <c r="A148" s="575"/>
      <c r="B148" s="1023"/>
      <c r="C148" s="660"/>
      <c r="D148" s="660"/>
      <c r="E148" s="660"/>
      <c r="F148" s="660"/>
      <c r="G148" s="662"/>
      <c r="H148" s="660"/>
      <c r="I148" s="660"/>
      <c r="J148" s="660"/>
      <c r="K148" s="660"/>
      <c r="L148" s="662"/>
      <c r="M148" s="660"/>
      <c r="N148" s="660"/>
      <c r="O148" s="660"/>
      <c r="P148" s="660"/>
      <c r="Q148" s="662"/>
      <c r="R148" s="660"/>
      <c r="S148" s="660"/>
      <c r="T148" s="660"/>
      <c r="U148" s="660"/>
      <c r="V148" s="679"/>
      <c r="W148" s="660"/>
      <c r="X148" s="660"/>
      <c r="Y148" s="660"/>
      <c r="Z148" s="660"/>
      <c r="AA148" s="679"/>
      <c r="AB148" s="660"/>
      <c r="AC148" s="660"/>
      <c r="AD148" s="660"/>
      <c r="AE148" s="660"/>
      <c r="AF148" s="679"/>
      <c r="AG148" s="660"/>
      <c r="AH148" s="660"/>
      <c r="AI148" s="660"/>
      <c r="AJ148" s="660"/>
      <c r="AK148" s="679"/>
      <c r="AL148" s="660"/>
      <c r="AM148" s="660"/>
      <c r="AN148" s="1277"/>
      <c r="AO148" s="660"/>
      <c r="AP148" s="679"/>
      <c r="AQ148" s="660"/>
      <c r="AR148" s="1277"/>
      <c r="AS148" s="1277"/>
      <c r="AT148" s="661"/>
      <c r="AU148" s="680"/>
      <c r="AV148" s="660"/>
      <c r="AW148" s="661"/>
      <c r="AX148" s="661"/>
      <c r="AY148" s="661"/>
      <c r="AZ148" s="680"/>
      <c r="BA148" s="660"/>
      <c r="BB148" s="661"/>
      <c r="BC148" s="661"/>
      <c r="BD148" s="661"/>
      <c r="BE148" s="680"/>
      <c r="BF148" s="660"/>
      <c r="BG148" s="661"/>
      <c r="BH148" s="661"/>
      <c r="BI148" s="661"/>
      <c r="BJ148" s="680"/>
      <c r="BK148" s="660"/>
      <c r="BL148" s="661"/>
      <c r="BM148" s="661"/>
      <c r="BN148" s="661"/>
      <c r="BO148" s="680"/>
    </row>
    <row r="149" spans="1:67" s="1098" customFormat="1" hidden="1" outlineLevel="1">
      <c r="A149" s="1095"/>
      <c r="B149" s="1161" t="s">
        <v>11</v>
      </c>
      <c r="C149" s="1096">
        <f>C127</f>
        <v>0</v>
      </c>
      <c r="D149" s="1096">
        <f>D127</f>
        <v>0</v>
      </c>
      <c r="E149" s="1096">
        <f>E127</f>
        <v>0</v>
      </c>
      <c r="F149" s="1096">
        <f>F127</f>
        <v>0</v>
      </c>
      <c r="G149" s="1097">
        <f>SUM(C149:F149)</f>
        <v>0</v>
      </c>
      <c r="H149" s="1096">
        <f>H127</f>
        <v>0</v>
      </c>
      <c r="I149" s="1096">
        <f>I127</f>
        <v>0</v>
      </c>
      <c r="J149" s="1096">
        <f>J127</f>
        <v>0</v>
      </c>
      <c r="K149" s="1096">
        <f>K127</f>
        <v>0</v>
      </c>
      <c r="L149" s="1097">
        <f>SUM(H149:K149)</f>
        <v>0</v>
      </c>
      <c r="M149" s="1096">
        <f>M127</f>
        <v>0</v>
      </c>
      <c r="N149" s="1096">
        <f>N127</f>
        <v>0</v>
      </c>
      <c r="O149" s="1096">
        <f>O127</f>
        <v>0</v>
      </c>
      <c r="P149" s="1096">
        <f>P127</f>
        <v>0</v>
      </c>
      <c r="Q149" s="1097">
        <f>SUM(M149:P149)</f>
        <v>0</v>
      </c>
      <c r="R149" s="1096">
        <f>R127</f>
        <v>0.10299999999999999</v>
      </c>
      <c r="S149" s="1096">
        <f>S127</f>
        <v>0.30499999999999999</v>
      </c>
      <c r="T149" s="1096">
        <f>T127</f>
        <v>0.309</v>
      </c>
      <c r="U149" s="1096">
        <f>U127</f>
        <v>0.35199999999999998</v>
      </c>
      <c r="V149" s="1097">
        <f>SUM(R149:U149)</f>
        <v>1.069</v>
      </c>
      <c r="W149" s="1096">
        <f>W127</f>
        <v>0.39700000000000002</v>
      </c>
      <c r="X149" s="1096">
        <f>X127</f>
        <v>0.40100000000000002</v>
      </c>
      <c r="Y149" s="1096">
        <f>Y127</f>
        <v>0.41099999999999998</v>
      </c>
      <c r="Z149" s="1096">
        <f>Z127</f>
        <v>0.41199999999999998</v>
      </c>
      <c r="AA149" s="1097">
        <f>SUM(W149:Z149)</f>
        <v>1.621</v>
      </c>
      <c r="AB149" s="1096">
        <f>AB127</f>
        <v>0.41199999999999998</v>
      </c>
      <c r="AC149" s="1096">
        <f>AC127</f>
        <v>0.41699999999999998</v>
      </c>
      <c r="AD149" s="1096">
        <f>AD127</f>
        <v>0.45100000000000001</v>
      </c>
      <c r="AE149" s="1096">
        <f>AE127</f>
        <v>0.45100000000000001</v>
      </c>
      <c r="AF149" s="1097">
        <f>SUM(AB149:AE149)</f>
        <v>1.7310000000000001</v>
      </c>
      <c r="AG149" s="1096">
        <f>AG127</f>
        <v>0.436</v>
      </c>
      <c r="AH149" s="1096">
        <f>AH127</f>
        <v>0.45100000000000001</v>
      </c>
      <c r="AI149" s="1096">
        <f>AI127</f>
        <v>0.45100000000000001</v>
      </c>
      <c r="AJ149" s="1096">
        <f>AJ127</f>
        <v>0.45100000000000001</v>
      </c>
      <c r="AK149" s="1097">
        <f>SUM(AG149:AJ149)</f>
        <v>1.7890000000000001</v>
      </c>
      <c r="AL149" s="1096">
        <f>AL127</f>
        <v>0.441</v>
      </c>
      <c r="AM149" s="1096">
        <f>AM127</f>
        <v>0.45100000000000001</v>
      </c>
      <c r="AN149" s="1274">
        <f>AN127</f>
        <v>0.45100000000000001</v>
      </c>
      <c r="AO149" s="1096">
        <f>AO127</f>
        <v>0.45100000000000001</v>
      </c>
      <c r="AP149" s="1097">
        <f>SUM(AL149:AO149)</f>
        <v>1.794</v>
      </c>
      <c r="AQ149" s="1096">
        <f>AQ127</f>
        <v>0.33700000000000002</v>
      </c>
      <c r="AR149" s="1274">
        <f>AR127</f>
        <v>0.54300000000000004</v>
      </c>
      <c r="AS149" s="1274">
        <f>AS127</f>
        <v>0.124</v>
      </c>
      <c r="AT149" s="1096">
        <f>AT150*AT$152</f>
        <v>9.450237295181349E-2</v>
      </c>
      <c r="AU149" s="1099">
        <f>SUM(AQ149:AT149)</f>
        <v>1.0985023729518135</v>
      </c>
      <c r="AV149" s="1096">
        <f>AV150*AV$152</f>
        <v>9.1130356462396506E-2</v>
      </c>
      <c r="AW149" s="1096">
        <f>AW150*AW$152</f>
        <v>9.1130356462396506E-2</v>
      </c>
      <c r="AX149" s="1096">
        <f>AX150*AX$152</f>
        <v>9.1130356462396506E-2</v>
      </c>
      <c r="AY149" s="1096">
        <f>AY150*AY$152</f>
        <v>9.1130356462396506E-2</v>
      </c>
      <c r="AZ149" s="1099">
        <f>SUM(AV149:AY149)</f>
        <v>0.36452142584958602</v>
      </c>
      <c r="BA149" s="1096">
        <f t="shared" ref="BA149:BN149" si="166">BA150*BA$152</f>
        <v>5.6159109017216893E-2</v>
      </c>
      <c r="BB149" s="1096">
        <f t="shared" si="166"/>
        <v>5.6159109017216893E-2</v>
      </c>
      <c r="BC149" s="1096">
        <f t="shared" si="166"/>
        <v>5.6159109017216893E-2</v>
      </c>
      <c r="BD149" s="1096">
        <f t="shared" si="166"/>
        <v>5.6159109017216893E-2</v>
      </c>
      <c r="BE149" s="1099">
        <f>SUM(BA149:BD149)</f>
        <v>0.22463643606886757</v>
      </c>
      <c r="BF149" s="1096">
        <f t="shared" si="166"/>
        <v>1.2492569369868707E-2</v>
      </c>
      <c r="BG149" s="1096">
        <f t="shared" si="166"/>
        <v>1.2492569369868707E-2</v>
      </c>
      <c r="BH149" s="1096">
        <f t="shared" si="166"/>
        <v>1.2492569369868707E-2</v>
      </c>
      <c r="BI149" s="1096">
        <f t="shared" si="166"/>
        <v>1.2492569369868707E-2</v>
      </c>
      <c r="BJ149" s="1099">
        <f>SUM(BF149:BI149)</f>
        <v>4.9970277479474828E-2</v>
      </c>
      <c r="BK149" s="1096">
        <f t="shared" si="166"/>
        <v>1.2492569369868707E-2</v>
      </c>
      <c r="BL149" s="1096">
        <f t="shared" si="166"/>
        <v>1.2492569369868707E-2</v>
      </c>
      <c r="BM149" s="1096">
        <f t="shared" si="166"/>
        <v>1.2492569369868707E-2</v>
      </c>
      <c r="BN149" s="1096">
        <f t="shared" si="166"/>
        <v>1.2492569369868707E-2</v>
      </c>
      <c r="BO149" s="1099">
        <f>SUM(BK149:BN149)</f>
        <v>4.9970277479474828E-2</v>
      </c>
    </row>
    <row r="150" spans="1:67" s="92" customFormat="1" hidden="1" outlineLevel="1">
      <c r="A150" s="575"/>
      <c r="B150" s="1023" t="s">
        <v>381</v>
      </c>
      <c r="C150" s="663" t="str">
        <f>IFERROR(C149/C$152,"--")</f>
        <v>--</v>
      </c>
      <c r="D150" s="663" t="str">
        <f>IFERROR(D149/D$152,"--")</f>
        <v>--</v>
      </c>
      <c r="E150" s="663" t="str">
        <f>IFERROR(E149/E$152,"--")</f>
        <v>--</v>
      </c>
      <c r="F150" s="663" t="str">
        <f>IFERROR(F149/F$152,"--")</f>
        <v>--</v>
      </c>
      <c r="G150" s="662"/>
      <c r="H150" s="663">
        <f>IFERROR(H149/H$152,"--")</f>
        <v>0</v>
      </c>
      <c r="I150" s="663">
        <f>IFERROR(I149/I$152,"--")</f>
        <v>0</v>
      </c>
      <c r="J150" s="663">
        <f>IFERROR(J149/J$152,"--")</f>
        <v>0</v>
      </c>
      <c r="K150" s="663">
        <f>IFERROR(K149/K$152,"--")</f>
        <v>0</v>
      </c>
      <c r="L150" s="662"/>
      <c r="M150" s="663">
        <f>IFERROR(M149/M$152,"--")</f>
        <v>0</v>
      </c>
      <c r="N150" s="663">
        <f>IFERROR(N149/N$152,"--")</f>
        <v>0</v>
      </c>
      <c r="O150" s="663">
        <f>IFERROR(O149/O$152,"--")</f>
        <v>0</v>
      </c>
      <c r="P150" s="663">
        <f>IFERROR(P149/P$152,"--")</f>
        <v>0</v>
      </c>
      <c r="Q150" s="662"/>
      <c r="R150" s="663">
        <f t="shared" ref="R150:AN150" si="167">IFERROR(R149/R$152,"--")</f>
        <v>0.26010101010101011</v>
      </c>
      <c r="S150" s="663">
        <f t="shared" si="167"/>
        <v>0.51959114139693363</v>
      </c>
      <c r="T150" s="663">
        <f t="shared" si="167"/>
        <v>0.35273972602739728</v>
      </c>
      <c r="U150" s="663">
        <f t="shared" si="167"/>
        <v>0.38344226579520696</v>
      </c>
      <c r="V150" s="679">
        <f t="shared" si="167"/>
        <v>0.38494778537990643</v>
      </c>
      <c r="W150" s="663">
        <f t="shared" si="167"/>
        <v>0.21825178669598683</v>
      </c>
      <c r="X150" s="663">
        <f t="shared" si="167"/>
        <v>0.21005762179151388</v>
      </c>
      <c r="Y150" s="663">
        <f t="shared" si="167"/>
        <v>0.21383975026014568</v>
      </c>
      <c r="Z150" s="663">
        <f t="shared" si="167"/>
        <v>0.18916437098255279</v>
      </c>
      <c r="AA150" s="679">
        <f t="shared" si="167"/>
        <v>0.20707715891670928</v>
      </c>
      <c r="AB150" s="663">
        <f t="shared" si="167"/>
        <v>7.7868077868077867E-2</v>
      </c>
      <c r="AC150" s="663">
        <f t="shared" si="167"/>
        <v>4.0497232203554431E-2</v>
      </c>
      <c r="AD150" s="663">
        <f t="shared" si="167"/>
        <v>4.0674603174603169E-2</v>
      </c>
      <c r="AE150" s="663">
        <f t="shared" si="167"/>
        <v>3.7113232389730084E-2</v>
      </c>
      <c r="AF150" s="679">
        <f t="shared" si="167"/>
        <v>4.4581230040177187E-2</v>
      </c>
      <c r="AG150" s="663">
        <f t="shared" si="167"/>
        <v>2.7959471591637811E-2</v>
      </c>
      <c r="AH150" s="663">
        <f t="shared" si="167"/>
        <v>2.1685820070202432E-2</v>
      </c>
      <c r="AI150" s="663">
        <f t="shared" si="167"/>
        <v>2.0046226331229444E-2</v>
      </c>
      <c r="AJ150" s="663">
        <f t="shared" si="167"/>
        <v>1.930981332419935E-2</v>
      </c>
      <c r="AK150" s="679">
        <f t="shared" si="167"/>
        <v>2.1752082193446414E-2</v>
      </c>
      <c r="AL150" s="663">
        <f t="shared" si="167"/>
        <v>1.8809980806142036E-2</v>
      </c>
      <c r="AM150" s="663">
        <f t="shared" si="167"/>
        <v>1.8847423628233526E-2</v>
      </c>
      <c r="AN150" s="1275">
        <f t="shared" si="167"/>
        <v>1.8772112382934445E-2</v>
      </c>
      <c r="AO150" s="663">
        <f>IFERROR(AO149/AO$152,"--")</f>
        <v>1.7698073225287447E-2</v>
      </c>
      <c r="AP150" s="679">
        <f>IFERROR(AP149/AP$152,"--")</f>
        <v>1.8517371647984147E-2</v>
      </c>
      <c r="AQ150" s="663">
        <f t="shared" ref="AQ150:AS150" si="168">IFERROR(AQ149/AQ$152,"--")</f>
        <v>1.3992111272576293E-2</v>
      </c>
      <c r="AR150" s="1275">
        <f t="shared" si="168"/>
        <v>1.9527457115114902E-2</v>
      </c>
      <c r="AS150" s="1275">
        <f t="shared" si="168"/>
        <v>4.2955624069006132E-3</v>
      </c>
      <c r="AT150" s="1083">
        <f>AS150</f>
        <v>4.2955624069006132E-3</v>
      </c>
      <c r="AU150" s="671">
        <f>IFERROR(AU149/AU$152,"--")</f>
        <v>1.0690084303582301E-2</v>
      </c>
      <c r="AV150" s="1083">
        <f>AT150</f>
        <v>4.2955624069006132E-3</v>
      </c>
      <c r="AW150" s="1083">
        <f>AV150</f>
        <v>4.2955624069006132E-3</v>
      </c>
      <c r="AX150" s="1083">
        <f>AW150</f>
        <v>4.2955624069006132E-3</v>
      </c>
      <c r="AY150" s="1083">
        <f>AX150</f>
        <v>4.2955624069006132E-3</v>
      </c>
      <c r="AZ150" s="671">
        <f>IFERROR(AZ149/AZ$152,"--")</f>
        <v>4.2955624069006132E-3</v>
      </c>
      <c r="BA150" s="1083">
        <f>AY150</f>
        <v>4.2955624069006132E-3</v>
      </c>
      <c r="BB150" s="1083">
        <f>BA150</f>
        <v>4.2955624069006132E-3</v>
      </c>
      <c r="BC150" s="1083">
        <f>BB150</f>
        <v>4.2955624069006132E-3</v>
      </c>
      <c r="BD150" s="1083">
        <f>BC150</f>
        <v>4.2955624069006132E-3</v>
      </c>
      <c r="BE150" s="671">
        <f>IFERROR(BE149/BE$152,"--")</f>
        <v>4.2955624069006132E-3</v>
      </c>
      <c r="BF150" s="1083">
        <f>BD150</f>
        <v>4.2955624069006132E-3</v>
      </c>
      <c r="BG150" s="1083">
        <f>BF150</f>
        <v>4.2955624069006132E-3</v>
      </c>
      <c r="BH150" s="1083">
        <f>BG150</f>
        <v>4.2955624069006132E-3</v>
      </c>
      <c r="BI150" s="1083">
        <f>BH150</f>
        <v>4.2955624069006132E-3</v>
      </c>
      <c r="BJ150" s="671">
        <f>IFERROR(BJ149/BJ$152,"--")</f>
        <v>4.2955624069006132E-3</v>
      </c>
      <c r="BK150" s="1083">
        <f>BI150</f>
        <v>4.2955624069006132E-3</v>
      </c>
      <c r="BL150" s="1083">
        <f>BK150</f>
        <v>4.2955624069006132E-3</v>
      </c>
      <c r="BM150" s="1083">
        <f>BL150</f>
        <v>4.2955624069006132E-3</v>
      </c>
      <c r="BN150" s="1083">
        <f>BM150</f>
        <v>4.2955624069006132E-3</v>
      </c>
      <c r="BO150" s="671">
        <f>IFERROR(BO149/BO$152,"--")</f>
        <v>4.2955624069006132E-3</v>
      </c>
    </row>
    <row r="151" spans="1:67" s="92" customFormat="1" hidden="1" outlineLevel="1">
      <c r="A151" s="575"/>
      <c r="B151" s="1023"/>
      <c r="C151" s="660"/>
      <c r="D151" s="660"/>
      <c r="E151" s="660"/>
      <c r="F151" s="660"/>
      <c r="G151" s="662"/>
      <c r="H151" s="660"/>
      <c r="I151" s="660"/>
      <c r="J151" s="660"/>
      <c r="K151" s="660"/>
      <c r="L151" s="662"/>
      <c r="M151" s="660"/>
      <c r="N151" s="660"/>
      <c r="O151" s="660"/>
      <c r="P151" s="660"/>
      <c r="Q151" s="662"/>
      <c r="R151" s="660"/>
      <c r="S151" s="660"/>
      <c r="T151" s="660"/>
      <c r="U151" s="660"/>
      <c r="V151" s="662"/>
      <c r="W151" s="660"/>
      <c r="X151" s="660"/>
      <c r="Y151" s="660"/>
      <c r="Z151" s="660"/>
      <c r="AA151" s="662"/>
      <c r="AB151" s="660"/>
      <c r="AC151" s="660"/>
      <c r="AD151" s="660"/>
      <c r="AE151" s="660"/>
      <c r="AF151" s="662"/>
      <c r="AG151" s="660"/>
      <c r="AH151" s="660"/>
      <c r="AI151" s="660"/>
      <c r="AJ151" s="660"/>
      <c r="AK151" s="662"/>
      <c r="AL151" s="660"/>
      <c r="AM151" s="660"/>
      <c r="AN151" s="1277"/>
      <c r="AO151" s="660"/>
      <c r="AP151" s="662"/>
      <c r="AQ151" s="660"/>
      <c r="AR151" s="1277"/>
      <c r="AS151" s="1277"/>
      <c r="AT151" s="661"/>
      <c r="AU151" s="662"/>
      <c r="AV151" s="660"/>
      <c r="AW151" s="661"/>
      <c r="AX151" s="661"/>
      <c r="AY151" s="661"/>
      <c r="AZ151" s="662"/>
      <c r="BA151" s="660"/>
      <c r="BB151" s="661"/>
      <c r="BC151" s="661"/>
      <c r="BD151" s="661"/>
      <c r="BE151" s="662"/>
      <c r="BF151" s="660"/>
      <c r="BG151" s="661"/>
      <c r="BH151" s="661"/>
      <c r="BI151" s="661"/>
      <c r="BJ151" s="662"/>
      <c r="BK151" s="660"/>
      <c r="BL151" s="661"/>
      <c r="BM151" s="661"/>
      <c r="BN151" s="661"/>
      <c r="BO151" s="662"/>
    </row>
    <row r="152" spans="1:67" s="1098" customFormat="1" hidden="1" outlineLevel="1">
      <c r="A152" s="1095"/>
      <c r="B152" s="1161" t="s">
        <v>370</v>
      </c>
      <c r="C152" s="1096">
        <f>SUM(C137,C140,C143,C146,C149)</f>
        <v>0</v>
      </c>
      <c r="D152" s="1096">
        <f>SUM(D137,D140,D143,D146,D149)</f>
        <v>0</v>
      </c>
      <c r="E152" s="1096">
        <f>SUM(E137,E140,E143,E146,E149)</f>
        <v>0</v>
      </c>
      <c r="F152" s="1096">
        <f>SUM(F137,F140,F143,F146,F149)</f>
        <v>0</v>
      </c>
      <c r="G152" s="1097">
        <f>SUM(C152:F152)</f>
        <v>0</v>
      </c>
      <c r="H152" s="1096">
        <f>SUM(H137,H140,H143,H146,H149)</f>
        <v>4.0000000000000001E-3</v>
      </c>
      <c r="I152" s="1096">
        <f>SUM(I137,I140,I143,I146,I149)</f>
        <v>4.0000000000000001E-3</v>
      </c>
      <c r="J152" s="1096">
        <f>SUM(J137,J140,J143,J146,J149)</f>
        <v>4.0000000000000001E-3</v>
      </c>
      <c r="K152" s="1096">
        <f>SUM(K137,K140,K143,K146,K149)</f>
        <v>4.0000000000000001E-3</v>
      </c>
      <c r="L152" s="1097">
        <f>SUM(H152:K152)</f>
        <v>1.6E-2</v>
      </c>
      <c r="M152" s="1096">
        <f>SUM(M137,M140,M143,M146,M149)</f>
        <v>9.2999999999999999E-2</v>
      </c>
      <c r="N152" s="1096">
        <f>SUM(N137,N140,N143,N146,N149)</f>
        <v>0.21900000000000003</v>
      </c>
      <c r="O152" s="1096">
        <f>SUM(O137,O140,O143,O146,O149)</f>
        <v>0.29799999999999999</v>
      </c>
      <c r="P152" s="1096">
        <f>SUM(P137,P140,P143,P146,P149)</f>
        <v>0.29700000000000004</v>
      </c>
      <c r="Q152" s="1097">
        <f>SUM(M152:P152)</f>
        <v>0.90700000000000014</v>
      </c>
      <c r="R152" s="1096">
        <f>SUM(R137,R140,R143,R146,R149)</f>
        <v>0.39599999999999996</v>
      </c>
      <c r="S152" s="1096">
        <f>SUM(S137,S140,S143,S146,S149)</f>
        <v>0.58699999999999997</v>
      </c>
      <c r="T152" s="1096">
        <f>SUM(T137,T140,T143,T146,T149)</f>
        <v>0.87599999999999989</v>
      </c>
      <c r="U152" s="1096">
        <f>SUM(U137,U140,U143,U146,U149)</f>
        <v>0.91799999999999993</v>
      </c>
      <c r="V152" s="1097">
        <f>SUM(R152:U152)</f>
        <v>2.7769999999999997</v>
      </c>
      <c r="W152" s="1096">
        <f>SUM(W137,W140,W143,W146,W149)</f>
        <v>1.819</v>
      </c>
      <c r="X152" s="1096">
        <f>SUM(X137,X140,X143,X146,X149)</f>
        <v>1.909</v>
      </c>
      <c r="Y152" s="1096">
        <f>SUM(Y137,Y140,Y143,Y146,Y149)</f>
        <v>1.9219999999999999</v>
      </c>
      <c r="Z152" s="1096">
        <f>SUM(Z137,Z140,Z143,Z146,Z149)</f>
        <v>2.1779999999999999</v>
      </c>
      <c r="AA152" s="1097">
        <f>SUM(W152:Z152)</f>
        <v>7.8279999999999994</v>
      </c>
      <c r="AB152" s="1096">
        <f>SUM(AB137,AB140,AB143,AB146,AB149)</f>
        <v>5.2909999999999995</v>
      </c>
      <c r="AC152" s="1096">
        <f>SUM(AC137,AC140,AC143,AC146,AC149)</f>
        <v>10.297000000000001</v>
      </c>
      <c r="AD152" s="1096">
        <f>SUM(AD137,AD140,AD143,AD146,AD149)</f>
        <v>11.088000000000001</v>
      </c>
      <c r="AE152" s="1096">
        <f>SUM(AE137,AE140,AE143,AE146,AE149)</f>
        <v>12.152000000000001</v>
      </c>
      <c r="AF152" s="1097">
        <f>SUM(AB152:AE152)</f>
        <v>38.828000000000003</v>
      </c>
      <c r="AG152" s="1096">
        <f>SUM(AG137,AG140,AG143,AG146,AG149)</f>
        <v>15.593999999999999</v>
      </c>
      <c r="AH152" s="1096">
        <f>SUM(AH137,AH140,AH143,AH146,AH149)</f>
        <v>20.797000000000001</v>
      </c>
      <c r="AI152" s="1096">
        <f>SUM(AI137,AI140,AI143,AI146,AI149)</f>
        <v>22.498000000000001</v>
      </c>
      <c r="AJ152" s="1096">
        <f>SUM(AJ137,AJ140,AJ143,AJ146,AJ149)</f>
        <v>23.355999999999998</v>
      </c>
      <c r="AK152" s="1097">
        <f>SUM(AG152:AJ152)</f>
        <v>82.24499999999999</v>
      </c>
      <c r="AL152" s="1096">
        <f>SUM(AL137,AL140,AL143,AL146,AL149)</f>
        <v>23.445</v>
      </c>
      <c r="AM152" s="1096">
        <f>SUM(AM137,AM140,AM143,AM146,AM149)</f>
        <v>23.928999999999998</v>
      </c>
      <c r="AN152" s="1274">
        <f>SUM(AN137,AN140,AN143,AN146,AN149)</f>
        <v>24.024999999999999</v>
      </c>
      <c r="AO152" s="1096">
        <f>SUM(AO137,AO140,AO143,AO146,AO149)</f>
        <v>25.483000000000001</v>
      </c>
      <c r="AP152" s="1097">
        <f>SUM(AL152:AO152)</f>
        <v>96.882000000000005</v>
      </c>
      <c r="AQ152" s="1096">
        <f>SUM(AQ137,AQ140,AQ143,AQ146,AQ149)</f>
        <v>24.085000000000001</v>
      </c>
      <c r="AR152" s="1274">
        <f>SUM(AR137,AR140,AR143,AR146,AR149)</f>
        <v>27.806999999999999</v>
      </c>
      <c r="AS152" s="1274">
        <f>SUM(AS137,AS140,AS143,AS146,AS149)</f>
        <v>28.866999999999997</v>
      </c>
      <c r="AT152" s="1399">
        <v>22</v>
      </c>
      <c r="AU152" s="1226">
        <f>+SUM(AQ152:AT152)</f>
        <v>102.75899999999999</v>
      </c>
      <c r="AV152" s="1096">
        <f>AZ152/4</f>
        <v>21.215</v>
      </c>
      <c r="AW152" s="1096">
        <f>AZ152/4</f>
        <v>21.215</v>
      </c>
      <c r="AX152" s="1096">
        <f>AZ152/4</f>
        <v>21.215</v>
      </c>
      <c r="AY152" s="1096">
        <f>AZ152/4</f>
        <v>21.215</v>
      </c>
      <c r="AZ152" s="1226">
        <v>84.86</v>
      </c>
      <c r="BA152" s="1096">
        <f>BE152/4</f>
        <v>13.07375</v>
      </c>
      <c r="BB152" s="1096">
        <f>BE152/4</f>
        <v>13.07375</v>
      </c>
      <c r="BC152" s="1096">
        <f>BE152/4</f>
        <v>13.07375</v>
      </c>
      <c r="BD152" s="1096">
        <f>BE152/4</f>
        <v>13.07375</v>
      </c>
      <c r="BE152" s="1226">
        <v>52.295000000000002</v>
      </c>
      <c r="BF152" s="1096">
        <f>BJ152/4</f>
        <v>2.9082499999999998</v>
      </c>
      <c r="BG152" s="1096">
        <f>BJ152/4</f>
        <v>2.9082499999999998</v>
      </c>
      <c r="BH152" s="1096">
        <f>BJ152/4</f>
        <v>2.9082499999999998</v>
      </c>
      <c r="BI152" s="1096">
        <f>BJ152/4</f>
        <v>2.9082499999999998</v>
      </c>
      <c r="BJ152" s="1226">
        <v>11.632999999999999</v>
      </c>
      <c r="BK152" s="1096">
        <f>BO152/4</f>
        <v>2.9082499999999998</v>
      </c>
      <c r="BL152" s="1096">
        <f>BO152/4</f>
        <v>2.9082499999999998</v>
      </c>
      <c r="BM152" s="1096">
        <f>BO152/4</f>
        <v>2.9082499999999998</v>
      </c>
      <c r="BN152" s="1096">
        <f>BO152/4</f>
        <v>2.9082499999999998</v>
      </c>
      <c r="BO152" s="1226">
        <v>11.632999999999999</v>
      </c>
    </row>
    <row r="153" spans="1:67" s="92" customFormat="1" collapsed="1">
      <c r="A153" s="575"/>
      <c r="B153" s="1023"/>
      <c r="C153" s="660"/>
      <c r="D153" s="661"/>
      <c r="E153" s="661"/>
      <c r="F153" s="661"/>
      <c r="G153" s="662"/>
      <c r="H153" s="660"/>
      <c r="I153" s="661"/>
      <c r="J153" s="661"/>
      <c r="K153" s="661"/>
      <c r="L153" s="662"/>
      <c r="M153" s="660"/>
      <c r="N153" s="661"/>
      <c r="O153" s="661"/>
      <c r="P153" s="661"/>
      <c r="Q153" s="662"/>
      <c r="R153" s="660"/>
      <c r="S153" s="661"/>
      <c r="T153" s="661"/>
      <c r="U153" s="661"/>
      <c r="V153" s="662"/>
      <c r="W153" s="660"/>
      <c r="X153" s="661"/>
      <c r="Y153" s="661"/>
      <c r="Z153" s="661"/>
      <c r="AA153" s="662"/>
      <c r="AB153" s="660"/>
      <c r="AC153" s="661"/>
      <c r="AD153" s="661"/>
      <c r="AE153" s="661"/>
      <c r="AF153" s="662"/>
      <c r="AG153" s="660"/>
      <c r="AH153" s="661"/>
      <c r="AI153" s="661"/>
      <c r="AJ153" s="661"/>
      <c r="AK153" s="662"/>
      <c r="AL153" s="660"/>
      <c r="AM153" s="661"/>
      <c r="AN153" s="1278"/>
      <c r="AO153" s="661"/>
      <c r="AP153" s="662"/>
      <c r="AQ153" s="660"/>
      <c r="AR153" s="1278"/>
      <c r="AS153" s="1278"/>
      <c r="AT153" s="661"/>
      <c r="AU153" s="662"/>
      <c r="AV153" s="660"/>
      <c r="AW153" s="661"/>
      <c r="AX153" s="661"/>
      <c r="AY153" s="661"/>
      <c r="AZ153" s="662"/>
      <c r="BA153" s="660"/>
      <c r="BB153" s="661"/>
      <c r="BC153" s="661"/>
      <c r="BD153" s="661"/>
      <c r="BE153" s="662"/>
      <c r="BF153" s="660"/>
      <c r="BG153" s="661"/>
      <c r="BH153" s="661"/>
      <c r="BI153" s="661"/>
      <c r="BJ153" s="662"/>
      <c r="BK153" s="660"/>
      <c r="BL153" s="661"/>
      <c r="BM153" s="661"/>
      <c r="BN153" s="661"/>
      <c r="BO153" s="662"/>
    </row>
    <row r="154" spans="1:67" s="92" customFormat="1">
      <c r="A154" s="575"/>
      <c r="B154" s="986" t="s">
        <v>43</v>
      </c>
      <c r="C154" s="660"/>
      <c r="D154" s="661"/>
      <c r="E154" s="661"/>
      <c r="F154" s="661"/>
      <c r="G154" s="662"/>
      <c r="H154" s="660"/>
      <c r="I154" s="661"/>
      <c r="J154" s="661"/>
      <c r="K154" s="661"/>
      <c r="L154" s="662"/>
      <c r="M154" s="660"/>
      <c r="N154" s="661"/>
      <c r="O154" s="661"/>
      <c r="P154" s="661"/>
      <c r="Q154" s="662"/>
      <c r="R154" s="660"/>
      <c r="S154" s="661"/>
      <c r="T154" s="661"/>
      <c r="U154" s="661"/>
      <c r="V154" s="662"/>
      <c r="W154" s="660"/>
      <c r="X154" s="661"/>
      <c r="Y154" s="661"/>
      <c r="Z154" s="661"/>
      <c r="AA154" s="662"/>
      <c r="AB154" s="660"/>
      <c r="AC154" s="661"/>
      <c r="AD154" s="661"/>
      <c r="AE154" s="661"/>
      <c r="AF154" s="662"/>
      <c r="AG154" s="660"/>
      <c r="AH154" s="661"/>
      <c r="AI154" s="661"/>
      <c r="AJ154" s="661"/>
      <c r="AK154" s="662"/>
      <c r="AL154" s="660"/>
      <c r="AM154" s="661"/>
      <c r="AN154" s="1278"/>
      <c r="AO154" s="661"/>
      <c r="AP154" s="662"/>
      <c r="AQ154" s="660"/>
      <c r="AR154" s="1278"/>
      <c r="AS154" s="1278"/>
      <c r="AT154" s="661"/>
      <c r="AU154" s="662"/>
      <c r="AV154" s="660"/>
      <c r="AW154" s="661"/>
      <c r="AX154" s="661"/>
      <c r="AY154" s="661"/>
      <c r="AZ154" s="662"/>
      <c r="BA154" s="660"/>
      <c r="BB154" s="661"/>
      <c r="BC154" s="661"/>
      <c r="BD154" s="661"/>
      <c r="BE154" s="662"/>
      <c r="BF154" s="660"/>
      <c r="BG154" s="661"/>
      <c r="BH154" s="661"/>
      <c r="BI154" s="661"/>
      <c r="BJ154" s="662"/>
      <c r="BK154" s="660"/>
      <c r="BL154" s="661"/>
      <c r="BM154" s="661"/>
      <c r="BN154" s="661"/>
      <c r="BO154" s="662"/>
    </row>
    <row r="155" spans="1:67" s="1093" customFormat="1" hidden="1" outlineLevel="1">
      <c r="A155" s="1087"/>
      <c r="B155" s="1086" t="s">
        <v>253</v>
      </c>
      <c r="C155" s="1088"/>
      <c r="D155" s="1089"/>
      <c r="E155" s="1089"/>
      <c r="F155" s="1089"/>
      <c r="G155" s="1090"/>
      <c r="H155" s="1091">
        <f>BS!H10</f>
        <v>148.58699999999999</v>
      </c>
      <c r="I155" s="1091">
        <f>BS!I10</f>
        <v>50.42</v>
      </c>
      <c r="J155" s="1091">
        <f>BS!J10</f>
        <v>189.351</v>
      </c>
      <c r="K155" s="1091">
        <f>BS!K10</f>
        <v>116.541</v>
      </c>
      <c r="L155" s="1092">
        <f>K155</f>
        <v>116.541</v>
      </c>
      <c r="M155" s="1091">
        <f>BS!M10</f>
        <v>125.85599999999999</v>
      </c>
      <c r="N155" s="1091">
        <f>BS!N10</f>
        <v>148.774</v>
      </c>
      <c r="O155" s="1091">
        <f>BS!O10</f>
        <v>179.13800000000001</v>
      </c>
      <c r="P155" s="1091">
        <f>BS!P10</f>
        <v>127.206</v>
      </c>
      <c r="Q155" s="1092">
        <f>P155</f>
        <v>127.206</v>
      </c>
      <c r="R155" s="1091">
        <f>BS!R10</f>
        <v>437.56</v>
      </c>
      <c r="S155" s="1091">
        <f>BS!S10</f>
        <v>138.9</v>
      </c>
      <c r="T155" s="1091">
        <f>BS!T10</f>
        <v>3939.9250000000002</v>
      </c>
      <c r="U155" s="1091">
        <f>BS!U10</f>
        <v>820.17700000000002</v>
      </c>
      <c r="V155" s="1092">
        <f>U155</f>
        <v>820.17700000000002</v>
      </c>
      <c r="W155" s="1091">
        <f>BS!W10</f>
        <v>644.67399999999998</v>
      </c>
      <c r="X155" s="1091">
        <f>BS!X10</f>
        <v>698.548</v>
      </c>
      <c r="Y155" s="1091">
        <f>BS!Y10</f>
        <v>935.21699999999998</v>
      </c>
      <c r="Z155" s="1091">
        <f>BS!Z10</f>
        <v>1085.729</v>
      </c>
      <c r="AA155" s="1092">
        <f>Z155</f>
        <v>1085.729</v>
      </c>
      <c r="AB155" s="1091">
        <f>BS!AB10</f>
        <v>1063.4010000000001</v>
      </c>
      <c r="AC155" s="1091">
        <f>BS!AC10</f>
        <v>906.66300000000001</v>
      </c>
      <c r="AD155" s="1091">
        <f>BS!AD10</f>
        <v>819.00300000000004</v>
      </c>
      <c r="AE155" s="1091">
        <f>BS!AE10</f>
        <v>939.90200000000004</v>
      </c>
      <c r="AF155" s="1092">
        <f>AE155</f>
        <v>939.90200000000004</v>
      </c>
      <c r="AG155" s="1091">
        <f>BS!AG10</f>
        <v>653.01400000000001</v>
      </c>
      <c r="AH155" s="1091">
        <f>BS!AH10</f>
        <v>755.19200000000001</v>
      </c>
      <c r="AI155" s="1091">
        <f>BS!AI10</f>
        <v>982.18200000000002</v>
      </c>
      <c r="AJ155" s="1091">
        <f>BS!AJ10</f>
        <v>1762.749</v>
      </c>
      <c r="AK155" s="1092">
        <f>AJ155</f>
        <v>1762.749</v>
      </c>
      <c r="AL155" s="1091">
        <f>BS!AL10</f>
        <v>1330.4110000000001</v>
      </c>
      <c r="AM155" s="1091">
        <f>BS!AM10</f>
        <v>1282.0450000000001</v>
      </c>
      <c r="AN155" s="1279">
        <f>BS!AN10</f>
        <v>2148.9279999999999</v>
      </c>
      <c r="AO155" s="1091">
        <f>BS!AO10</f>
        <v>2628.7979999999998</v>
      </c>
      <c r="AP155" s="1092">
        <f>AO155</f>
        <v>2628.7979999999998</v>
      </c>
      <c r="AQ155" s="1091">
        <f>BS!AQ10</f>
        <v>2243.0830000000001</v>
      </c>
      <c r="AR155" s="1279">
        <f>BS!AR10</f>
        <v>1880.72</v>
      </c>
      <c r="AS155" s="1279">
        <f>BS!AS10</f>
        <v>1941.6569999999999</v>
      </c>
      <c r="AT155" s="1091">
        <f>BS!AT10</f>
        <v>2462.2719126561788</v>
      </c>
      <c r="AU155" s="1092">
        <f>AT155</f>
        <v>2462.2719126561788</v>
      </c>
      <c r="AV155" s="1091">
        <f>BS!AV10</f>
        <v>2705.7232644569976</v>
      </c>
      <c r="AW155" s="1091">
        <f>BS!AW10</f>
        <v>2518.7978560159281</v>
      </c>
      <c r="AX155" s="1091">
        <f>BS!AX10</f>
        <v>2399.0365425106215</v>
      </c>
      <c r="AY155" s="1091">
        <f>BS!AY10</f>
        <v>2942.5712394301595</v>
      </c>
      <c r="AZ155" s="1092">
        <f>AY155</f>
        <v>2942.5712394301595</v>
      </c>
      <c r="BA155" s="1091">
        <f>BS!BA10</f>
        <v>3454.7581527186599</v>
      </c>
      <c r="BB155" s="1091">
        <f>BS!BB10</f>
        <v>3588.9139844009014</v>
      </c>
      <c r="BC155" s="1091">
        <f>BS!BC10</f>
        <v>3799.7875638362907</v>
      </c>
      <c r="BD155" s="1091">
        <f>BS!BD10</f>
        <v>4781.9651276927343</v>
      </c>
      <c r="BE155" s="1092">
        <f>BD155</f>
        <v>4781.9651276927343</v>
      </c>
      <c r="BF155" s="1091">
        <f>BS!BF10</f>
        <v>5469.3467380516886</v>
      </c>
      <c r="BG155" s="1091">
        <f>BS!BG10</f>
        <v>5664.7038872430676</v>
      </c>
      <c r="BH155" s="1091">
        <f>BS!BH10</f>
        <v>6004.6792668714643</v>
      </c>
      <c r="BI155" s="1091">
        <f>BS!BI10</f>
        <v>7226.098863879366</v>
      </c>
      <c r="BJ155" s="1092">
        <f>BI155</f>
        <v>7226.098863879366</v>
      </c>
      <c r="BK155" s="1091">
        <f>BS!BK10</f>
        <v>8035.6612840917805</v>
      </c>
      <c r="BL155" s="1091">
        <f>BS!BL10</f>
        <v>8344.1600868684691</v>
      </c>
      <c r="BM155" s="1091">
        <f>BS!BM10</f>
        <v>8850.2987409028938</v>
      </c>
      <c r="BN155" s="1091">
        <f>BS!BN10</f>
        <v>10350.058109239553</v>
      </c>
      <c r="BO155" s="1092">
        <f>BN155</f>
        <v>10350.058109239553</v>
      </c>
    </row>
    <row r="156" spans="1:67" s="1093" customFormat="1" hidden="1" outlineLevel="1">
      <c r="A156" s="1087"/>
      <c r="B156" s="1086" t="s">
        <v>226</v>
      </c>
      <c r="C156" s="1088"/>
      <c r="D156" s="1089"/>
      <c r="E156" s="1089"/>
      <c r="F156" s="1089"/>
      <c r="G156" s="1090"/>
      <c r="H156" s="1091">
        <f>BS!H12</f>
        <v>144.95599999999999</v>
      </c>
      <c r="I156" s="1091">
        <f>BS!I12</f>
        <v>220.77199999999999</v>
      </c>
      <c r="J156" s="1091">
        <f>BS!J12</f>
        <v>505.90899999999999</v>
      </c>
      <c r="K156" s="1091">
        <f>BS!K12</f>
        <v>492.25700000000001</v>
      </c>
      <c r="L156" s="1092">
        <f>K156</f>
        <v>492.25700000000001</v>
      </c>
      <c r="M156" s="1091">
        <f>BS!M12</f>
        <v>449.71300000000002</v>
      </c>
      <c r="N156" s="1091">
        <f>BS!N12</f>
        <v>315.642</v>
      </c>
      <c r="O156" s="1091">
        <f>BS!O12</f>
        <v>290.77999999999997</v>
      </c>
      <c r="P156" s="1091">
        <f>BS!P12</f>
        <v>306.84399999999999</v>
      </c>
      <c r="Q156" s="1092">
        <f>P156</f>
        <v>306.84399999999999</v>
      </c>
      <c r="R156" s="1091">
        <f>BS!R12</f>
        <v>372.50299999999999</v>
      </c>
      <c r="S156" s="1091">
        <f>BS!S12</f>
        <v>451.976</v>
      </c>
      <c r="T156" s="1091">
        <f>BS!T12</f>
        <v>814.12300000000005</v>
      </c>
      <c r="U156" s="1091">
        <f>BS!U12</f>
        <v>3087.8870000000002</v>
      </c>
      <c r="V156" s="1092">
        <f>U156</f>
        <v>3087.8870000000002</v>
      </c>
      <c r="W156" s="1091">
        <f>BS!W12</f>
        <v>3285.7510000000002</v>
      </c>
      <c r="X156" s="1091">
        <f>BS!X12</f>
        <v>3436.9409999999998</v>
      </c>
      <c r="Y156" s="1091">
        <f>BS!Y12</f>
        <v>2955.6129999999998</v>
      </c>
      <c r="Z156" s="1091">
        <f>BS!Z12</f>
        <v>2766.364</v>
      </c>
      <c r="AA156" s="1092">
        <f>Z156</f>
        <v>2766.364</v>
      </c>
      <c r="AB156" s="1091">
        <f>BS!AB12</f>
        <v>2751.6790000000001</v>
      </c>
      <c r="AC156" s="1091">
        <f>BS!AC12</f>
        <v>3046.4769999999999</v>
      </c>
      <c r="AD156" s="1091">
        <f>BS!AD12</f>
        <v>3123.8789999999999</v>
      </c>
      <c r="AE156" s="1091">
        <f>BS!AE12</f>
        <v>3067.9659999999999</v>
      </c>
      <c r="AF156" s="1092">
        <f>AE156</f>
        <v>3067.9659999999999</v>
      </c>
      <c r="AG156" s="1091">
        <f>BS!AG12</f>
        <v>3292.5140000000001</v>
      </c>
      <c r="AH156" s="1091">
        <f>BS!AH12</f>
        <v>2996.9409999999998</v>
      </c>
      <c r="AI156" s="1091">
        <f>BS!AI12</f>
        <v>2566.357</v>
      </c>
      <c r="AJ156" s="1091">
        <f>BS!AJ12</f>
        <v>2083.4989999999998</v>
      </c>
      <c r="AK156" s="1092">
        <f>AJ156</f>
        <v>2083.4989999999998</v>
      </c>
      <c r="AL156" s="1091">
        <f>BS!AL12</f>
        <v>2200.9349999999999</v>
      </c>
      <c r="AM156" s="1091">
        <f>BS!AM12</f>
        <v>1948.462</v>
      </c>
      <c r="AN156" s="1279">
        <f>BS!AN12</f>
        <v>2008.0619999999999</v>
      </c>
      <c r="AO156" s="1091">
        <f>BS!AO12</f>
        <v>2008.873</v>
      </c>
      <c r="AP156" s="1092">
        <f>AO156</f>
        <v>2008.873</v>
      </c>
      <c r="AQ156" s="1091">
        <f>BS!AQ12</f>
        <v>1667.6010000000001</v>
      </c>
      <c r="AR156" s="1279">
        <f>BS!AR12</f>
        <v>1705.9880000000001</v>
      </c>
      <c r="AS156" s="1279">
        <f>BS!AS12</f>
        <v>1411.4480000000001</v>
      </c>
      <c r="AT156" s="1091">
        <f>BS!AT12</f>
        <v>1411.4480000000001</v>
      </c>
      <c r="AU156" s="1092">
        <f>AT156</f>
        <v>1411.4480000000001</v>
      </c>
      <c r="AV156" s="1091">
        <f>BS!AV12</f>
        <v>1411.4480000000001</v>
      </c>
      <c r="AW156" s="1091">
        <f>BS!AW12</f>
        <v>1411.4480000000001</v>
      </c>
      <c r="AX156" s="1091">
        <f>BS!AX12</f>
        <v>1411.4480000000001</v>
      </c>
      <c r="AY156" s="1091">
        <f>BS!AY12</f>
        <v>1411.4480000000001</v>
      </c>
      <c r="AZ156" s="1092">
        <f>AY156</f>
        <v>1411.4480000000001</v>
      </c>
      <c r="BA156" s="1091">
        <f>BS!BA12</f>
        <v>1411.4480000000001</v>
      </c>
      <c r="BB156" s="1091">
        <f>BS!BB12</f>
        <v>1411.4480000000001</v>
      </c>
      <c r="BC156" s="1091">
        <f>BS!BC12</f>
        <v>1411.4480000000001</v>
      </c>
      <c r="BD156" s="1091">
        <f>BS!BD12</f>
        <v>1411.4480000000001</v>
      </c>
      <c r="BE156" s="1092">
        <f>BD156</f>
        <v>1411.4480000000001</v>
      </c>
      <c r="BF156" s="1091">
        <f>BS!BF12</f>
        <v>1411.4480000000001</v>
      </c>
      <c r="BG156" s="1091">
        <f>BS!BG12</f>
        <v>1411.4480000000001</v>
      </c>
      <c r="BH156" s="1091">
        <f>BS!BH12</f>
        <v>1411.4480000000001</v>
      </c>
      <c r="BI156" s="1091">
        <f>BS!BI12</f>
        <v>1411.4480000000001</v>
      </c>
      <c r="BJ156" s="1092">
        <f>BI156</f>
        <v>1411.4480000000001</v>
      </c>
      <c r="BK156" s="1091">
        <f>BS!BK12</f>
        <v>1411.4480000000001</v>
      </c>
      <c r="BL156" s="1091">
        <f>BS!BL12</f>
        <v>1411.4480000000001</v>
      </c>
      <c r="BM156" s="1091">
        <f>BS!BM12</f>
        <v>1411.4480000000001</v>
      </c>
      <c r="BN156" s="1091">
        <f>BS!BN12</f>
        <v>1411.4480000000001</v>
      </c>
      <c r="BO156" s="1092">
        <f>BN156</f>
        <v>1411.4480000000001</v>
      </c>
    </row>
    <row r="157" spans="1:67" s="1093" customFormat="1" hidden="1" outlineLevel="1">
      <c r="A157" s="1087"/>
      <c r="B157" s="981" t="s">
        <v>379</v>
      </c>
      <c r="C157" s="1088"/>
      <c r="D157" s="1089"/>
      <c r="E157" s="1089"/>
      <c r="F157" s="1089"/>
      <c r="G157" s="1090"/>
      <c r="H157" s="1094">
        <f>SUM(H155:H156)</f>
        <v>293.54300000000001</v>
      </c>
      <c r="I157" s="1094">
        <f>SUM(I155:I156)</f>
        <v>271.19200000000001</v>
      </c>
      <c r="J157" s="1094">
        <f>SUM(J155:J156)</f>
        <v>695.26</v>
      </c>
      <c r="K157" s="1094">
        <f>SUM(K155:K156)</f>
        <v>608.798</v>
      </c>
      <c r="L157" s="1092">
        <f>K157</f>
        <v>608.798</v>
      </c>
      <c r="M157" s="1094">
        <f>SUM(M155:M156)</f>
        <v>575.56899999999996</v>
      </c>
      <c r="N157" s="1094">
        <f>SUM(N155:N156)</f>
        <v>464.416</v>
      </c>
      <c r="O157" s="1094">
        <f>SUM(O155:O156)</f>
        <v>469.91800000000001</v>
      </c>
      <c r="P157" s="1094">
        <f>SUM(P155:P156)</f>
        <v>434.05</v>
      </c>
      <c r="Q157" s="1092">
        <f>P157</f>
        <v>434.05</v>
      </c>
      <c r="R157" s="1094">
        <f>SUM(R155:R156)</f>
        <v>810.06299999999999</v>
      </c>
      <c r="S157" s="1094">
        <f>SUM(S155:S156)</f>
        <v>590.87599999999998</v>
      </c>
      <c r="T157" s="1094">
        <f>SUM(T155:T156)</f>
        <v>4754.0480000000007</v>
      </c>
      <c r="U157" s="1094">
        <f>SUM(U155:U156)</f>
        <v>3908.0640000000003</v>
      </c>
      <c r="V157" s="1092">
        <f>U157</f>
        <v>3908.0640000000003</v>
      </c>
      <c r="W157" s="1094">
        <f>SUM(W155:W156)</f>
        <v>3930.4250000000002</v>
      </c>
      <c r="X157" s="1094">
        <f>SUM(X155:X156)</f>
        <v>4135.4889999999996</v>
      </c>
      <c r="Y157" s="1094">
        <f>SUM(Y155:Y156)</f>
        <v>3890.83</v>
      </c>
      <c r="Z157" s="1094">
        <f>SUM(Z155:Z156)</f>
        <v>3852.0929999999998</v>
      </c>
      <c r="AA157" s="1092">
        <f>Z157</f>
        <v>3852.0929999999998</v>
      </c>
      <c r="AB157" s="1094">
        <f>SUM(AB155:AB156)</f>
        <v>3815.08</v>
      </c>
      <c r="AC157" s="1094">
        <f>SUM(AC155:AC156)</f>
        <v>3953.14</v>
      </c>
      <c r="AD157" s="1094">
        <f>SUM(AD155:AD156)</f>
        <v>3942.8820000000001</v>
      </c>
      <c r="AE157" s="1094">
        <f>SUM(AE155:AE156)</f>
        <v>4007.8679999999999</v>
      </c>
      <c r="AF157" s="1092">
        <f>AE157</f>
        <v>4007.8679999999999</v>
      </c>
      <c r="AG157" s="1094">
        <f>SUM(AG155:AG156)</f>
        <v>3945.5280000000002</v>
      </c>
      <c r="AH157" s="1094">
        <f>SUM(AH155:AH156)</f>
        <v>3752.1329999999998</v>
      </c>
      <c r="AI157" s="1094">
        <f>SUM(AI155:AI156)</f>
        <v>3548.5389999999998</v>
      </c>
      <c r="AJ157" s="1094">
        <f>SUM(AJ155:AJ156)</f>
        <v>3846.2479999999996</v>
      </c>
      <c r="AK157" s="1092">
        <f>AJ157</f>
        <v>3846.2479999999996</v>
      </c>
      <c r="AL157" s="1094">
        <f>SUM(AL155:AL156)</f>
        <v>3531.346</v>
      </c>
      <c r="AM157" s="1094">
        <f>SUM(AM155:AM156)</f>
        <v>3230.5070000000001</v>
      </c>
      <c r="AN157" s="1280">
        <f>SUM(AN155:AN156)</f>
        <v>4156.99</v>
      </c>
      <c r="AO157" s="1094">
        <f>SUM(AO155:AO156)</f>
        <v>4637.6710000000003</v>
      </c>
      <c r="AP157" s="1092">
        <f>AO157</f>
        <v>4637.6710000000003</v>
      </c>
      <c r="AQ157" s="1094">
        <f>SUM(AQ155:AQ156)</f>
        <v>3910.6840000000002</v>
      </c>
      <c r="AR157" s="1280">
        <f>SUM(AR155:AR156)</f>
        <v>3586.7080000000001</v>
      </c>
      <c r="AS157" s="1280">
        <f>SUM(AS155:AS156)</f>
        <v>3353.105</v>
      </c>
      <c r="AT157" s="1094">
        <f>SUM(AT155:AT156)</f>
        <v>3873.7199126561791</v>
      </c>
      <c r="AU157" s="1092">
        <f>AT157</f>
        <v>3873.7199126561791</v>
      </c>
      <c r="AV157" s="1094">
        <f t="shared" ref="AV157:BI157" si="169">SUM(AV155:AV156)</f>
        <v>4117.171264456998</v>
      </c>
      <c r="AW157" s="1094">
        <f t="shared" si="169"/>
        <v>3930.2458560159284</v>
      </c>
      <c r="AX157" s="1094">
        <f t="shared" si="169"/>
        <v>3810.4845425106214</v>
      </c>
      <c r="AY157" s="1094">
        <f t="shared" si="169"/>
        <v>4354.0192394301594</v>
      </c>
      <c r="AZ157" s="1092">
        <f>AY157</f>
        <v>4354.0192394301594</v>
      </c>
      <c r="BA157" s="1094">
        <f t="shared" si="169"/>
        <v>4866.2061527186597</v>
      </c>
      <c r="BB157" s="1094">
        <f t="shared" si="169"/>
        <v>5000.3619844009017</v>
      </c>
      <c r="BC157" s="1094">
        <f t="shared" si="169"/>
        <v>5211.2355638362906</v>
      </c>
      <c r="BD157" s="1094">
        <f t="shared" si="169"/>
        <v>6193.4131276927346</v>
      </c>
      <c r="BE157" s="1092">
        <f>BD157</f>
        <v>6193.4131276927346</v>
      </c>
      <c r="BF157" s="1094">
        <f t="shared" si="169"/>
        <v>6880.7947380516889</v>
      </c>
      <c r="BG157" s="1094">
        <f t="shared" si="169"/>
        <v>7076.1518872430679</v>
      </c>
      <c r="BH157" s="1094">
        <f t="shared" si="169"/>
        <v>7416.1272668714646</v>
      </c>
      <c r="BI157" s="1094">
        <f t="shared" si="169"/>
        <v>8637.5468638793664</v>
      </c>
      <c r="BJ157" s="1092">
        <f>BI157</f>
        <v>8637.5468638793664</v>
      </c>
      <c r="BK157" s="1094">
        <f>SUM(BK155:BK156)</f>
        <v>9447.1092840917809</v>
      </c>
      <c r="BL157" s="1094">
        <f>SUM(BL155:BL156)</f>
        <v>9755.6080868684694</v>
      </c>
      <c r="BM157" s="1094">
        <f>SUM(BM155:BM156)</f>
        <v>10261.746740902894</v>
      </c>
      <c r="BN157" s="1094">
        <f>SUM(BN155:BN156)</f>
        <v>11761.506109239554</v>
      </c>
      <c r="BO157" s="1092">
        <f>BN157</f>
        <v>11761.506109239554</v>
      </c>
    </row>
    <row r="158" spans="1:67" s="1093" customFormat="1" hidden="1" outlineLevel="1">
      <c r="A158" s="1087"/>
      <c r="B158" s="981" t="s">
        <v>43</v>
      </c>
      <c r="C158" s="1088"/>
      <c r="D158" s="1089"/>
      <c r="E158" s="1089"/>
      <c r="F158" s="1089"/>
      <c r="G158" s="1090"/>
      <c r="H158" s="1094">
        <f>H73</f>
        <v>0</v>
      </c>
      <c r="I158" s="1094">
        <f>I73</f>
        <v>0</v>
      </c>
      <c r="J158" s="1094">
        <f>J73</f>
        <v>2.0249999999999999</v>
      </c>
      <c r="K158" s="1094">
        <f>K73</f>
        <v>4.1959999999999997</v>
      </c>
      <c r="L158" s="1092">
        <f>SUM(H158:K158)</f>
        <v>6.2210000000000001</v>
      </c>
      <c r="M158" s="1094">
        <f>M73</f>
        <v>3.5939999999999999</v>
      </c>
      <c r="N158" s="1094">
        <f>N73</f>
        <v>3.1669999999999998</v>
      </c>
      <c r="O158" s="1094">
        <f>O73</f>
        <v>2.4910000000000001</v>
      </c>
      <c r="P158" s="1094">
        <f>P73</f>
        <v>2.2989999999999999</v>
      </c>
      <c r="Q158" s="1092">
        <f>SUM(M158:P158)</f>
        <v>11.550999999999998</v>
      </c>
      <c r="R158" s="1094">
        <f>R73</f>
        <v>2.448</v>
      </c>
      <c r="S158" s="1094">
        <f>S73</f>
        <v>1.6890000000000001</v>
      </c>
      <c r="T158" s="1094">
        <f>T73</f>
        <v>1.5169999999999999</v>
      </c>
      <c r="U158" s="1094">
        <f>U73</f>
        <v>1.853</v>
      </c>
      <c r="V158" s="1092">
        <f>SUM(R158:U158)</f>
        <v>7.5069999999999997</v>
      </c>
      <c r="W158" s="1094">
        <f>W73</f>
        <v>2.6120000000000001</v>
      </c>
      <c r="X158" s="1094">
        <f>X73</f>
        <v>2.19</v>
      </c>
      <c r="Y158" s="1094">
        <f>Y73</f>
        <v>1.9850000000000001</v>
      </c>
      <c r="Z158" s="1094">
        <f>Z73</f>
        <v>2.3420000000000001</v>
      </c>
      <c r="AA158" s="1092">
        <f>SUM(W158:Z158)</f>
        <v>9.1289999999999996</v>
      </c>
      <c r="AB158" s="1094">
        <f>AB73</f>
        <v>4.7590000000000003</v>
      </c>
      <c r="AC158" s="1094">
        <f>AC73</f>
        <v>11.692</v>
      </c>
      <c r="AD158" s="1094">
        <f>AD73</f>
        <v>21.856999999999999</v>
      </c>
      <c r="AE158" s="1094">
        <f>AE73</f>
        <v>35.530999999999999</v>
      </c>
      <c r="AF158" s="1092">
        <f>SUM(AB158:AE158)</f>
        <v>73.838999999999999</v>
      </c>
      <c r="AG158" s="1094">
        <f>AG73</f>
        <v>43.131</v>
      </c>
      <c r="AH158" s="1094">
        <f>AH73</f>
        <v>50.28</v>
      </c>
      <c r="AI158" s="1094">
        <f>AI73</f>
        <v>53.491</v>
      </c>
      <c r="AJ158" s="1094">
        <f>AJ73</f>
        <v>53.761000000000003</v>
      </c>
      <c r="AK158" s="1092">
        <f>SUM(AG158:AJ158)</f>
        <v>200.66299999999998</v>
      </c>
      <c r="AL158" s="1094">
        <f>AL73</f>
        <v>54.779000000000003</v>
      </c>
      <c r="AM158" s="1094">
        <f>AM73</f>
        <v>49.265000000000001</v>
      </c>
      <c r="AN158" s="1280">
        <f>AN73</f>
        <v>48.655000000000001</v>
      </c>
      <c r="AO158" s="1094">
        <f>AO73</f>
        <v>56.31</v>
      </c>
      <c r="AP158" s="1092">
        <f>SUM(AL158:AO158)</f>
        <v>209.00900000000001</v>
      </c>
      <c r="AQ158" s="1094">
        <f>AQ73</f>
        <v>53.162999999999997</v>
      </c>
      <c r="AR158" s="1280">
        <f>AR73</f>
        <v>49.466999999999999</v>
      </c>
      <c r="AS158" s="1280">
        <f>AS73</f>
        <v>45.481000000000002</v>
      </c>
      <c r="AT158" s="1094">
        <f>AS157*AT159</f>
        <v>45.481000000000002</v>
      </c>
      <c r="AU158" s="1092">
        <f>SUM(AQ158:AT158)</f>
        <v>193.59199999999998</v>
      </c>
      <c r="AV158" s="1094">
        <f>AT157*AV159</f>
        <v>52.542540525129894</v>
      </c>
      <c r="AW158" s="1094">
        <f>AV157*AW159</f>
        <v>55.844677180931917</v>
      </c>
      <c r="AX158" s="1094">
        <f>AW157*AX159</f>
        <v>53.309249718532655</v>
      </c>
      <c r="AY158" s="1094">
        <f>AX157*AY159</f>
        <v>51.684825699739662</v>
      </c>
      <c r="AZ158" s="1092">
        <f>SUM(AV158:AY158)</f>
        <v>213.38129312433412</v>
      </c>
      <c r="BA158" s="1094">
        <f>AY157*BA159</f>
        <v>59.057246650052136</v>
      </c>
      <c r="BB158" s="1094">
        <f>BA157*BB159</f>
        <v>66.004471089273181</v>
      </c>
      <c r="BC158" s="1094">
        <f>BB157*BC159</f>
        <v>67.824140136541331</v>
      </c>
      <c r="BD158" s="1094">
        <f>BC157*BD159</f>
        <v>70.684396903418872</v>
      </c>
      <c r="BE158" s="1092">
        <f>SUM(BA158:BD158)</f>
        <v>263.57025477928551</v>
      </c>
      <c r="BF158" s="1094">
        <f>BD157*BF159</f>
        <v>84.006502170553347</v>
      </c>
      <c r="BG158" s="1094">
        <f>BF157*BG159</f>
        <v>93.330040509118817</v>
      </c>
      <c r="BH158" s="1094">
        <f>BG157*BH159</f>
        <v>95.979834804964938</v>
      </c>
      <c r="BI158" s="1094">
        <f>BH157*BI159</f>
        <v>100.5912085140731</v>
      </c>
      <c r="BJ158" s="1092">
        <f>SUM(BF158:BI158)</f>
        <v>373.9075859987102</v>
      </c>
      <c r="BK158" s="1094">
        <f>BI157*BK159</f>
        <v>117.15835588688617</v>
      </c>
      <c r="BL158" s="1094">
        <f>BK157*BL159</f>
        <v>128.13913592022269</v>
      </c>
      <c r="BM158" s="1094">
        <f>BL157*BM159</f>
        <v>132.32356618682232</v>
      </c>
      <c r="BN158" s="1094">
        <f>BM157*BN159</f>
        <v>139.1887529686677</v>
      </c>
      <c r="BO158" s="1092">
        <f>SUM(BK158:BN158)</f>
        <v>516.80981096259893</v>
      </c>
    </row>
    <row r="159" spans="1:67" s="721" customFormat="1" hidden="1" outlineLevel="1">
      <c r="A159" s="715"/>
      <c r="B159" s="981" t="s">
        <v>380</v>
      </c>
      <c r="C159" s="716"/>
      <c r="D159" s="717"/>
      <c r="E159" s="717"/>
      <c r="F159" s="717"/>
      <c r="G159" s="718"/>
      <c r="H159" s="719">
        <f t="shared" ref="H159:AN159" si="170">IFERROR(H158/H157,"--")</f>
        <v>0</v>
      </c>
      <c r="I159" s="719">
        <f t="shared" si="170"/>
        <v>0</v>
      </c>
      <c r="J159" s="719">
        <f t="shared" si="170"/>
        <v>2.9125794666743374E-3</v>
      </c>
      <c r="K159" s="719">
        <f t="shared" si="170"/>
        <v>6.89226968551145E-3</v>
      </c>
      <c r="L159" s="720">
        <f t="shared" si="170"/>
        <v>1.0218496118581204E-2</v>
      </c>
      <c r="M159" s="719">
        <f t="shared" si="170"/>
        <v>6.2442556843749402E-3</v>
      </c>
      <c r="N159" s="719">
        <f t="shared" si="170"/>
        <v>6.8193171639220002E-3</v>
      </c>
      <c r="O159" s="719">
        <f t="shared" si="170"/>
        <v>5.3009248422065131E-3</v>
      </c>
      <c r="P159" s="719">
        <f t="shared" si="170"/>
        <v>5.2966248128095842E-3</v>
      </c>
      <c r="Q159" s="720">
        <f t="shared" si="170"/>
        <v>2.6612141458357327E-2</v>
      </c>
      <c r="R159" s="719">
        <f t="shared" si="170"/>
        <v>3.0219871787749842E-3</v>
      </c>
      <c r="S159" s="719">
        <f t="shared" si="170"/>
        <v>2.8584677665026165E-3</v>
      </c>
      <c r="T159" s="719">
        <f t="shared" si="170"/>
        <v>3.1909648367033728E-4</v>
      </c>
      <c r="U159" s="719">
        <f t="shared" si="170"/>
        <v>4.7414781334184902E-4</v>
      </c>
      <c r="V159" s="720">
        <f t="shared" si="170"/>
        <v>1.9208999647907503E-3</v>
      </c>
      <c r="W159" s="719">
        <f t="shared" si="170"/>
        <v>6.645591761705159E-4</v>
      </c>
      <c r="X159" s="719">
        <f t="shared" si="170"/>
        <v>5.2956252573758511E-4</v>
      </c>
      <c r="Y159" s="719">
        <f t="shared" si="170"/>
        <v>5.1017392175962462E-4</v>
      </c>
      <c r="Z159" s="719">
        <f t="shared" si="170"/>
        <v>6.0798116764055287E-4</v>
      </c>
      <c r="AA159" s="720">
        <f t="shared" si="170"/>
        <v>2.3698804779635381E-3</v>
      </c>
      <c r="AB159" s="719">
        <f t="shared" si="170"/>
        <v>1.2474181406418739E-3</v>
      </c>
      <c r="AC159" s="719">
        <f t="shared" si="170"/>
        <v>2.9576488563521656E-3</v>
      </c>
      <c r="AD159" s="719">
        <f t="shared" si="170"/>
        <v>5.5434070814191242E-3</v>
      </c>
      <c r="AE159" s="719">
        <f t="shared" si="170"/>
        <v>8.8653119314308759E-3</v>
      </c>
      <c r="AF159" s="720">
        <f t="shared" si="170"/>
        <v>1.8423510953953573E-2</v>
      </c>
      <c r="AG159" s="719">
        <f t="shared" si="170"/>
        <v>1.0931616756996781E-2</v>
      </c>
      <c r="AH159" s="719">
        <f t="shared" si="170"/>
        <v>1.3400377865070348E-2</v>
      </c>
      <c r="AI159" s="719">
        <f t="shared" si="170"/>
        <v>1.5074091055501998E-2</v>
      </c>
      <c r="AJ159" s="719">
        <f t="shared" si="170"/>
        <v>1.3977517830363514E-2</v>
      </c>
      <c r="AK159" s="720">
        <f t="shared" si="170"/>
        <v>5.2171102851402196E-2</v>
      </c>
      <c r="AL159" s="719">
        <f t="shared" si="170"/>
        <v>1.5512215455523193E-2</v>
      </c>
      <c r="AM159" s="719">
        <f t="shared" si="170"/>
        <v>1.5249928262034411E-2</v>
      </c>
      <c r="AN159" s="1281">
        <f t="shared" si="170"/>
        <v>1.1704382257354481E-2</v>
      </c>
      <c r="AO159" s="719">
        <f>IFERROR(AO158/AO157,"--")</f>
        <v>1.2141870348284732E-2</v>
      </c>
      <c r="AP159" s="720">
        <f>IFERROR(AP158/AP157,"--")</f>
        <v>4.5067664351352218E-2</v>
      </c>
      <c r="AQ159" s="719">
        <f t="shared" ref="AQ159:AS159" si="171">IFERROR(AQ158/AQ157,"--")</f>
        <v>1.3594297059031105E-2</v>
      </c>
      <c r="AR159" s="1281">
        <f t="shared" si="171"/>
        <v>1.3791755559694294E-2</v>
      </c>
      <c r="AS159" s="1281">
        <f t="shared" si="171"/>
        <v>1.3563846047171204E-2</v>
      </c>
      <c r="AT159" s="1084">
        <f>AS159</f>
        <v>1.3563846047171204E-2</v>
      </c>
      <c r="AU159" s="720">
        <f>IFERROR(AU158/AU157,"--")</f>
        <v>4.9975735046691977E-2</v>
      </c>
      <c r="AV159" s="1085">
        <f>AT159</f>
        <v>1.3563846047171204E-2</v>
      </c>
      <c r="AW159" s="1084">
        <f>AV159</f>
        <v>1.3563846047171204E-2</v>
      </c>
      <c r="AX159" s="1084">
        <f>AW159</f>
        <v>1.3563846047171204E-2</v>
      </c>
      <c r="AY159" s="1084">
        <f>AX159</f>
        <v>1.3563846047171204E-2</v>
      </c>
      <c r="AZ159" s="720">
        <f>IFERROR(AZ158/AZ157,"--")</f>
        <v>4.9007889352427579E-2</v>
      </c>
      <c r="BA159" s="1085">
        <f>AY159</f>
        <v>1.3563846047171204E-2</v>
      </c>
      <c r="BB159" s="1084">
        <f>BA159</f>
        <v>1.3563846047171204E-2</v>
      </c>
      <c r="BC159" s="1084">
        <f>BB159</f>
        <v>1.3563846047171204E-2</v>
      </c>
      <c r="BD159" s="1084">
        <f>BC159</f>
        <v>1.3563846047171204E-2</v>
      </c>
      <c r="BE159" s="720">
        <f>IFERROR(BE158/BE157,"--")</f>
        <v>4.2556543434956476E-2</v>
      </c>
      <c r="BF159" s="1085">
        <f>BD159</f>
        <v>1.3563846047171204E-2</v>
      </c>
      <c r="BG159" s="1084">
        <f>BF159</f>
        <v>1.3563846047171204E-2</v>
      </c>
      <c r="BH159" s="1084">
        <f>BG159</f>
        <v>1.3563846047171204E-2</v>
      </c>
      <c r="BI159" s="1084">
        <f>BH159</f>
        <v>1.3563846047171204E-2</v>
      </c>
      <c r="BJ159" s="720">
        <f>IFERROR(BJ158/BJ157,"--")</f>
        <v>4.3288631817712392E-2</v>
      </c>
      <c r="BK159" s="1085">
        <f>BI159</f>
        <v>1.3563846047171204E-2</v>
      </c>
      <c r="BL159" s="1084">
        <f>BK159</f>
        <v>1.3563846047171204E-2</v>
      </c>
      <c r="BM159" s="1084">
        <f>BL159</f>
        <v>1.3563846047171204E-2</v>
      </c>
      <c r="BN159" s="1084">
        <f>BM159</f>
        <v>1.3563846047171204E-2</v>
      </c>
      <c r="BO159" s="720">
        <f>IFERROR(BO158/BO157,"--")</f>
        <v>4.3940784977920956E-2</v>
      </c>
    </row>
    <row r="160" spans="1:67" collapsed="1">
      <c r="B160" s="981"/>
      <c r="C160" s="576"/>
      <c r="D160" s="468"/>
      <c r="E160" s="468"/>
      <c r="F160" s="468"/>
      <c r="G160" s="646"/>
      <c r="H160" s="576"/>
      <c r="I160" s="468"/>
      <c r="J160" s="468"/>
      <c r="K160" s="468"/>
      <c r="L160" s="646"/>
      <c r="M160" s="576"/>
      <c r="N160" s="468"/>
      <c r="O160" s="468"/>
      <c r="P160" s="468"/>
      <c r="Q160" s="646"/>
      <c r="R160" s="576"/>
      <c r="S160" s="468"/>
      <c r="T160" s="468"/>
      <c r="U160" s="468"/>
      <c r="V160" s="646"/>
      <c r="W160" s="576"/>
      <c r="X160" s="468"/>
      <c r="Y160" s="468"/>
      <c r="Z160" s="468"/>
      <c r="AA160" s="646"/>
      <c r="AB160" s="576"/>
      <c r="AC160" s="468"/>
      <c r="AD160" s="468"/>
      <c r="AE160" s="468"/>
      <c r="AF160" s="646"/>
      <c r="AG160" s="576"/>
      <c r="AH160" s="468"/>
      <c r="AI160" s="468"/>
      <c r="AJ160" s="468"/>
      <c r="AK160" s="646"/>
      <c r="AL160" s="576"/>
      <c r="AM160" s="468"/>
      <c r="AN160" s="587"/>
      <c r="AO160" s="468"/>
      <c r="AP160" s="646"/>
      <c r="AQ160" s="576"/>
      <c r="AR160" s="587"/>
      <c r="AS160" s="468"/>
      <c r="AT160" s="468"/>
      <c r="AU160" s="646"/>
      <c r="AV160" s="576"/>
      <c r="AW160" s="468"/>
      <c r="AX160" s="468"/>
      <c r="AY160" s="468"/>
      <c r="AZ160" s="646"/>
      <c r="BA160" s="576"/>
      <c r="BB160" s="468"/>
      <c r="BC160" s="468"/>
      <c r="BD160" s="468"/>
      <c r="BE160" s="646"/>
      <c r="BF160" s="576"/>
      <c r="BG160" s="468"/>
      <c r="BH160" s="468"/>
      <c r="BI160" s="468"/>
      <c r="BJ160" s="646"/>
      <c r="BK160" s="576"/>
      <c r="BL160" s="468"/>
      <c r="BM160" s="468"/>
      <c r="BN160" s="468"/>
      <c r="BO160" s="646"/>
    </row>
    <row r="161" spans="2:67">
      <c r="C161" s="576"/>
      <c r="D161" s="468"/>
      <c r="E161" s="468"/>
      <c r="F161" s="468"/>
      <c r="G161" s="468"/>
      <c r="H161" s="576"/>
      <c r="I161" s="468"/>
      <c r="J161" s="468"/>
      <c r="K161" s="468"/>
      <c r="L161" s="468"/>
      <c r="M161" s="576"/>
      <c r="N161" s="468"/>
      <c r="O161" s="468"/>
      <c r="P161" s="468"/>
      <c r="Q161" s="468"/>
      <c r="R161" s="576"/>
      <c r="S161" s="468"/>
      <c r="T161" s="468"/>
      <c r="U161" s="468"/>
      <c r="V161" s="468"/>
      <c r="W161" s="576"/>
      <c r="X161" s="468"/>
      <c r="Y161" s="468"/>
      <c r="Z161" s="468"/>
      <c r="AA161" s="468"/>
      <c r="AB161" s="576"/>
      <c r="AC161" s="468"/>
      <c r="AD161" s="468"/>
      <c r="AE161" s="468"/>
      <c r="AF161" s="468"/>
      <c r="AG161" s="576"/>
      <c r="AH161" s="468"/>
      <c r="AI161" s="468"/>
      <c r="AJ161" s="468"/>
      <c r="AK161" s="468"/>
      <c r="AL161" s="576"/>
      <c r="AM161" s="468"/>
      <c r="AN161" s="587"/>
      <c r="AO161" s="468"/>
      <c r="AP161" s="468"/>
      <c r="AQ161" s="576"/>
      <c r="AR161" s="587"/>
      <c r="AS161" s="468"/>
      <c r="AT161" s="468"/>
      <c r="AU161" s="468"/>
      <c r="AV161" s="576"/>
      <c r="AW161" s="468"/>
      <c r="AX161" s="468"/>
      <c r="AY161" s="468"/>
      <c r="AZ161" s="468"/>
      <c r="BA161" s="576"/>
      <c r="BB161" s="468"/>
      <c r="BC161" s="468"/>
      <c r="BD161" s="468"/>
      <c r="BE161" s="468"/>
      <c r="BF161" s="576"/>
      <c r="BG161" s="468"/>
      <c r="BH161" s="468"/>
      <c r="BI161" s="468"/>
      <c r="BJ161" s="468"/>
      <c r="BK161" s="576"/>
      <c r="BL161" s="468"/>
      <c r="BM161" s="468"/>
      <c r="BN161" s="468"/>
      <c r="BO161" s="468"/>
    </row>
    <row r="162" spans="2:67">
      <c r="B162" s="1168"/>
      <c r="C162" s="656"/>
      <c r="D162" s="657"/>
      <c r="E162" s="657"/>
      <c r="F162" s="657"/>
      <c r="G162" s="657"/>
      <c r="H162" s="656"/>
      <c r="I162" s="657"/>
      <c r="J162" s="657"/>
      <c r="K162" s="657"/>
      <c r="L162" s="657"/>
      <c r="M162" s="656"/>
      <c r="N162" s="657"/>
      <c r="O162" s="657"/>
      <c r="P162" s="657"/>
      <c r="Q162" s="657"/>
      <c r="R162" s="656"/>
      <c r="S162" s="657"/>
      <c r="T162" s="657"/>
      <c r="U162" s="657"/>
      <c r="V162" s="657"/>
      <c r="W162" s="656"/>
      <c r="X162" s="657"/>
      <c r="Y162" s="657"/>
      <c r="Z162" s="657"/>
      <c r="AA162" s="657"/>
      <c r="AB162" s="656"/>
      <c r="AC162" s="657"/>
      <c r="AD162" s="657"/>
      <c r="AE162" s="657"/>
      <c r="AF162" s="657"/>
      <c r="AG162" s="656"/>
      <c r="AH162" s="657"/>
      <c r="AI162" s="657"/>
      <c r="AJ162" s="657"/>
      <c r="AK162" s="657"/>
      <c r="AL162" s="656"/>
      <c r="AM162" s="657"/>
      <c r="AN162" s="1282"/>
      <c r="AO162" s="657"/>
      <c r="AP162" s="657"/>
      <c r="AQ162" s="656"/>
      <c r="AR162" s="1282"/>
      <c r="AS162" s="657"/>
      <c r="AT162" s="657"/>
      <c r="AU162" s="657"/>
      <c r="AV162" s="656"/>
      <c r="AW162" s="657"/>
      <c r="AX162" s="657"/>
      <c r="AY162" s="657"/>
      <c r="AZ162" s="657"/>
      <c r="BA162" s="656"/>
      <c r="BB162" s="657"/>
      <c r="BC162" s="657"/>
      <c r="BD162" s="657"/>
      <c r="BE162" s="657"/>
      <c r="BF162" s="656"/>
      <c r="BG162" s="657"/>
      <c r="BH162" s="657"/>
      <c r="BI162" s="657"/>
      <c r="BJ162" s="657"/>
      <c r="BK162" s="656"/>
      <c r="BL162" s="657"/>
      <c r="BM162" s="657"/>
      <c r="BN162" s="657"/>
      <c r="BO162" s="657"/>
    </row>
    <row r="164" spans="2:67">
      <c r="B164" s="986"/>
    </row>
    <row r="165" spans="2:67">
      <c r="B165" s="984"/>
    </row>
    <row r="166" spans="2:67">
      <c r="B166" s="1167"/>
      <c r="C166" s="370"/>
      <c r="D166" s="370"/>
      <c r="E166" s="370"/>
      <c r="F166" s="370"/>
      <c r="G166" s="432"/>
      <c r="H166" s="370"/>
      <c r="I166" s="370"/>
      <c r="J166" s="370"/>
      <c r="K166" s="370"/>
      <c r="L166" s="432"/>
      <c r="M166" s="370"/>
      <c r="N166" s="370"/>
      <c r="O166" s="370"/>
      <c r="P166" s="370"/>
      <c r="Q166" s="432"/>
      <c r="R166" s="370"/>
      <c r="S166" s="370"/>
      <c r="T166" s="370"/>
      <c r="U166" s="370"/>
      <c r="V166" s="432"/>
      <c r="W166" s="370"/>
      <c r="X166" s="370"/>
      <c r="Y166" s="370"/>
      <c r="Z166" s="370"/>
      <c r="AA166" s="432"/>
      <c r="AB166" s="370"/>
      <c r="AC166" s="370"/>
      <c r="AD166" s="370"/>
      <c r="AE166" s="370"/>
      <c r="AF166" s="432"/>
      <c r="AG166" s="370"/>
      <c r="AH166" s="370"/>
      <c r="AI166" s="370"/>
      <c r="AJ166" s="370"/>
      <c r="AK166" s="432"/>
      <c r="AL166" s="370"/>
      <c r="AM166" s="370"/>
      <c r="AN166" s="1276"/>
      <c r="AO166" s="370"/>
      <c r="AP166" s="432"/>
      <c r="AQ166" s="370"/>
      <c r="AR166" s="1276"/>
      <c r="AS166" s="370"/>
      <c r="AT166" s="370"/>
      <c r="AU166" s="432"/>
      <c r="AV166" s="370"/>
      <c r="AW166" s="370"/>
      <c r="AX166" s="370"/>
      <c r="AY166" s="370"/>
      <c r="AZ166" s="432"/>
      <c r="BA166" s="370"/>
      <c r="BB166" s="370"/>
      <c r="BC166" s="370"/>
      <c r="BD166" s="370"/>
      <c r="BE166" s="432"/>
      <c r="BF166" s="370"/>
      <c r="BG166" s="370"/>
      <c r="BH166" s="370"/>
      <c r="BI166" s="370"/>
      <c r="BJ166" s="432"/>
      <c r="BK166" s="370"/>
      <c r="BL166" s="370"/>
      <c r="BM166" s="370"/>
      <c r="BN166" s="370"/>
      <c r="BO166" s="432"/>
    </row>
    <row r="167" spans="2:67">
      <c r="B167" s="1167"/>
      <c r="C167" s="370"/>
      <c r="D167" s="370"/>
      <c r="E167" s="370"/>
      <c r="F167" s="370"/>
      <c r="G167" s="432"/>
      <c r="H167" s="370"/>
      <c r="I167" s="370"/>
      <c r="J167" s="370"/>
      <c r="K167" s="370"/>
      <c r="L167" s="432"/>
      <c r="M167" s="370"/>
      <c r="N167" s="370"/>
      <c r="O167" s="370"/>
      <c r="P167" s="370"/>
      <c r="Q167" s="432"/>
      <c r="R167" s="370"/>
      <c r="S167" s="370"/>
      <c r="T167" s="370"/>
      <c r="U167" s="370"/>
      <c r="V167" s="432"/>
      <c r="W167" s="370"/>
      <c r="X167" s="370"/>
      <c r="Y167" s="370"/>
      <c r="Z167" s="370"/>
      <c r="AA167" s="432"/>
      <c r="AB167" s="370"/>
      <c r="AC167" s="370"/>
      <c r="AD167" s="370"/>
      <c r="AE167" s="370"/>
      <c r="AF167" s="432"/>
      <c r="AG167" s="370"/>
      <c r="AH167" s="370"/>
      <c r="AI167" s="370"/>
      <c r="AJ167" s="370"/>
      <c r="AK167" s="432"/>
      <c r="AL167" s="370"/>
      <c r="AM167" s="370"/>
      <c r="AN167" s="1276"/>
      <c r="AO167" s="370"/>
      <c r="AP167" s="432"/>
      <c r="AQ167" s="370"/>
      <c r="AR167" s="1276"/>
      <c r="AS167" s="370"/>
      <c r="AT167" s="370"/>
      <c r="AU167" s="432"/>
      <c r="AV167" s="370"/>
      <c r="AW167" s="370"/>
      <c r="AX167" s="370"/>
      <c r="AY167" s="370"/>
      <c r="AZ167" s="432"/>
      <c r="BA167" s="370"/>
      <c r="BB167" s="370"/>
      <c r="BC167" s="370"/>
      <c r="BD167" s="370"/>
      <c r="BE167" s="432"/>
      <c r="BF167" s="370"/>
      <c r="BG167" s="370"/>
      <c r="BH167" s="370"/>
      <c r="BI167" s="370"/>
      <c r="BJ167" s="432"/>
      <c r="BK167" s="370"/>
      <c r="BL167" s="370"/>
      <c r="BM167" s="370"/>
      <c r="BN167" s="370"/>
      <c r="BO167" s="432"/>
    </row>
    <row r="168" spans="2:67">
      <c r="B168" s="984"/>
      <c r="C168" s="469"/>
      <c r="D168" s="432"/>
      <c r="E168" s="432"/>
      <c r="F168" s="469"/>
      <c r="G168" s="432"/>
      <c r="H168" s="469"/>
      <c r="I168" s="432"/>
      <c r="J168" s="432"/>
      <c r="K168" s="469"/>
      <c r="L168" s="432"/>
      <c r="M168" s="469"/>
      <c r="N168" s="432"/>
      <c r="O168" s="432"/>
      <c r="P168" s="469"/>
      <c r="Q168" s="432"/>
      <c r="R168" s="469"/>
      <c r="S168" s="432"/>
      <c r="T168" s="432"/>
      <c r="U168" s="469"/>
      <c r="V168" s="432"/>
      <c r="W168" s="469"/>
      <c r="X168" s="432"/>
      <c r="Y168" s="432"/>
      <c r="Z168" s="469"/>
      <c r="AA168" s="432"/>
      <c r="AB168" s="469"/>
      <c r="AC168" s="432"/>
      <c r="AD168" s="432"/>
      <c r="AE168" s="469"/>
      <c r="AF168" s="432"/>
      <c r="AG168" s="469"/>
      <c r="AH168" s="432"/>
      <c r="AI168" s="432"/>
      <c r="AJ168" s="469"/>
      <c r="AK168" s="432"/>
      <c r="AL168" s="469"/>
      <c r="AM168" s="432"/>
      <c r="AN168" s="1283"/>
      <c r="AO168" s="469"/>
      <c r="AP168" s="432"/>
      <c r="AQ168" s="469"/>
      <c r="AR168" s="1283"/>
      <c r="AS168" s="432"/>
      <c r="AT168" s="469"/>
      <c r="AU168" s="432"/>
      <c r="AV168" s="469"/>
      <c r="AW168" s="432"/>
      <c r="AX168" s="432"/>
      <c r="AY168" s="469"/>
      <c r="AZ168" s="432"/>
      <c r="BA168" s="469"/>
      <c r="BB168" s="432"/>
      <c r="BC168" s="432"/>
      <c r="BD168" s="469"/>
      <c r="BE168" s="432"/>
      <c r="BF168" s="469"/>
      <c r="BG168" s="432"/>
      <c r="BH168" s="432"/>
      <c r="BI168" s="469"/>
      <c r="BJ168" s="432"/>
      <c r="BK168" s="469"/>
      <c r="BL168" s="432"/>
      <c r="BM168" s="432"/>
      <c r="BN168" s="469"/>
      <c r="BO168" s="432"/>
    </row>
    <row r="169" spans="2:67">
      <c r="B169" s="1167"/>
      <c r="C169" s="370"/>
      <c r="D169" s="370"/>
      <c r="E169" s="370"/>
      <c r="F169" s="370"/>
      <c r="G169" s="432"/>
      <c r="H169" s="370"/>
      <c r="I169" s="370"/>
      <c r="J169" s="370"/>
      <c r="K169" s="370"/>
      <c r="L169" s="432"/>
      <c r="M169" s="370"/>
      <c r="N169" s="370"/>
      <c r="O169" s="370"/>
      <c r="P169" s="370"/>
      <c r="Q169" s="432"/>
      <c r="R169" s="370"/>
      <c r="S169" s="370"/>
      <c r="T169" s="370"/>
      <c r="U169" s="370"/>
      <c r="V169" s="432"/>
      <c r="W169" s="370"/>
      <c r="X169" s="370"/>
      <c r="Y169" s="370"/>
      <c r="Z169" s="370"/>
      <c r="AA169" s="432"/>
      <c r="AB169" s="370"/>
      <c r="AC169" s="370"/>
      <c r="AD169" s="370"/>
      <c r="AE169" s="370"/>
      <c r="AF169" s="432"/>
      <c r="AG169" s="370"/>
      <c r="AH169" s="370"/>
      <c r="AI169" s="370"/>
      <c r="AJ169" s="370"/>
      <c r="AK169" s="432"/>
      <c r="AL169" s="370"/>
      <c r="AM169" s="370"/>
      <c r="AN169" s="1276"/>
      <c r="AO169" s="370"/>
      <c r="AP169" s="432"/>
      <c r="AQ169" s="370"/>
      <c r="AR169" s="1276"/>
      <c r="AS169" s="370"/>
      <c r="AT169" s="370"/>
      <c r="AU169" s="432"/>
      <c r="AV169" s="370"/>
      <c r="AW169" s="370"/>
      <c r="AX169" s="370"/>
      <c r="AY169" s="370"/>
      <c r="AZ169" s="432"/>
      <c r="BA169" s="370"/>
      <c r="BB169" s="370"/>
      <c r="BC169" s="370"/>
      <c r="BD169" s="370"/>
      <c r="BE169" s="432"/>
      <c r="BF169" s="370"/>
      <c r="BG169" s="370"/>
      <c r="BH169" s="370"/>
      <c r="BI169" s="370"/>
      <c r="BJ169" s="432"/>
      <c r="BK169" s="370"/>
      <c r="BL169" s="370"/>
      <c r="BM169" s="370"/>
      <c r="BN169" s="370"/>
      <c r="BO169" s="432"/>
    </row>
    <row r="170" spans="2:67">
      <c r="B170" s="1167"/>
      <c r="C170" s="370"/>
      <c r="D170" s="370"/>
      <c r="E170" s="370"/>
      <c r="F170" s="370"/>
      <c r="G170" s="432"/>
      <c r="H170" s="370"/>
      <c r="I170" s="370"/>
      <c r="J170" s="370"/>
      <c r="K170" s="370"/>
      <c r="L170" s="432"/>
      <c r="M170" s="370"/>
      <c r="N170" s="370"/>
      <c r="O170" s="370"/>
      <c r="P170" s="370"/>
      <c r="Q170" s="432"/>
      <c r="R170" s="370"/>
      <c r="S170" s="370"/>
      <c r="T170" s="370"/>
      <c r="U170" s="370"/>
      <c r="V170" s="432"/>
      <c r="W170" s="370"/>
      <c r="X170" s="370"/>
      <c r="Y170" s="370"/>
      <c r="Z170" s="370"/>
      <c r="AA170" s="432"/>
      <c r="AB170" s="370"/>
      <c r="AC170" s="370"/>
      <c r="AD170" s="370"/>
      <c r="AE170" s="370"/>
      <c r="AF170" s="432"/>
      <c r="AG170" s="370"/>
      <c r="AH170" s="370"/>
      <c r="AI170" s="370"/>
      <c r="AJ170" s="370"/>
      <c r="AK170" s="432"/>
      <c r="AL170" s="370"/>
      <c r="AM170" s="370"/>
      <c r="AN170" s="1276"/>
      <c r="AO170" s="370"/>
      <c r="AP170" s="432"/>
      <c r="AQ170" s="370"/>
      <c r="AR170" s="1276"/>
      <c r="AS170" s="370"/>
      <c r="AT170" s="370"/>
      <c r="AU170" s="432"/>
      <c r="AV170" s="370"/>
      <c r="AW170" s="370"/>
      <c r="AX170" s="370"/>
      <c r="AY170" s="370"/>
      <c r="AZ170" s="432"/>
      <c r="BA170" s="370"/>
      <c r="BB170" s="370"/>
      <c r="BC170" s="370"/>
      <c r="BD170" s="370"/>
      <c r="BE170" s="432"/>
      <c r="BF170" s="370"/>
      <c r="BG170" s="370"/>
      <c r="BH170" s="370"/>
      <c r="BI170" s="370"/>
      <c r="BJ170" s="432"/>
      <c r="BK170" s="370"/>
      <c r="BL170" s="370"/>
      <c r="BM170" s="370"/>
      <c r="BN170" s="370"/>
      <c r="BO170" s="432"/>
    </row>
    <row r="171" spans="2:67">
      <c r="B171" s="1167"/>
      <c r="C171" s="370"/>
      <c r="D171" s="370"/>
      <c r="E171" s="370"/>
      <c r="F171" s="370"/>
      <c r="G171" s="432"/>
      <c r="H171" s="370"/>
      <c r="I171" s="370"/>
      <c r="J171" s="370"/>
      <c r="K171" s="370"/>
      <c r="L171" s="432"/>
      <c r="M171" s="370"/>
      <c r="N171" s="370"/>
      <c r="O171" s="370"/>
      <c r="P171" s="370"/>
      <c r="Q171" s="432"/>
      <c r="R171" s="370"/>
      <c r="S171" s="370"/>
      <c r="T171" s="370"/>
      <c r="U171" s="370"/>
      <c r="V171" s="432"/>
      <c r="W171" s="370"/>
      <c r="X171" s="370"/>
      <c r="Y171" s="370"/>
      <c r="Z171" s="370"/>
      <c r="AA171" s="432"/>
      <c r="AB171" s="370"/>
      <c r="AC171" s="370"/>
      <c r="AD171" s="370"/>
      <c r="AE171" s="370"/>
      <c r="AF171" s="432"/>
      <c r="AG171" s="370"/>
      <c r="AH171" s="370"/>
      <c r="AI171" s="370"/>
      <c r="AJ171" s="370"/>
      <c r="AK171" s="432"/>
      <c r="AL171" s="370"/>
      <c r="AM171" s="370"/>
      <c r="AN171" s="1276"/>
      <c r="AO171" s="370"/>
      <c r="AP171" s="432"/>
      <c r="AQ171" s="370"/>
      <c r="AR171" s="1276"/>
      <c r="AS171" s="370"/>
      <c r="AT171" s="370"/>
      <c r="AU171" s="432"/>
      <c r="AV171" s="370"/>
      <c r="AW171" s="370"/>
      <c r="AX171" s="370"/>
      <c r="AY171" s="370"/>
      <c r="AZ171" s="432"/>
      <c r="BA171" s="370"/>
      <c r="BB171" s="370"/>
      <c r="BC171" s="370"/>
      <c r="BD171" s="370"/>
      <c r="BE171" s="432"/>
      <c r="BF171" s="370"/>
      <c r="BG171" s="370"/>
      <c r="BH171" s="370"/>
      <c r="BI171" s="370"/>
      <c r="BJ171" s="432"/>
      <c r="BK171" s="370"/>
      <c r="BL171" s="370"/>
      <c r="BM171" s="370"/>
      <c r="BN171" s="370"/>
      <c r="BO171" s="432"/>
    </row>
    <row r="172" spans="2:67">
      <c r="B172" s="1167"/>
      <c r="C172" s="370"/>
      <c r="D172" s="370"/>
      <c r="E172" s="370"/>
      <c r="F172" s="370"/>
      <c r="G172" s="432"/>
      <c r="H172" s="370"/>
      <c r="I172" s="370"/>
      <c r="J172" s="370"/>
      <c r="K172" s="370"/>
      <c r="L172" s="432"/>
      <c r="M172" s="370"/>
      <c r="N172" s="370"/>
      <c r="O172" s="370"/>
      <c r="P172" s="370"/>
      <c r="Q172" s="432"/>
      <c r="R172" s="370"/>
      <c r="S172" s="370"/>
      <c r="T172" s="370"/>
      <c r="U172" s="370"/>
      <c r="V172" s="432"/>
      <c r="W172" s="370"/>
      <c r="X172" s="370"/>
      <c r="Y172" s="370"/>
      <c r="Z172" s="370"/>
      <c r="AA172" s="432"/>
      <c r="AB172" s="370"/>
      <c r="AC172" s="370"/>
      <c r="AD172" s="370"/>
      <c r="AE172" s="370"/>
      <c r="AF172" s="432"/>
      <c r="AG172" s="370"/>
      <c r="AH172" s="370"/>
      <c r="AI172" s="370"/>
      <c r="AJ172" s="370"/>
      <c r="AK172" s="432"/>
      <c r="AL172" s="370"/>
      <c r="AM172" s="370"/>
      <c r="AN172" s="1276"/>
      <c r="AO172" s="370"/>
      <c r="AP172" s="432"/>
      <c r="AQ172" s="370"/>
      <c r="AR172" s="1276"/>
      <c r="AS172" s="370"/>
      <c r="AT172" s="370"/>
      <c r="AU172" s="432"/>
      <c r="AV172" s="370"/>
      <c r="AW172" s="370"/>
      <c r="AX172" s="370"/>
      <c r="AY172" s="370"/>
      <c r="AZ172" s="432"/>
      <c r="BA172" s="370"/>
      <c r="BB172" s="370"/>
      <c r="BC172" s="370"/>
      <c r="BD172" s="370"/>
      <c r="BE172" s="432"/>
      <c r="BF172" s="370"/>
      <c r="BG172" s="370"/>
      <c r="BH172" s="370"/>
      <c r="BI172" s="370"/>
      <c r="BJ172" s="432"/>
      <c r="BK172" s="370"/>
      <c r="BL172" s="370"/>
      <c r="BM172" s="370"/>
      <c r="BN172" s="370"/>
      <c r="BO172" s="432"/>
    </row>
    <row r="173" spans="2:67">
      <c r="B173" s="1167"/>
      <c r="C173" s="370"/>
      <c r="D173" s="370"/>
      <c r="E173" s="370"/>
      <c r="F173" s="370"/>
      <c r="G173" s="432"/>
      <c r="H173" s="370"/>
      <c r="I173" s="370"/>
      <c r="J173" s="370"/>
      <c r="K173" s="370"/>
      <c r="L173" s="432"/>
      <c r="M173" s="370"/>
      <c r="N173" s="370"/>
      <c r="O173" s="370"/>
      <c r="P173" s="370"/>
      <c r="Q173" s="432"/>
      <c r="R173" s="370"/>
      <c r="S173" s="370"/>
      <c r="T173" s="370"/>
      <c r="U173" s="370"/>
      <c r="V173" s="432"/>
      <c r="W173" s="370"/>
      <c r="X173" s="370"/>
      <c r="Y173" s="370"/>
      <c r="Z173" s="370"/>
      <c r="AA173" s="432"/>
      <c r="AB173" s="370"/>
      <c r="AC173" s="370"/>
      <c r="AD173" s="370"/>
      <c r="AE173" s="370"/>
      <c r="AF173" s="432"/>
      <c r="AG173" s="370"/>
      <c r="AH173" s="370"/>
      <c r="AI173" s="370"/>
      <c r="AJ173" s="370"/>
      <c r="AK173" s="432"/>
      <c r="AL173" s="370"/>
      <c r="AM173" s="370"/>
      <c r="AN173" s="1276"/>
      <c r="AO173" s="370"/>
      <c r="AP173" s="432"/>
      <c r="AQ173" s="370"/>
      <c r="AR173" s="1276"/>
      <c r="AS173" s="370"/>
      <c r="AT173" s="370"/>
      <c r="AU173" s="432"/>
      <c r="AV173" s="370"/>
      <c r="AW173" s="370"/>
      <c r="AX173" s="370"/>
      <c r="AY173" s="370"/>
      <c r="AZ173" s="432"/>
      <c r="BA173" s="370"/>
      <c r="BB173" s="370"/>
      <c r="BC173" s="370"/>
      <c r="BD173" s="370"/>
      <c r="BE173" s="432"/>
      <c r="BF173" s="370"/>
      <c r="BG173" s="370"/>
      <c r="BH173" s="370"/>
      <c r="BI173" s="370"/>
      <c r="BJ173" s="432"/>
      <c r="BK173" s="370"/>
      <c r="BL173" s="370"/>
      <c r="BM173" s="370"/>
      <c r="BN173" s="370"/>
      <c r="BO173" s="432"/>
    </row>
    <row r="174" spans="2:67">
      <c r="B174" s="1167"/>
      <c r="C174" s="370"/>
      <c r="D174" s="370"/>
      <c r="E174" s="370"/>
      <c r="F174" s="370"/>
      <c r="G174" s="432"/>
      <c r="H174" s="370"/>
      <c r="I174" s="370"/>
      <c r="J174" s="370"/>
      <c r="K174" s="370"/>
      <c r="L174" s="432"/>
      <c r="M174" s="370"/>
      <c r="N174" s="370"/>
      <c r="O174" s="370"/>
      <c r="P174" s="370"/>
      <c r="Q174" s="432"/>
      <c r="R174" s="370"/>
      <c r="S174" s="370"/>
      <c r="T174" s="370"/>
      <c r="U174" s="370"/>
      <c r="V174" s="432"/>
      <c r="W174" s="370"/>
      <c r="X174" s="370"/>
      <c r="Y174" s="370"/>
      <c r="Z174" s="370"/>
      <c r="AA174" s="432"/>
      <c r="AB174" s="370"/>
      <c r="AC174" s="370"/>
      <c r="AD174" s="370"/>
      <c r="AE174" s="370"/>
      <c r="AF174" s="432"/>
      <c r="AG174" s="370"/>
      <c r="AH174" s="370"/>
      <c r="AI174" s="370"/>
      <c r="AJ174" s="370"/>
      <c r="AK174" s="432"/>
      <c r="AL174" s="370"/>
      <c r="AM174" s="370"/>
      <c r="AN174" s="1276"/>
      <c r="AO174" s="370"/>
      <c r="AP174" s="432"/>
      <c r="AQ174" s="370"/>
      <c r="AR174" s="1276"/>
      <c r="AS174" s="370"/>
      <c r="AT174" s="370"/>
      <c r="AU174" s="432"/>
      <c r="AV174" s="370"/>
      <c r="AW174" s="370"/>
      <c r="AX174" s="370"/>
      <c r="AY174" s="370"/>
      <c r="AZ174" s="432"/>
      <c r="BA174" s="370"/>
      <c r="BB174" s="370"/>
      <c r="BC174" s="370"/>
      <c r="BD174" s="370"/>
      <c r="BE174" s="432"/>
      <c r="BF174" s="370"/>
      <c r="BG174" s="370"/>
      <c r="BH174" s="370"/>
      <c r="BI174" s="370"/>
      <c r="BJ174" s="432"/>
      <c r="BK174" s="370"/>
      <c r="BL174" s="370"/>
      <c r="BM174" s="370"/>
      <c r="BN174" s="370"/>
      <c r="BO174" s="432"/>
    </row>
    <row r="175" spans="2:67">
      <c r="B175" s="1167"/>
      <c r="C175" s="370"/>
      <c r="D175" s="370"/>
      <c r="E175" s="370"/>
      <c r="F175" s="370"/>
      <c r="G175" s="432"/>
      <c r="H175" s="370"/>
      <c r="I175" s="370"/>
      <c r="J175" s="370"/>
      <c r="K175" s="370"/>
      <c r="L175" s="432"/>
      <c r="M175" s="370"/>
      <c r="N175" s="370"/>
      <c r="O175" s="370"/>
      <c r="P175" s="370"/>
      <c r="Q175" s="432"/>
      <c r="R175" s="370"/>
      <c r="S175" s="370"/>
      <c r="T175" s="370"/>
      <c r="U175" s="370"/>
      <c r="V175" s="432"/>
      <c r="W175" s="370"/>
      <c r="X175" s="370"/>
      <c r="Y175" s="370"/>
      <c r="Z175" s="370"/>
      <c r="AA175" s="432"/>
      <c r="AB175" s="370"/>
      <c r="AC175" s="370"/>
      <c r="AD175" s="370"/>
      <c r="AE175" s="370"/>
      <c r="AF175" s="432"/>
      <c r="AG175" s="370"/>
      <c r="AH175" s="370"/>
      <c r="AI175" s="370"/>
      <c r="AJ175" s="370"/>
      <c r="AK175" s="432"/>
      <c r="AL175" s="370"/>
      <c r="AM175" s="370"/>
      <c r="AN175" s="1276"/>
      <c r="AO175" s="370"/>
      <c r="AP175" s="432"/>
      <c r="AQ175" s="370"/>
      <c r="AR175" s="1276"/>
      <c r="AS175" s="370"/>
      <c r="AT175" s="370"/>
      <c r="AU175" s="432"/>
      <c r="AV175" s="370"/>
      <c r="AW175" s="370"/>
      <c r="AX175" s="370"/>
      <c r="AY175" s="370"/>
      <c r="AZ175" s="432"/>
      <c r="BA175" s="370"/>
      <c r="BB175" s="370"/>
      <c r="BC175" s="370"/>
      <c r="BD175" s="370"/>
      <c r="BE175" s="432"/>
      <c r="BF175" s="370"/>
      <c r="BG175" s="370"/>
      <c r="BH175" s="370"/>
      <c r="BI175" s="370"/>
      <c r="BJ175" s="432"/>
      <c r="BK175" s="370"/>
      <c r="BL175" s="370"/>
      <c r="BM175" s="370"/>
      <c r="BN175" s="370"/>
      <c r="BO175" s="432"/>
    </row>
    <row r="176" spans="2:67">
      <c r="B176" s="1063"/>
    </row>
    <row r="177" spans="2:67">
      <c r="B177" s="1025"/>
    </row>
    <row r="178" spans="2:67">
      <c r="B178" s="1025"/>
      <c r="C178" s="576"/>
      <c r="D178" s="468"/>
      <c r="E178" s="468"/>
      <c r="F178" s="468"/>
      <c r="G178" s="468"/>
      <c r="H178" s="576"/>
      <c r="I178" s="468"/>
      <c r="J178" s="468"/>
      <c r="K178" s="468"/>
      <c r="L178" s="468"/>
      <c r="M178" s="576"/>
      <c r="N178" s="468"/>
      <c r="O178" s="468"/>
      <c r="P178" s="468"/>
      <c r="Q178" s="468"/>
      <c r="R178" s="576"/>
      <c r="S178" s="468"/>
      <c r="T178" s="468"/>
      <c r="U178" s="468"/>
      <c r="V178" s="468"/>
      <c r="W178" s="576"/>
      <c r="X178" s="468"/>
      <c r="Y178" s="468"/>
      <c r="Z178" s="468"/>
      <c r="AA178" s="468"/>
      <c r="AB178" s="576"/>
      <c r="AC178" s="468"/>
      <c r="AD178" s="468"/>
      <c r="AE178" s="468"/>
      <c r="AF178" s="468"/>
      <c r="AG178" s="576"/>
      <c r="AH178" s="468"/>
      <c r="AI178" s="468"/>
      <c r="AJ178" s="468"/>
      <c r="AK178" s="468"/>
      <c r="AL178" s="576"/>
      <c r="AM178" s="468"/>
      <c r="AN178" s="587"/>
      <c r="AO178" s="468"/>
      <c r="AP178" s="468"/>
      <c r="AQ178" s="576"/>
      <c r="AR178" s="587"/>
      <c r="AS178" s="468"/>
      <c r="AT178" s="468"/>
      <c r="AU178" s="468"/>
      <c r="AV178" s="576"/>
      <c r="AW178" s="468"/>
      <c r="AX178" s="468"/>
      <c r="AY178" s="468"/>
      <c r="AZ178" s="468"/>
      <c r="BA178" s="576"/>
      <c r="BB178" s="468"/>
      <c r="BC178" s="468"/>
      <c r="BD178" s="468"/>
      <c r="BE178" s="468"/>
      <c r="BF178" s="576"/>
      <c r="BG178" s="468"/>
      <c r="BH178" s="468"/>
      <c r="BI178" s="468"/>
      <c r="BJ178" s="468"/>
      <c r="BK178" s="576"/>
      <c r="BL178" s="468"/>
      <c r="BM178" s="468"/>
      <c r="BN178" s="468"/>
      <c r="BO178" s="468"/>
    </row>
    <row r="216" spans="3:67">
      <c r="C216" s="471"/>
      <c r="D216" s="471"/>
      <c r="E216" s="471"/>
      <c r="F216" s="471"/>
      <c r="G216" s="471"/>
      <c r="H216" s="471"/>
      <c r="I216" s="471"/>
      <c r="J216" s="471"/>
      <c r="K216" s="471"/>
      <c r="L216" s="471"/>
      <c r="M216" s="471"/>
      <c r="N216" s="471"/>
      <c r="O216" s="471"/>
      <c r="P216" s="471"/>
      <c r="Q216" s="471"/>
      <c r="R216" s="471"/>
      <c r="S216" s="471"/>
      <c r="T216" s="471"/>
      <c r="U216" s="471"/>
      <c r="V216" s="471"/>
      <c r="W216" s="471"/>
      <c r="X216" s="471"/>
      <c r="Y216" s="471"/>
      <c r="Z216" s="471"/>
      <c r="AA216" s="471"/>
      <c r="AB216" s="471"/>
      <c r="AC216" s="471"/>
      <c r="AD216" s="471"/>
      <c r="AE216" s="471"/>
      <c r="AF216" s="471"/>
      <c r="AG216" s="471"/>
      <c r="AH216" s="471"/>
      <c r="AI216" s="471"/>
      <c r="AJ216" s="471"/>
      <c r="AK216" s="471"/>
      <c r="AL216" s="471"/>
      <c r="AM216" s="471"/>
      <c r="AN216" s="1284"/>
      <c r="AO216" s="471"/>
      <c r="AP216" s="471"/>
      <c r="AQ216" s="471"/>
      <c r="AR216" s="1284"/>
      <c r="AS216" s="471"/>
      <c r="AT216" s="471"/>
      <c r="AU216" s="471"/>
      <c r="AV216" s="471"/>
      <c r="AW216" s="471"/>
      <c r="AX216" s="471"/>
      <c r="AY216" s="471"/>
      <c r="AZ216" s="471"/>
      <c r="BA216" s="471"/>
      <c r="BB216" s="471"/>
      <c r="BC216" s="471"/>
      <c r="BD216" s="471"/>
      <c r="BE216" s="471"/>
      <c r="BF216" s="471"/>
      <c r="BG216" s="471"/>
      <c r="BH216" s="471"/>
      <c r="BI216" s="471"/>
      <c r="BJ216" s="471"/>
      <c r="BK216" s="471"/>
      <c r="BL216" s="471"/>
      <c r="BM216" s="471"/>
      <c r="BN216" s="471"/>
      <c r="BO216" s="471"/>
    </row>
    <row r="217" spans="3:67">
      <c r="C217" s="471"/>
      <c r="D217" s="471"/>
      <c r="E217" s="471"/>
      <c r="F217" s="471"/>
      <c r="G217" s="471"/>
      <c r="H217" s="471"/>
      <c r="I217" s="471"/>
      <c r="J217" s="471"/>
      <c r="K217" s="471"/>
      <c r="L217" s="471"/>
      <c r="M217" s="471"/>
      <c r="N217" s="471"/>
      <c r="O217" s="471"/>
      <c r="P217" s="471"/>
      <c r="Q217" s="471"/>
      <c r="R217" s="471"/>
      <c r="S217" s="471"/>
      <c r="T217" s="471"/>
      <c r="U217" s="471"/>
      <c r="V217" s="471"/>
      <c r="W217" s="471"/>
      <c r="X217" s="471"/>
      <c r="Y217" s="471"/>
      <c r="Z217" s="471"/>
      <c r="AA217" s="471"/>
      <c r="AB217" s="471"/>
      <c r="AC217" s="471"/>
      <c r="AD217" s="471"/>
      <c r="AE217" s="471"/>
      <c r="AF217" s="471"/>
      <c r="AG217" s="471"/>
      <c r="AH217" s="471"/>
      <c r="AI217" s="471"/>
      <c r="AJ217" s="471"/>
      <c r="AK217" s="471"/>
      <c r="AL217" s="471"/>
      <c r="AM217" s="471"/>
      <c r="AN217" s="1284"/>
      <c r="AO217" s="471"/>
      <c r="AP217" s="471"/>
      <c r="AQ217" s="471"/>
      <c r="AR217" s="1284"/>
      <c r="AS217" s="471"/>
      <c r="AT217" s="471"/>
      <c r="AU217" s="471"/>
      <c r="AV217" s="471"/>
      <c r="AW217" s="471"/>
      <c r="AX217" s="471"/>
      <c r="AY217" s="471"/>
      <c r="AZ217" s="471"/>
      <c r="BA217" s="471"/>
      <c r="BB217" s="471"/>
      <c r="BC217" s="471"/>
      <c r="BD217" s="471"/>
      <c r="BE217" s="471"/>
      <c r="BF217" s="471"/>
      <c r="BG217" s="471"/>
      <c r="BH217" s="471"/>
      <c r="BI217" s="471"/>
      <c r="BJ217" s="471"/>
      <c r="BK217" s="471"/>
      <c r="BL217" s="471"/>
      <c r="BM217" s="471"/>
      <c r="BN217" s="471"/>
      <c r="BO217" s="471"/>
    </row>
    <row r="218" spans="3:67">
      <c r="C218" s="472"/>
      <c r="D218" s="471"/>
      <c r="E218" s="471"/>
      <c r="F218" s="471"/>
      <c r="G218" s="471"/>
      <c r="H218" s="472"/>
      <c r="I218" s="471"/>
      <c r="J218" s="471"/>
      <c r="K218" s="471"/>
      <c r="L218" s="471"/>
      <c r="M218" s="472"/>
      <c r="N218" s="471"/>
      <c r="O218" s="471"/>
      <c r="P218" s="471"/>
      <c r="Q218" s="471"/>
      <c r="R218" s="472"/>
      <c r="S218" s="471"/>
      <c r="T218" s="471"/>
      <c r="U218" s="471"/>
      <c r="V218" s="471"/>
      <c r="W218" s="472"/>
      <c r="X218" s="471"/>
      <c r="Y218" s="471"/>
      <c r="Z218" s="471"/>
      <c r="AA218" s="471"/>
      <c r="AB218" s="472"/>
      <c r="AC218" s="471"/>
      <c r="AD218" s="471"/>
      <c r="AE218" s="471"/>
      <c r="AF218" s="471"/>
      <c r="AG218" s="472"/>
      <c r="AH218" s="471"/>
      <c r="AI218" s="471"/>
      <c r="AJ218" s="471"/>
      <c r="AK218" s="471"/>
      <c r="AL218" s="472"/>
      <c r="AM218" s="471"/>
      <c r="AN218" s="1284"/>
      <c r="AO218" s="471"/>
      <c r="AP218" s="471"/>
      <c r="AQ218" s="472"/>
      <c r="AR218" s="1284"/>
      <c r="AS218" s="471"/>
      <c r="AT218" s="471"/>
      <c r="AU218" s="471"/>
      <c r="AV218" s="472"/>
      <c r="AW218" s="471"/>
      <c r="AX218" s="471"/>
      <c r="AY218" s="471"/>
      <c r="AZ218" s="471"/>
      <c r="BA218" s="472"/>
      <c r="BB218" s="471"/>
      <c r="BC218" s="471"/>
      <c r="BD218" s="471"/>
      <c r="BE218" s="471"/>
      <c r="BF218" s="472"/>
      <c r="BG218" s="471"/>
      <c r="BH218" s="471"/>
      <c r="BI218" s="471"/>
      <c r="BJ218" s="471"/>
      <c r="BK218" s="472"/>
      <c r="BL218" s="471"/>
      <c r="BM218" s="471"/>
      <c r="BN218" s="471"/>
      <c r="BO218" s="471"/>
    </row>
    <row r="219" spans="3:67">
      <c r="C219" s="473"/>
      <c r="D219" s="471"/>
      <c r="E219" s="471"/>
      <c r="F219" s="471"/>
      <c r="G219" s="471"/>
      <c r="H219" s="473"/>
      <c r="I219" s="471"/>
      <c r="J219" s="471"/>
      <c r="K219" s="471"/>
      <c r="L219" s="471"/>
      <c r="M219" s="473"/>
      <c r="N219" s="471"/>
      <c r="O219" s="471"/>
      <c r="P219" s="471"/>
      <c r="Q219" s="471"/>
      <c r="R219" s="473"/>
      <c r="S219" s="471"/>
      <c r="T219" s="471"/>
      <c r="U219" s="471"/>
      <c r="V219" s="471"/>
      <c r="W219" s="473"/>
      <c r="X219" s="471"/>
      <c r="Y219" s="471"/>
      <c r="Z219" s="471"/>
      <c r="AA219" s="471"/>
      <c r="AB219" s="473"/>
      <c r="AC219" s="471"/>
      <c r="AD219" s="471"/>
      <c r="AE219" s="471"/>
      <c r="AF219" s="471"/>
      <c r="AG219" s="473"/>
      <c r="AH219" s="471"/>
      <c r="AI219" s="471"/>
      <c r="AJ219" s="471"/>
      <c r="AK219" s="471"/>
      <c r="AL219" s="473"/>
      <c r="AM219" s="471"/>
      <c r="AN219" s="1284"/>
      <c r="AO219" s="471"/>
      <c r="AP219" s="471"/>
      <c r="AQ219" s="473"/>
      <c r="AR219" s="1284"/>
      <c r="AS219" s="471"/>
      <c r="AT219" s="471"/>
      <c r="AU219" s="471"/>
      <c r="AV219" s="473"/>
      <c r="AW219" s="471"/>
      <c r="AX219" s="471"/>
      <c r="AY219" s="471"/>
      <c r="AZ219" s="471"/>
      <c r="BA219" s="473"/>
      <c r="BB219" s="471"/>
      <c r="BC219" s="471"/>
      <c r="BD219" s="471"/>
      <c r="BE219" s="471"/>
      <c r="BF219" s="473"/>
      <c r="BG219" s="471"/>
      <c r="BH219" s="471"/>
      <c r="BI219" s="471"/>
      <c r="BJ219" s="471"/>
      <c r="BK219" s="473"/>
      <c r="BL219" s="471"/>
      <c r="BM219" s="471"/>
      <c r="BN219" s="471"/>
      <c r="BO219" s="471"/>
    </row>
    <row r="220" spans="3:67">
      <c r="C220" s="429"/>
      <c r="D220" s="474"/>
      <c r="E220" s="474"/>
      <c r="F220" s="474"/>
      <c r="G220" s="474"/>
      <c r="H220" s="429"/>
      <c r="I220" s="474"/>
      <c r="J220" s="474"/>
      <c r="K220" s="474"/>
      <c r="L220" s="474"/>
      <c r="M220" s="429"/>
      <c r="N220" s="474"/>
      <c r="O220" s="474"/>
      <c r="P220" s="474"/>
      <c r="Q220" s="474"/>
      <c r="R220" s="429"/>
      <c r="S220" s="474"/>
      <c r="T220" s="474"/>
      <c r="U220" s="474"/>
      <c r="V220" s="474"/>
      <c r="W220" s="429"/>
      <c r="X220" s="474"/>
      <c r="Y220" s="474"/>
      <c r="Z220" s="474"/>
      <c r="AA220" s="474"/>
      <c r="AB220" s="429"/>
      <c r="AC220" s="474"/>
      <c r="AD220" s="474"/>
      <c r="AE220" s="474"/>
      <c r="AF220" s="474"/>
      <c r="AG220" s="429"/>
      <c r="AH220" s="474"/>
      <c r="AI220" s="474"/>
      <c r="AJ220" s="474"/>
      <c r="AK220" s="474"/>
      <c r="AL220" s="429"/>
      <c r="AM220" s="474"/>
      <c r="AN220" s="1285"/>
      <c r="AO220" s="474"/>
      <c r="AP220" s="474"/>
      <c r="AQ220" s="429"/>
      <c r="AR220" s="1285"/>
      <c r="AS220" s="474"/>
      <c r="AT220" s="474"/>
      <c r="AU220" s="474"/>
      <c r="AV220" s="429"/>
      <c r="AW220" s="474"/>
      <c r="AX220" s="474"/>
      <c r="AY220" s="474"/>
      <c r="AZ220" s="474"/>
      <c r="BA220" s="429"/>
      <c r="BB220" s="474"/>
      <c r="BC220" s="474"/>
      <c r="BD220" s="474"/>
      <c r="BE220" s="474"/>
      <c r="BF220" s="429"/>
      <c r="BG220" s="474"/>
      <c r="BH220" s="474"/>
      <c r="BI220" s="474"/>
      <c r="BJ220" s="474"/>
      <c r="BK220" s="429"/>
      <c r="BL220" s="474"/>
      <c r="BM220" s="474"/>
      <c r="BN220" s="474"/>
      <c r="BO220" s="474"/>
    </row>
    <row r="221" spans="3:67">
      <c r="C221" s="475"/>
      <c r="D221" s="476"/>
      <c r="E221" s="476"/>
      <c r="F221" s="476"/>
      <c r="G221" s="476"/>
      <c r="H221" s="475"/>
      <c r="I221" s="476"/>
      <c r="J221" s="476"/>
      <c r="K221" s="476"/>
      <c r="L221" s="476"/>
      <c r="M221" s="475"/>
      <c r="N221" s="476"/>
      <c r="O221" s="476"/>
      <c r="P221" s="476"/>
      <c r="Q221" s="476"/>
      <c r="R221" s="475"/>
      <c r="S221" s="476"/>
      <c r="T221" s="476"/>
      <c r="U221" s="476"/>
      <c r="V221" s="476"/>
      <c r="W221" s="475"/>
      <c r="X221" s="476"/>
      <c r="Y221" s="476"/>
      <c r="Z221" s="476"/>
      <c r="AA221" s="476"/>
      <c r="AB221" s="475"/>
      <c r="AC221" s="476"/>
      <c r="AD221" s="476"/>
      <c r="AE221" s="476"/>
      <c r="AF221" s="476"/>
      <c r="AG221" s="475"/>
      <c r="AH221" s="476"/>
      <c r="AI221" s="476"/>
      <c r="AJ221" s="476"/>
      <c r="AK221" s="476"/>
      <c r="AL221" s="475"/>
      <c r="AM221" s="476"/>
      <c r="AN221" s="1286"/>
      <c r="AO221" s="476"/>
      <c r="AP221" s="476"/>
      <c r="AQ221" s="475"/>
      <c r="AR221" s="1286"/>
      <c r="AS221" s="476"/>
      <c r="AT221" s="476"/>
      <c r="AU221" s="476"/>
      <c r="AV221" s="475"/>
      <c r="AW221" s="476"/>
      <c r="AX221" s="476"/>
      <c r="AY221" s="476"/>
      <c r="AZ221" s="476"/>
      <c r="BA221" s="475"/>
      <c r="BB221" s="476"/>
      <c r="BC221" s="476"/>
      <c r="BD221" s="476"/>
      <c r="BE221" s="476"/>
      <c r="BF221" s="475"/>
      <c r="BG221" s="476"/>
      <c r="BH221" s="476"/>
      <c r="BI221" s="476"/>
      <c r="BJ221" s="476"/>
      <c r="BK221" s="475"/>
      <c r="BL221" s="476"/>
      <c r="BM221" s="476"/>
      <c r="BN221" s="476"/>
      <c r="BO221" s="476"/>
    </row>
    <row r="222" spans="3:67">
      <c r="C222" s="475"/>
      <c r="D222" s="476"/>
      <c r="E222" s="476"/>
      <c r="F222" s="476"/>
      <c r="G222" s="476"/>
      <c r="H222" s="475"/>
      <c r="I222" s="476"/>
      <c r="J222" s="476"/>
      <c r="K222" s="476"/>
      <c r="L222" s="476"/>
      <c r="M222" s="475"/>
      <c r="N222" s="476"/>
      <c r="O222" s="476"/>
      <c r="P222" s="476"/>
      <c r="Q222" s="476"/>
      <c r="R222" s="475"/>
      <c r="S222" s="476"/>
      <c r="T222" s="476"/>
      <c r="U222" s="476"/>
      <c r="V222" s="476"/>
      <c r="W222" s="475"/>
      <c r="X222" s="476"/>
      <c r="Y222" s="476"/>
      <c r="Z222" s="476"/>
      <c r="AA222" s="476"/>
      <c r="AB222" s="475"/>
      <c r="AC222" s="476"/>
      <c r="AD222" s="476"/>
      <c r="AE222" s="476"/>
      <c r="AF222" s="476"/>
      <c r="AG222" s="475"/>
      <c r="AH222" s="476"/>
      <c r="AI222" s="476"/>
      <c r="AJ222" s="476"/>
      <c r="AK222" s="476"/>
      <c r="AL222" s="475"/>
      <c r="AM222" s="476"/>
      <c r="AN222" s="1286"/>
      <c r="AO222" s="476"/>
      <c r="AP222" s="476"/>
      <c r="AQ222" s="475"/>
      <c r="AR222" s="1286"/>
      <c r="AS222" s="476"/>
      <c r="AT222" s="476"/>
      <c r="AU222" s="476"/>
      <c r="AV222" s="475"/>
      <c r="AW222" s="476"/>
      <c r="AX222" s="476"/>
      <c r="AY222" s="476"/>
      <c r="AZ222" s="476"/>
      <c r="BA222" s="475"/>
      <c r="BB222" s="476"/>
      <c r="BC222" s="476"/>
      <c r="BD222" s="476"/>
      <c r="BE222" s="476"/>
      <c r="BF222" s="475"/>
      <c r="BG222" s="476"/>
      <c r="BH222" s="476"/>
      <c r="BI222" s="476"/>
      <c r="BJ222" s="476"/>
      <c r="BK222" s="475"/>
      <c r="BL222" s="476"/>
      <c r="BM222" s="476"/>
      <c r="BN222" s="476"/>
      <c r="BO222" s="476"/>
    </row>
    <row r="223" spans="3:67">
      <c r="C223" s="475"/>
      <c r="D223" s="476"/>
      <c r="E223" s="476"/>
      <c r="F223" s="476"/>
      <c r="G223" s="476"/>
      <c r="H223" s="475"/>
      <c r="I223" s="476"/>
      <c r="J223" s="476"/>
      <c r="K223" s="476"/>
      <c r="L223" s="476"/>
      <c r="M223" s="475"/>
      <c r="N223" s="476"/>
      <c r="O223" s="476"/>
      <c r="P223" s="476"/>
      <c r="Q223" s="476"/>
      <c r="R223" s="475"/>
      <c r="S223" s="476"/>
      <c r="T223" s="476"/>
      <c r="U223" s="476"/>
      <c r="V223" s="476"/>
      <c r="W223" s="475"/>
      <c r="X223" s="476"/>
      <c r="Y223" s="476"/>
      <c r="Z223" s="476"/>
      <c r="AA223" s="476"/>
      <c r="AB223" s="475"/>
      <c r="AC223" s="476"/>
      <c r="AD223" s="476"/>
      <c r="AE223" s="476"/>
      <c r="AF223" s="476"/>
      <c r="AG223" s="475"/>
      <c r="AH223" s="476"/>
      <c r="AI223" s="476"/>
      <c r="AJ223" s="476"/>
      <c r="AK223" s="476"/>
      <c r="AL223" s="475"/>
      <c r="AM223" s="476"/>
      <c r="AN223" s="1286"/>
      <c r="AO223" s="476"/>
      <c r="AP223" s="476"/>
      <c r="AQ223" s="475"/>
      <c r="AR223" s="1286"/>
      <c r="AS223" s="476"/>
      <c r="AT223" s="476"/>
      <c r="AU223" s="476"/>
      <c r="AV223" s="475"/>
      <c r="AW223" s="476"/>
      <c r="AX223" s="476"/>
      <c r="AY223" s="476"/>
      <c r="AZ223" s="476"/>
      <c r="BA223" s="475"/>
      <c r="BB223" s="476"/>
      <c r="BC223" s="476"/>
      <c r="BD223" s="476"/>
      <c r="BE223" s="476"/>
      <c r="BF223" s="475"/>
      <c r="BG223" s="476"/>
      <c r="BH223" s="476"/>
      <c r="BI223" s="476"/>
      <c r="BJ223" s="476"/>
      <c r="BK223" s="475"/>
      <c r="BL223" s="476"/>
      <c r="BM223" s="476"/>
      <c r="BN223" s="476"/>
      <c r="BO223" s="476"/>
    </row>
    <row r="224" spans="3:67">
      <c r="C224" s="430"/>
      <c r="D224" s="477"/>
      <c r="E224" s="477"/>
      <c r="F224" s="477"/>
      <c r="G224" s="477"/>
      <c r="H224" s="430"/>
      <c r="I224" s="477"/>
      <c r="J224" s="477"/>
      <c r="K224" s="477"/>
      <c r="L224" s="477"/>
      <c r="M224" s="430"/>
      <c r="N224" s="477"/>
      <c r="O224" s="477"/>
      <c r="P224" s="477"/>
      <c r="Q224" s="477"/>
      <c r="R224" s="430"/>
      <c r="S224" s="477"/>
      <c r="T224" s="477"/>
      <c r="U224" s="477"/>
      <c r="V224" s="477"/>
      <c r="W224" s="430"/>
      <c r="X224" s="477"/>
      <c r="Y224" s="477"/>
      <c r="Z224" s="477"/>
      <c r="AA224" s="477"/>
      <c r="AB224" s="430"/>
      <c r="AC224" s="477"/>
      <c r="AD224" s="477"/>
      <c r="AE224" s="477"/>
      <c r="AF224" s="477"/>
      <c r="AG224" s="430"/>
      <c r="AH224" s="477"/>
      <c r="AI224" s="477"/>
      <c r="AJ224" s="477"/>
      <c r="AK224" s="477"/>
      <c r="AL224" s="430"/>
      <c r="AM224" s="477"/>
      <c r="AN224" s="1287"/>
      <c r="AO224" s="477"/>
      <c r="AP224" s="477"/>
      <c r="AQ224" s="430"/>
      <c r="AR224" s="1287"/>
      <c r="AS224" s="477"/>
      <c r="AT224" s="477"/>
      <c r="AU224" s="477"/>
      <c r="AV224" s="430"/>
      <c r="AW224" s="477"/>
      <c r="AX224" s="477"/>
      <c r="AY224" s="477"/>
      <c r="AZ224" s="477"/>
      <c r="BA224" s="430"/>
      <c r="BB224" s="477"/>
      <c r="BC224" s="477"/>
      <c r="BD224" s="477"/>
      <c r="BE224" s="477"/>
      <c r="BF224" s="430"/>
      <c r="BG224" s="477"/>
      <c r="BH224" s="477"/>
      <c r="BI224" s="477"/>
      <c r="BJ224" s="477"/>
      <c r="BK224" s="430"/>
      <c r="BL224" s="477"/>
      <c r="BM224" s="477"/>
      <c r="BN224" s="477"/>
      <c r="BO224" s="477"/>
    </row>
    <row r="225" spans="3:67">
      <c r="C225" s="478"/>
      <c r="D225" s="476"/>
      <c r="E225" s="476"/>
      <c r="F225" s="476"/>
      <c r="G225" s="476"/>
      <c r="H225" s="478"/>
      <c r="I225" s="476"/>
      <c r="J225" s="476"/>
      <c r="K225" s="476"/>
      <c r="L225" s="476"/>
      <c r="M225" s="478"/>
      <c r="N225" s="476"/>
      <c r="O225" s="476"/>
      <c r="P225" s="476"/>
      <c r="Q225" s="476"/>
      <c r="R225" s="478"/>
      <c r="S225" s="476"/>
      <c r="T225" s="476"/>
      <c r="U225" s="476"/>
      <c r="V225" s="476"/>
      <c r="W225" s="478"/>
      <c r="X225" s="476"/>
      <c r="Y225" s="476"/>
      <c r="Z225" s="476"/>
      <c r="AA225" s="476"/>
      <c r="AB225" s="478"/>
      <c r="AC225" s="476"/>
      <c r="AD225" s="476"/>
      <c r="AE225" s="476"/>
      <c r="AF225" s="476"/>
      <c r="AG225" s="478"/>
      <c r="AH225" s="476"/>
      <c r="AI225" s="476"/>
      <c r="AJ225" s="476"/>
      <c r="AK225" s="476"/>
      <c r="AL225" s="478"/>
      <c r="AM225" s="476"/>
      <c r="AN225" s="1286"/>
      <c r="AO225" s="476"/>
      <c r="AP225" s="476"/>
      <c r="AQ225" s="478"/>
      <c r="AR225" s="1286"/>
      <c r="AS225" s="476"/>
      <c r="AT225" s="476"/>
      <c r="AU225" s="476"/>
      <c r="AV225" s="478"/>
      <c r="AW225" s="476"/>
      <c r="AX225" s="476"/>
      <c r="AY225" s="476"/>
      <c r="AZ225" s="476"/>
      <c r="BA225" s="478"/>
      <c r="BB225" s="476"/>
      <c r="BC225" s="476"/>
      <c r="BD225" s="476"/>
      <c r="BE225" s="476"/>
      <c r="BF225" s="478"/>
      <c r="BG225" s="476"/>
      <c r="BH225" s="476"/>
      <c r="BI225" s="476"/>
      <c r="BJ225" s="476"/>
      <c r="BK225" s="478"/>
      <c r="BL225" s="476"/>
      <c r="BM225" s="476"/>
      <c r="BN225" s="476"/>
      <c r="BO225" s="476"/>
    </row>
    <row r="226" spans="3:67">
      <c r="C226" s="478"/>
      <c r="D226" s="476"/>
      <c r="E226" s="476"/>
      <c r="F226" s="476"/>
      <c r="G226" s="476"/>
      <c r="H226" s="478"/>
      <c r="I226" s="476"/>
      <c r="J226" s="476"/>
      <c r="K226" s="476"/>
      <c r="L226" s="476"/>
      <c r="M226" s="478"/>
      <c r="N226" s="476"/>
      <c r="O226" s="476"/>
      <c r="P226" s="476"/>
      <c r="Q226" s="476"/>
      <c r="R226" s="478"/>
      <c r="S226" s="476"/>
      <c r="T226" s="476"/>
      <c r="U226" s="476"/>
      <c r="V226" s="476"/>
      <c r="W226" s="478"/>
      <c r="X226" s="476"/>
      <c r="Y226" s="476"/>
      <c r="Z226" s="476"/>
      <c r="AA226" s="476"/>
      <c r="AB226" s="478"/>
      <c r="AC226" s="476"/>
      <c r="AD226" s="476"/>
      <c r="AE226" s="476"/>
      <c r="AF226" s="476"/>
      <c r="AG226" s="478"/>
      <c r="AH226" s="476"/>
      <c r="AI226" s="476"/>
      <c r="AJ226" s="476"/>
      <c r="AK226" s="476"/>
      <c r="AL226" s="478"/>
      <c r="AM226" s="476"/>
      <c r="AN226" s="1286"/>
      <c r="AO226" s="476"/>
      <c r="AP226" s="476"/>
      <c r="AQ226" s="478"/>
      <c r="AR226" s="1286"/>
      <c r="AS226" s="476"/>
      <c r="AT226" s="476"/>
      <c r="AU226" s="476"/>
      <c r="AV226" s="478"/>
      <c r="AW226" s="476"/>
      <c r="AX226" s="476"/>
      <c r="AY226" s="476"/>
      <c r="AZ226" s="476"/>
      <c r="BA226" s="478"/>
      <c r="BB226" s="476"/>
      <c r="BC226" s="476"/>
      <c r="BD226" s="476"/>
      <c r="BE226" s="476"/>
      <c r="BF226" s="478"/>
      <c r="BG226" s="476"/>
      <c r="BH226" s="476"/>
      <c r="BI226" s="476"/>
      <c r="BJ226" s="476"/>
      <c r="BK226" s="478"/>
      <c r="BL226" s="476"/>
      <c r="BM226" s="476"/>
      <c r="BN226" s="476"/>
      <c r="BO226" s="476"/>
    </row>
    <row r="227" spans="3:67">
      <c r="C227" s="478"/>
      <c r="D227" s="476"/>
      <c r="E227" s="476"/>
      <c r="F227" s="476"/>
      <c r="G227" s="476"/>
      <c r="H227" s="478"/>
      <c r="I227" s="476"/>
      <c r="J227" s="476"/>
      <c r="K227" s="476"/>
      <c r="L227" s="476"/>
      <c r="M227" s="478"/>
      <c r="N227" s="476"/>
      <c r="O227" s="476"/>
      <c r="P227" s="476"/>
      <c r="Q227" s="476"/>
      <c r="R227" s="478"/>
      <c r="S227" s="476"/>
      <c r="T227" s="476"/>
      <c r="U227" s="476"/>
      <c r="V227" s="476"/>
      <c r="W227" s="478"/>
      <c r="X227" s="476"/>
      <c r="Y227" s="476"/>
      <c r="Z227" s="476"/>
      <c r="AA227" s="476"/>
      <c r="AB227" s="478"/>
      <c r="AC227" s="476"/>
      <c r="AD227" s="476"/>
      <c r="AE227" s="476"/>
      <c r="AF227" s="476"/>
      <c r="AG227" s="478"/>
      <c r="AH227" s="476"/>
      <c r="AI227" s="476"/>
      <c r="AJ227" s="476"/>
      <c r="AK227" s="476"/>
      <c r="AL227" s="478"/>
      <c r="AM227" s="476"/>
      <c r="AN227" s="1286"/>
      <c r="AO227" s="476"/>
      <c r="AP227" s="476"/>
      <c r="AQ227" s="478"/>
      <c r="AR227" s="1286"/>
      <c r="AS227" s="476"/>
      <c r="AT227" s="476"/>
      <c r="AU227" s="476"/>
      <c r="AV227" s="478"/>
      <c r="AW227" s="476"/>
      <c r="AX227" s="476"/>
      <c r="AY227" s="476"/>
      <c r="AZ227" s="476"/>
      <c r="BA227" s="478"/>
      <c r="BB227" s="476"/>
      <c r="BC227" s="476"/>
      <c r="BD227" s="476"/>
      <c r="BE227" s="476"/>
      <c r="BF227" s="478"/>
      <c r="BG227" s="476"/>
      <c r="BH227" s="476"/>
      <c r="BI227" s="476"/>
      <c r="BJ227" s="476"/>
      <c r="BK227" s="478"/>
      <c r="BL227" s="476"/>
      <c r="BM227" s="476"/>
      <c r="BN227" s="476"/>
      <c r="BO227" s="476"/>
    </row>
    <row r="228" spans="3:67">
      <c r="C228" s="430"/>
      <c r="D228" s="477"/>
      <c r="E228" s="477"/>
      <c r="F228" s="477"/>
      <c r="G228" s="477"/>
      <c r="H228" s="430"/>
      <c r="I228" s="477"/>
      <c r="J228" s="477"/>
      <c r="K228" s="477"/>
      <c r="L228" s="477"/>
      <c r="M228" s="430"/>
      <c r="N228" s="477"/>
      <c r="O228" s="477"/>
      <c r="P228" s="477"/>
      <c r="Q228" s="477"/>
      <c r="R228" s="430"/>
      <c r="S228" s="477"/>
      <c r="T228" s="477"/>
      <c r="U228" s="477"/>
      <c r="V228" s="477"/>
      <c r="W228" s="430"/>
      <c r="X228" s="477"/>
      <c r="Y228" s="477"/>
      <c r="Z228" s="477"/>
      <c r="AA228" s="477"/>
      <c r="AB228" s="430"/>
      <c r="AC228" s="477"/>
      <c r="AD228" s="477"/>
      <c r="AE228" s="477"/>
      <c r="AF228" s="477"/>
      <c r="AG228" s="430"/>
      <c r="AH228" s="477"/>
      <c r="AI228" s="477"/>
      <c r="AJ228" s="477"/>
      <c r="AK228" s="477"/>
      <c r="AL228" s="430"/>
      <c r="AM228" s="477"/>
      <c r="AN228" s="1287"/>
      <c r="AO228" s="477"/>
      <c r="AP228" s="477"/>
      <c r="AQ228" s="430"/>
      <c r="AR228" s="1287"/>
      <c r="AS228" s="477"/>
      <c r="AT228" s="477"/>
      <c r="AU228" s="477"/>
      <c r="AV228" s="430"/>
      <c r="AW228" s="477"/>
      <c r="AX228" s="477"/>
      <c r="AY228" s="477"/>
      <c r="AZ228" s="477"/>
      <c r="BA228" s="430"/>
      <c r="BB228" s="477"/>
      <c r="BC228" s="477"/>
      <c r="BD228" s="477"/>
      <c r="BE228" s="477"/>
      <c r="BF228" s="430"/>
      <c r="BG228" s="477"/>
      <c r="BH228" s="477"/>
      <c r="BI228" s="477"/>
      <c r="BJ228" s="477"/>
      <c r="BK228" s="430"/>
      <c r="BL228" s="477"/>
      <c r="BM228" s="477"/>
      <c r="BN228" s="477"/>
      <c r="BO228" s="477"/>
    </row>
    <row r="229" spans="3:67">
      <c r="C229" s="479"/>
      <c r="D229" s="476"/>
      <c r="E229" s="476"/>
      <c r="F229" s="476"/>
      <c r="G229" s="476"/>
      <c r="H229" s="479"/>
      <c r="I229" s="476"/>
      <c r="J229" s="476"/>
      <c r="K229" s="476"/>
      <c r="L229" s="476"/>
      <c r="M229" s="479"/>
      <c r="N229" s="476"/>
      <c r="O229" s="476"/>
      <c r="P229" s="476"/>
      <c r="Q229" s="476"/>
      <c r="R229" s="479"/>
      <c r="S229" s="476"/>
      <c r="T229" s="476"/>
      <c r="U229" s="476"/>
      <c r="V229" s="476"/>
      <c r="W229" s="479"/>
      <c r="X229" s="476"/>
      <c r="Y229" s="476"/>
      <c r="Z229" s="476"/>
      <c r="AA229" s="476"/>
      <c r="AB229" s="479"/>
      <c r="AC229" s="476"/>
      <c r="AD229" s="476"/>
      <c r="AE229" s="476"/>
      <c r="AF229" s="476"/>
      <c r="AG229" s="479"/>
      <c r="AH229" s="476"/>
      <c r="AI229" s="476"/>
      <c r="AJ229" s="476"/>
      <c r="AK229" s="476"/>
      <c r="AL229" s="479"/>
      <c r="AM229" s="476"/>
      <c r="AN229" s="1286"/>
      <c r="AO229" s="476"/>
      <c r="AP229" s="476"/>
      <c r="AQ229" s="479"/>
      <c r="AR229" s="1286"/>
      <c r="AS229" s="476"/>
      <c r="AT229" s="476"/>
      <c r="AU229" s="476"/>
      <c r="AV229" s="479"/>
      <c r="AW229" s="476"/>
      <c r="AX229" s="476"/>
      <c r="AY229" s="476"/>
      <c r="AZ229" s="476"/>
      <c r="BA229" s="479"/>
      <c r="BB229" s="476"/>
      <c r="BC229" s="476"/>
      <c r="BD229" s="476"/>
      <c r="BE229" s="476"/>
      <c r="BF229" s="479"/>
      <c r="BG229" s="476"/>
      <c r="BH229" s="476"/>
      <c r="BI229" s="476"/>
      <c r="BJ229" s="476"/>
      <c r="BK229" s="479"/>
      <c r="BL229" s="476"/>
      <c r="BM229" s="476"/>
      <c r="BN229" s="476"/>
      <c r="BO229" s="476"/>
    </row>
    <row r="230" spans="3:67">
      <c r="C230" s="479"/>
      <c r="D230" s="476"/>
      <c r="E230" s="476"/>
      <c r="F230" s="476"/>
      <c r="G230" s="476"/>
      <c r="H230" s="479"/>
      <c r="I230" s="476"/>
      <c r="J230" s="476"/>
      <c r="K230" s="476"/>
      <c r="L230" s="476"/>
      <c r="M230" s="479"/>
      <c r="N230" s="476"/>
      <c r="O230" s="476"/>
      <c r="P230" s="476"/>
      <c r="Q230" s="476"/>
      <c r="R230" s="479"/>
      <c r="S230" s="476"/>
      <c r="T230" s="476"/>
      <c r="U230" s="476"/>
      <c r="V230" s="476"/>
      <c r="W230" s="479"/>
      <c r="X230" s="476"/>
      <c r="Y230" s="476"/>
      <c r="Z230" s="476"/>
      <c r="AA230" s="476"/>
      <c r="AB230" s="479"/>
      <c r="AC230" s="476"/>
      <c r="AD230" s="476"/>
      <c r="AE230" s="476"/>
      <c r="AF230" s="476"/>
      <c r="AG230" s="479"/>
      <c r="AH230" s="476"/>
      <c r="AI230" s="476"/>
      <c r="AJ230" s="476"/>
      <c r="AK230" s="476"/>
      <c r="AL230" s="479"/>
      <c r="AM230" s="476"/>
      <c r="AN230" s="1286"/>
      <c r="AO230" s="476"/>
      <c r="AP230" s="476"/>
      <c r="AQ230" s="479"/>
      <c r="AR230" s="1286"/>
      <c r="AS230" s="476"/>
      <c r="AT230" s="476"/>
      <c r="AU230" s="476"/>
      <c r="AV230" s="479"/>
      <c r="AW230" s="476"/>
      <c r="AX230" s="476"/>
      <c r="AY230" s="476"/>
      <c r="AZ230" s="476"/>
      <c r="BA230" s="479"/>
      <c r="BB230" s="476"/>
      <c r="BC230" s="476"/>
      <c r="BD230" s="476"/>
      <c r="BE230" s="476"/>
      <c r="BF230" s="479"/>
      <c r="BG230" s="476"/>
      <c r="BH230" s="476"/>
      <c r="BI230" s="476"/>
      <c r="BJ230" s="476"/>
      <c r="BK230" s="479"/>
      <c r="BL230" s="476"/>
      <c r="BM230" s="476"/>
      <c r="BN230" s="476"/>
      <c r="BO230" s="476"/>
    </row>
    <row r="231" spans="3:67">
      <c r="C231" s="479"/>
      <c r="D231" s="476"/>
      <c r="E231" s="476"/>
      <c r="F231" s="476"/>
      <c r="G231" s="476"/>
      <c r="H231" s="479"/>
      <c r="I231" s="476"/>
      <c r="J231" s="476"/>
      <c r="K231" s="476"/>
      <c r="L231" s="476"/>
      <c r="M231" s="479"/>
      <c r="N231" s="476"/>
      <c r="O231" s="476"/>
      <c r="P231" s="476"/>
      <c r="Q231" s="476"/>
      <c r="R231" s="479"/>
      <c r="S231" s="476"/>
      <c r="T231" s="476"/>
      <c r="U231" s="476"/>
      <c r="V231" s="476"/>
      <c r="W231" s="479"/>
      <c r="X231" s="476"/>
      <c r="Y231" s="476"/>
      <c r="Z231" s="476"/>
      <c r="AA231" s="476"/>
      <c r="AB231" s="479"/>
      <c r="AC231" s="476"/>
      <c r="AD231" s="476"/>
      <c r="AE231" s="476"/>
      <c r="AF231" s="476"/>
      <c r="AG231" s="479"/>
      <c r="AH231" s="476"/>
      <c r="AI231" s="476"/>
      <c r="AJ231" s="476"/>
      <c r="AK231" s="476"/>
      <c r="AL231" s="479"/>
      <c r="AM231" s="476"/>
      <c r="AN231" s="1286"/>
      <c r="AO231" s="476"/>
      <c r="AP231" s="476"/>
      <c r="AQ231" s="479"/>
      <c r="AR231" s="1286"/>
      <c r="AS231" s="476"/>
      <c r="AT231" s="476"/>
      <c r="AU231" s="476"/>
      <c r="AV231" s="479"/>
      <c r="AW231" s="476"/>
      <c r="AX231" s="476"/>
      <c r="AY231" s="476"/>
      <c r="AZ231" s="476"/>
      <c r="BA231" s="479"/>
      <c r="BB231" s="476"/>
      <c r="BC231" s="476"/>
      <c r="BD231" s="476"/>
      <c r="BE231" s="476"/>
      <c r="BF231" s="479"/>
      <c r="BG231" s="476"/>
      <c r="BH231" s="476"/>
      <c r="BI231" s="476"/>
      <c r="BJ231" s="476"/>
      <c r="BK231" s="479"/>
      <c r="BL231" s="476"/>
      <c r="BM231" s="476"/>
      <c r="BN231" s="476"/>
      <c r="BO231" s="476"/>
    </row>
    <row r="232" spans="3:67">
      <c r="C232" s="430"/>
      <c r="D232" s="477"/>
      <c r="E232" s="477"/>
      <c r="F232" s="477"/>
      <c r="G232" s="477"/>
      <c r="H232" s="430"/>
      <c r="I232" s="477"/>
      <c r="J232" s="477"/>
      <c r="K232" s="477"/>
      <c r="L232" s="477"/>
      <c r="M232" s="430"/>
      <c r="N232" s="477"/>
      <c r="O232" s="477"/>
      <c r="P232" s="477"/>
      <c r="Q232" s="477"/>
      <c r="R232" s="430"/>
      <c r="S232" s="477"/>
      <c r="T232" s="477"/>
      <c r="U232" s="477"/>
      <c r="V232" s="477"/>
      <c r="W232" s="430"/>
      <c r="X232" s="477"/>
      <c r="Y232" s="477"/>
      <c r="Z232" s="477"/>
      <c r="AA232" s="477"/>
      <c r="AB232" s="430"/>
      <c r="AC232" s="477"/>
      <c r="AD232" s="477"/>
      <c r="AE232" s="477"/>
      <c r="AF232" s="477"/>
      <c r="AG232" s="430"/>
      <c r="AH232" s="477"/>
      <c r="AI232" s="477"/>
      <c r="AJ232" s="477"/>
      <c r="AK232" s="477"/>
      <c r="AL232" s="430"/>
      <c r="AM232" s="477"/>
      <c r="AN232" s="1287"/>
      <c r="AO232" s="477"/>
      <c r="AP232" s="477"/>
      <c r="AQ232" s="430"/>
      <c r="AR232" s="1287"/>
      <c r="AS232" s="477"/>
      <c r="AT232" s="477"/>
      <c r="AU232" s="477"/>
      <c r="AV232" s="430"/>
      <c r="AW232" s="477"/>
      <c r="AX232" s="477"/>
      <c r="AY232" s="477"/>
      <c r="AZ232" s="477"/>
      <c r="BA232" s="430"/>
      <c r="BB232" s="477"/>
      <c r="BC232" s="477"/>
      <c r="BD232" s="477"/>
      <c r="BE232" s="477"/>
      <c r="BF232" s="430"/>
      <c r="BG232" s="477"/>
      <c r="BH232" s="477"/>
      <c r="BI232" s="477"/>
      <c r="BJ232" s="477"/>
      <c r="BK232" s="430"/>
      <c r="BL232" s="477"/>
      <c r="BM232" s="477"/>
      <c r="BN232" s="477"/>
      <c r="BO232" s="477"/>
    </row>
    <row r="233" spans="3:67">
      <c r="C233" s="479"/>
      <c r="D233" s="476"/>
      <c r="E233" s="476"/>
      <c r="F233" s="476"/>
      <c r="G233" s="476"/>
      <c r="H233" s="479"/>
      <c r="I233" s="476"/>
      <c r="J233" s="476"/>
      <c r="K233" s="476"/>
      <c r="L233" s="476"/>
      <c r="M233" s="479"/>
      <c r="N233" s="476"/>
      <c r="O233" s="476"/>
      <c r="P233" s="476"/>
      <c r="Q233" s="476"/>
      <c r="R233" s="479"/>
      <c r="S233" s="476"/>
      <c r="T233" s="476"/>
      <c r="U233" s="476"/>
      <c r="V233" s="476"/>
      <c r="W233" s="479"/>
      <c r="X233" s="476"/>
      <c r="Y233" s="476"/>
      <c r="Z233" s="476"/>
      <c r="AA233" s="476"/>
      <c r="AB233" s="479"/>
      <c r="AC233" s="476"/>
      <c r="AD233" s="476"/>
      <c r="AE233" s="476"/>
      <c r="AF233" s="476"/>
      <c r="AG233" s="479"/>
      <c r="AH233" s="476"/>
      <c r="AI233" s="476"/>
      <c r="AJ233" s="476"/>
      <c r="AK233" s="476"/>
      <c r="AL233" s="479"/>
      <c r="AM233" s="476"/>
      <c r="AN233" s="1286"/>
      <c r="AO233" s="476"/>
      <c r="AP233" s="476"/>
      <c r="AQ233" s="479"/>
      <c r="AR233" s="1286"/>
      <c r="AS233" s="476"/>
      <c r="AT233" s="476"/>
      <c r="AU233" s="476"/>
      <c r="AV233" s="479"/>
      <c r="AW233" s="476"/>
      <c r="AX233" s="476"/>
      <c r="AY233" s="476"/>
      <c r="AZ233" s="476"/>
      <c r="BA233" s="479"/>
      <c r="BB233" s="476"/>
      <c r="BC233" s="476"/>
      <c r="BD233" s="476"/>
      <c r="BE233" s="476"/>
      <c r="BF233" s="479"/>
      <c r="BG233" s="476"/>
      <c r="BH233" s="476"/>
      <c r="BI233" s="476"/>
      <c r="BJ233" s="476"/>
      <c r="BK233" s="479"/>
      <c r="BL233" s="476"/>
      <c r="BM233" s="476"/>
      <c r="BN233" s="476"/>
      <c r="BO233" s="476"/>
    </row>
    <row r="234" spans="3:67">
      <c r="C234" s="479"/>
      <c r="D234" s="476"/>
      <c r="E234" s="476"/>
      <c r="F234" s="476"/>
      <c r="G234" s="476"/>
      <c r="H234" s="479"/>
      <c r="I234" s="476"/>
      <c r="J234" s="476"/>
      <c r="K234" s="476"/>
      <c r="L234" s="476"/>
      <c r="M234" s="479"/>
      <c r="N234" s="476"/>
      <c r="O234" s="476"/>
      <c r="P234" s="476"/>
      <c r="Q234" s="476"/>
      <c r="R234" s="479"/>
      <c r="S234" s="476"/>
      <c r="T234" s="476"/>
      <c r="U234" s="476"/>
      <c r="V234" s="476"/>
      <c r="W234" s="479"/>
      <c r="X234" s="476"/>
      <c r="Y234" s="476"/>
      <c r="Z234" s="476"/>
      <c r="AA234" s="476"/>
      <c r="AB234" s="479"/>
      <c r="AC234" s="476"/>
      <c r="AD234" s="476"/>
      <c r="AE234" s="476"/>
      <c r="AF234" s="476"/>
      <c r="AG234" s="479"/>
      <c r="AH234" s="476"/>
      <c r="AI234" s="476"/>
      <c r="AJ234" s="476"/>
      <c r="AK234" s="476"/>
      <c r="AL234" s="479"/>
      <c r="AM234" s="476"/>
      <c r="AN234" s="1286"/>
      <c r="AO234" s="476"/>
      <c r="AP234" s="476"/>
      <c r="AQ234" s="479"/>
      <c r="AR234" s="1286"/>
      <c r="AS234" s="476"/>
      <c r="AT234" s="476"/>
      <c r="AU234" s="476"/>
      <c r="AV234" s="479"/>
      <c r="AW234" s="476"/>
      <c r="AX234" s="476"/>
      <c r="AY234" s="476"/>
      <c r="AZ234" s="476"/>
      <c r="BA234" s="479"/>
      <c r="BB234" s="476"/>
      <c r="BC234" s="476"/>
      <c r="BD234" s="476"/>
      <c r="BE234" s="476"/>
      <c r="BF234" s="479"/>
      <c r="BG234" s="476"/>
      <c r="BH234" s="476"/>
      <c r="BI234" s="476"/>
      <c r="BJ234" s="476"/>
      <c r="BK234" s="479"/>
      <c r="BL234" s="476"/>
      <c r="BM234" s="476"/>
      <c r="BN234" s="476"/>
      <c r="BO234" s="476"/>
    </row>
    <row r="235" spans="3:67">
      <c r="C235" s="479"/>
      <c r="D235" s="476"/>
      <c r="E235" s="476"/>
      <c r="F235" s="476"/>
      <c r="G235" s="476"/>
      <c r="H235" s="479"/>
      <c r="I235" s="476"/>
      <c r="J235" s="476"/>
      <c r="K235" s="476"/>
      <c r="L235" s="476"/>
      <c r="M235" s="479"/>
      <c r="N235" s="476"/>
      <c r="O235" s="476"/>
      <c r="P235" s="476"/>
      <c r="Q235" s="476"/>
      <c r="R235" s="479"/>
      <c r="S235" s="476"/>
      <c r="T235" s="476"/>
      <c r="U235" s="476"/>
      <c r="V235" s="476"/>
      <c r="W235" s="479"/>
      <c r="X235" s="476"/>
      <c r="Y235" s="476"/>
      <c r="Z235" s="476"/>
      <c r="AA235" s="476"/>
      <c r="AB235" s="479"/>
      <c r="AC235" s="476"/>
      <c r="AD235" s="476"/>
      <c r="AE235" s="476"/>
      <c r="AF235" s="476"/>
      <c r="AG235" s="479"/>
      <c r="AH235" s="476"/>
      <c r="AI235" s="476"/>
      <c r="AJ235" s="476"/>
      <c r="AK235" s="476"/>
      <c r="AL235" s="479"/>
      <c r="AM235" s="476"/>
      <c r="AN235" s="1286"/>
      <c r="AO235" s="476"/>
      <c r="AP235" s="476"/>
      <c r="AQ235" s="479"/>
      <c r="AR235" s="1286"/>
      <c r="AS235" s="476"/>
      <c r="AT235" s="476"/>
      <c r="AU235" s="476"/>
      <c r="AV235" s="479"/>
      <c r="AW235" s="476"/>
      <c r="AX235" s="476"/>
      <c r="AY235" s="476"/>
      <c r="AZ235" s="476"/>
      <c r="BA235" s="479"/>
      <c r="BB235" s="476"/>
      <c r="BC235" s="476"/>
      <c r="BD235" s="476"/>
      <c r="BE235" s="476"/>
      <c r="BF235" s="479"/>
      <c r="BG235" s="476"/>
      <c r="BH235" s="476"/>
      <c r="BI235" s="476"/>
      <c r="BJ235" s="476"/>
      <c r="BK235" s="479"/>
      <c r="BL235" s="476"/>
      <c r="BM235" s="476"/>
      <c r="BN235" s="476"/>
      <c r="BO235" s="476"/>
    </row>
    <row r="236" spans="3:67">
      <c r="C236" s="429"/>
      <c r="D236" s="477"/>
      <c r="E236" s="477"/>
      <c r="F236" s="477"/>
      <c r="G236" s="477"/>
      <c r="H236" s="429"/>
      <c r="I236" s="477"/>
      <c r="J236" s="477"/>
      <c r="K236" s="477"/>
      <c r="L236" s="477"/>
      <c r="M236" s="429"/>
      <c r="N236" s="477"/>
      <c r="O236" s="477"/>
      <c r="P236" s="477"/>
      <c r="Q236" s="477"/>
      <c r="R236" s="429"/>
      <c r="S236" s="477"/>
      <c r="T236" s="477"/>
      <c r="U236" s="477"/>
      <c r="V236" s="477"/>
      <c r="W236" s="429"/>
      <c r="X236" s="477"/>
      <c r="Y236" s="477"/>
      <c r="Z236" s="477"/>
      <c r="AA236" s="477"/>
      <c r="AB236" s="429"/>
      <c r="AC236" s="477"/>
      <c r="AD236" s="477"/>
      <c r="AE236" s="477"/>
      <c r="AF236" s="477"/>
      <c r="AG236" s="429"/>
      <c r="AH236" s="477"/>
      <c r="AI236" s="477"/>
      <c r="AJ236" s="477"/>
      <c r="AK236" s="477"/>
      <c r="AL236" s="429"/>
      <c r="AM236" s="477"/>
      <c r="AN236" s="1287"/>
      <c r="AO236" s="477"/>
      <c r="AP236" s="477"/>
      <c r="AQ236" s="429"/>
      <c r="AR236" s="1287"/>
      <c r="AS236" s="477"/>
      <c r="AT236" s="477"/>
      <c r="AU236" s="477"/>
      <c r="AV236" s="429"/>
      <c r="AW236" s="477"/>
      <c r="AX236" s="477"/>
      <c r="AY236" s="477"/>
      <c r="AZ236" s="477"/>
      <c r="BA236" s="429"/>
      <c r="BB236" s="477"/>
      <c r="BC236" s="477"/>
      <c r="BD236" s="477"/>
      <c r="BE236" s="477"/>
      <c r="BF236" s="429"/>
      <c r="BG236" s="477"/>
      <c r="BH236" s="477"/>
      <c r="BI236" s="477"/>
      <c r="BJ236" s="477"/>
      <c r="BK236" s="429"/>
      <c r="BL236" s="477"/>
      <c r="BM236" s="477"/>
      <c r="BN236" s="477"/>
      <c r="BO236" s="477"/>
    </row>
    <row r="237" spans="3:67">
      <c r="C237" s="475"/>
      <c r="D237" s="476"/>
      <c r="E237" s="476"/>
      <c r="F237" s="476"/>
      <c r="G237" s="476"/>
      <c r="H237" s="475"/>
      <c r="I237" s="476"/>
      <c r="J237" s="476"/>
      <c r="K237" s="476"/>
      <c r="L237" s="476"/>
      <c r="M237" s="475"/>
      <c r="N237" s="476"/>
      <c r="O237" s="476"/>
      <c r="P237" s="476"/>
      <c r="Q237" s="476"/>
      <c r="R237" s="475"/>
      <c r="S237" s="476"/>
      <c r="T237" s="476"/>
      <c r="U237" s="476"/>
      <c r="V237" s="476"/>
      <c r="W237" s="475"/>
      <c r="X237" s="476"/>
      <c r="Y237" s="476"/>
      <c r="Z237" s="476"/>
      <c r="AA237" s="476"/>
      <c r="AB237" s="475"/>
      <c r="AC237" s="476"/>
      <c r="AD237" s="476"/>
      <c r="AE237" s="476"/>
      <c r="AF237" s="476"/>
      <c r="AG237" s="475"/>
      <c r="AH237" s="476"/>
      <c r="AI237" s="476"/>
      <c r="AJ237" s="476"/>
      <c r="AK237" s="476"/>
      <c r="AL237" s="475"/>
      <c r="AM237" s="476"/>
      <c r="AN237" s="1286"/>
      <c r="AO237" s="476"/>
      <c r="AP237" s="476"/>
      <c r="AQ237" s="475"/>
      <c r="AR237" s="1286"/>
      <c r="AS237" s="476"/>
      <c r="AT237" s="476"/>
      <c r="AU237" s="476"/>
      <c r="AV237" s="475"/>
      <c r="AW237" s="476"/>
      <c r="AX237" s="476"/>
      <c r="AY237" s="476"/>
      <c r="AZ237" s="476"/>
      <c r="BA237" s="475"/>
      <c r="BB237" s="476"/>
      <c r="BC237" s="476"/>
      <c r="BD237" s="476"/>
      <c r="BE237" s="476"/>
      <c r="BF237" s="475"/>
      <c r="BG237" s="476"/>
      <c r="BH237" s="476"/>
      <c r="BI237" s="476"/>
      <c r="BJ237" s="476"/>
      <c r="BK237" s="475"/>
      <c r="BL237" s="476"/>
      <c r="BM237" s="476"/>
      <c r="BN237" s="476"/>
      <c r="BO237" s="476"/>
    </row>
    <row r="238" spans="3:67">
      <c r="C238" s="475"/>
      <c r="D238" s="476"/>
      <c r="E238" s="476"/>
      <c r="F238" s="476"/>
      <c r="G238" s="476"/>
      <c r="H238" s="475"/>
      <c r="I238" s="476"/>
      <c r="J238" s="476"/>
      <c r="K238" s="476"/>
      <c r="L238" s="476"/>
      <c r="M238" s="475"/>
      <c r="N238" s="476"/>
      <c r="O238" s="476"/>
      <c r="P238" s="476"/>
      <c r="Q238" s="476"/>
      <c r="R238" s="475"/>
      <c r="S238" s="476"/>
      <c r="T238" s="476"/>
      <c r="U238" s="476"/>
      <c r="V238" s="476"/>
      <c r="W238" s="475"/>
      <c r="X238" s="476"/>
      <c r="Y238" s="476"/>
      <c r="Z238" s="476"/>
      <c r="AA238" s="476"/>
      <c r="AB238" s="475"/>
      <c r="AC238" s="476"/>
      <c r="AD238" s="476"/>
      <c r="AE238" s="476"/>
      <c r="AF238" s="476"/>
      <c r="AG238" s="475"/>
      <c r="AH238" s="476"/>
      <c r="AI238" s="476"/>
      <c r="AJ238" s="476"/>
      <c r="AK238" s="476"/>
      <c r="AL238" s="475"/>
      <c r="AM238" s="476"/>
      <c r="AN238" s="1286"/>
      <c r="AO238" s="476"/>
      <c r="AP238" s="476"/>
      <c r="AQ238" s="475"/>
      <c r="AR238" s="1286"/>
      <c r="AS238" s="476"/>
      <c r="AT238" s="476"/>
      <c r="AU238" s="476"/>
      <c r="AV238" s="475"/>
      <c r="AW238" s="476"/>
      <c r="AX238" s="476"/>
      <c r="AY238" s="476"/>
      <c r="AZ238" s="476"/>
      <c r="BA238" s="475"/>
      <c r="BB238" s="476"/>
      <c r="BC238" s="476"/>
      <c r="BD238" s="476"/>
      <c r="BE238" s="476"/>
      <c r="BF238" s="475"/>
      <c r="BG238" s="476"/>
      <c r="BH238" s="476"/>
      <c r="BI238" s="476"/>
      <c r="BJ238" s="476"/>
      <c r="BK238" s="475"/>
      <c r="BL238" s="476"/>
      <c r="BM238" s="476"/>
      <c r="BN238" s="476"/>
      <c r="BO238" s="476"/>
    </row>
    <row r="239" spans="3:67">
      <c r="C239" s="475"/>
      <c r="D239" s="476"/>
      <c r="E239" s="476"/>
      <c r="F239" s="476"/>
      <c r="G239" s="476"/>
      <c r="H239" s="475"/>
      <c r="I239" s="476"/>
      <c r="J239" s="476"/>
      <c r="K239" s="476"/>
      <c r="L239" s="476"/>
      <c r="M239" s="475"/>
      <c r="N239" s="476"/>
      <c r="O239" s="476"/>
      <c r="P239" s="476"/>
      <c r="Q239" s="476"/>
      <c r="R239" s="475"/>
      <c r="S239" s="476"/>
      <c r="T239" s="476"/>
      <c r="U239" s="476"/>
      <c r="V239" s="476"/>
      <c r="W239" s="475"/>
      <c r="X239" s="476"/>
      <c r="Y239" s="476"/>
      <c r="Z239" s="476"/>
      <c r="AA239" s="476"/>
      <c r="AB239" s="475"/>
      <c r="AC239" s="476"/>
      <c r="AD239" s="476"/>
      <c r="AE239" s="476"/>
      <c r="AF239" s="476"/>
      <c r="AG239" s="475"/>
      <c r="AH239" s="476"/>
      <c r="AI239" s="476"/>
      <c r="AJ239" s="476"/>
      <c r="AK239" s="476"/>
      <c r="AL239" s="475"/>
      <c r="AM239" s="476"/>
      <c r="AN239" s="1286"/>
      <c r="AO239" s="476"/>
      <c r="AP239" s="476"/>
      <c r="AQ239" s="475"/>
      <c r="AR239" s="1286"/>
      <c r="AS239" s="476"/>
      <c r="AT239" s="476"/>
      <c r="AU239" s="476"/>
      <c r="AV239" s="475"/>
      <c r="AW239" s="476"/>
      <c r="AX239" s="476"/>
      <c r="AY239" s="476"/>
      <c r="AZ239" s="476"/>
      <c r="BA239" s="475"/>
      <c r="BB239" s="476"/>
      <c r="BC239" s="476"/>
      <c r="BD239" s="476"/>
      <c r="BE239" s="476"/>
      <c r="BF239" s="475"/>
      <c r="BG239" s="476"/>
      <c r="BH239" s="476"/>
      <c r="BI239" s="476"/>
      <c r="BJ239" s="476"/>
      <c r="BK239" s="475"/>
      <c r="BL239" s="476"/>
      <c r="BM239" s="476"/>
      <c r="BN239" s="476"/>
      <c r="BO239" s="476"/>
    </row>
    <row r="240" spans="3:67">
      <c r="C240" s="480"/>
      <c r="D240" s="481"/>
      <c r="E240" s="481"/>
      <c r="F240" s="481"/>
      <c r="G240" s="481"/>
      <c r="H240" s="480"/>
      <c r="I240" s="481"/>
      <c r="J240" s="481"/>
      <c r="K240" s="481"/>
      <c r="L240" s="481"/>
      <c r="M240" s="480"/>
      <c r="N240" s="481"/>
      <c r="O240" s="481"/>
      <c r="P240" s="481"/>
      <c r="Q240" s="481"/>
      <c r="R240" s="480"/>
      <c r="S240" s="481"/>
      <c r="T240" s="481"/>
      <c r="U240" s="481"/>
      <c r="V240" s="481"/>
      <c r="W240" s="480"/>
      <c r="X240" s="481"/>
      <c r="Y240" s="481"/>
      <c r="Z240" s="481"/>
      <c r="AA240" s="481"/>
      <c r="AB240" s="480"/>
      <c r="AC240" s="481"/>
      <c r="AD240" s="481"/>
      <c r="AE240" s="481"/>
      <c r="AF240" s="481"/>
      <c r="AG240" s="480"/>
      <c r="AH240" s="481"/>
      <c r="AI240" s="481"/>
      <c r="AJ240" s="481"/>
      <c r="AK240" s="481"/>
      <c r="AL240" s="480"/>
      <c r="AM240" s="481"/>
      <c r="AN240" s="1288"/>
      <c r="AO240" s="481"/>
      <c r="AP240" s="481"/>
      <c r="AQ240" s="480"/>
      <c r="AR240" s="1288"/>
      <c r="AS240" s="481"/>
      <c r="AT240" s="481"/>
      <c r="AU240" s="481"/>
      <c r="AV240" s="480"/>
      <c r="AW240" s="481"/>
      <c r="AX240" s="481"/>
      <c r="AY240" s="481"/>
      <c r="AZ240" s="481"/>
      <c r="BA240" s="480"/>
      <c r="BB240" s="481"/>
      <c r="BC240" s="481"/>
      <c r="BD240" s="481"/>
      <c r="BE240" s="481"/>
      <c r="BF240" s="480"/>
      <c r="BG240" s="481"/>
      <c r="BH240" s="481"/>
      <c r="BI240" s="481"/>
      <c r="BJ240" s="481"/>
      <c r="BK240" s="480"/>
      <c r="BL240" s="481"/>
      <c r="BM240" s="481"/>
      <c r="BN240" s="481"/>
      <c r="BO240" s="481"/>
    </row>
    <row r="241" spans="3:67">
      <c r="C241" s="475"/>
      <c r="D241" s="476"/>
      <c r="E241" s="476"/>
      <c r="F241" s="476"/>
      <c r="G241" s="476"/>
      <c r="H241" s="475"/>
      <c r="I241" s="476"/>
      <c r="J241" s="476"/>
      <c r="K241" s="476"/>
      <c r="L241" s="476"/>
      <c r="M241" s="475"/>
      <c r="N241" s="476"/>
      <c r="O241" s="476"/>
      <c r="P241" s="476"/>
      <c r="Q241" s="476"/>
      <c r="R241" s="475"/>
      <c r="S241" s="476"/>
      <c r="T241" s="476"/>
      <c r="U241" s="476"/>
      <c r="V241" s="476"/>
      <c r="W241" s="475"/>
      <c r="X241" s="476"/>
      <c r="Y241" s="476"/>
      <c r="Z241" s="476"/>
      <c r="AA241" s="476"/>
      <c r="AB241" s="475"/>
      <c r="AC241" s="476"/>
      <c r="AD241" s="476"/>
      <c r="AE241" s="476"/>
      <c r="AF241" s="476"/>
      <c r="AG241" s="475"/>
      <c r="AH241" s="476"/>
      <c r="AI241" s="476"/>
      <c r="AJ241" s="476"/>
      <c r="AK241" s="476"/>
      <c r="AL241" s="475"/>
      <c r="AM241" s="476"/>
      <c r="AN241" s="1286"/>
      <c r="AO241" s="476"/>
      <c r="AP241" s="476"/>
      <c r="AQ241" s="475"/>
      <c r="AR241" s="1286"/>
      <c r="AS241" s="476"/>
      <c r="AT241" s="476"/>
      <c r="AU241" s="476"/>
      <c r="AV241" s="475"/>
      <c r="AW241" s="476"/>
      <c r="AX241" s="476"/>
      <c r="AY241" s="476"/>
      <c r="AZ241" s="476"/>
      <c r="BA241" s="475"/>
      <c r="BB241" s="476"/>
      <c r="BC241" s="476"/>
      <c r="BD241" s="476"/>
      <c r="BE241" s="476"/>
      <c r="BF241" s="475"/>
      <c r="BG241" s="476"/>
      <c r="BH241" s="476"/>
      <c r="BI241" s="476"/>
      <c r="BJ241" s="476"/>
      <c r="BK241" s="475"/>
      <c r="BL241" s="476"/>
      <c r="BM241" s="476"/>
      <c r="BN241" s="476"/>
      <c r="BO241" s="476"/>
    </row>
    <row r="242" spans="3:67">
      <c r="C242" s="475"/>
      <c r="D242" s="476"/>
      <c r="E242" s="476"/>
      <c r="F242" s="476"/>
      <c r="G242" s="476"/>
      <c r="H242" s="475"/>
      <c r="I242" s="476"/>
      <c r="J242" s="476"/>
      <c r="K242" s="476"/>
      <c r="L242" s="476"/>
      <c r="M242" s="475"/>
      <c r="N242" s="476"/>
      <c r="O242" s="476"/>
      <c r="P242" s="476"/>
      <c r="Q242" s="476"/>
      <c r="R242" s="475"/>
      <c r="S242" s="476"/>
      <c r="T242" s="476"/>
      <c r="U242" s="476"/>
      <c r="V242" s="476"/>
      <c r="W242" s="475"/>
      <c r="X242" s="476"/>
      <c r="Y242" s="476"/>
      <c r="Z242" s="476"/>
      <c r="AA242" s="476"/>
      <c r="AB242" s="475"/>
      <c r="AC242" s="476"/>
      <c r="AD242" s="476"/>
      <c r="AE242" s="476"/>
      <c r="AF242" s="476"/>
      <c r="AG242" s="475"/>
      <c r="AH242" s="476"/>
      <c r="AI242" s="476"/>
      <c r="AJ242" s="476"/>
      <c r="AK242" s="476"/>
      <c r="AL242" s="475"/>
      <c r="AM242" s="476"/>
      <c r="AN242" s="1286"/>
      <c r="AO242" s="476"/>
      <c r="AP242" s="476"/>
      <c r="AQ242" s="475"/>
      <c r="AR242" s="1286"/>
      <c r="AS242" s="476"/>
      <c r="AT242" s="476"/>
      <c r="AU242" s="476"/>
      <c r="AV242" s="475"/>
      <c r="AW242" s="476"/>
      <c r="AX242" s="476"/>
      <c r="AY242" s="476"/>
      <c r="AZ242" s="476"/>
      <c r="BA242" s="475"/>
      <c r="BB242" s="476"/>
      <c r="BC242" s="476"/>
      <c r="BD242" s="476"/>
      <c r="BE242" s="476"/>
      <c r="BF242" s="475"/>
      <c r="BG242" s="476"/>
      <c r="BH242" s="476"/>
      <c r="BI242" s="476"/>
      <c r="BJ242" s="476"/>
      <c r="BK242" s="475"/>
      <c r="BL242" s="476"/>
      <c r="BM242" s="476"/>
      <c r="BN242" s="476"/>
      <c r="BO242" s="476"/>
    </row>
    <row r="243" spans="3:67">
      <c r="C243" s="475"/>
      <c r="D243" s="476"/>
      <c r="E243" s="476"/>
      <c r="F243" s="476"/>
      <c r="G243" s="476"/>
      <c r="H243" s="475"/>
      <c r="I243" s="476"/>
      <c r="J243" s="476"/>
      <c r="K243" s="476"/>
      <c r="L243" s="476"/>
      <c r="M243" s="475"/>
      <c r="N243" s="476"/>
      <c r="O243" s="476"/>
      <c r="P243" s="476"/>
      <c r="Q243" s="476"/>
      <c r="R243" s="475"/>
      <c r="S243" s="476"/>
      <c r="T243" s="476"/>
      <c r="U243" s="476"/>
      <c r="V243" s="476"/>
      <c r="W243" s="475"/>
      <c r="X243" s="476"/>
      <c r="Y243" s="476"/>
      <c r="Z243" s="476"/>
      <c r="AA243" s="476"/>
      <c r="AB243" s="475"/>
      <c r="AC243" s="476"/>
      <c r="AD243" s="476"/>
      <c r="AE243" s="476"/>
      <c r="AF243" s="476"/>
      <c r="AG243" s="475"/>
      <c r="AH243" s="476"/>
      <c r="AI243" s="476"/>
      <c r="AJ243" s="476"/>
      <c r="AK243" s="476"/>
      <c r="AL243" s="475"/>
      <c r="AM243" s="476"/>
      <c r="AN243" s="1286"/>
      <c r="AO243" s="476"/>
      <c r="AP243" s="476"/>
      <c r="AQ243" s="475"/>
      <c r="AR243" s="1286"/>
      <c r="AS243" s="476"/>
      <c r="AT243" s="476"/>
      <c r="AU243" s="476"/>
      <c r="AV243" s="475"/>
      <c r="AW243" s="476"/>
      <c r="AX243" s="476"/>
      <c r="AY243" s="476"/>
      <c r="AZ243" s="476"/>
      <c r="BA243" s="475"/>
      <c r="BB243" s="476"/>
      <c r="BC243" s="476"/>
      <c r="BD243" s="476"/>
      <c r="BE243" s="476"/>
      <c r="BF243" s="475"/>
      <c r="BG243" s="476"/>
      <c r="BH243" s="476"/>
      <c r="BI243" s="476"/>
      <c r="BJ243" s="476"/>
      <c r="BK243" s="475"/>
      <c r="BL243" s="476"/>
      <c r="BM243" s="476"/>
      <c r="BN243" s="476"/>
      <c r="BO243" s="476"/>
    </row>
    <row r="244" spans="3:67">
      <c r="C244" s="429"/>
      <c r="D244" s="477"/>
      <c r="E244" s="477"/>
      <c r="F244" s="477"/>
      <c r="G244" s="477"/>
      <c r="H244" s="429"/>
      <c r="I244" s="477"/>
      <c r="J244" s="477"/>
      <c r="K244" s="477"/>
      <c r="L244" s="477"/>
      <c r="M244" s="429"/>
      <c r="N244" s="477"/>
      <c r="O244" s="477"/>
      <c r="P244" s="477"/>
      <c r="Q244" s="477"/>
      <c r="R244" s="429"/>
      <c r="S244" s="477"/>
      <c r="T244" s="477"/>
      <c r="U244" s="477"/>
      <c r="V244" s="477"/>
      <c r="W244" s="429"/>
      <c r="X244" s="477"/>
      <c r="Y244" s="477"/>
      <c r="Z244" s="477"/>
      <c r="AA244" s="477"/>
      <c r="AB244" s="429"/>
      <c r="AC244" s="477"/>
      <c r="AD244" s="477"/>
      <c r="AE244" s="477"/>
      <c r="AF244" s="477"/>
      <c r="AG244" s="429"/>
      <c r="AH244" s="477"/>
      <c r="AI244" s="477"/>
      <c r="AJ244" s="477"/>
      <c r="AK244" s="477"/>
      <c r="AL244" s="429"/>
      <c r="AM244" s="477"/>
      <c r="AN244" s="1287"/>
      <c r="AO244" s="477"/>
      <c r="AP244" s="477"/>
      <c r="AQ244" s="429"/>
      <c r="AR244" s="1287"/>
      <c r="AS244" s="477"/>
      <c r="AT244" s="477"/>
      <c r="AU244" s="477"/>
      <c r="AV244" s="429"/>
      <c r="AW244" s="477"/>
      <c r="AX244" s="477"/>
      <c r="AY244" s="477"/>
      <c r="AZ244" s="477"/>
      <c r="BA244" s="429"/>
      <c r="BB244" s="477"/>
      <c r="BC244" s="477"/>
      <c r="BD244" s="477"/>
      <c r="BE244" s="477"/>
      <c r="BF244" s="429"/>
      <c r="BG244" s="477"/>
      <c r="BH244" s="477"/>
      <c r="BI244" s="477"/>
      <c r="BJ244" s="477"/>
      <c r="BK244" s="429"/>
      <c r="BL244" s="477"/>
      <c r="BM244" s="477"/>
      <c r="BN244" s="477"/>
      <c r="BO244" s="477"/>
    </row>
    <row r="245" spans="3:67">
      <c r="C245" s="475"/>
      <c r="D245" s="476"/>
      <c r="E245" s="476"/>
      <c r="F245" s="476"/>
      <c r="G245" s="476"/>
      <c r="H245" s="475"/>
      <c r="I245" s="476"/>
      <c r="J245" s="476"/>
      <c r="K245" s="476"/>
      <c r="L245" s="476"/>
      <c r="M245" s="475"/>
      <c r="N245" s="476"/>
      <c r="O245" s="476"/>
      <c r="P245" s="476"/>
      <c r="Q245" s="476"/>
      <c r="R245" s="475"/>
      <c r="S245" s="476"/>
      <c r="T245" s="476"/>
      <c r="U245" s="476"/>
      <c r="V245" s="476"/>
      <c r="W245" s="475"/>
      <c r="X245" s="476"/>
      <c r="Y245" s="476"/>
      <c r="Z245" s="476"/>
      <c r="AA245" s="476"/>
      <c r="AB245" s="475"/>
      <c r="AC245" s="476"/>
      <c r="AD245" s="476"/>
      <c r="AE245" s="476"/>
      <c r="AF245" s="476"/>
      <c r="AG245" s="475"/>
      <c r="AH245" s="476"/>
      <c r="AI245" s="476"/>
      <c r="AJ245" s="476"/>
      <c r="AK245" s="476"/>
      <c r="AL245" s="475"/>
      <c r="AM245" s="476"/>
      <c r="AN245" s="1286"/>
      <c r="AO245" s="476"/>
      <c r="AP245" s="476"/>
      <c r="AQ245" s="475"/>
      <c r="AR245" s="1286"/>
      <c r="AS245" s="476"/>
      <c r="AT245" s="476"/>
      <c r="AU245" s="476"/>
      <c r="AV245" s="475"/>
      <c r="AW245" s="476"/>
      <c r="AX245" s="476"/>
      <c r="AY245" s="476"/>
      <c r="AZ245" s="476"/>
      <c r="BA245" s="475"/>
      <c r="BB245" s="476"/>
      <c r="BC245" s="476"/>
      <c r="BD245" s="476"/>
      <c r="BE245" s="476"/>
      <c r="BF245" s="475"/>
      <c r="BG245" s="476"/>
      <c r="BH245" s="476"/>
      <c r="BI245" s="476"/>
      <c r="BJ245" s="476"/>
      <c r="BK245" s="475"/>
      <c r="BL245" s="476"/>
      <c r="BM245" s="476"/>
      <c r="BN245" s="476"/>
      <c r="BO245" s="476"/>
    </row>
    <row r="246" spans="3:67">
      <c r="C246" s="475"/>
      <c r="D246" s="476"/>
      <c r="E246" s="476"/>
      <c r="F246" s="476"/>
      <c r="G246" s="476"/>
      <c r="H246" s="475"/>
      <c r="I246" s="476"/>
      <c r="J246" s="476"/>
      <c r="K246" s="476"/>
      <c r="L246" s="476"/>
      <c r="M246" s="475"/>
      <c r="N246" s="476"/>
      <c r="O246" s="476"/>
      <c r="P246" s="476"/>
      <c r="Q246" s="476"/>
      <c r="R246" s="475"/>
      <c r="S246" s="476"/>
      <c r="T246" s="476"/>
      <c r="U246" s="476"/>
      <c r="V246" s="476"/>
      <c r="W246" s="475"/>
      <c r="X246" s="476"/>
      <c r="Y246" s="476"/>
      <c r="Z246" s="476"/>
      <c r="AA246" s="476"/>
      <c r="AB246" s="475"/>
      <c r="AC246" s="476"/>
      <c r="AD246" s="476"/>
      <c r="AE246" s="476"/>
      <c r="AF246" s="476"/>
      <c r="AG246" s="475"/>
      <c r="AH246" s="476"/>
      <c r="AI246" s="476"/>
      <c r="AJ246" s="476"/>
      <c r="AK246" s="476"/>
      <c r="AL246" s="475"/>
      <c r="AM246" s="476"/>
      <c r="AN246" s="1286"/>
      <c r="AO246" s="476"/>
      <c r="AP246" s="476"/>
      <c r="AQ246" s="475"/>
      <c r="AR246" s="1286"/>
      <c r="AS246" s="476"/>
      <c r="AT246" s="476"/>
      <c r="AU246" s="476"/>
      <c r="AV246" s="475"/>
      <c r="AW246" s="476"/>
      <c r="AX246" s="476"/>
      <c r="AY246" s="476"/>
      <c r="AZ246" s="476"/>
      <c r="BA246" s="475"/>
      <c r="BB246" s="476"/>
      <c r="BC246" s="476"/>
      <c r="BD246" s="476"/>
      <c r="BE246" s="476"/>
      <c r="BF246" s="475"/>
      <c r="BG246" s="476"/>
      <c r="BH246" s="476"/>
      <c r="BI246" s="476"/>
      <c r="BJ246" s="476"/>
      <c r="BK246" s="475"/>
      <c r="BL246" s="476"/>
      <c r="BM246" s="476"/>
      <c r="BN246" s="476"/>
      <c r="BO246" s="476"/>
    </row>
    <row r="247" spans="3:67">
      <c r="C247" s="475"/>
      <c r="D247" s="476"/>
      <c r="E247" s="476"/>
      <c r="F247" s="476"/>
      <c r="G247" s="476"/>
      <c r="H247" s="475"/>
      <c r="I247" s="476"/>
      <c r="J247" s="476"/>
      <c r="K247" s="476"/>
      <c r="L247" s="476"/>
      <c r="M247" s="475"/>
      <c r="N247" s="476"/>
      <c r="O247" s="476"/>
      <c r="P247" s="476"/>
      <c r="Q247" s="476"/>
      <c r="R247" s="475"/>
      <c r="S247" s="476"/>
      <c r="T247" s="476"/>
      <c r="U247" s="476"/>
      <c r="V247" s="476"/>
      <c r="W247" s="475"/>
      <c r="X247" s="476"/>
      <c r="Y247" s="476"/>
      <c r="Z247" s="476"/>
      <c r="AA247" s="476"/>
      <c r="AB247" s="475"/>
      <c r="AC247" s="476"/>
      <c r="AD247" s="476"/>
      <c r="AE247" s="476"/>
      <c r="AF247" s="476"/>
      <c r="AG247" s="475"/>
      <c r="AH247" s="476"/>
      <c r="AI247" s="476"/>
      <c r="AJ247" s="476"/>
      <c r="AK247" s="476"/>
      <c r="AL247" s="475"/>
      <c r="AM247" s="476"/>
      <c r="AN247" s="1286"/>
      <c r="AO247" s="476"/>
      <c r="AP247" s="476"/>
      <c r="AQ247" s="475"/>
      <c r="AR247" s="1286"/>
      <c r="AS247" s="476"/>
      <c r="AT247" s="476"/>
      <c r="AU247" s="476"/>
      <c r="AV247" s="475"/>
      <c r="AW247" s="476"/>
      <c r="AX247" s="476"/>
      <c r="AY247" s="476"/>
      <c r="AZ247" s="476"/>
      <c r="BA247" s="475"/>
      <c r="BB247" s="476"/>
      <c r="BC247" s="476"/>
      <c r="BD247" s="476"/>
      <c r="BE247" s="476"/>
      <c r="BF247" s="475"/>
      <c r="BG247" s="476"/>
      <c r="BH247" s="476"/>
      <c r="BI247" s="476"/>
      <c r="BJ247" s="476"/>
      <c r="BK247" s="475"/>
      <c r="BL247" s="476"/>
      <c r="BM247" s="476"/>
      <c r="BN247" s="476"/>
      <c r="BO247" s="476"/>
    </row>
    <row r="248" spans="3:67">
      <c r="C248" s="482"/>
      <c r="D248" s="483"/>
      <c r="E248" s="483"/>
      <c r="F248" s="483"/>
      <c r="G248" s="483"/>
      <c r="H248" s="482"/>
      <c r="I248" s="483"/>
      <c r="J248" s="483"/>
      <c r="K248" s="483"/>
      <c r="L248" s="483"/>
      <c r="M248" s="482"/>
      <c r="N248" s="483"/>
      <c r="O248" s="483"/>
      <c r="P248" s="483"/>
      <c r="Q248" s="483"/>
      <c r="R248" s="482"/>
      <c r="S248" s="483"/>
      <c r="T248" s="483"/>
      <c r="U248" s="483"/>
      <c r="V248" s="483"/>
      <c r="W248" s="482"/>
      <c r="X248" s="483"/>
      <c r="Y248" s="483"/>
      <c r="Z248" s="483"/>
      <c r="AA248" s="483"/>
      <c r="AB248" s="482"/>
      <c r="AC248" s="483"/>
      <c r="AD248" s="483"/>
      <c r="AE248" s="483"/>
      <c r="AF248" s="483"/>
      <c r="AG248" s="482"/>
      <c r="AH248" s="483"/>
      <c r="AI248" s="483"/>
      <c r="AJ248" s="483"/>
      <c r="AK248" s="483"/>
      <c r="AL248" s="482"/>
      <c r="AM248" s="483"/>
      <c r="AN248" s="1289"/>
      <c r="AO248" s="483"/>
      <c r="AP248" s="483"/>
      <c r="AQ248" s="482"/>
      <c r="AR248" s="1289"/>
      <c r="AS248" s="483"/>
      <c r="AT248" s="483"/>
      <c r="AU248" s="483"/>
      <c r="AV248" s="482"/>
      <c r="AW248" s="483"/>
      <c r="AX248" s="483"/>
      <c r="AY248" s="483"/>
      <c r="AZ248" s="483"/>
      <c r="BA248" s="482"/>
      <c r="BB248" s="483"/>
      <c r="BC248" s="483"/>
      <c r="BD248" s="483"/>
      <c r="BE248" s="483"/>
      <c r="BF248" s="482"/>
      <c r="BG248" s="483"/>
      <c r="BH248" s="483"/>
      <c r="BI248" s="483"/>
      <c r="BJ248" s="483"/>
      <c r="BK248" s="482"/>
      <c r="BL248" s="483"/>
      <c r="BM248" s="483"/>
      <c r="BN248" s="483"/>
      <c r="BO248" s="483"/>
    </row>
    <row r="249" spans="3:67">
      <c r="C249" s="475"/>
      <c r="D249" s="476"/>
      <c r="E249" s="476"/>
      <c r="F249" s="476"/>
      <c r="G249" s="476"/>
      <c r="H249" s="475"/>
      <c r="I249" s="476"/>
      <c r="J249" s="476"/>
      <c r="K249" s="476"/>
      <c r="L249" s="476"/>
      <c r="M249" s="475"/>
      <c r="N249" s="476"/>
      <c r="O249" s="476"/>
      <c r="P249" s="476"/>
      <c r="Q249" s="476"/>
      <c r="R249" s="475"/>
      <c r="S249" s="476"/>
      <c r="T249" s="476"/>
      <c r="U249" s="476"/>
      <c r="V249" s="476"/>
      <c r="W249" s="475"/>
      <c r="X249" s="476"/>
      <c r="Y249" s="476"/>
      <c r="Z249" s="476"/>
      <c r="AA249" s="476"/>
      <c r="AB249" s="475"/>
      <c r="AC249" s="476"/>
      <c r="AD249" s="476"/>
      <c r="AE249" s="476"/>
      <c r="AF249" s="476"/>
      <c r="AG249" s="475"/>
      <c r="AH249" s="476"/>
      <c r="AI249" s="476"/>
      <c r="AJ249" s="476"/>
      <c r="AK249" s="476"/>
      <c r="AL249" s="475"/>
      <c r="AM249" s="476"/>
      <c r="AN249" s="1286"/>
      <c r="AO249" s="476"/>
      <c r="AP249" s="476"/>
      <c r="AQ249" s="475"/>
      <c r="AR249" s="1286"/>
      <c r="AS249" s="476"/>
      <c r="AT249" s="476"/>
      <c r="AU249" s="476"/>
      <c r="AV249" s="475"/>
      <c r="AW249" s="476"/>
      <c r="AX249" s="476"/>
      <c r="AY249" s="476"/>
      <c r="AZ249" s="476"/>
      <c r="BA249" s="475"/>
      <c r="BB249" s="476"/>
      <c r="BC249" s="476"/>
      <c r="BD249" s="476"/>
      <c r="BE249" s="476"/>
      <c r="BF249" s="475"/>
      <c r="BG249" s="476"/>
      <c r="BH249" s="476"/>
      <c r="BI249" s="476"/>
      <c r="BJ249" s="476"/>
      <c r="BK249" s="475"/>
      <c r="BL249" s="476"/>
      <c r="BM249" s="476"/>
      <c r="BN249" s="476"/>
      <c r="BO249" s="476"/>
    </row>
    <row r="250" spans="3:67">
      <c r="C250" s="475"/>
      <c r="D250" s="476"/>
      <c r="E250" s="476"/>
      <c r="F250" s="476"/>
      <c r="G250" s="476"/>
      <c r="H250" s="475"/>
      <c r="I250" s="476"/>
      <c r="J250" s="476"/>
      <c r="K250" s="476"/>
      <c r="L250" s="476"/>
      <c r="M250" s="475"/>
      <c r="N250" s="476"/>
      <c r="O250" s="476"/>
      <c r="P250" s="476"/>
      <c r="Q250" s="476"/>
      <c r="R250" s="475"/>
      <c r="S250" s="476"/>
      <c r="T250" s="476"/>
      <c r="U250" s="476"/>
      <c r="V250" s="476"/>
      <c r="W250" s="475"/>
      <c r="X250" s="476"/>
      <c r="Y250" s="476"/>
      <c r="Z250" s="476"/>
      <c r="AA250" s="476"/>
      <c r="AB250" s="475"/>
      <c r="AC250" s="476"/>
      <c r="AD250" s="476"/>
      <c r="AE250" s="476"/>
      <c r="AF250" s="476"/>
      <c r="AG250" s="475"/>
      <c r="AH250" s="476"/>
      <c r="AI250" s="476"/>
      <c r="AJ250" s="476"/>
      <c r="AK250" s="476"/>
      <c r="AL250" s="475"/>
      <c r="AM250" s="476"/>
      <c r="AN250" s="1286"/>
      <c r="AO250" s="476"/>
      <c r="AP250" s="476"/>
      <c r="AQ250" s="475"/>
      <c r="AR250" s="1286"/>
      <c r="AS250" s="476"/>
      <c r="AT250" s="476"/>
      <c r="AU250" s="476"/>
      <c r="AV250" s="475"/>
      <c r="AW250" s="476"/>
      <c r="AX250" s="476"/>
      <c r="AY250" s="476"/>
      <c r="AZ250" s="476"/>
      <c r="BA250" s="475"/>
      <c r="BB250" s="476"/>
      <c r="BC250" s="476"/>
      <c r="BD250" s="476"/>
      <c r="BE250" s="476"/>
      <c r="BF250" s="475"/>
      <c r="BG250" s="476"/>
      <c r="BH250" s="476"/>
      <c r="BI250" s="476"/>
      <c r="BJ250" s="476"/>
      <c r="BK250" s="475"/>
      <c r="BL250" s="476"/>
      <c r="BM250" s="476"/>
      <c r="BN250" s="476"/>
      <c r="BO250" s="476"/>
    </row>
    <row r="251" spans="3:67">
      <c r="C251" s="484"/>
      <c r="D251" s="485"/>
      <c r="E251" s="485"/>
      <c r="F251" s="485"/>
      <c r="G251" s="485"/>
      <c r="H251" s="484"/>
      <c r="I251" s="485"/>
      <c r="J251" s="485"/>
      <c r="K251" s="485"/>
      <c r="L251" s="485"/>
      <c r="M251" s="484"/>
      <c r="N251" s="485"/>
      <c r="O251" s="485"/>
      <c r="P251" s="485"/>
      <c r="Q251" s="485"/>
      <c r="R251" s="484"/>
      <c r="S251" s="485"/>
      <c r="T251" s="485"/>
      <c r="U251" s="485"/>
      <c r="V251" s="485"/>
      <c r="W251" s="484"/>
      <c r="X251" s="485"/>
      <c r="Y251" s="485"/>
      <c r="Z251" s="485"/>
      <c r="AA251" s="485"/>
      <c r="AB251" s="484"/>
      <c r="AC251" s="485"/>
      <c r="AD251" s="485"/>
      <c r="AE251" s="485"/>
      <c r="AF251" s="485"/>
      <c r="AG251" s="484"/>
      <c r="AH251" s="485"/>
      <c r="AI251" s="485"/>
      <c r="AJ251" s="485"/>
      <c r="AK251" s="485"/>
      <c r="AL251" s="484"/>
      <c r="AM251" s="485"/>
      <c r="AN251" s="1290"/>
      <c r="AO251" s="485"/>
      <c r="AP251" s="485"/>
      <c r="AQ251" s="484"/>
      <c r="AR251" s="1290"/>
      <c r="AS251" s="485"/>
      <c r="AT251" s="485"/>
      <c r="AU251" s="485"/>
      <c r="AV251" s="484"/>
      <c r="AW251" s="485"/>
      <c r="AX251" s="485"/>
      <c r="AY251" s="485"/>
      <c r="AZ251" s="485"/>
      <c r="BA251" s="484"/>
      <c r="BB251" s="485"/>
      <c r="BC251" s="485"/>
      <c r="BD251" s="485"/>
      <c r="BE251" s="485"/>
      <c r="BF251" s="484"/>
      <c r="BG251" s="485"/>
      <c r="BH251" s="485"/>
      <c r="BI251" s="485"/>
      <c r="BJ251" s="485"/>
      <c r="BK251" s="484"/>
      <c r="BL251" s="485"/>
      <c r="BM251" s="485"/>
      <c r="BN251" s="485"/>
      <c r="BO251" s="485"/>
    </row>
    <row r="253" spans="3:67">
      <c r="C253" s="486"/>
      <c r="D253" s="487"/>
      <c r="E253" s="487"/>
      <c r="F253" s="487"/>
      <c r="G253" s="487"/>
      <c r="H253" s="486"/>
      <c r="I253" s="487"/>
      <c r="J253" s="487"/>
      <c r="K253" s="487"/>
      <c r="L253" s="487"/>
      <c r="M253" s="486"/>
      <c r="N253" s="487"/>
      <c r="O253" s="487"/>
      <c r="P253" s="487"/>
      <c r="Q253" s="487"/>
      <c r="R253" s="486"/>
      <c r="S253" s="487"/>
      <c r="T253" s="487"/>
      <c r="U253" s="487"/>
      <c r="V253" s="487"/>
      <c r="W253" s="486"/>
      <c r="X253" s="487"/>
      <c r="Y253" s="487"/>
      <c r="Z253" s="487"/>
      <c r="AA253" s="487"/>
      <c r="AB253" s="486"/>
      <c r="AC253" s="487"/>
      <c r="AD253" s="487"/>
      <c r="AE253" s="487"/>
      <c r="AF253" s="487"/>
      <c r="AG253" s="486"/>
      <c r="AH253" s="487"/>
      <c r="AI253" s="487"/>
      <c r="AJ253" s="487"/>
      <c r="AK253" s="487"/>
      <c r="AL253" s="486"/>
      <c r="AM253" s="487"/>
      <c r="AN253" s="1291"/>
      <c r="AO253" s="487"/>
      <c r="AP253" s="487"/>
      <c r="AQ253" s="486"/>
      <c r="AR253" s="1291"/>
      <c r="AS253" s="487"/>
      <c r="AT253" s="487"/>
      <c r="AU253" s="487"/>
      <c r="AV253" s="486"/>
      <c r="AW253" s="487"/>
      <c r="AX253" s="487"/>
      <c r="AY253" s="487"/>
      <c r="AZ253" s="487"/>
      <c r="BA253" s="486"/>
      <c r="BB253" s="487"/>
      <c r="BC253" s="487"/>
      <c r="BD253" s="487"/>
      <c r="BE253" s="487"/>
      <c r="BF253" s="486"/>
      <c r="BG253" s="487"/>
      <c r="BH253" s="487"/>
      <c r="BI253" s="487"/>
      <c r="BJ253" s="487"/>
      <c r="BK253" s="486"/>
      <c r="BL253" s="487"/>
      <c r="BM253" s="487"/>
      <c r="BN253" s="487"/>
      <c r="BO253" s="487"/>
    </row>
    <row r="254" spans="3:67">
      <c r="C254" s="488"/>
      <c r="D254" s="489"/>
      <c r="E254" s="489"/>
      <c r="F254" s="489"/>
      <c r="G254" s="489"/>
      <c r="H254" s="488"/>
      <c r="I254" s="489"/>
      <c r="J254" s="489"/>
      <c r="K254" s="489"/>
      <c r="L254" s="489"/>
      <c r="M254" s="488"/>
      <c r="N254" s="489"/>
      <c r="O254" s="489"/>
      <c r="P254" s="489"/>
      <c r="Q254" s="489"/>
      <c r="R254" s="488"/>
      <c r="S254" s="489"/>
      <c r="T254" s="489"/>
      <c r="U254" s="489"/>
      <c r="V254" s="489"/>
      <c r="W254" s="488"/>
      <c r="X254" s="489"/>
      <c r="Y254" s="489"/>
      <c r="Z254" s="489"/>
      <c r="AA254" s="489"/>
      <c r="AB254" s="488"/>
      <c r="AC254" s="489"/>
      <c r="AD254" s="489"/>
      <c r="AE254" s="489"/>
      <c r="AF254" s="489"/>
      <c r="AG254" s="488"/>
      <c r="AH254" s="489"/>
      <c r="AI254" s="489"/>
      <c r="AJ254" s="489"/>
      <c r="AK254" s="489"/>
      <c r="AL254" s="488"/>
      <c r="AM254" s="489"/>
      <c r="AN254" s="1292"/>
      <c r="AO254" s="489"/>
      <c r="AP254" s="489"/>
      <c r="AQ254" s="488"/>
      <c r="AR254" s="1292"/>
      <c r="AS254" s="489"/>
      <c r="AT254" s="489"/>
      <c r="AU254" s="489"/>
      <c r="AV254" s="488"/>
      <c r="AW254" s="489"/>
      <c r="AX254" s="489"/>
      <c r="AY254" s="489"/>
      <c r="AZ254" s="489"/>
      <c r="BA254" s="488"/>
      <c r="BB254" s="489"/>
      <c r="BC254" s="489"/>
      <c r="BD254" s="489"/>
      <c r="BE254" s="489"/>
      <c r="BF254" s="488"/>
      <c r="BG254" s="489"/>
      <c r="BH254" s="489"/>
      <c r="BI254" s="489"/>
      <c r="BJ254" s="489"/>
      <c r="BK254" s="488"/>
      <c r="BL254" s="489"/>
      <c r="BM254" s="489"/>
      <c r="BN254" s="489"/>
      <c r="BO254" s="489"/>
    </row>
    <row r="255" spans="3:67">
      <c r="C255" s="490"/>
      <c r="D255" s="491"/>
      <c r="E255" s="491"/>
      <c r="F255" s="491"/>
      <c r="G255" s="491"/>
      <c r="H255" s="490"/>
      <c r="I255" s="491"/>
      <c r="J255" s="491"/>
      <c r="K255" s="491"/>
      <c r="L255" s="491"/>
      <c r="M255" s="490"/>
      <c r="N255" s="491"/>
      <c r="O255" s="491"/>
      <c r="P255" s="491"/>
      <c r="Q255" s="491"/>
      <c r="R255" s="490"/>
      <c r="S255" s="491"/>
      <c r="T255" s="491"/>
      <c r="U255" s="491"/>
      <c r="V255" s="491"/>
      <c r="W255" s="490"/>
      <c r="X255" s="491"/>
      <c r="Y255" s="491"/>
      <c r="Z255" s="491"/>
      <c r="AA255" s="491"/>
      <c r="AB255" s="490"/>
      <c r="AC255" s="491"/>
      <c r="AD255" s="491"/>
      <c r="AE255" s="491"/>
      <c r="AF255" s="491"/>
      <c r="AG255" s="490"/>
      <c r="AH255" s="491"/>
      <c r="AI255" s="491"/>
      <c r="AJ255" s="491"/>
      <c r="AK255" s="491"/>
      <c r="AL255" s="490"/>
      <c r="AM255" s="491"/>
      <c r="AN255" s="1293"/>
      <c r="AO255" s="491"/>
      <c r="AP255" s="491"/>
      <c r="AQ255" s="490"/>
      <c r="AR255" s="1293"/>
      <c r="AS255" s="491"/>
      <c r="AT255" s="491"/>
      <c r="AU255" s="491"/>
      <c r="AV255" s="490"/>
      <c r="AW255" s="491"/>
      <c r="AX255" s="491"/>
      <c r="AY255" s="491"/>
      <c r="AZ255" s="491"/>
      <c r="BA255" s="490"/>
      <c r="BB255" s="491"/>
      <c r="BC255" s="491"/>
      <c r="BD255" s="491"/>
      <c r="BE255" s="491"/>
      <c r="BF255" s="490"/>
      <c r="BG255" s="491"/>
      <c r="BH255" s="491"/>
      <c r="BI255" s="491"/>
      <c r="BJ255" s="491"/>
      <c r="BK255" s="490"/>
      <c r="BL255" s="491"/>
      <c r="BM255" s="491"/>
      <c r="BN255" s="491"/>
      <c r="BO255" s="491"/>
    </row>
    <row r="256" spans="3:67">
      <c r="C256" s="492"/>
      <c r="D256" s="492"/>
      <c r="E256" s="492"/>
      <c r="F256" s="492"/>
      <c r="G256" s="492"/>
      <c r="H256" s="492"/>
      <c r="I256" s="492"/>
      <c r="J256" s="492"/>
      <c r="K256" s="492"/>
      <c r="L256" s="492"/>
      <c r="M256" s="492"/>
      <c r="N256" s="492"/>
      <c r="O256" s="492"/>
      <c r="P256" s="492"/>
      <c r="Q256" s="492"/>
      <c r="R256" s="492"/>
      <c r="S256" s="492"/>
      <c r="T256" s="492"/>
      <c r="U256" s="492"/>
      <c r="V256" s="492"/>
      <c r="W256" s="492"/>
      <c r="X256" s="492"/>
      <c r="Y256" s="492"/>
      <c r="Z256" s="492"/>
      <c r="AA256" s="492"/>
      <c r="AB256" s="492"/>
      <c r="AC256" s="492"/>
      <c r="AD256" s="492"/>
      <c r="AE256" s="492"/>
      <c r="AF256" s="492"/>
      <c r="AG256" s="492"/>
      <c r="AH256" s="492"/>
      <c r="AI256" s="492"/>
      <c r="AJ256" s="492"/>
      <c r="AK256" s="492"/>
      <c r="AL256" s="492"/>
      <c r="AM256" s="492"/>
      <c r="AN256" s="1294"/>
      <c r="AO256" s="492"/>
      <c r="AP256" s="492"/>
      <c r="AQ256" s="492"/>
      <c r="AR256" s="1294"/>
      <c r="AS256" s="492"/>
      <c r="AT256" s="492"/>
      <c r="AU256" s="492"/>
      <c r="AV256" s="492"/>
      <c r="AW256" s="492"/>
      <c r="AX256" s="492"/>
      <c r="AY256" s="492"/>
      <c r="AZ256" s="492"/>
      <c r="BA256" s="492"/>
      <c r="BB256" s="492"/>
      <c r="BC256" s="492"/>
      <c r="BD256" s="492"/>
      <c r="BE256" s="492"/>
      <c r="BF256" s="492"/>
      <c r="BG256" s="492"/>
      <c r="BH256" s="492"/>
      <c r="BI256" s="492"/>
      <c r="BJ256" s="492"/>
      <c r="BK256" s="492"/>
      <c r="BL256" s="492"/>
      <c r="BM256" s="492"/>
      <c r="BN256" s="492"/>
      <c r="BO256" s="492"/>
    </row>
    <row r="257" spans="3:67">
      <c r="D257" s="493"/>
      <c r="E257" s="493"/>
      <c r="F257" s="493"/>
      <c r="G257" s="493"/>
      <c r="I257" s="493"/>
      <c r="J257" s="493"/>
      <c r="K257" s="493"/>
      <c r="L257" s="493"/>
      <c r="N257" s="493"/>
      <c r="O257" s="493"/>
      <c r="P257" s="493"/>
      <c r="Q257" s="493"/>
      <c r="S257" s="493"/>
      <c r="T257" s="493"/>
      <c r="U257" s="493"/>
      <c r="V257" s="493"/>
      <c r="X257" s="493"/>
      <c r="Y257" s="493"/>
      <c r="Z257" s="493"/>
      <c r="AA257" s="493"/>
      <c r="AC257" s="493"/>
      <c r="AD257" s="493"/>
      <c r="AE257" s="493"/>
      <c r="AF257" s="493"/>
      <c r="AH257" s="493"/>
      <c r="AI257" s="493"/>
      <c r="AJ257" s="493"/>
      <c r="AK257" s="493"/>
      <c r="AM257" s="493"/>
      <c r="AN257" s="1295"/>
      <c r="AO257" s="493"/>
      <c r="AP257" s="493"/>
      <c r="AR257" s="1295"/>
      <c r="AS257" s="493"/>
      <c r="AT257" s="493"/>
      <c r="AU257" s="493"/>
      <c r="AW257" s="493"/>
      <c r="AX257" s="493"/>
      <c r="AY257" s="493"/>
      <c r="AZ257" s="493"/>
      <c r="BB257" s="493"/>
      <c r="BC257" s="493"/>
      <c r="BD257" s="493"/>
      <c r="BE257" s="493"/>
      <c r="BG257" s="493"/>
      <c r="BH257" s="493"/>
      <c r="BI257" s="493"/>
      <c r="BJ257" s="493"/>
      <c r="BL257" s="493"/>
      <c r="BM257" s="493"/>
      <c r="BN257" s="493"/>
      <c r="BO257" s="493"/>
    </row>
    <row r="258" spans="3:67">
      <c r="C258" s="479"/>
      <c r="D258" s="475"/>
      <c r="E258" s="475"/>
      <c r="F258" s="475"/>
      <c r="G258" s="475"/>
      <c r="H258" s="479"/>
      <c r="I258" s="475"/>
      <c r="J258" s="475"/>
      <c r="K258" s="475"/>
      <c r="L258" s="475"/>
      <c r="M258" s="479"/>
      <c r="N258" s="475"/>
      <c r="O258" s="475"/>
      <c r="P258" s="475"/>
      <c r="Q258" s="475"/>
      <c r="R258" s="479"/>
      <c r="S258" s="475"/>
      <c r="T258" s="475"/>
      <c r="U258" s="475"/>
      <c r="V258" s="475"/>
      <c r="W258" s="479"/>
      <c r="X258" s="475"/>
      <c r="Y258" s="475"/>
      <c r="Z258" s="475"/>
      <c r="AA258" s="475"/>
      <c r="AB258" s="479"/>
      <c r="AC258" s="475"/>
      <c r="AD258" s="475"/>
      <c r="AE258" s="475"/>
      <c r="AF258" s="475"/>
      <c r="AG258" s="479"/>
      <c r="AH258" s="475"/>
      <c r="AI258" s="475"/>
      <c r="AJ258" s="475"/>
      <c r="AK258" s="475"/>
      <c r="AL258" s="479"/>
      <c r="AM258" s="475"/>
      <c r="AN258" s="1296"/>
      <c r="AO258" s="475"/>
      <c r="AP258" s="475"/>
      <c r="AQ258" s="479"/>
      <c r="AR258" s="1296"/>
      <c r="AS258" s="475"/>
      <c r="AT258" s="475"/>
      <c r="AU258" s="475"/>
      <c r="AV258" s="479"/>
      <c r="AW258" s="475"/>
      <c r="AX258" s="475"/>
      <c r="AY258" s="475"/>
      <c r="AZ258" s="475"/>
      <c r="BA258" s="479"/>
      <c r="BB258" s="475"/>
      <c r="BC258" s="475"/>
      <c r="BD258" s="475"/>
      <c r="BE258" s="475"/>
      <c r="BF258" s="479"/>
      <c r="BG258" s="475"/>
      <c r="BH258" s="475"/>
      <c r="BI258" s="475"/>
      <c r="BJ258" s="475"/>
      <c r="BK258" s="479"/>
      <c r="BL258" s="475"/>
      <c r="BM258" s="475"/>
      <c r="BN258" s="475"/>
      <c r="BO258" s="475"/>
    </row>
    <row r="259" spans="3:67">
      <c r="C259" s="479"/>
      <c r="D259" s="475"/>
      <c r="E259" s="475"/>
      <c r="F259" s="475"/>
      <c r="G259" s="475"/>
      <c r="H259" s="479"/>
      <c r="I259" s="475"/>
      <c r="J259" s="475"/>
      <c r="K259" s="475"/>
      <c r="L259" s="475"/>
      <c r="M259" s="479"/>
      <c r="N259" s="475"/>
      <c r="O259" s="475"/>
      <c r="P259" s="475"/>
      <c r="Q259" s="475"/>
      <c r="R259" s="479"/>
      <c r="S259" s="475"/>
      <c r="T259" s="475"/>
      <c r="U259" s="475"/>
      <c r="V259" s="475"/>
      <c r="W259" s="479"/>
      <c r="X259" s="475"/>
      <c r="Y259" s="475"/>
      <c r="Z259" s="475"/>
      <c r="AA259" s="475"/>
      <c r="AB259" s="479"/>
      <c r="AC259" s="475"/>
      <c r="AD259" s="475"/>
      <c r="AE259" s="475"/>
      <c r="AF259" s="475"/>
      <c r="AG259" s="479"/>
      <c r="AH259" s="475"/>
      <c r="AI259" s="475"/>
      <c r="AJ259" s="475"/>
      <c r="AK259" s="475"/>
      <c r="AL259" s="479"/>
      <c r="AM259" s="475"/>
      <c r="AN259" s="1296"/>
      <c r="AO259" s="475"/>
      <c r="AP259" s="475"/>
      <c r="AQ259" s="479"/>
      <c r="AR259" s="1296"/>
      <c r="AS259" s="475"/>
      <c r="AT259" s="475"/>
      <c r="AU259" s="475"/>
      <c r="AV259" s="479"/>
      <c r="AW259" s="475"/>
      <c r="AX259" s="475"/>
      <c r="AY259" s="475"/>
      <c r="AZ259" s="475"/>
      <c r="BA259" s="479"/>
      <c r="BB259" s="475"/>
      <c r="BC259" s="475"/>
      <c r="BD259" s="475"/>
      <c r="BE259" s="475"/>
      <c r="BF259" s="479"/>
      <c r="BG259" s="475"/>
      <c r="BH259" s="475"/>
      <c r="BI259" s="475"/>
      <c r="BJ259" s="475"/>
      <c r="BK259" s="479"/>
      <c r="BL259" s="475"/>
      <c r="BM259" s="475"/>
      <c r="BN259" s="475"/>
      <c r="BO259" s="475"/>
    </row>
    <row r="260" spans="3:67">
      <c r="C260" s="479"/>
      <c r="D260" s="475"/>
      <c r="E260" s="475"/>
      <c r="F260" s="475"/>
      <c r="G260" s="475"/>
      <c r="H260" s="479"/>
      <c r="I260" s="475"/>
      <c r="J260" s="475"/>
      <c r="K260" s="475"/>
      <c r="L260" s="475"/>
      <c r="M260" s="479"/>
      <c r="N260" s="475"/>
      <c r="O260" s="475"/>
      <c r="P260" s="475"/>
      <c r="Q260" s="475"/>
      <c r="R260" s="479"/>
      <c r="S260" s="475"/>
      <c r="T260" s="475"/>
      <c r="U260" s="475"/>
      <c r="V260" s="475"/>
      <c r="W260" s="479"/>
      <c r="X260" s="475"/>
      <c r="Y260" s="475"/>
      <c r="Z260" s="475"/>
      <c r="AA260" s="475"/>
      <c r="AB260" s="479"/>
      <c r="AC260" s="475"/>
      <c r="AD260" s="475"/>
      <c r="AE260" s="475"/>
      <c r="AF260" s="475"/>
      <c r="AG260" s="479"/>
      <c r="AH260" s="475"/>
      <c r="AI260" s="475"/>
      <c r="AJ260" s="475"/>
      <c r="AK260" s="475"/>
      <c r="AL260" s="479"/>
      <c r="AM260" s="475"/>
      <c r="AN260" s="1296"/>
      <c r="AO260" s="475"/>
      <c r="AP260" s="475"/>
      <c r="AQ260" s="479"/>
      <c r="AR260" s="1296"/>
      <c r="AS260" s="475"/>
      <c r="AT260" s="475"/>
      <c r="AU260" s="475"/>
      <c r="AV260" s="479"/>
      <c r="AW260" s="475"/>
      <c r="AX260" s="475"/>
      <c r="AY260" s="475"/>
      <c r="AZ260" s="475"/>
      <c r="BA260" s="479"/>
      <c r="BB260" s="475"/>
      <c r="BC260" s="475"/>
      <c r="BD260" s="475"/>
      <c r="BE260" s="475"/>
      <c r="BF260" s="479"/>
      <c r="BG260" s="475"/>
      <c r="BH260" s="475"/>
      <c r="BI260" s="475"/>
      <c r="BJ260" s="475"/>
      <c r="BK260" s="479"/>
      <c r="BL260" s="475"/>
      <c r="BM260" s="475"/>
      <c r="BN260" s="475"/>
      <c r="BO260" s="475"/>
    </row>
    <row r="261" spans="3:67">
      <c r="C261" s="479"/>
      <c r="D261" s="475"/>
      <c r="E261" s="475"/>
      <c r="F261" s="475"/>
      <c r="G261" s="475"/>
      <c r="H261" s="479"/>
      <c r="I261" s="475"/>
      <c r="J261" s="475"/>
      <c r="K261" s="475"/>
      <c r="L261" s="475"/>
      <c r="M261" s="479"/>
      <c r="N261" s="475"/>
      <c r="O261" s="475"/>
      <c r="P261" s="475"/>
      <c r="Q261" s="475"/>
      <c r="R261" s="479"/>
      <c r="S261" s="475"/>
      <c r="T261" s="475"/>
      <c r="U261" s="475"/>
      <c r="V261" s="475"/>
      <c r="W261" s="479"/>
      <c r="X261" s="475"/>
      <c r="Y261" s="475"/>
      <c r="Z261" s="475"/>
      <c r="AA261" s="475"/>
      <c r="AB261" s="479"/>
      <c r="AC261" s="475"/>
      <c r="AD261" s="475"/>
      <c r="AE261" s="475"/>
      <c r="AF261" s="475"/>
      <c r="AG261" s="479"/>
      <c r="AH261" s="475"/>
      <c r="AI261" s="475"/>
      <c r="AJ261" s="475"/>
      <c r="AK261" s="475"/>
      <c r="AL261" s="479"/>
      <c r="AM261" s="475"/>
      <c r="AN261" s="1296"/>
      <c r="AO261" s="475"/>
      <c r="AP261" s="475"/>
      <c r="AQ261" s="479"/>
      <c r="AR261" s="1296"/>
      <c r="AS261" s="475"/>
      <c r="AT261" s="475"/>
      <c r="AU261" s="475"/>
      <c r="AV261" s="479"/>
      <c r="AW261" s="475"/>
      <c r="AX261" s="475"/>
      <c r="AY261" s="475"/>
      <c r="AZ261" s="475"/>
      <c r="BA261" s="479"/>
      <c r="BB261" s="475"/>
      <c r="BC261" s="475"/>
      <c r="BD261" s="475"/>
      <c r="BE261" s="475"/>
      <c r="BF261" s="479"/>
      <c r="BG261" s="475"/>
      <c r="BH261" s="475"/>
      <c r="BI261" s="475"/>
      <c r="BJ261" s="475"/>
      <c r="BK261" s="479"/>
      <c r="BL261" s="475"/>
      <c r="BM261" s="475"/>
      <c r="BN261" s="475"/>
      <c r="BO261" s="475"/>
    </row>
    <row r="262" spans="3:67">
      <c r="C262" s="479"/>
      <c r="D262" s="475"/>
      <c r="E262" s="475"/>
      <c r="F262" s="475"/>
      <c r="G262" s="475"/>
      <c r="H262" s="479"/>
      <c r="I262" s="475"/>
      <c r="J262" s="475"/>
      <c r="K262" s="475"/>
      <c r="L262" s="475"/>
      <c r="M262" s="479"/>
      <c r="N262" s="475"/>
      <c r="O262" s="475"/>
      <c r="P262" s="475"/>
      <c r="Q262" s="475"/>
      <c r="R262" s="479"/>
      <c r="S262" s="475"/>
      <c r="T262" s="475"/>
      <c r="U262" s="475"/>
      <c r="V262" s="475"/>
      <c r="W262" s="479"/>
      <c r="X262" s="475"/>
      <c r="Y262" s="475"/>
      <c r="Z262" s="475"/>
      <c r="AA262" s="475"/>
      <c r="AB262" s="479"/>
      <c r="AC262" s="475"/>
      <c r="AD262" s="475"/>
      <c r="AE262" s="475"/>
      <c r="AF262" s="475"/>
      <c r="AG262" s="479"/>
      <c r="AH262" s="475"/>
      <c r="AI262" s="475"/>
      <c r="AJ262" s="475"/>
      <c r="AK262" s="475"/>
      <c r="AL262" s="479"/>
      <c r="AM262" s="475"/>
      <c r="AN262" s="1296"/>
      <c r="AO262" s="475"/>
      <c r="AP262" s="475"/>
      <c r="AQ262" s="479"/>
      <c r="AR262" s="1296"/>
      <c r="AS262" s="475"/>
      <c r="AT262" s="475"/>
      <c r="AU262" s="475"/>
      <c r="AV262" s="479"/>
      <c r="AW262" s="475"/>
      <c r="AX262" s="475"/>
      <c r="AY262" s="475"/>
      <c r="AZ262" s="475"/>
      <c r="BA262" s="479"/>
      <c r="BB262" s="475"/>
      <c r="BC262" s="475"/>
      <c r="BD262" s="475"/>
      <c r="BE262" s="475"/>
      <c r="BF262" s="479"/>
      <c r="BG262" s="475"/>
      <c r="BH262" s="475"/>
      <c r="BI262" s="475"/>
      <c r="BJ262" s="475"/>
      <c r="BK262" s="479"/>
      <c r="BL262" s="475"/>
      <c r="BM262" s="475"/>
      <c r="BN262" s="475"/>
      <c r="BO262" s="475"/>
    </row>
    <row r="264" spans="3:67">
      <c r="C264" s="494"/>
      <c r="D264" s="494"/>
      <c r="E264" s="494"/>
      <c r="F264" s="494"/>
      <c r="G264" s="494"/>
      <c r="H264" s="494"/>
      <c r="I264" s="494"/>
      <c r="J264" s="494"/>
      <c r="K264" s="494"/>
      <c r="L264" s="494"/>
      <c r="M264" s="494"/>
      <c r="N264" s="494"/>
      <c r="O264" s="494"/>
      <c r="P264" s="494"/>
      <c r="Q264" s="494"/>
      <c r="R264" s="494"/>
      <c r="S264" s="494"/>
      <c r="T264" s="494"/>
      <c r="U264" s="494"/>
      <c r="V264" s="494"/>
      <c r="W264" s="494"/>
      <c r="X264" s="494"/>
      <c r="Y264" s="494"/>
      <c r="Z264" s="494"/>
      <c r="AA264" s="494"/>
      <c r="AB264" s="494"/>
      <c r="AC264" s="494"/>
      <c r="AD264" s="494"/>
      <c r="AE264" s="494"/>
      <c r="AF264" s="494"/>
      <c r="AG264" s="494"/>
      <c r="AH264" s="494"/>
      <c r="AI264" s="494"/>
      <c r="AJ264" s="494"/>
      <c r="AK264" s="494"/>
      <c r="AL264" s="494"/>
      <c r="AM264" s="494"/>
      <c r="AN264" s="1297"/>
      <c r="AO264" s="494"/>
      <c r="AP264" s="494"/>
      <c r="AQ264" s="494"/>
      <c r="AR264" s="1297"/>
      <c r="AS264" s="494"/>
      <c r="AT264" s="494"/>
      <c r="AU264" s="494"/>
      <c r="AV264" s="494"/>
      <c r="AW264" s="494"/>
      <c r="AX264" s="494"/>
      <c r="AY264" s="494"/>
      <c r="AZ264" s="494"/>
      <c r="BA264" s="494"/>
      <c r="BB264" s="494"/>
      <c r="BC264" s="494"/>
      <c r="BD264" s="494"/>
      <c r="BE264" s="494"/>
      <c r="BF264" s="494"/>
      <c r="BG264" s="494"/>
      <c r="BH264" s="494"/>
      <c r="BI264" s="494"/>
      <c r="BJ264" s="494"/>
      <c r="BK264" s="494"/>
      <c r="BL264" s="494"/>
      <c r="BM264" s="494"/>
      <c r="BN264" s="494"/>
      <c r="BO264" s="494"/>
    </row>
    <row r="265" spans="3:67">
      <c r="C265" s="490"/>
      <c r="D265" s="490"/>
      <c r="E265" s="490"/>
      <c r="F265" s="490"/>
      <c r="G265" s="490"/>
      <c r="H265" s="490"/>
      <c r="I265" s="490"/>
      <c r="J265" s="490"/>
      <c r="K265" s="490"/>
      <c r="L265" s="490"/>
      <c r="M265" s="490"/>
      <c r="N265" s="490"/>
      <c r="O265" s="490"/>
      <c r="P265" s="490"/>
      <c r="Q265" s="490"/>
      <c r="R265" s="490"/>
      <c r="S265" s="490"/>
      <c r="T265" s="490"/>
      <c r="U265" s="490"/>
      <c r="V265" s="490"/>
      <c r="W265" s="490"/>
      <c r="X265" s="490"/>
      <c r="Y265" s="490"/>
      <c r="Z265" s="490"/>
      <c r="AA265" s="490"/>
      <c r="AB265" s="490"/>
      <c r="AC265" s="490"/>
      <c r="AD265" s="490"/>
      <c r="AE265" s="490"/>
      <c r="AF265" s="490"/>
      <c r="AG265" s="490"/>
      <c r="AH265" s="490"/>
      <c r="AI265" s="490"/>
      <c r="AJ265" s="490"/>
      <c r="AK265" s="490"/>
      <c r="AL265" s="490"/>
      <c r="AM265" s="490"/>
      <c r="AN265" s="1298"/>
      <c r="AO265" s="490"/>
      <c r="AP265" s="490"/>
      <c r="AQ265" s="490"/>
      <c r="AR265" s="1298"/>
      <c r="AS265" s="490"/>
      <c r="AT265" s="490"/>
      <c r="AU265" s="490"/>
      <c r="AV265" s="490"/>
      <c r="AW265" s="490"/>
      <c r="AX265" s="490"/>
      <c r="AY265" s="490"/>
      <c r="AZ265" s="490"/>
      <c r="BA265" s="490"/>
      <c r="BB265" s="490"/>
      <c r="BC265" s="490"/>
      <c r="BD265" s="490"/>
      <c r="BE265" s="490"/>
      <c r="BF265" s="490"/>
      <c r="BG265" s="490"/>
      <c r="BH265" s="490"/>
      <c r="BI265" s="490"/>
      <c r="BJ265" s="490"/>
      <c r="BK265" s="490"/>
      <c r="BL265" s="490"/>
      <c r="BM265" s="490"/>
      <c r="BN265" s="490"/>
      <c r="BO265" s="490"/>
    </row>
    <row r="266" spans="3:67">
      <c r="C266" s="490"/>
      <c r="D266" s="490"/>
      <c r="E266" s="490"/>
      <c r="F266" s="490"/>
      <c r="G266" s="490"/>
      <c r="H266" s="490"/>
      <c r="I266" s="490"/>
      <c r="J266" s="490"/>
      <c r="K266" s="490"/>
      <c r="L266" s="490"/>
      <c r="M266" s="490"/>
      <c r="N266" s="490"/>
      <c r="O266" s="490"/>
      <c r="P266" s="490"/>
      <c r="Q266" s="490"/>
      <c r="R266" s="490"/>
      <c r="S266" s="490"/>
      <c r="T266" s="490"/>
      <c r="U266" s="490"/>
      <c r="V266" s="490"/>
      <c r="W266" s="490"/>
      <c r="X266" s="490"/>
      <c r="Y266" s="490"/>
      <c r="Z266" s="490"/>
      <c r="AA266" s="490"/>
      <c r="AB266" s="490"/>
      <c r="AC266" s="490"/>
      <c r="AD266" s="490"/>
      <c r="AE266" s="490"/>
      <c r="AF266" s="490"/>
      <c r="AG266" s="490"/>
      <c r="AH266" s="490"/>
      <c r="AI266" s="490"/>
      <c r="AJ266" s="490"/>
      <c r="AK266" s="490"/>
      <c r="AL266" s="490"/>
      <c r="AM266" s="490"/>
      <c r="AN266" s="1298"/>
      <c r="AO266" s="490"/>
      <c r="AP266" s="490"/>
      <c r="AQ266" s="490"/>
      <c r="AR266" s="1298"/>
      <c r="AS266" s="490"/>
      <c r="AT266" s="490"/>
      <c r="AU266" s="490"/>
      <c r="AV266" s="490"/>
      <c r="AW266" s="490"/>
      <c r="AX266" s="490"/>
      <c r="AY266" s="490"/>
      <c r="AZ266" s="490"/>
      <c r="BA266" s="490"/>
      <c r="BB266" s="490"/>
      <c r="BC266" s="490"/>
      <c r="BD266" s="490"/>
      <c r="BE266" s="490"/>
      <c r="BF266" s="490"/>
      <c r="BG266" s="490"/>
      <c r="BH266" s="490"/>
      <c r="BI266" s="490"/>
      <c r="BJ266" s="490"/>
      <c r="BK266" s="490"/>
      <c r="BL266" s="490"/>
      <c r="BM266" s="490"/>
      <c r="BN266" s="490"/>
      <c r="BO266" s="490"/>
    </row>
    <row r="268" spans="3:67">
      <c r="C268" s="495"/>
      <c r="D268" s="496"/>
      <c r="E268" s="496"/>
      <c r="F268" s="496"/>
      <c r="G268" s="496"/>
      <c r="H268" s="495"/>
      <c r="I268" s="496"/>
      <c r="J268" s="496"/>
      <c r="K268" s="496"/>
      <c r="L268" s="496"/>
      <c r="M268" s="495"/>
      <c r="N268" s="496"/>
      <c r="O268" s="496"/>
      <c r="P268" s="496"/>
      <c r="Q268" s="496"/>
      <c r="R268" s="495"/>
      <c r="S268" s="496"/>
      <c r="T268" s="496"/>
      <c r="U268" s="496"/>
      <c r="V268" s="496"/>
      <c r="W268" s="495"/>
      <c r="X268" s="496"/>
      <c r="Y268" s="496"/>
      <c r="Z268" s="496"/>
      <c r="AA268" s="496"/>
      <c r="AB268" s="495"/>
      <c r="AC268" s="496"/>
      <c r="AD268" s="496"/>
      <c r="AE268" s="496"/>
      <c r="AF268" s="496"/>
      <c r="AG268" s="495"/>
      <c r="AH268" s="496"/>
      <c r="AI268" s="496"/>
      <c r="AJ268" s="496"/>
      <c r="AK268" s="496"/>
      <c r="AL268" s="495"/>
      <c r="AM268" s="496"/>
      <c r="AN268" s="1299"/>
      <c r="AO268" s="496"/>
      <c r="AP268" s="496"/>
      <c r="AQ268" s="495"/>
      <c r="AR268" s="1299"/>
      <c r="AS268" s="496"/>
      <c r="AT268" s="496"/>
      <c r="AU268" s="496"/>
      <c r="AV268" s="495"/>
      <c r="AW268" s="496"/>
      <c r="AX268" s="496"/>
      <c r="AY268" s="496"/>
      <c r="AZ268" s="496"/>
      <c r="BA268" s="495"/>
      <c r="BB268" s="496"/>
      <c r="BC268" s="496"/>
      <c r="BD268" s="496"/>
      <c r="BE268" s="496"/>
      <c r="BF268" s="495"/>
      <c r="BG268" s="496"/>
      <c r="BH268" s="496"/>
      <c r="BI268" s="496"/>
      <c r="BJ268" s="496"/>
      <c r="BK268" s="495"/>
      <c r="BL268" s="496"/>
      <c r="BM268" s="496"/>
      <c r="BN268" s="496"/>
      <c r="BO268" s="496"/>
    </row>
    <row r="269" spans="3:67">
      <c r="C269" s="497"/>
      <c r="D269" s="498"/>
      <c r="E269" s="498"/>
      <c r="F269" s="498"/>
      <c r="G269" s="498"/>
      <c r="H269" s="497"/>
      <c r="I269" s="498"/>
      <c r="J269" s="498"/>
      <c r="K269" s="498"/>
      <c r="L269" s="498"/>
      <c r="M269" s="497"/>
      <c r="N269" s="498"/>
      <c r="O269" s="498"/>
      <c r="P269" s="498"/>
      <c r="Q269" s="498"/>
      <c r="R269" s="497"/>
      <c r="S269" s="498"/>
      <c r="T269" s="498"/>
      <c r="U269" s="498"/>
      <c r="V269" s="498"/>
      <c r="W269" s="497"/>
      <c r="X269" s="498"/>
      <c r="Y269" s="498"/>
      <c r="Z269" s="498"/>
      <c r="AA269" s="498"/>
      <c r="AB269" s="497"/>
      <c r="AC269" s="498"/>
      <c r="AD269" s="498"/>
      <c r="AE269" s="498"/>
      <c r="AF269" s="498"/>
      <c r="AG269" s="497"/>
      <c r="AH269" s="498"/>
      <c r="AI269" s="498"/>
      <c r="AJ269" s="498"/>
      <c r="AK269" s="498"/>
      <c r="AL269" s="497"/>
      <c r="AM269" s="498"/>
      <c r="AN269" s="1300"/>
      <c r="AO269" s="498"/>
      <c r="AP269" s="498"/>
      <c r="AQ269" s="497"/>
      <c r="AR269" s="1300"/>
      <c r="AS269" s="498"/>
      <c r="AT269" s="498"/>
      <c r="AU269" s="498"/>
      <c r="AV269" s="497"/>
      <c r="AW269" s="498"/>
      <c r="AX269" s="498"/>
      <c r="AY269" s="498"/>
      <c r="AZ269" s="498"/>
      <c r="BA269" s="497"/>
      <c r="BB269" s="498"/>
      <c r="BC269" s="498"/>
      <c r="BD269" s="498"/>
      <c r="BE269" s="498"/>
      <c r="BF269" s="497"/>
      <c r="BG269" s="498"/>
      <c r="BH269" s="498"/>
      <c r="BI269" s="498"/>
      <c r="BJ269" s="498"/>
      <c r="BK269" s="497"/>
      <c r="BL269" s="498"/>
      <c r="BM269" s="498"/>
      <c r="BN269" s="498"/>
      <c r="BO269" s="498"/>
    </row>
    <row r="270" spans="3:67">
      <c r="C270" s="463"/>
      <c r="D270" s="384"/>
      <c r="E270" s="384"/>
      <c r="F270" s="384"/>
      <c r="G270" s="384"/>
      <c r="H270" s="463"/>
      <c r="I270" s="384"/>
      <c r="J270" s="384"/>
      <c r="K270" s="384"/>
      <c r="L270" s="384"/>
      <c r="M270" s="463"/>
      <c r="N270" s="384"/>
      <c r="O270" s="384"/>
      <c r="P270" s="384"/>
      <c r="Q270" s="384"/>
      <c r="R270" s="463"/>
      <c r="S270" s="384"/>
      <c r="T270" s="384"/>
      <c r="U270" s="384"/>
      <c r="V270" s="384"/>
      <c r="W270" s="463"/>
      <c r="X270" s="384"/>
      <c r="Y270" s="384"/>
      <c r="Z270" s="384"/>
      <c r="AA270" s="384"/>
      <c r="AB270" s="463"/>
      <c r="AC270" s="384"/>
      <c r="AD270" s="384"/>
      <c r="AE270" s="384"/>
      <c r="AF270" s="384"/>
      <c r="AG270" s="463"/>
      <c r="AH270" s="384"/>
      <c r="AI270" s="384"/>
      <c r="AJ270" s="384"/>
      <c r="AK270" s="384"/>
      <c r="AL270" s="463"/>
      <c r="AM270" s="384"/>
      <c r="AN270" s="1116"/>
      <c r="AO270" s="384"/>
      <c r="AP270" s="384"/>
      <c r="AQ270" s="463"/>
      <c r="AR270" s="1116"/>
      <c r="AS270" s="384"/>
      <c r="AT270" s="384"/>
      <c r="AU270" s="384"/>
      <c r="AV270" s="463"/>
      <c r="AW270" s="384"/>
      <c r="AX270" s="384"/>
      <c r="AY270" s="384"/>
      <c r="AZ270" s="384"/>
      <c r="BA270" s="463"/>
      <c r="BB270" s="384"/>
      <c r="BC270" s="384"/>
      <c r="BD270" s="384"/>
      <c r="BE270" s="384"/>
      <c r="BF270" s="463"/>
      <c r="BG270" s="384"/>
      <c r="BH270" s="384"/>
      <c r="BI270" s="384"/>
      <c r="BJ270" s="384"/>
      <c r="BK270" s="463"/>
      <c r="BL270" s="384"/>
      <c r="BM270" s="384"/>
      <c r="BN270" s="384"/>
      <c r="BO270" s="384"/>
    </row>
    <row r="271" spans="3:67">
      <c r="C271" s="463"/>
      <c r="D271" s="384"/>
      <c r="E271" s="384"/>
      <c r="F271" s="384"/>
      <c r="G271" s="384"/>
      <c r="H271" s="463"/>
      <c r="I271" s="384"/>
      <c r="J271" s="384"/>
      <c r="K271" s="384"/>
      <c r="L271" s="384"/>
      <c r="M271" s="463"/>
      <c r="N271" s="384"/>
      <c r="O271" s="384"/>
      <c r="P271" s="384"/>
      <c r="Q271" s="384"/>
      <c r="R271" s="463"/>
      <c r="S271" s="384"/>
      <c r="T271" s="384"/>
      <c r="U271" s="384"/>
      <c r="V271" s="384"/>
      <c r="W271" s="463"/>
      <c r="X271" s="384"/>
      <c r="Y271" s="384"/>
      <c r="Z271" s="384"/>
      <c r="AA271" s="384"/>
      <c r="AB271" s="463"/>
      <c r="AC271" s="384"/>
      <c r="AD271" s="384"/>
      <c r="AE271" s="384"/>
      <c r="AF271" s="384"/>
      <c r="AG271" s="463"/>
      <c r="AH271" s="384"/>
      <c r="AI271" s="384"/>
      <c r="AJ271" s="384"/>
      <c r="AK271" s="384"/>
      <c r="AL271" s="463"/>
      <c r="AM271" s="384"/>
      <c r="AN271" s="1116"/>
      <c r="AO271" s="384"/>
      <c r="AP271" s="384"/>
      <c r="AQ271" s="463"/>
      <c r="AR271" s="1116"/>
      <c r="AS271" s="384"/>
      <c r="AT271" s="384"/>
      <c r="AU271" s="384"/>
      <c r="AV271" s="463"/>
      <c r="AW271" s="384"/>
      <c r="AX271" s="384"/>
      <c r="AY271" s="384"/>
      <c r="AZ271" s="384"/>
      <c r="BA271" s="463"/>
      <c r="BB271" s="384"/>
      <c r="BC271" s="384"/>
      <c r="BD271" s="384"/>
      <c r="BE271" s="384"/>
      <c r="BF271" s="463"/>
      <c r="BG271" s="384"/>
      <c r="BH271" s="384"/>
      <c r="BI271" s="384"/>
      <c r="BJ271" s="384"/>
      <c r="BK271" s="463"/>
      <c r="BL271" s="384"/>
      <c r="BM271" s="384"/>
      <c r="BN271" s="384"/>
      <c r="BO271" s="384"/>
    </row>
    <row r="272" spans="3:67">
      <c r="C272" s="463"/>
      <c r="D272" s="384"/>
      <c r="E272" s="384"/>
      <c r="F272" s="384"/>
      <c r="G272" s="384"/>
      <c r="H272" s="463"/>
      <c r="I272" s="384"/>
      <c r="J272" s="384"/>
      <c r="K272" s="384"/>
      <c r="L272" s="384"/>
      <c r="M272" s="463"/>
      <c r="N272" s="384"/>
      <c r="O272" s="384"/>
      <c r="P272" s="384"/>
      <c r="Q272" s="384"/>
      <c r="R272" s="463"/>
      <c r="S272" s="384"/>
      <c r="T272" s="384"/>
      <c r="U272" s="384"/>
      <c r="V272" s="384"/>
      <c r="W272" s="463"/>
      <c r="X272" s="384"/>
      <c r="Y272" s="384"/>
      <c r="Z272" s="384"/>
      <c r="AA272" s="384"/>
      <c r="AB272" s="463"/>
      <c r="AC272" s="384"/>
      <c r="AD272" s="384"/>
      <c r="AE272" s="384"/>
      <c r="AF272" s="384"/>
      <c r="AG272" s="463"/>
      <c r="AH272" s="384"/>
      <c r="AI272" s="384"/>
      <c r="AJ272" s="384"/>
      <c r="AK272" s="384"/>
      <c r="AL272" s="463"/>
      <c r="AM272" s="384"/>
      <c r="AN272" s="1116"/>
      <c r="AO272" s="384"/>
      <c r="AP272" s="384"/>
      <c r="AQ272" s="463"/>
      <c r="AR272" s="1116"/>
      <c r="AS272" s="384"/>
      <c r="AT272" s="384"/>
      <c r="AU272" s="384"/>
      <c r="AV272" s="463"/>
      <c r="AW272" s="384"/>
      <c r="AX272" s="384"/>
      <c r="AY272" s="384"/>
      <c r="AZ272" s="384"/>
      <c r="BA272" s="463"/>
      <c r="BB272" s="384"/>
      <c r="BC272" s="384"/>
      <c r="BD272" s="384"/>
      <c r="BE272" s="384"/>
      <c r="BF272" s="463"/>
      <c r="BG272" s="384"/>
      <c r="BH272" s="384"/>
      <c r="BI272" s="384"/>
      <c r="BJ272" s="384"/>
      <c r="BK272" s="463"/>
      <c r="BL272" s="384"/>
      <c r="BM272" s="384"/>
      <c r="BN272" s="384"/>
      <c r="BO272" s="384"/>
    </row>
    <row r="273" spans="3:67">
      <c r="C273" s="497"/>
      <c r="D273" s="498"/>
      <c r="E273" s="498"/>
      <c r="F273" s="498"/>
      <c r="G273" s="498"/>
      <c r="H273" s="497"/>
      <c r="I273" s="498"/>
      <c r="J273" s="498"/>
      <c r="K273" s="498"/>
      <c r="L273" s="498"/>
      <c r="M273" s="497"/>
      <c r="N273" s="498"/>
      <c r="O273" s="498"/>
      <c r="P273" s="498"/>
      <c r="Q273" s="498"/>
      <c r="R273" s="497"/>
      <c r="S273" s="498"/>
      <c r="T273" s="498"/>
      <c r="U273" s="498"/>
      <c r="V273" s="498"/>
      <c r="W273" s="497"/>
      <c r="X273" s="498"/>
      <c r="Y273" s="498"/>
      <c r="Z273" s="498"/>
      <c r="AA273" s="498"/>
      <c r="AB273" s="497"/>
      <c r="AC273" s="498"/>
      <c r="AD273" s="498"/>
      <c r="AE273" s="498"/>
      <c r="AF273" s="498"/>
      <c r="AG273" s="497"/>
      <c r="AH273" s="498"/>
      <c r="AI273" s="498"/>
      <c r="AJ273" s="498"/>
      <c r="AK273" s="498"/>
      <c r="AL273" s="497"/>
      <c r="AM273" s="498"/>
      <c r="AN273" s="1300"/>
      <c r="AO273" s="498"/>
      <c r="AP273" s="498"/>
      <c r="AQ273" s="497"/>
      <c r="AR273" s="1300"/>
      <c r="AS273" s="498"/>
      <c r="AT273" s="498"/>
      <c r="AU273" s="498"/>
      <c r="AV273" s="497"/>
      <c r="AW273" s="498"/>
      <c r="AX273" s="498"/>
      <c r="AY273" s="498"/>
      <c r="AZ273" s="498"/>
      <c r="BA273" s="497"/>
      <c r="BB273" s="498"/>
      <c r="BC273" s="498"/>
      <c r="BD273" s="498"/>
      <c r="BE273" s="498"/>
      <c r="BF273" s="497"/>
      <c r="BG273" s="498"/>
      <c r="BH273" s="498"/>
      <c r="BI273" s="498"/>
      <c r="BJ273" s="498"/>
      <c r="BK273" s="497"/>
      <c r="BL273" s="498"/>
      <c r="BM273" s="498"/>
      <c r="BN273" s="498"/>
      <c r="BO273" s="498"/>
    </row>
    <row r="274" spans="3:67">
      <c r="C274" s="394"/>
      <c r="D274" s="395"/>
      <c r="E274" s="395"/>
      <c r="F274" s="395"/>
      <c r="G274" s="395"/>
      <c r="H274" s="394"/>
      <c r="I274" s="395"/>
      <c r="J274" s="395"/>
      <c r="K274" s="395"/>
      <c r="L274" s="395"/>
      <c r="M274" s="394"/>
      <c r="N274" s="395"/>
      <c r="O274" s="395"/>
      <c r="P274" s="395"/>
      <c r="Q274" s="395"/>
      <c r="R274" s="394"/>
      <c r="S274" s="395"/>
      <c r="T274" s="395"/>
      <c r="U274" s="395"/>
      <c r="V274" s="395"/>
      <c r="W274" s="394"/>
      <c r="X274" s="395"/>
      <c r="Y274" s="395"/>
      <c r="Z274" s="395"/>
      <c r="AA274" s="395"/>
      <c r="AB274" s="394"/>
      <c r="AC274" s="395"/>
      <c r="AD274" s="395"/>
      <c r="AE274" s="395"/>
      <c r="AF274" s="395"/>
      <c r="AG274" s="394"/>
      <c r="AH274" s="395"/>
      <c r="AI274" s="395"/>
      <c r="AJ274" s="395"/>
      <c r="AK274" s="395"/>
      <c r="AL274" s="394"/>
      <c r="AM274" s="395"/>
      <c r="AN274" s="1188"/>
      <c r="AO274" s="395"/>
      <c r="AP274" s="395"/>
      <c r="AQ274" s="394"/>
      <c r="AR274" s="1188"/>
      <c r="AS274" s="395"/>
      <c r="AT274" s="395"/>
      <c r="AU274" s="395"/>
      <c r="AV274" s="394"/>
      <c r="AW274" s="395"/>
      <c r="AX274" s="395"/>
      <c r="AY274" s="395"/>
      <c r="AZ274" s="395"/>
      <c r="BA274" s="394"/>
      <c r="BB274" s="395"/>
      <c r="BC274" s="395"/>
      <c r="BD274" s="395"/>
      <c r="BE274" s="395"/>
      <c r="BF274" s="394"/>
      <c r="BG274" s="395"/>
      <c r="BH274" s="395"/>
      <c r="BI274" s="395"/>
      <c r="BJ274" s="395"/>
      <c r="BK274" s="394"/>
      <c r="BL274" s="395"/>
      <c r="BM274" s="395"/>
      <c r="BN274" s="395"/>
      <c r="BO274" s="395"/>
    </row>
    <row r="275" spans="3:67">
      <c r="C275" s="394"/>
      <c r="D275" s="395"/>
      <c r="E275" s="395"/>
      <c r="F275" s="395"/>
      <c r="G275" s="395"/>
      <c r="H275" s="394"/>
      <c r="I275" s="395"/>
      <c r="J275" s="395"/>
      <c r="K275" s="395"/>
      <c r="L275" s="395"/>
      <c r="M275" s="394"/>
      <c r="N275" s="395"/>
      <c r="O275" s="395"/>
      <c r="P275" s="395"/>
      <c r="Q275" s="395"/>
      <c r="R275" s="394"/>
      <c r="S275" s="395"/>
      <c r="T275" s="395"/>
      <c r="U275" s="395"/>
      <c r="V275" s="395"/>
      <c r="W275" s="394"/>
      <c r="X275" s="395"/>
      <c r="Y275" s="395"/>
      <c r="Z275" s="395"/>
      <c r="AA275" s="395"/>
      <c r="AB275" s="394"/>
      <c r="AC275" s="395"/>
      <c r="AD275" s="395"/>
      <c r="AE275" s="395"/>
      <c r="AF275" s="395"/>
      <c r="AG275" s="394"/>
      <c r="AH275" s="395"/>
      <c r="AI275" s="395"/>
      <c r="AJ275" s="395"/>
      <c r="AK275" s="395"/>
      <c r="AL275" s="394"/>
      <c r="AM275" s="395"/>
      <c r="AN275" s="1188"/>
      <c r="AO275" s="395"/>
      <c r="AP275" s="395"/>
      <c r="AQ275" s="394"/>
      <c r="AR275" s="1188"/>
      <c r="AS275" s="395"/>
      <c r="AT275" s="395"/>
      <c r="AU275" s="395"/>
      <c r="AV275" s="394"/>
      <c r="AW275" s="395"/>
      <c r="AX275" s="395"/>
      <c r="AY275" s="395"/>
      <c r="AZ275" s="395"/>
      <c r="BA275" s="394"/>
      <c r="BB275" s="395"/>
      <c r="BC275" s="395"/>
      <c r="BD275" s="395"/>
      <c r="BE275" s="395"/>
      <c r="BF275" s="394"/>
      <c r="BG275" s="395"/>
      <c r="BH275" s="395"/>
      <c r="BI275" s="395"/>
      <c r="BJ275" s="395"/>
      <c r="BK275" s="394"/>
      <c r="BL275" s="395"/>
      <c r="BM275" s="395"/>
      <c r="BN275" s="395"/>
      <c r="BO275" s="395"/>
    </row>
    <row r="276" spans="3:67">
      <c r="C276" s="394"/>
      <c r="D276" s="395"/>
      <c r="E276" s="395"/>
      <c r="F276" s="395"/>
      <c r="G276" s="395"/>
      <c r="H276" s="394"/>
      <c r="I276" s="395"/>
      <c r="J276" s="395"/>
      <c r="K276" s="395"/>
      <c r="L276" s="395"/>
      <c r="M276" s="394"/>
      <c r="N276" s="395"/>
      <c r="O276" s="395"/>
      <c r="P276" s="395"/>
      <c r="Q276" s="395"/>
      <c r="R276" s="394"/>
      <c r="S276" s="395"/>
      <c r="T276" s="395"/>
      <c r="U276" s="395"/>
      <c r="V276" s="395"/>
      <c r="W276" s="394"/>
      <c r="X276" s="395"/>
      <c r="Y276" s="395"/>
      <c r="Z276" s="395"/>
      <c r="AA276" s="395"/>
      <c r="AB276" s="394"/>
      <c r="AC276" s="395"/>
      <c r="AD276" s="395"/>
      <c r="AE276" s="395"/>
      <c r="AF276" s="395"/>
      <c r="AG276" s="394"/>
      <c r="AH276" s="395"/>
      <c r="AI276" s="395"/>
      <c r="AJ276" s="395"/>
      <c r="AK276" s="395"/>
      <c r="AL276" s="394"/>
      <c r="AM276" s="395"/>
      <c r="AN276" s="1188"/>
      <c r="AO276" s="395"/>
      <c r="AP276" s="395"/>
      <c r="AQ276" s="394"/>
      <c r="AR276" s="1188"/>
      <c r="AS276" s="395"/>
      <c r="AT276" s="395"/>
      <c r="AU276" s="395"/>
      <c r="AV276" s="394"/>
      <c r="AW276" s="395"/>
      <c r="AX276" s="395"/>
      <c r="AY276" s="395"/>
      <c r="AZ276" s="395"/>
      <c r="BA276" s="394"/>
      <c r="BB276" s="395"/>
      <c r="BC276" s="395"/>
      <c r="BD276" s="395"/>
      <c r="BE276" s="395"/>
      <c r="BF276" s="394"/>
      <c r="BG276" s="395"/>
      <c r="BH276" s="395"/>
      <c r="BI276" s="395"/>
      <c r="BJ276" s="395"/>
      <c r="BK276" s="394"/>
      <c r="BL276" s="395"/>
      <c r="BM276" s="395"/>
      <c r="BN276" s="395"/>
      <c r="BO276" s="395"/>
    </row>
    <row r="277" spans="3:67">
      <c r="C277" s="499"/>
      <c r="D277" s="500"/>
      <c r="E277" s="500"/>
      <c r="F277" s="500"/>
      <c r="G277" s="500"/>
      <c r="H277" s="499"/>
      <c r="I277" s="500"/>
      <c r="J277" s="500"/>
      <c r="K277" s="500"/>
      <c r="L277" s="500"/>
      <c r="M277" s="499"/>
      <c r="N277" s="500"/>
      <c r="O277" s="500"/>
      <c r="P277" s="500"/>
      <c r="Q277" s="500"/>
      <c r="R277" s="499"/>
      <c r="S277" s="500"/>
      <c r="T277" s="500"/>
      <c r="U277" s="500"/>
      <c r="V277" s="500"/>
      <c r="W277" s="499"/>
      <c r="X277" s="500"/>
      <c r="Y277" s="500"/>
      <c r="Z277" s="500"/>
      <c r="AA277" s="500"/>
      <c r="AB277" s="499"/>
      <c r="AC277" s="500"/>
      <c r="AD277" s="500"/>
      <c r="AE277" s="500"/>
      <c r="AF277" s="500"/>
      <c r="AG277" s="499"/>
      <c r="AH277" s="500"/>
      <c r="AI277" s="500"/>
      <c r="AJ277" s="500"/>
      <c r="AK277" s="500"/>
      <c r="AL277" s="499"/>
      <c r="AM277" s="500"/>
      <c r="AN277" s="1301"/>
      <c r="AO277" s="500"/>
      <c r="AP277" s="500"/>
      <c r="AQ277" s="499"/>
      <c r="AR277" s="1301"/>
      <c r="AS277" s="500"/>
      <c r="AT277" s="500"/>
      <c r="AU277" s="500"/>
      <c r="AV277" s="499"/>
      <c r="AW277" s="500"/>
      <c r="AX277" s="500"/>
      <c r="AY277" s="500"/>
      <c r="AZ277" s="500"/>
      <c r="BA277" s="499"/>
      <c r="BB277" s="500"/>
      <c r="BC277" s="500"/>
      <c r="BD277" s="500"/>
      <c r="BE277" s="500"/>
      <c r="BF277" s="499"/>
      <c r="BG277" s="500"/>
      <c r="BH277" s="500"/>
      <c r="BI277" s="500"/>
      <c r="BJ277" s="500"/>
      <c r="BK277" s="499"/>
      <c r="BL277" s="500"/>
      <c r="BM277" s="500"/>
      <c r="BN277" s="500"/>
      <c r="BO277" s="500"/>
    </row>
    <row r="278" spans="3:67">
      <c r="C278" s="394"/>
      <c r="D278" s="395"/>
      <c r="E278" s="395"/>
      <c r="F278" s="395"/>
      <c r="G278" s="395"/>
      <c r="H278" s="394"/>
      <c r="I278" s="395"/>
      <c r="J278" s="395"/>
      <c r="K278" s="395"/>
      <c r="L278" s="395"/>
      <c r="M278" s="394"/>
      <c r="N278" s="395"/>
      <c r="O278" s="395"/>
      <c r="P278" s="395"/>
      <c r="Q278" s="395"/>
      <c r="R278" s="394"/>
      <c r="S278" s="395"/>
      <c r="T278" s="395"/>
      <c r="U278" s="395"/>
      <c r="V278" s="395"/>
      <c r="W278" s="394"/>
      <c r="X278" s="395"/>
      <c r="Y278" s="395"/>
      <c r="Z278" s="395"/>
      <c r="AA278" s="395"/>
      <c r="AB278" s="394"/>
      <c r="AC278" s="395"/>
      <c r="AD278" s="395"/>
      <c r="AE278" s="395"/>
      <c r="AF278" s="395"/>
      <c r="AG278" s="394"/>
      <c r="AH278" s="395"/>
      <c r="AI278" s="395"/>
      <c r="AJ278" s="395"/>
      <c r="AK278" s="395"/>
      <c r="AL278" s="394"/>
      <c r="AM278" s="395"/>
      <c r="AN278" s="1188"/>
      <c r="AO278" s="395"/>
      <c r="AP278" s="395"/>
      <c r="AQ278" s="394"/>
      <c r="AR278" s="1188"/>
      <c r="AS278" s="395"/>
      <c r="AT278" s="395"/>
      <c r="AU278" s="395"/>
      <c r="AV278" s="394"/>
      <c r="AW278" s="395"/>
      <c r="AX278" s="395"/>
      <c r="AY278" s="395"/>
      <c r="AZ278" s="395"/>
      <c r="BA278" s="394"/>
      <c r="BB278" s="395"/>
      <c r="BC278" s="395"/>
      <c r="BD278" s="395"/>
      <c r="BE278" s="395"/>
      <c r="BF278" s="394"/>
      <c r="BG278" s="395"/>
      <c r="BH278" s="395"/>
      <c r="BI278" s="395"/>
      <c r="BJ278" s="395"/>
      <c r="BK278" s="394"/>
      <c r="BL278" s="395"/>
      <c r="BM278" s="395"/>
      <c r="BN278" s="395"/>
      <c r="BO278" s="395"/>
    </row>
    <row r="279" spans="3:67">
      <c r="C279" s="497"/>
      <c r="D279" s="395"/>
      <c r="E279" s="395"/>
      <c r="F279" s="395"/>
      <c r="G279" s="395"/>
      <c r="H279" s="497"/>
      <c r="I279" s="395"/>
      <c r="J279" s="395"/>
      <c r="K279" s="395"/>
      <c r="L279" s="395"/>
      <c r="M279" s="497"/>
      <c r="N279" s="395"/>
      <c r="O279" s="395"/>
      <c r="P279" s="395"/>
      <c r="Q279" s="395"/>
      <c r="R279" s="497"/>
      <c r="S279" s="395"/>
      <c r="T279" s="395"/>
      <c r="U279" s="395"/>
      <c r="V279" s="395"/>
      <c r="W279" s="497"/>
      <c r="X279" s="395"/>
      <c r="Y279" s="395"/>
      <c r="Z279" s="395"/>
      <c r="AA279" s="395"/>
      <c r="AB279" s="497"/>
      <c r="AC279" s="395"/>
      <c r="AD279" s="395"/>
      <c r="AE279" s="395"/>
      <c r="AF279" s="395"/>
      <c r="AG279" s="497"/>
      <c r="AH279" s="395"/>
      <c r="AI279" s="395"/>
      <c r="AJ279" s="395"/>
      <c r="AK279" s="395"/>
      <c r="AL279" s="497"/>
      <c r="AM279" s="395"/>
      <c r="AN279" s="1188"/>
      <c r="AO279" s="395"/>
      <c r="AP279" s="395"/>
      <c r="AQ279" s="497"/>
      <c r="AR279" s="1188"/>
      <c r="AS279" s="395"/>
      <c r="AT279" s="395"/>
      <c r="AU279" s="395"/>
      <c r="AV279" s="497"/>
      <c r="AW279" s="395"/>
      <c r="AX279" s="395"/>
      <c r="AY279" s="395"/>
      <c r="AZ279" s="395"/>
      <c r="BA279" s="497"/>
      <c r="BB279" s="395"/>
      <c r="BC279" s="395"/>
      <c r="BD279" s="395"/>
      <c r="BE279" s="395"/>
      <c r="BF279" s="497"/>
      <c r="BG279" s="395"/>
      <c r="BH279" s="395"/>
      <c r="BI279" s="395"/>
      <c r="BJ279" s="395"/>
      <c r="BK279" s="497"/>
      <c r="BL279" s="395"/>
      <c r="BM279" s="395"/>
      <c r="BN279" s="395"/>
      <c r="BO279" s="395"/>
    </row>
    <row r="280" spans="3:67">
      <c r="C280" s="394"/>
      <c r="D280" s="395"/>
      <c r="E280" s="395"/>
      <c r="F280" s="395"/>
      <c r="G280" s="395"/>
      <c r="H280" s="394"/>
      <c r="I280" s="395"/>
      <c r="J280" s="395"/>
      <c r="K280" s="395"/>
      <c r="L280" s="395"/>
      <c r="M280" s="394"/>
      <c r="N280" s="395"/>
      <c r="O280" s="395"/>
      <c r="P280" s="395"/>
      <c r="Q280" s="395"/>
      <c r="R280" s="394"/>
      <c r="S280" s="395"/>
      <c r="T280" s="395"/>
      <c r="U280" s="395"/>
      <c r="V280" s="395"/>
      <c r="W280" s="394"/>
      <c r="X280" s="395"/>
      <c r="Y280" s="395"/>
      <c r="Z280" s="395"/>
      <c r="AA280" s="395"/>
      <c r="AB280" s="394"/>
      <c r="AC280" s="395"/>
      <c r="AD280" s="395"/>
      <c r="AE280" s="395"/>
      <c r="AF280" s="395"/>
      <c r="AG280" s="394"/>
      <c r="AH280" s="395"/>
      <c r="AI280" s="395"/>
      <c r="AJ280" s="395"/>
      <c r="AK280" s="395"/>
      <c r="AL280" s="394"/>
      <c r="AM280" s="395"/>
      <c r="AN280" s="1188"/>
      <c r="AO280" s="395"/>
      <c r="AP280" s="395"/>
      <c r="AQ280" s="394"/>
      <c r="AR280" s="1188"/>
      <c r="AS280" s="395"/>
      <c r="AT280" s="395"/>
      <c r="AU280" s="395"/>
      <c r="AV280" s="394"/>
      <c r="AW280" s="395"/>
      <c r="AX280" s="395"/>
      <c r="AY280" s="395"/>
      <c r="AZ280" s="395"/>
      <c r="BA280" s="394"/>
      <c r="BB280" s="395"/>
      <c r="BC280" s="395"/>
      <c r="BD280" s="395"/>
      <c r="BE280" s="395"/>
      <c r="BF280" s="394"/>
      <c r="BG280" s="395"/>
      <c r="BH280" s="395"/>
      <c r="BI280" s="395"/>
      <c r="BJ280" s="395"/>
      <c r="BK280" s="394"/>
      <c r="BL280" s="395"/>
      <c r="BM280" s="395"/>
      <c r="BN280" s="395"/>
      <c r="BO280" s="395"/>
    </row>
    <row r="281" spans="3:67">
      <c r="C281" s="394"/>
      <c r="D281" s="501"/>
      <c r="E281" s="501"/>
      <c r="F281" s="501"/>
      <c r="G281" s="501"/>
      <c r="H281" s="394"/>
      <c r="I281" s="501"/>
      <c r="J281" s="501"/>
      <c r="K281" s="501"/>
      <c r="L281" s="501"/>
      <c r="M281" s="394"/>
      <c r="N281" s="501"/>
      <c r="O281" s="501"/>
      <c r="P281" s="501"/>
      <c r="Q281" s="501"/>
      <c r="R281" s="394"/>
      <c r="S281" s="501"/>
      <c r="T281" s="501"/>
      <c r="U281" s="501"/>
      <c r="V281" s="501"/>
      <c r="W281" s="394"/>
      <c r="X281" s="501"/>
      <c r="Y281" s="501"/>
      <c r="Z281" s="501"/>
      <c r="AA281" s="501"/>
      <c r="AB281" s="394"/>
      <c r="AC281" s="501"/>
      <c r="AD281" s="501"/>
      <c r="AE281" s="501"/>
      <c r="AF281" s="501"/>
      <c r="AG281" s="394"/>
      <c r="AH281" s="501"/>
      <c r="AI281" s="501"/>
      <c r="AJ281" s="501"/>
      <c r="AK281" s="501"/>
      <c r="AL281" s="394"/>
      <c r="AM281" s="501"/>
      <c r="AN281" s="1302"/>
      <c r="AO281" s="501"/>
      <c r="AP281" s="501"/>
      <c r="AQ281" s="394"/>
      <c r="AR281" s="1302"/>
      <c r="AS281" s="501"/>
      <c r="AT281" s="501"/>
      <c r="AU281" s="501"/>
      <c r="AV281" s="394"/>
      <c r="AW281" s="501"/>
      <c r="AX281" s="501"/>
      <c r="AY281" s="501"/>
      <c r="AZ281" s="501"/>
      <c r="BA281" s="394"/>
      <c r="BB281" s="501"/>
      <c r="BC281" s="501"/>
      <c r="BD281" s="501"/>
      <c r="BE281" s="501"/>
      <c r="BF281" s="394"/>
      <c r="BG281" s="501"/>
      <c r="BH281" s="501"/>
      <c r="BI281" s="501"/>
      <c r="BJ281" s="501"/>
      <c r="BK281" s="394"/>
      <c r="BL281" s="501"/>
      <c r="BM281" s="501"/>
      <c r="BN281" s="501"/>
      <c r="BO281" s="501"/>
    </row>
    <row r="282" spans="3:67">
      <c r="C282" s="502"/>
      <c r="D282" s="503"/>
      <c r="E282" s="503"/>
      <c r="F282" s="503"/>
      <c r="G282" s="503"/>
      <c r="H282" s="502"/>
      <c r="I282" s="503"/>
      <c r="J282" s="503"/>
      <c r="K282" s="503"/>
      <c r="L282" s="503"/>
      <c r="M282" s="502"/>
      <c r="N282" s="503"/>
      <c r="O282" s="503"/>
      <c r="P282" s="503"/>
      <c r="Q282" s="503"/>
      <c r="R282" s="502"/>
      <c r="S282" s="503"/>
      <c r="T282" s="503"/>
      <c r="U282" s="503"/>
      <c r="V282" s="503"/>
      <c r="W282" s="502"/>
      <c r="X282" s="503"/>
      <c r="Y282" s="503"/>
      <c r="Z282" s="503"/>
      <c r="AA282" s="503"/>
      <c r="AB282" s="502"/>
      <c r="AC282" s="503"/>
      <c r="AD282" s="503"/>
      <c r="AE282" s="503"/>
      <c r="AF282" s="503"/>
      <c r="AG282" s="502"/>
      <c r="AH282" s="503"/>
      <c r="AI282" s="503"/>
      <c r="AJ282" s="503"/>
      <c r="AK282" s="503"/>
      <c r="AL282" s="502"/>
      <c r="AM282" s="503"/>
      <c r="AN282" s="1303"/>
      <c r="AO282" s="503"/>
      <c r="AP282" s="503"/>
      <c r="AQ282" s="502"/>
      <c r="AR282" s="1303"/>
      <c r="AS282" s="503"/>
      <c r="AT282" s="503"/>
      <c r="AU282" s="503"/>
      <c r="AV282" s="502"/>
      <c r="AW282" s="503"/>
      <c r="AX282" s="503"/>
      <c r="AY282" s="503"/>
      <c r="AZ282" s="503"/>
      <c r="BA282" s="502"/>
      <c r="BB282" s="503"/>
      <c r="BC282" s="503"/>
      <c r="BD282" s="503"/>
      <c r="BE282" s="503"/>
      <c r="BF282" s="502"/>
      <c r="BG282" s="503"/>
      <c r="BH282" s="503"/>
      <c r="BI282" s="503"/>
      <c r="BJ282" s="503"/>
      <c r="BK282" s="502"/>
      <c r="BL282" s="503"/>
      <c r="BM282" s="503"/>
      <c r="BN282" s="503"/>
      <c r="BO282" s="503"/>
    </row>
    <row r="285" spans="3:67">
      <c r="C285" s="463"/>
      <c r="D285" s="384"/>
      <c r="E285" s="384"/>
      <c r="F285" s="384"/>
      <c r="G285" s="384"/>
      <c r="H285" s="463"/>
      <c r="I285" s="384"/>
      <c r="J285" s="384"/>
      <c r="K285" s="384"/>
      <c r="L285" s="384"/>
      <c r="M285" s="463"/>
      <c r="N285" s="384"/>
      <c r="O285" s="384"/>
      <c r="P285" s="384"/>
      <c r="Q285" s="384"/>
      <c r="R285" s="463"/>
      <c r="S285" s="384"/>
      <c r="T285" s="384"/>
      <c r="U285" s="384"/>
      <c r="V285" s="384"/>
      <c r="W285" s="463"/>
      <c r="X285" s="384"/>
      <c r="Y285" s="384"/>
      <c r="Z285" s="384"/>
      <c r="AA285" s="384"/>
      <c r="AB285" s="463"/>
      <c r="AC285" s="384"/>
      <c r="AD285" s="384"/>
      <c r="AE285" s="384"/>
      <c r="AF285" s="384"/>
      <c r="AG285" s="463"/>
      <c r="AH285" s="384"/>
      <c r="AI285" s="384"/>
      <c r="AJ285" s="384"/>
      <c r="AK285" s="384"/>
      <c r="AL285" s="463"/>
      <c r="AM285" s="384"/>
      <c r="AN285" s="1116"/>
      <c r="AO285" s="384"/>
      <c r="AP285" s="384"/>
      <c r="AQ285" s="463"/>
      <c r="AR285" s="1116"/>
      <c r="AS285" s="384"/>
      <c r="AT285" s="384"/>
      <c r="AU285" s="384"/>
      <c r="AV285" s="463"/>
      <c r="AW285" s="384"/>
      <c r="AX285" s="384"/>
      <c r="AY285" s="384"/>
      <c r="AZ285" s="384"/>
      <c r="BA285" s="463"/>
      <c r="BB285" s="384"/>
      <c r="BC285" s="384"/>
      <c r="BD285" s="384"/>
      <c r="BE285" s="384"/>
      <c r="BF285" s="463"/>
      <c r="BG285" s="384"/>
      <c r="BH285" s="384"/>
      <c r="BI285" s="384"/>
      <c r="BJ285" s="384"/>
      <c r="BK285" s="463"/>
      <c r="BL285" s="384"/>
      <c r="BM285" s="384"/>
      <c r="BN285" s="384"/>
      <c r="BO285" s="384"/>
    </row>
    <row r="288" spans="3:67">
      <c r="C288" s="504"/>
      <c r="D288" s="505"/>
      <c r="E288" s="505"/>
      <c r="F288" s="505"/>
      <c r="G288" s="505"/>
      <c r="H288" s="504"/>
      <c r="I288" s="505"/>
      <c r="J288" s="505"/>
      <c r="K288" s="505"/>
      <c r="L288" s="505"/>
      <c r="M288" s="504"/>
      <c r="N288" s="505"/>
      <c r="O288" s="505"/>
      <c r="P288" s="505"/>
      <c r="Q288" s="505"/>
      <c r="R288" s="504"/>
      <c r="S288" s="505"/>
      <c r="T288" s="505"/>
      <c r="U288" s="505"/>
      <c r="V288" s="505"/>
      <c r="W288" s="504"/>
      <c r="X288" s="505"/>
      <c r="Y288" s="505"/>
      <c r="Z288" s="505"/>
      <c r="AA288" s="505"/>
      <c r="AB288" s="504"/>
      <c r="AC288" s="505"/>
      <c r="AD288" s="505"/>
      <c r="AE288" s="505"/>
      <c r="AF288" s="505"/>
      <c r="AG288" s="504"/>
      <c r="AH288" s="505"/>
      <c r="AI288" s="505"/>
      <c r="AJ288" s="505"/>
      <c r="AK288" s="505"/>
      <c r="AL288" s="504"/>
      <c r="AM288" s="505"/>
      <c r="AN288" s="1304"/>
      <c r="AO288" s="505"/>
      <c r="AP288" s="505"/>
      <c r="AQ288" s="504"/>
      <c r="AR288" s="1304"/>
      <c r="AS288" s="505"/>
      <c r="AT288" s="505"/>
      <c r="AU288" s="505"/>
      <c r="AV288" s="504"/>
      <c r="AW288" s="505"/>
      <c r="AX288" s="505"/>
      <c r="AY288" s="505"/>
      <c r="AZ288" s="505"/>
      <c r="BA288" s="504"/>
      <c r="BB288" s="505"/>
      <c r="BC288" s="505"/>
      <c r="BD288" s="505"/>
      <c r="BE288" s="505"/>
      <c r="BF288" s="504"/>
      <c r="BG288" s="505"/>
      <c r="BH288" s="505"/>
      <c r="BI288" s="505"/>
      <c r="BJ288" s="505"/>
      <c r="BK288" s="504"/>
      <c r="BL288" s="505"/>
      <c r="BM288" s="505"/>
      <c r="BN288" s="505"/>
      <c r="BO288" s="505"/>
    </row>
    <row r="291" spans="3:67">
      <c r="C291" s="463"/>
      <c r="D291" s="384"/>
      <c r="E291" s="384"/>
      <c r="F291" s="384"/>
      <c r="G291" s="384"/>
      <c r="H291" s="463"/>
      <c r="I291" s="384"/>
      <c r="J291" s="384"/>
      <c r="K291" s="384"/>
      <c r="L291" s="384"/>
      <c r="M291" s="463"/>
      <c r="N291" s="384"/>
      <c r="O291" s="384"/>
      <c r="P291" s="384"/>
      <c r="Q291" s="384"/>
      <c r="R291" s="463"/>
      <c r="S291" s="384"/>
      <c r="T291" s="384"/>
      <c r="U291" s="384"/>
      <c r="V291" s="384"/>
      <c r="W291" s="463"/>
      <c r="X291" s="384"/>
      <c r="Y291" s="384"/>
      <c r="Z291" s="384"/>
      <c r="AA291" s="384"/>
      <c r="AB291" s="463"/>
      <c r="AC291" s="384"/>
      <c r="AD291" s="384"/>
      <c r="AE291" s="384"/>
      <c r="AF291" s="384"/>
      <c r="AG291" s="463"/>
      <c r="AH291" s="384"/>
      <c r="AI291" s="384"/>
      <c r="AJ291" s="384"/>
      <c r="AK291" s="384"/>
      <c r="AL291" s="463"/>
      <c r="AM291" s="384"/>
      <c r="AN291" s="1116"/>
      <c r="AO291" s="384"/>
      <c r="AP291" s="384"/>
      <c r="AQ291" s="463"/>
      <c r="AR291" s="1116"/>
      <c r="AS291" s="384"/>
      <c r="AT291" s="384"/>
      <c r="AU291" s="384"/>
      <c r="AV291" s="463"/>
      <c r="AW291" s="384"/>
      <c r="AX291" s="384"/>
      <c r="AY291" s="384"/>
      <c r="AZ291" s="384"/>
      <c r="BA291" s="463"/>
      <c r="BB291" s="384"/>
      <c r="BC291" s="384"/>
      <c r="BD291" s="384"/>
      <c r="BE291" s="384"/>
      <c r="BF291" s="463"/>
      <c r="BG291" s="384"/>
      <c r="BH291" s="384"/>
      <c r="BI291" s="384"/>
      <c r="BJ291" s="384"/>
      <c r="BK291" s="463"/>
      <c r="BL291" s="384"/>
      <c r="BM291" s="384"/>
      <c r="BN291" s="384"/>
      <c r="BO291" s="384"/>
    </row>
    <row r="292" spans="3:67">
      <c r="C292" s="506"/>
      <c r="D292" s="507"/>
      <c r="E292" s="507"/>
      <c r="F292" s="507"/>
      <c r="G292" s="507"/>
      <c r="H292" s="506"/>
      <c r="I292" s="507"/>
      <c r="J292" s="507"/>
      <c r="K292" s="507"/>
      <c r="L292" s="507"/>
      <c r="M292" s="506"/>
      <c r="N292" s="507"/>
      <c r="O292" s="507"/>
      <c r="P292" s="507"/>
      <c r="Q292" s="507"/>
      <c r="R292" s="506"/>
      <c r="S292" s="507"/>
      <c r="T292" s="507"/>
      <c r="U292" s="507"/>
      <c r="V292" s="507"/>
      <c r="W292" s="506"/>
      <c r="X292" s="507"/>
      <c r="Y292" s="507"/>
      <c r="Z292" s="507"/>
      <c r="AA292" s="507"/>
      <c r="AB292" s="506"/>
      <c r="AC292" s="507"/>
      <c r="AD292" s="507"/>
      <c r="AE292" s="507"/>
      <c r="AF292" s="507"/>
      <c r="AG292" s="506"/>
      <c r="AH292" s="507"/>
      <c r="AI292" s="507"/>
      <c r="AJ292" s="507"/>
      <c r="AK292" s="507"/>
      <c r="AL292" s="506"/>
      <c r="AM292" s="507"/>
      <c r="AN292" s="1305"/>
      <c r="AO292" s="507"/>
      <c r="AP292" s="507"/>
      <c r="AQ292" s="506"/>
      <c r="AR292" s="1305"/>
      <c r="AS292" s="507"/>
      <c r="AT292" s="507"/>
      <c r="AU292" s="507"/>
      <c r="AV292" s="506"/>
      <c r="AW292" s="507"/>
      <c r="AX292" s="507"/>
      <c r="AY292" s="507"/>
      <c r="AZ292" s="507"/>
      <c r="BA292" s="506"/>
      <c r="BB292" s="507"/>
      <c r="BC292" s="507"/>
      <c r="BD292" s="507"/>
      <c r="BE292" s="507"/>
      <c r="BF292" s="506"/>
      <c r="BG292" s="507"/>
      <c r="BH292" s="507"/>
      <c r="BI292" s="507"/>
      <c r="BJ292" s="507"/>
      <c r="BK292" s="506"/>
      <c r="BL292" s="507"/>
      <c r="BM292" s="507"/>
      <c r="BN292" s="507"/>
      <c r="BO292" s="507"/>
    </row>
    <row r="293" spans="3:67">
      <c r="C293" s="502"/>
      <c r="D293" s="384"/>
      <c r="E293" s="384"/>
      <c r="F293" s="384"/>
      <c r="G293" s="384"/>
      <c r="H293" s="502"/>
      <c r="I293" s="384"/>
      <c r="J293" s="384"/>
      <c r="K293" s="384"/>
      <c r="L293" s="384"/>
      <c r="M293" s="502"/>
      <c r="N293" s="384"/>
      <c r="O293" s="384"/>
      <c r="P293" s="384"/>
      <c r="Q293" s="384"/>
      <c r="R293" s="502"/>
      <c r="S293" s="384"/>
      <c r="T293" s="384"/>
      <c r="U293" s="384"/>
      <c r="V293" s="384"/>
      <c r="W293" s="502"/>
      <c r="X293" s="384"/>
      <c r="Y293" s="384"/>
      <c r="Z293" s="384"/>
      <c r="AA293" s="384"/>
      <c r="AB293" s="502"/>
      <c r="AC293" s="384"/>
      <c r="AD293" s="384"/>
      <c r="AE293" s="384"/>
      <c r="AF293" s="384"/>
      <c r="AG293" s="502"/>
      <c r="AH293" s="384"/>
      <c r="AI293" s="384"/>
      <c r="AJ293" s="384"/>
      <c r="AK293" s="384"/>
      <c r="AL293" s="502"/>
      <c r="AM293" s="384"/>
      <c r="AN293" s="1116"/>
      <c r="AO293" s="384"/>
      <c r="AP293" s="384"/>
      <c r="AQ293" s="502"/>
      <c r="AR293" s="1116"/>
      <c r="AS293" s="384"/>
      <c r="AT293" s="384"/>
      <c r="AU293" s="384"/>
      <c r="AV293" s="502"/>
      <c r="AW293" s="384"/>
      <c r="AX293" s="384"/>
      <c r="AY293" s="384"/>
      <c r="AZ293" s="384"/>
      <c r="BA293" s="502"/>
      <c r="BB293" s="384"/>
      <c r="BC293" s="384"/>
      <c r="BD293" s="384"/>
      <c r="BE293" s="384"/>
      <c r="BF293" s="502"/>
      <c r="BG293" s="384"/>
      <c r="BH293" s="384"/>
      <c r="BI293" s="384"/>
      <c r="BJ293" s="384"/>
      <c r="BK293" s="502"/>
      <c r="BL293" s="384"/>
      <c r="BM293" s="384"/>
      <c r="BN293" s="384"/>
      <c r="BO293" s="384"/>
    </row>
    <row r="295" spans="3:67">
      <c r="C295" s="497"/>
      <c r="D295" s="498"/>
      <c r="E295" s="498"/>
      <c r="F295" s="498"/>
      <c r="G295" s="498"/>
      <c r="H295" s="497"/>
      <c r="I295" s="498"/>
      <c r="J295" s="498"/>
      <c r="K295" s="498"/>
      <c r="L295" s="498"/>
      <c r="M295" s="497"/>
      <c r="N295" s="498"/>
      <c r="O295" s="498"/>
      <c r="P295" s="498"/>
      <c r="Q295" s="498"/>
      <c r="R295" s="497"/>
      <c r="S295" s="498"/>
      <c r="T295" s="498"/>
      <c r="U295" s="498"/>
      <c r="V295" s="498"/>
      <c r="W295" s="497"/>
      <c r="X295" s="498"/>
      <c r="Y295" s="498"/>
      <c r="Z295" s="498"/>
      <c r="AA295" s="498"/>
      <c r="AB295" s="497"/>
      <c r="AC295" s="498"/>
      <c r="AD295" s="498"/>
      <c r="AE295" s="498"/>
      <c r="AF295" s="498"/>
      <c r="AG295" s="497"/>
      <c r="AH295" s="498"/>
      <c r="AI295" s="498"/>
      <c r="AJ295" s="498"/>
      <c r="AK295" s="498"/>
      <c r="AL295" s="497"/>
      <c r="AM295" s="498"/>
      <c r="AN295" s="1300"/>
      <c r="AO295" s="498"/>
      <c r="AP295" s="498"/>
      <c r="AQ295" s="497"/>
      <c r="AR295" s="1300"/>
      <c r="AS295" s="498"/>
      <c r="AT295" s="498"/>
      <c r="AU295" s="498"/>
      <c r="AV295" s="497"/>
      <c r="AW295" s="498"/>
      <c r="AX295" s="498"/>
      <c r="AY295" s="498"/>
      <c r="AZ295" s="498"/>
      <c r="BA295" s="497"/>
      <c r="BB295" s="498"/>
      <c r="BC295" s="498"/>
      <c r="BD295" s="498"/>
      <c r="BE295" s="498"/>
      <c r="BF295" s="497"/>
      <c r="BG295" s="498"/>
      <c r="BH295" s="498"/>
      <c r="BI295" s="498"/>
      <c r="BJ295" s="498"/>
      <c r="BK295" s="497"/>
      <c r="BL295" s="498"/>
      <c r="BM295" s="498"/>
      <c r="BN295" s="498"/>
      <c r="BO295" s="498"/>
    </row>
    <row r="296" spans="3:67">
      <c r="C296" s="463"/>
      <c r="D296" s="384"/>
      <c r="E296" s="384"/>
      <c r="F296" s="384"/>
      <c r="G296" s="384"/>
      <c r="H296" s="463"/>
      <c r="I296" s="384"/>
      <c r="J296" s="384"/>
      <c r="K296" s="384"/>
      <c r="L296" s="384"/>
      <c r="M296" s="463"/>
      <c r="N296" s="384"/>
      <c r="O296" s="384"/>
      <c r="P296" s="384"/>
      <c r="Q296" s="384"/>
      <c r="R296" s="463"/>
      <c r="S296" s="384"/>
      <c r="T296" s="384"/>
      <c r="U296" s="384"/>
      <c r="V296" s="384"/>
      <c r="W296" s="463"/>
      <c r="X296" s="384"/>
      <c r="Y296" s="384"/>
      <c r="Z296" s="384"/>
      <c r="AA296" s="384"/>
      <c r="AB296" s="463"/>
      <c r="AC296" s="384"/>
      <c r="AD296" s="384"/>
      <c r="AE296" s="384"/>
      <c r="AF296" s="384"/>
      <c r="AG296" s="463"/>
      <c r="AH296" s="384"/>
      <c r="AI296" s="384"/>
      <c r="AJ296" s="384"/>
      <c r="AK296" s="384"/>
      <c r="AL296" s="463"/>
      <c r="AM296" s="384"/>
      <c r="AN296" s="1116"/>
      <c r="AO296" s="384"/>
      <c r="AP296" s="384"/>
      <c r="AQ296" s="463"/>
      <c r="AR296" s="1116"/>
      <c r="AS296" s="384"/>
      <c r="AT296" s="384"/>
      <c r="AU296" s="384"/>
      <c r="AV296" s="463"/>
      <c r="AW296" s="384"/>
      <c r="AX296" s="384"/>
      <c r="AY296" s="384"/>
      <c r="AZ296" s="384"/>
      <c r="BA296" s="463"/>
      <c r="BB296" s="384"/>
      <c r="BC296" s="384"/>
      <c r="BD296" s="384"/>
      <c r="BE296" s="384"/>
      <c r="BF296" s="463"/>
      <c r="BG296" s="384"/>
      <c r="BH296" s="384"/>
      <c r="BI296" s="384"/>
      <c r="BJ296" s="384"/>
      <c r="BK296" s="463"/>
      <c r="BL296" s="384"/>
      <c r="BM296" s="384"/>
      <c r="BN296" s="384"/>
      <c r="BO296" s="384"/>
    </row>
    <row r="298" spans="3:67">
      <c r="C298" s="508"/>
      <c r="D298" s="501"/>
      <c r="E298" s="501"/>
      <c r="F298" s="501"/>
      <c r="G298" s="501"/>
      <c r="H298" s="508"/>
      <c r="I298" s="501"/>
      <c r="J298" s="501"/>
      <c r="K298" s="501"/>
      <c r="L298" s="501"/>
      <c r="M298" s="508"/>
      <c r="N298" s="501"/>
      <c r="O298" s="501"/>
      <c r="P298" s="501"/>
      <c r="Q298" s="501"/>
      <c r="R298" s="508"/>
      <c r="S298" s="501"/>
      <c r="T298" s="501"/>
      <c r="U298" s="501"/>
      <c r="V298" s="501"/>
      <c r="W298" s="508"/>
      <c r="X298" s="501"/>
      <c r="Y298" s="501"/>
      <c r="Z298" s="501"/>
      <c r="AA298" s="501"/>
      <c r="AB298" s="508"/>
      <c r="AC298" s="501"/>
      <c r="AD298" s="501"/>
      <c r="AE298" s="501"/>
      <c r="AF298" s="501"/>
      <c r="AG298" s="508"/>
      <c r="AH298" s="501"/>
      <c r="AI298" s="501"/>
      <c r="AJ298" s="501"/>
      <c r="AK298" s="501"/>
      <c r="AL298" s="508"/>
      <c r="AM298" s="501"/>
      <c r="AN298" s="1302"/>
      <c r="AO298" s="501"/>
      <c r="AP298" s="501"/>
      <c r="AQ298" s="508"/>
      <c r="AR298" s="1302"/>
      <c r="AS298" s="501"/>
      <c r="AT298" s="501"/>
      <c r="AU298" s="501"/>
      <c r="AV298" s="508"/>
      <c r="AW298" s="501"/>
      <c r="AX298" s="501"/>
      <c r="AY298" s="501"/>
      <c r="AZ298" s="501"/>
      <c r="BA298" s="508"/>
      <c r="BB298" s="501"/>
      <c r="BC298" s="501"/>
      <c r="BD298" s="501"/>
      <c r="BE298" s="501"/>
      <c r="BF298" s="508"/>
      <c r="BG298" s="501"/>
      <c r="BH298" s="501"/>
      <c r="BI298" s="501"/>
      <c r="BJ298" s="501"/>
      <c r="BK298" s="508"/>
      <c r="BL298" s="501"/>
      <c r="BM298" s="501"/>
      <c r="BN298" s="501"/>
      <c r="BO298" s="501"/>
    </row>
    <row r="299" spans="3:67">
      <c r="C299" s="502"/>
      <c r="D299" s="503"/>
      <c r="E299" s="503"/>
      <c r="F299" s="503"/>
      <c r="G299" s="503"/>
      <c r="H299" s="502"/>
      <c r="I299" s="503"/>
      <c r="J299" s="503"/>
      <c r="K299" s="503"/>
      <c r="L299" s="503"/>
      <c r="M299" s="502"/>
      <c r="N299" s="503"/>
      <c r="O299" s="503"/>
      <c r="P299" s="503"/>
      <c r="Q299" s="503"/>
      <c r="R299" s="502"/>
      <c r="S299" s="503"/>
      <c r="T299" s="503"/>
      <c r="U299" s="503"/>
      <c r="V299" s="503"/>
      <c r="W299" s="502"/>
      <c r="X299" s="503"/>
      <c r="Y299" s="503"/>
      <c r="Z299" s="503"/>
      <c r="AA299" s="503"/>
      <c r="AB299" s="502"/>
      <c r="AC299" s="503"/>
      <c r="AD299" s="503"/>
      <c r="AE299" s="503"/>
      <c r="AF299" s="503"/>
      <c r="AG299" s="502"/>
      <c r="AH299" s="503"/>
      <c r="AI299" s="503"/>
      <c r="AJ299" s="503"/>
      <c r="AK299" s="503"/>
      <c r="AL299" s="502"/>
      <c r="AM299" s="503"/>
      <c r="AN299" s="1303"/>
      <c r="AO299" s="503"/>
      <c r="AP299" s="503"/>
      <c r="AQ299" s="502"/>
      <c r="AR299" s="1303"/>
      <c r="AS299" s="503"/>
      <c r="AT299" s="503"/>
      <c r="AU299" s="503"/>
      <c r="AV299" s="502"/>
      <c r="AW299" s="503"/>
      <c r="AX299" s="503"/>
      <c r="AY299" s="503"/>
      <c r="AZ299" s="503"/>
      <c r="BA299" s="502"/>
      <c r="BB299" s="503"/>
      <c r="BC299" s="503"/>
      <c r="BD299" s="503"/>
      <c r="BE299" s="503"/>
      <c r="BF299" s="502"/>
      <c r="BG299" s="503"/>
      <c r="BH299" s="503"/>
      <c r="BI299" s="503"/>
      <c r="BJ299" s="503"/>
      <c r="BK299" s="502"/>
      <c r="BL299" s="503"/>
      <c r="BM299" s="503"/>
      <c r="BN299" s="503"/>
      <c r="BO299" s="503"/>
    </row>
    <row r="301" spans="3:67">
      <c r="C301" s="497"/>
      <c r="D301" s="498"/>
      <c r="E301" s="498"/>
      <c r="F301" s="498"/>
      <c r="G301" s="498"/>
      <c r="H301" s="497"/>
      <c r="I301" s="498"/>
      <c r="J301" s="498"/>
      <c r="K301" s="498"/>
      <c r="L301" s="498"/>
      <c r="M301" s="497"/>
      <c r="N301" s="498"/>
      <c r="O301" s="498"/>
      <c r="P301" s="498"/>
      <c r="Q301" s="498"/>
      <c r="R301" s="497"/>
      <c r="S301" s="498"/>
      <c r="T301" s="498"/>
      <c r="U301" s="498"/>
      <c r="V301" s="498"/>
      <c r="W301" s="497"/>
      <c r="X301" s="498"/>
      <c r="Y301" s="498"/>
      <c r="Z301" s="498"/>
      <c r="AA301" s="498"/>
      <c r="AB301" s="497"/>
      <c r="AC301" s="498"/>
      <c r="AD301" s="498"/>
      <c r="AE301" s="498"/>
      <c r="AF301" s="498"/>
      <c r="AG301" s="497"/>
      <c r="AH301" s="498"/>
      <c r="AI301" s="498"/>
      <c r="AJ301" s="498"/>
      <c r="AK301" s="498"/>
      <c r="AL301" s="497"/>
      <c r="AM301" s="498"/>
      <c r="AN301" s="1300"/>
      <c r="AO301" s="498"/>
      <c r="AP301" s="498"/>
      <c r="AQ301" s="497"/>
      <c r="AR301" s="1300"/>
      <c r="AS301" s="498"/>
      <c r="AT301" s="498"/>
      <c r="AU301" s="498"/>
      <c r="AV301" s="497"/>
      <c r="AW301" s="498"/>
      <c r="AX301" s="498"/>
      <c r="AY301" s="498"/>
      <c r="AZ301" s="498"/>
      <c r="BA301" s="497"/>
      <c r="BB301" s="498"/>
      <c r="BC301" s="498"/>
      <c r="BD301" s="498"/>
      <c r="BE301" s="498"/>
      <c r="BF301" s="497"/>
      <c r="BG301" s="498"/>
      <c r="BH301" s="498"/>
      <c r="BI301" s="498"/>
      <c r="BJ301" s="498"/>
      <c r="BK301" s="497"/>
      <c r="BL301" s="498"/>
      <c r="BM301" s="498"/>
      <c r="BN301" s="498"/>
      <c r="BO301" s="498"/>
    </row>
    <row r="302" spans="3:67">
      <c r="C302" s="463"/>
      <c r="D302" s="384"/>
      <c r="E302" s="384"/>
      <c r="F302" s="384"/>
      <c r="G302" s="384"/>
      <c r="H302" s="463"/>
      <c r="I302" s="384"/>
      <c r="J302" s="384"/>
      <c r="K302" s="384"/>
      <c r="L302" s="384"/>
      <c r="M302" s="463"/>
      <c r="N302" s="384"/>
      <c r="O302" s="384"/>
      <c r="P302" s="384"/>
      <c r="Q302" s="384"/>
      <c r="R302" s="463"/>
      <c r="S302" s="384"/>
      <c r="T302" s="384"/>
      <c r="U302" s="384"/>
      <c r="V302" s="384"/>
      <c r="W302" s="463"/>
      <c r="X302" s="384"/>
      <c r="Y302" s="384"/>
      <c r="Z302" s="384"/>
      <c r="AA302" s="384"/>
      <c r="AB302" s="463"/>
      <c r="AC302" s="384"/>
      <c r="AD302" s="384"/>
      <c r="AE302" s="384"/>
      <c r="AF302" s="384"/>
      <c r="AG302" s="463"/>
      <c r="AH302" s="384"/>
      <c r="AI302" s="384"/>
      <c r="AJ302" s="384"/>
      <c r="AK302" s="384"/>
      <c r="AL302" s="463"/>
      <c r="AM302" s="384"/>
      <c r="AN302" s="1116"/>
      <c r="AO302" s="384"/>
      <c r="AP302" s="384"/>
      <c r="AQ302" s="463"/>
      <c r="AR302" s="1116"/>
      <c r="AS302" s="384"/>
      <c r="AT302" s="384"/>
      <c r="AU302" s="384"/>
      <c r="AV302" s="463"/>
      <c r="AW302" s="384"/>
      <c r="AX302" s="384"/>
      <c r="AY302" s="384"/>
      <c r="AZ302" s="384"/>
      <c r="BA302" s="463"/>
      <c r="BB302" s="384"/>
      <c r="BC302" s="384"/>
      <c r="BD302" s="384"/>
      <c r="BE302" s="384"/>
      <c r="BF302" s="463"/>
      <c r="BG302" s="384"/>
      <c r="BH302" s="384"/>
      <c r="BI302" s="384"/>
      <c r="BJ302" s="384"/>
      <c r="BK302" s="463"/>
      <c r="BL302" s="384"/>
      <c r="BM302" s="384"/>
      <c r="BN302" s="384"/>
      <c r="BO302" s="384"/>
    </row>
    <row r="304" spans="3:67">
      <c r="C304" s="463"/>
      <c r="D304" s="384"/>
      <c r="E304" s="384"/>
      <c r="F304" s="384"/>
      <c r="G304" s="384"/>
      <c r="H304" s="463"/>
      <c r="I304" s="384"/>
      <c r="J304" s="384"/>
      <c r="K304" s="384"/>
      <c r="L304" s="384"/>
      <c r="M304" s="463"/>
      <c r="N304" s="384"/>
      <c r="O304" s="384"/>
      <c r="P304" s="384"/>
      <c r="Q304" s="384"/>
      <c r="R304" s="463"/>
      <c r="S304" s="384"/>
      <c r="T304" s="384"/>
      <c r="U304" s="384"/>
      <c r="V304" s="384"/>
      <c r="W304" s="463"/>
      <c r="X304" s="384"/>
      <c r="Y304" s="384"/>
      <c r="Z304" s="384"/>
      <c r="AA304" s="384"/>
      <c r="AB304" s="463"/>
      <c r="AC304" s="384"/>
      <c r="AD304" s="384"/>
      <c r="AE304" s="384"/>
      <c r="AF304" s="384"/>
      <c r="AG304" s="463"/>
      <c r="AH304" s="384"/>
      <c r="AI304" s="384"/>
      <c r="AJ304" s="384"/>
      <c r="AK304" s="384"/>
      <c r="AL304" s="463"/>
      <c r="AM304" s="384"/>
      <c r="AN304" s="1116"/>
      <c r="AO304" s="384"/>
      <c r="AP304" s="384"/>
      <c r="AQ304" s="463"/>
      <c r="AR304" s="1116"/>
      <c r="AS304" s="384"/>
      <c r="AT304" s="384"/>
      <c r="AU304" s="384"/>
      <c r="AV304" s="463"/>
      <c r="AW304" s="384"/>
      <c r="AX304" s="384"/>
      <c r="AY304" s="384"/>
      <c r="AZ304" s="384"/>
      <c r="BA304" s="463"/>
      <c r="BB304" s="384"/>
      <c r="BC304" s="384"/>
      <c r="BD304" s="384"/>
      <c r="BE304" s="384"/>
      <c r="BF304" s="463"/>
      <c r="BG304" s="384"/>
      <c r="BH304" s="384"/>
      <c r="BI304" s="384"/>
      <c r="BJ304" s="384"/>
      <c r="BK304" s="463"/>
      <c r="BL304" s="384"/>
      <c r="BM304" s="384"/>
      <c r="BN304" s="384"/>
      <c r="BO304" s="384"/>
    </row>
    <row r="307" spans="3:67">
      <c r="C307" s="509"/>
      <c r="D307" s="510"/>
      <c r="E307" s="510"/>
      <c r="F307" s="510"/>
      <c r="G307" s="510"/>
      <c r="H307" s="509"/>
      <c r="I307" s="510"/>
      <c r="J307" s="510"/>
      <c r="K307" s="510"/>
      <c r="L307" s="510"/>
      <c r="M307" s="509"/>
      <c r="N307" s="510"/>
      <c r="O307" s="510"/>
      <c r="P307" s="510"/>
      <c r="Q307" s="510"/>
      <c r="R307" s="509"/>
      <c r="S307" s="510"/>
      <c r="T307" s="510"/>
      <c r="U307" s="510"/>
      <c r="V307" s="510"/>
      <c r="W307" s="509"/>
      <c r="X307" s="510"/>
      <c r="Y307" s="510"/>
      <c r="Z307" s="510"/>
      <c r="AA307" s="510"/>
      <c r="AB307" s="509"/>
      <c r="AC307" s="510"/>
      <c r="AD307" s="510"/>
      <c r="AE307" s="510"/>
      <c r="AF307" s="510"/>
      <c r="AG307" s="509"/>
      <c r="AH307" s="510"/>
      <c r="AI307" s="510"/>
      <c r="AJ307" s="510"/>
      <c r="AK307" s="510"/>
      <c r="AL307" s="509"/>
      <c r="AM307" s="510"/>
      <c r="AN307" s="1306"/>
      <c r="AO307" s="510"/>
      <c r="AP307" s="510"/>
      <c r="AQ307" s="509"/>
      <c r="AR307" s="1306"/>
      <c r="AS307" s="510"/>
      <c r="AT307" s="510"/>
      <c r="AU307" s="510"/>
      <c r="AV307" s="509"/>
      <c r="AW307" s="510"/>
      <c r="AX307" s="510"/>
      <c r="AY307" s="510"/>
      <c r="AZ307" s="510"/>
      <c r="BA307" s="509"/>
      <c r="BB307" s="510"/>
      <c r="BC307" s="510"/>
      <c r="BD307" s="510"/>
      <c r="BE307" s="510"/>
      <c r="BF307" s="509"/>
      <c r="BG307" s="510"/>
      <c r="BH307" s="510"/>
      <c r="BI307" s="510"/>
      <c r="BJ307" s="510"/>
      <c r="BK307" s="509"/>
      <c r="BL307" s="510"/>
      <c r="BM307" s="510"/>
      <c r="BN307" s="510"/>
      <c r="BO307" s="510"/>
    </row>
    <row r="308" spans="3:67">
      <c r="C308" s="463"/>
      <c r="D308" s="384"/>
      <c r="E308" s="384"/>
      <c r="F308" s="384"/>
      <c r="G308" s="384"/>
      <c r="H308" s="463"/>
      <c r="I308" s="384"/>
      <c r="J308" s="384"/>
      <c r="K308" s="384"/>
      <c r="L308" s="384"/>
      <c r="M308" s="463"/>
      <c r="N308" s="384"/>
      <c r="O308" s="384"/>
      <c r="P308" s="384"/>
      <c r="Q308" s="384"/>
      <c r="R308" s="463"/>
      <c r="S308" s="384"/>
      <c r="T308" s="384"/>
      <c r="U308" s="384"/>
      <c r="V308" s="384"/>
      <c r="W308" s="463"/>
      <c r="X308" s="384"/>
      <c r="Y308" s="384"/>
      <c r="Z308" s="384"/>
      <c r="AA308" s="384"/>
      <c r="AB308" s="463"/>
      <c r="AC308" s="384"/>
      <c r="AD308" s="384"/>
      <c r="AE308" s="384"/>
      <c r="AF308" s="384"/>
      <c r="AG308" s="463"/>
      <c r="AH308" s="384"/>
      <c r="AI308" s="384"/>
      <c r="AJ308" s="384"/>
      <c r="AK308" s="384"/>
      <c r="AL308" s="463"/>
      <c r="AM308" s="384"/>
      <c r="AN308" s="1116"/>
      <c r="AO308" s="384"/>
      <c r="AP308" s="384"/>
      <c r="AQ308" s="463"/>
      <c r="AR308" s="1116"/>
      <c r="AS308" s="384"/>
      <c r="AT308" s="384"/>
      <c r="AU308" s="384"/>
      <c r="AV308" s="463"/>
      <c r="AW308" s="384"/>
      <c r="AX308" s="384"/>
      <c r="AY308" s="384"/>
      <c r="AZ308" s="384"/>
      <c r="BA308" s="463"/>
      <c r="BB308" s="384"/>
      <c r="BC308" s="384"/>
      <c r="BD308" s="384"/>
      <c r="BE308" s="384"/>
      <c r="BF308" s="463"/>
      <c r="BG308" s="384"/>
      <c r="BH308" s="384"/>
      <c r="BI308" s="384"/>
      <c r="BJ308" s="384"/>
      <c r="BK308" s="463"/>
      <c r="BL308" s="384"/>
      <c r="BM308" s="384"/>
      <c r="BN308" s="384"/>
      <c r="BO308" s="384"/>
    </row>
    <row r="311" spans="3:67">
      <c r="C311" s="497"/>
      <c r="D311" s="498"/>
      <c r="E311" s="498"/>
      <c r="F311" s="498"/>
      <c r="G311" s="498"/>
      <c r="H311" s="497"/>
      <c r="I311" s="498"/>
      <c r="J311" s="498"/>
      <c r="K311" s="498"/>
      <c r="L311" s="498"/>
      <c r="M311" s="497"/>
      <c r="N311" s="498"/>
      <c r="O311" s="498"/>
      <c r="P311" s="498"/>
      <c r="Q311" s="498"/>
      <c r="R311" s="497"/>
      <c r="S311" s="498"/>
      <c r="T311" s="498"/>
      <c r="U311" s="498"/>
      <c r="V311" s="498"/>
      <c r="W311" s="497"/>
      <c r="X311" s="498"/>
      <c r="Y311" s="498"/>
      <c r="Z311" s="498"/>
      <c r="AA311" s="498"/>
      <c r="AB311" s="497"/>
      <c r="AC311" s="498"/>
      <c r="AD311" s="498"/>
      <c r="AE311" s="498"/>
      <c r="AF311" s="498"/>
      <c r="AG311" s="497"/>
      <c r="AH311" s="498"/>
      <c r="AI311" s="498"/>
      <c r="AJ311" s="498"/>
      <c r="AK311" s="498"/>
      <c r="AL311" s="497"/>
      <c r="AM311" s="498"/>
      <c r="AN311" s="1300"/>
      <c r="AO311" s="498"/>
      <c r="AP311" s="498"/>
      <c r="AQ311" s="497"/>
      <c r="AR311" s="1300"/>
      <c r="AS311" s="498"/>
      <c r="AT311" s="498"/>
      <c r="AU311" s="498"/>
      <c r="AV311" s="497"/>
      <c r="AW311" s="498"/>
      <c r="AX311" s="498"/>
      <c r="AY311" s="498"/>
      <c r="AZ311" s="498"/>
      <c r="BA311" s="497"/>
      <c r="BB311" s="498"/>
      <c r="BC311" s="498"/>
      <c r="BD311" s="498"/>
      <c r="BE311" s="498"/>
      <c r="BF311" s="497"/>
      <c r="BG311" s="498"/>
      <c r="BH311" s="498"/>
      <c r="BI311" s="498"/>
      <c r="BJ311" s="498"/>
      <c r="BK311" s="497"/>
      <c r="BL311" s="498"/>
      <c r="BM311" s="498"/>
      <c r="BN311" s="498"/>
      <c r="BO311" s="498"/>
    </row>
    <row r="312" spans="3:67">
      <c r="C312" s="394"/>
      <c r="D312" s="395"/>
      <c r="E312" s="395"/>
      <c r="F312" s="395"/>
      <c r="G312" s="395"/>
      <c r="H312" s="394"/>
      <c r="I312" s="395"/>
      <c r="J312" s="395"/>
      <c r="K312" s="395"/>
      <c r="L312" s="395"/>
      <c r="M312" s="394"/>
      <c r="N312" s="395"/>
      <c r="O312" s="395"/>
      <c r="P312" s="395"/>
      <c r="Q312" s="395"/>
      <c r="R312" s="394"/>
      <c r="S312" s="395"/>
      <c r="T312" s="395"/>
      <c r="U312" s="395"/>
      <c r="V312" s="395"/>
      <c r="W312" s="394"/>
      <c r="X312" s="395"/>
      <c r="Y312" s="395"/>
      <c r="Z312" s="395"/>
      <c r="AA312" s="395"/>
      <c r="AB312" s="394"/>
      <c r="AC312" s="395"/>
      <c r="AD312" s="395"/>
      <c r="AE312" s="395"/>
      <c r="AF312" s="395"/>
      <c r="AG312" s="394"/>
      <c r="AH312" s="395"/>
      <c r="AI312" s="395"/>
      <c r="AJ312" s="395"/>
      <c r="AK312" s="395"/>
      <c r="AL312" s="394"/>
      <c r="AM312" s="395"/>
      <c r="AN312" s="1188"/>
      <c r="AO312" s="395"/>
      <c r="AP312" s="395"/>
      <c r="AQ312" s="394"/>
      <c r="AR312" s="1188"/>
      <c r="AS312" s="395"/>
      <c r="AT312" s="395"/>
      <c r="AU312" s="395"/>
      <c r="AV312" s="394"/>
      <c r="AW312" s="395"/>
      <c r="AX312" s="395"/>
      <c r="AY312" s="395"/>
      <c r="AZ312" s="395"/>
      <c r="BA312" s="394"/>
      <c r="BB312" s="395"/>
      <c r="BC312" s="395"/>
      <c r="BD312" s="395"/>
      <c r="BE312" s="395"/>
      <c r="BF312" s="394"/>
      <c r="BG312" s="395"/>
      <c r="BH312" s="395"/>
      <c r="BI312" s="395"/>
      <c r="BJ312" s="395"/>
      <c r="BK312" s="394"/>
      <c r="BL312" s="395"/>
      <c r="BM312" s="395"/>
      <c r="BN312" s="395"/>
      <c r="BO312" s="395"/>
    </row>
    <row r="313" spans="3:67">
      <c r="C313" s="394"/>
      <c r="D313" s="395"/>
      <c r="E313" s="395"/>
      <c r="F313" s="395"/>
      <c r="G313" s="395"/>
      <c r="H313" s="394"/>
      <c r="I313" s="395"/>
      <c r="J313" s="395"/>
      <c r="K313" s="395"/>
      <c r="L313" s="395"/>
      <c r="M313" s="394"/>
      <c r="N313" s="395"/>
      <c r="O313" s="395"/>
      <c r="P313" s="395"/>
      <c r="Q313" s="395"/>
      <c r="R313" s="394"/>
      <c r="S313" s="395"/>
      <c r="T313" s="395"/>
      <c r="U313" s="395"/>
      <c r="V313" s="395"/>
      <c r="W313" s="394"/>
      <c r="X313" s="395"/>
      <c r="Y313" s="395"/>
      <c r="Z313" s="395"/>
      <c r="AA313" s="395"/>
      <c r="AB313" s="394"/>
      <c r="AC313" s="395"/>
      <c r="AD313" s="395"/>
      <c r="AE313" s="395"/>
      <c r="AF313" s="395"/>
      <c r="AG313" s="394"/>
      <c r="AH313" s="395"/>
      <c r="AI313" s="395"/>
      <c r="AJ313" s="395"/>
      <c r="AK313" s="395"/>
      <c r="AL313" s="394"/>
      <c r="AM313" s="395"/>
      <c r="AN313" s="1188"/>
      <c r="AO313" s="395"/>
      <c r="AP313" s="395"/>
      <c r="AQ313" s="394"/>
      <c r="AR313" s="1188"/>
      <c r="AS313" s="395"/>
      <c r="AT313" s="395"/>
      <c r="AU313" s="395"/>
      <c r="AV313" s="394"/>
      <c r="AW313" s="395"/>
      <c r="AX313" s="395"/>
      <c r="AY313" s="395"/>
      <c r="AZ313" s="395"/>
      <c r="BA313" s="394"/>
      <c r="BB313" s="395"/>
      <c r="BC313" s="395"/>
      <c r="BD313" s="395"/>
      <c r="BE313" s="395"/>
      <c r="BF313" s="394"/>
      <c r="BG313" s="395"/>
      <c r="BH313" s="395"/>
      <c r="BI313" s="395"/>
      <c r="BJ313" s="395"/>
      <c r="BK313" s="394"/>
      <c r="BL313" s="395"/>
      <c r="BM313" s="395"/>
      <c r="BN313" s="395"/>
      <c r="BO313" s="395"/>
    </row>
    <row r="314" spans="3:67">
      <c r="C314" s="508"/>
      <c r="D314" s="501"/>
      <c r="E314" s="501"/>
      <c r="F314" s="501"/>
      <c r="G314" s="501"/>
      <c r="H314" s="508"/>
      <c r="I314" s="501"/>
      <c r="J314" s="501"/>
      <c r="K314" s="501"/>
      <c r="L314" s="501"/>
      <c r="M314" s="508"/>
      <c r="N314" s="501"/>
      <c r="O314" s="501"/>
      <c r="P314" s="501"/>
      <c r="Q314" s="501"/>
      <c r="R314" s="508"/>
      <c r="S314" s="501"/>
      <c r="T314" s="501"/>
      <c r="U314" s="501"/>
      <c r="V314" s="501"/>
      <c r="W314" s="508"/>
      <c r="X314" s="501"/>
      <c r="Y314" s="501"/>
      <c r="Z314" s="501"/>
      <c r="AA314" s="501"/>
      <c r="AB314" s="508"/>
      <c r="AC314" s="501"/>
      <c r="AD314" s="501"/>
      <c r="AE314" s="501"/>
      <c r="AF314" s="501"/>
      <c r="AG314" s="508"/>
      <c r="AH314" s="501"/>
      <c r="AI314" s="501"/>
      <c r="AJ314" s="501"/>
      <c r="AK314" s="501"/>
      <c r="AL314" s="508"/>
      <c r="AM314" s="501"/>
      <c r="AN314" s="1302"/>
      <c r="AO314" s="501"/>
      <c r="AP314" s="501"/>
      <c r="AQ314" s="508"/>
      <c r="AR314" s="1302"/>
      <c r="AS314" s="501"/>
      <c r="AT314" s="501"/>
      <c r="AU314" s="501"/>
      <c r="AV314" s="508"/>
      <c r="AW314" s="501"/>
      <c r="AX314" s="501"/>
      <c r="AY314" s="501"/>
      <c r="AZ314" s="501"/>
      <c r="BA314" s="508"/>
      <c r="BB314" s="501"/>
      <c r="BC314" s="501"/>
      <c r="BD314" s="501"/>
      <c r="BE314" s="501"/>
      <c r="BF314" s="508"/>
      <c r="BG314" s="501"/>
      <c r="BH314" s="501"/>
      <c r="BI314" s="501"/>
      <c r="BJ314" s="501"/>
      <c r="BK314" s="508"/>
      <c r="BL314" s="501"/>
      <c r="BM314" s="501"/>
      <c r="BN314" s="501"/>
      <c r="BO314" s="501"/>
    </row>
    <row r="315" spans="3:67">
      <c r="C315" s="502"/>
      <c r="D315" s="503"/>
      <c r="E315" s="503"/>
      <c r="F315" s="503"/>
      <c r="G315" s="503"/>
      <c r="H315" s="502"/>
      <c r="I315" s="503"/>
      <c r="J315" s="503"/>
      <c r="K315" s="503"/>
      <c r="L315" s="503"/>
      <c r="M315" s="502"/>
      <c r="N315" s="503"/>
      <c r="O315" s="503"/>
      <c r="P315" s="503"/>
      <c r="Q315" s="503"/>
      <c r="R315" s="502"/>
      <c r="S315" s="503"/>
      <c r="T315" s="503"/>
      <c r="U315" s="503"/>
      <c r="V315" s="503"/>
      <c r="W315" s="502"/>
      <c r="X315" s="503"/>
      <c r="Y315" s="503"/>
      <c r="Z315" s="503"/>
      <c r="AA315" s="503"/>
      <c r="AB315" s="502"/>
      <c r="AC315" s="503"/>
      <c r="AD315" s="503"/>
      <c r="AE315" s="503"/>
      <c r="AF315" s="503"/>
      <c r="AG315" s="502"/>
      <c r="AH315" s="503"/>
      <c r="AI315" s="503"/>
      <c r="AJ315" s="503"/>
      <c r="AK315" s="503"/>
      <c r="AL315" s="502"/>
      <c r="AM315" s="503"/>
      <c r="AN315" s="1303"/>
      <c r="AO315" s="503"/>
      <c r="AP315" s="503"/>
      <c r="AQ315" s="502"/>
      <c r="AR315" s="1303"/>
      <c r="AS315" s="503"/>
      <c r="AT315" s="503"/>
      <c r="AU315" s="503"/>
      <c r="AV315" s="502"/>
      <c r="AW315" s="503"/>
      <c r="AX315" s="503"/>
      <c r="AY315" s="503"/>
      <c r="AZ315" s="503"/>
      <c r="BA315" s="502"/>
      <c r="BB315" s="503"/>
      <c r="BC315" s="503"/>
      <c r="BD315" s="503"/>
      <c r="BE315" s="503"/>
      <c r="BF315" s="502"/>
      <c r="BG315" s="503"/>
      <c r="BH315" s="503"/>
      <c r="BI315" s="503"/>
      <c r="BJ315" s="503"/>
      <c r="BK315" s="502"/>
      <c r="BL315" s="503"/>
      <c r="BM315" s="503"/>
      <c r="BN315" s="503"/>
      <c r="BO315" s="503"/>
    </row>
    <row r="316" spans="3:67">
      <c r="C316" s="394"/>
      <c r="D316" s="395"/>
      <c r="E316" s="395"/>
      <c r="F316" s="395"/>
      <c r="G316" s="395"/>
      <c r="H316" s="394"/>
      <c r="I316" s="395"/>
      <c r="J316" s="395"/>
      <c r="K316" s="395"/>
      <c r="L316" s="395"/>
      <c r="M316" s="394"/>
      <c r="N316" s="395"/>
      <c r="O316" s="395"/>
      <c r="P316" s="395"/>
      <c r="Q316" s="395"/>
      <c r="R316" s="394"/>
      <c r="S316" s="395"/>
      <c r="T316" s="395"/>
      <c r="U316" s="395"/>
      <c r="V316" s="395"/>
      <c r="W316" s="394"/>
      <c r="X316" s="395"/>
      <c r="Y316" s="395"/>
      <c r="Z316" s="395"/>
      <c r="AA316" s="395"/>
      <c r="AB316" s="394"/>
      <c r="AC316" s="395"/>
      <c r="AD316" s="395"/>
      <c r="AE316" s="395"/>
      <c r="AF316" s="395"/>
      <c r="AG316" s="394"/>
      <c r="AH316" s="395"/>
      <c r="AI316" s="395"/>
      <c r="AJ316" s="395"/>
      <c r="AK316" s="395"/>
      <c r="AL316" s="394"/>
      <c r="AM316" s="395"/>
      <c r="AN316" s="1188"/>
      <c r="AO316" s="395"/>
      <c r="AP316" s="395"/>
      <c r="AQ316" s="394"/>
      <c r="AR316" s="1188"/>
      <c r="AS316" s="395"/>
      <c r="AT316" s="395"/>
      <c r="AU316" s="395"/>
      <c r="AV316" s="394"/>
      <c r="AW316" s="395"/>
      <c r="AX316" s="395"/>
      <c r="AY316" s="395"/>
      <c r="AZ316" s="395"/>
      <c r="BA316" s="394"/>
      <c r="BB316" s="395"/>
      <c r="BC316" s="395"/>
      <c r="BD316" s="395"/>
      <c r="BE316" s="395"/>
      <c r="BF316" s="394"/>
      <c r="BG316" s="395"/>
      <c r="BH316" s="395"/>
      <c r="BI316" s="395"/>
      <c r="BJ316" s="395"/>
      <c r="BK316" s="394"/>
      <c r="BL316" s="395"/>
      <c r="BM316" s="395"/>
      <c r="BN316" s="395"/>
      <c r="BO316" s="395"/>
    </row>
    <row r="317" spans="3:67">
      <c r="C317" s="509"/>
      <c r="D317" s="510"/>
      <c r="E317" s="510"/>
      <c r="F317" s="510"/>
      <c r="G317" s="510"/>
      <c r="H317" s="509"/>
      <c r="I317" s="510"/>
      <c r="J317" s="510"/>
      <c r="K317" s="510"/>
      <c r="L317" s="510"/>
      <c r="M317" s="509"/>
      <c r="N317" s="510"/>
      <c r="O317" s="510"/>
      <c r="P317" s="510"/>
      <c r="Q317" s="510"/>
      <c r="R317" s="509"/>
      <c r="S317" s="510"/>
      <c r="T317" s="510"/>
      <c r="U317" s="510"/>
      <c r="V317" s="510"/>
      <c r="W317" s="509"/>
      <c r="X317" s="510"/>
      <c r="Y317" s="510"/>
      <c r="Z317" s="510"/>
      <c r="AA317" s="510"/>
      <c r="AB317" s="509"/>
      <c r="AC317" s="510"/>
      <c r="AD317" s="510"/>
      <c r="AE317" s="510"/>
      <c r="AF317" s="510"/>
      <c r="AG317" s="509"/>
      <c r="AH317" s="510"/>
      <c r="AI317" s="510"/>
      <c r="AJ317" s="510"/>
      <c r="AK317" s="510"/>
      <c r="AL317" s="509"/>
      <c r="AM317" s="510"/>
      <c r="AN317" s="1306"/>
      <c r="AO317" s="510"/>
      <c r="AP317" s="510"/>
      <c r="AQ317" s="509"/>
      <c r="AR317" s="1306"/>
      <c r="AS317" s="510"/>
      <c r="AT317" s="510"/>
      <c r="AU317" s="510"/>
      <c r="AV317" s="509"/>
      <c r="AW317" s="510"/>
      <c r="AX317" s="510"/>
      <c r="AY317" s="510"/>
      <c r="AZ317" s="510"/>
      <c r="BA317" s="509"/>
      <c r="BB317" s="510"/>
      <c r="BC317" s="510"/>
      <c r="BD317" s="510"/>
      <c r="BE317" s="510"/>
      <c r="BF317" s="509"/>
      <c r="BG317" s="510"/>
      <c r="BH317" s="510"/>
      <c r="BI317" s="510"/>
      <c r="BJ317" s="510"/>
      <c r="BK317" s="509"/>
      <c r="BL317" s="510"/>
      <c r="BM317" s="510"/>
      <c r="BN317" s="510"/>
      <c r="BO317" s="510"/>
    </row>
    <row r="318" spans="3:67">
      <c r="C318" s="463"/>
      <c r="D318" s="384"/>
      <c r="E318" s="384"/>
      <c r="F318" s="384"/>
      <c r="G318" s="384"/>
      <c r="H318" s="463"/>
      <c r="I318" s="384"/>
      <c r="J318" s="384"/>
      <c r="K318" s="384"/>
      <c r="L318" s="384"/>
      <c r="M318" s="463"/>
      <c r="N318" s="384"/>
      <c r="O318" s="384"/>
      <c r="P318" s="384"/>
      <c r="Q318" s="384"/>
      <c r="R318" s="463"/>
      <c r="S318" s="384"/>
      <c r="T318" s="384"/>
      <c r="U318" s="384"/>
      <c r="V318" s="384"/>
      <c r="W318" s="463"/>
      <c r="X318" s="384"/>
      <c r="Y318" s="384"/>
      <c r="Z318" s="384"/>
      <c r="AA318" s="384"/>
      <c r="AB318" s="463"/>
      <c r="AC318" s="384"/>
      <c r="AD318" s="384"/>
      <c r="AE318" s="384"/>
      <c r="AF318" s="384"/>
      <c r="AG318" s="463"/>
      <c r="AH318" s="384"/>
      <c r="AI318" s="384"/>
      <c r="AJ318" s="384"/>
      <c r="AK318" s="384"/>
      <c r="AL318" s="463"/>
      <c r="AM318" s="384"/>
      <c r="AN318" s="1116"/>
      <c r="AO318" s="384"/>
      <c r="AP318" s="384"/>
      <c r="AQ318" s="463"/>
      <c r="AR318" s="1116"/>
      <c r="AS318" s="384"/>
      <c r="AT318" s="384"/>
      <c r="AU318" s="384"/>
      <c r="AV318" s="463"/>
      <c r="AW318" s="384"/>
      <c r="AX318" s="384"/>
      <c r="AY318" s="384"/>
      <c r="AZ318" s="384"/>
      <c r="BA318" s="463"/>
      <c r="BB318" s="384"/>
      <c r="BC318" s="384"/>
      <c r="BD318" s="384"/>
      <c r="BE318" s="384"/>
      <c r="BF318" s="463"/>
      <c r="BG318" s="384"/>
      <c r="BH318" s="384"/>
      <c r="BI318" s="384"/>
      <c r="BJ318" s="384"/>
      <c r="BK318" s="463"/>
      <c r="BL318" s="384"/>
      <c r="BM318" s="384"/>
      <c r="BN318" s="384"/>
      <c r="BO318" s="384"/>
    </row>
    <row r="324" spans="3:67">
      <c r="C324" s="511"/>
      <c r="D324" s="512"/>
      <c r="E324" s="512"/>
      <c r="F324" s="512"/>
      <c r="G324" s="512"/>
      <c r="H324" s="511"/>
      <c r="I324" s="512"/>
      <c r="J324" s="512"/>
      <c r="K324" s="512"/>
      <c r="L324" s="512"/>
      <c r="M324" s="511"/>
      <c r="N324" s="512"/>
      <c r="O324" s="512"/>
      <c r="P324" s="512"/>
      <c r="Q324" s="512"/>
      <c r="R324" s="511"/>
      <c r="S324" s="512"/>
      <c r="T324" s="512"/>
      <c r="U324" s="512"/>
      <c r="V324" s="512"/>
      <c r="W324" s="511"/>
      <c r="X324" s="512"/>
      <c r="Y324" s="512"/>
      <c r="Z324" s="512"/>
      <c r="AA324" s="512"/>
      <c r="AB324" s="511"/>
      <c r="AC324" s="512"/>
      <c r="AD324" s="512"/>
      <c r="AE324" s="512"/>
      <c r="AF324" s="512"/>
      <c r="AG324" s="511"/>
      <c r="AH324" s="512"/>
      <c r="AI324" s="512"/>
      <c r="AJ324" s="512"/>
      <c r="AK324" s="512"/>
      <c r="AL324" s="511"/>
      <c r="AM324" s="512"/>
      <c r="AN324" s="1307"/>
      <c r="AO324" s="512"/>
      <c r="AP324" s="512"/>
      <c r="AQ324" s="511"/>
      <c r="AR324" s="1307"/>
      <c r="AS324" s="512"/>
      <c r="AT324" s="512"/>
      <c r="AU324" s="512"/>
      <c r="AV324" s="511"/>
      <c r="AW324" s="512"/>
      <c r="AX324" s="512"/>
      <c r="AY324" s="512"/>
      <c r="AZ324" s="512"/>
      <c r="BA324" s="511"/>
      <c r="BB324" s="512"/>
      <c r="BC324" s="512"/>
      <c r="BD324" s="512"/>
      <c r="BE324" s="512"/>
      <c r="BF324" s="511"/>
      <c r="BG324" s="512"/>
      <c r="BH324" s="512"/>
      <c r="BI324" s="512"/>
      <c r="BJ324" s="512"/>
      <c r="BK324" s="511"/>
      <c r="BL324" s="512"/>
      <c r="BM324" s="512"/>
      <c r="BN324" s="512"/>
      <c r="BO324" s="512"/>
    </row>
    <row r="325" spans="3:67">
      <c r="C325" s="513"/>
      <c r="D325" s="514"/>
      <c r="E325" s="514"/>
      <c r="F325" s="514"/>
      <c r="G325" s="514"/>
      <c r="H325" s="513"/>
      <c r="I325" s="514"/>
      <c r="J325" s="514"/>
      <c r="K325" s="514"/>
      <c r="L325" s="514"/>
      <c r="M325" s="513"/>
      <c r="N325" s="514"/>
      <c r="O325" s="514"/>
      <c r="P325" s="514"/>
      <c r="Q325" s="514"/>
      <c r="R325" s="513"/>
      <c r="S325" s="514"/>
      <c r="T325" s="514"/>
      <c r="U325" s="514"/>
      <c r="V325" s="514"/>
      <c r="W325" s="513"/>
      <c r="X325" s="514"/>
      <c r="Y325" s="514"/>
      <c r="Z325" s="514"/>
      <c r="AA325" s="514"/>
      <c r="AB325" s="513"/>
      <c r="AC325" s="514"/>
      <c r="AD325" s="514"/>
      <c r="AE325" s="514"/>
      <c r="AF325" s="514"/>
      <c r="AG325" s="513"/>
      <c r="AH325" s="514"/>
      <c r="AI325" s="514"/>
      <c r="AJ325" s="514"/>
      <c r="AK325" s="514"/>
      <c r="AL325" s="513"/>
      <c r="AM325" s="514"/>
      <c r="AN325" s="1308"/>
      <c r="AO325" s="514"/>
      <c r="AP325" s="514"/>
      <c r="AQ325" s="513"/>
      <c r="AR325" s="1308"/>
      <c r="AS325" s="514"/>
      <c r="AT325" s="514"/>
      <c r="AU325" s="514"/>
      <c r="AV325" s="513"/>
      <c r="AW325" s="514"/>
      <c r="AX325" s="514"/>
      <c r="AY325" s="514"/>
      <c r="AZ325" s="514"/>
      <c r="BA325" s="513"/>
      <c r="BB325" s="514"/>
      <c r="BC325" s="514"/>
      <c r="BD325" s="514"/>
      <c r="BE325" s="514"/>
      <c r="BF325" s="513"/>
      <c r="BG325" s="514"/>
      <c r="BH325" s="514"/>
      <c r="BI325" s="514"/>
      <c r="BJ325" s="514"/>
      <c r="BK325" s="513"/>
      <c r="BL325" s="514"/>
      <c r="BM325" s="514"/>
      <c r="BN325" s="514"/>
      <c r="BO325" s="514"/>
    </row>
    <row r="326" spans="3:67">
      <c r="C326" s="502"/>
      <c r="D326" s="503"/>
      <c r="E326" s="503"/>
      <c r="F326" s="503"/>
      <c r="G326" s="503"/>
      <c r="H326" s="502"/>
      <c r="I326" s="503"/>
      <c r="J326" s="503"/>
      <c r="K326" s="503"/>
      <c r="L326" s="503"/>
      <c r="M326" s="502"/>
      <c r="N326" s="503"/>
      <c r="O326" s="503"/>
      <c r="P326" s="503"/>
      <c r="Q326" s="503"/>
      <c r="R326" s="502"/>
      <c r="S326" s="503"/>
      <c r="T326" s="503"/>
      <c r="U326" s="503"/>
      <c r="V326" s="503"/>
      <c r="W326" s="502"/>
      <c r="X326" s="503"/>
      <c r="Y326" s="503"/>
      <c r="Z326" s="503"/>
      <c r="AA326" s="503"/>
      <c r="AB326" s="502"/>
      <c r="AC326" s="503"/>
      <c r="AD326" s="503"/>
      <c r="AE326" s="503"/>
      <c r="AF326" s="503"/>
      <c r="AG326" s="502"/>
      <c r="AH326" s="503"/>
      <c r="AI326" s="503"/>
      <c r="AJ326" s="503"/>
      <c r="AK326" s="503"/>
      <c r="AL326" s="502"/>
      <c r="AM326" s="503"/>
      <c r="AN326" s="1303"/>
      <c r="AO326" s="503"/>
      <c r="AP326" s="503"/>
      <c r="AQ326" s="502"/>
      <c r="AR326" s="1303"/>
      <c r="AS326" s="503"/>
      <c r="AT326" s="503"/>
      <c r="AU326" s="503"/>
      <c r="AV326" s="502"/>
      <c r="AW326" s="503"/>
      <c r="AX326" s="503"/>
      <c r="AY326" s="503"/>
      <c r="AZ326" s="503"/>
      <c r="BA326" s="502"/>
      <c r="BB326" s="503"/>
      <c r="BC326" s="503"/>
      <c r="BD326" s="503"/>
      <c r="BE326" s="503"/>
      <c r="BF326" s="502"/>
      <c r="BG326" s="503"/>
      <c r="BH326" s="503"/>
      <c r="BI326" s="503"/>
      <c r="BJ326" s="503"/>
      <c r="BK326" s="502"/>
      <c r="BL326" s="503"/>
      <c r="BM326" s="503"/>
      <c r="BN326" s="503"/>
      <c r="BO326" s="503"/>
    </row>
    <row r="328" spans="3:67">
      <c r="C328" s="497"/>
      <c r="D328" s="498"/>
      <c r="E328" s="498"/>
      <c r="F328" s="498"/>
      <c r="G328" s="498"/>
      <c r="H328" s="497"/>
      <c r="I328" s="498"/>
      <c r="J328" s="498"/>
      <c r="K328" s="498"/>
      <c r="L328" s="498"/>
      <c r="M328" s="497"/>
      <c r="N328" s="498"/>
      <c r="O328" s="498"/>
      <c r="P328" s="498"/>
      <c r="Q328" s="498"/>
      <c r="R328" s="497"/>
      <c r="S328" s="498"/>
      <c r="T328" s="498"/>
      <c r="U328" s="498"/>
      <c r="V328" s="498"/>
      <c r="W328" s="497"/>
      <c r="X328" s="498"/>
      <c r="Y328" s="498"/>
      <c r="Z328" s="498"/>
      <c r="AA328" s="498"/>
      <c r="AB328" s="497"/>
      <c r="AC328" s="498"/>
      <c r="AD328" s="498"/>
      <c r="AE328" s="498"/>
      <c r="AF328" s="498"/>
      <c r="AG328" s="497"/>
      <c r="AH328" s="498"/>
      <c r="AI328" s="498"/>
      <c r="AJ328" s="498"/>
      <c r="AK328" s="498"/>
      <c r="AL328" s="497"/>
      <c r="AM328" s="498"/>
      <c r="AN328" s="1300"/>
      <c r="AO328" s="498"/>
      <c r="AP328" s="498"/>
      <c r="AQ328" s="497"/>
      <c r="AR328" s="1300"/>
      <c r="AS328" s="498"/>
      <c r="AT328" s="498"/>
      <c r="AU328" s="498"/>
      <c r="AV328" s="497"/>
      <c r="AW328" s="498"/>
      <c r="AX328" s="498"/>
      <c r="AY328" s="498"/>
      <c r="AZ328" s="498"/>
      <c r="BA328" s="497"/>
      <c r="BB328" s="498"/>
      <c r="BC328" s="498"/>
      <c r="BD328" s="498"/>
      <c r="BE328" s="498"/>
      <c r="BF328" s="497"/>
      <c r="BG328" s="498"/>
      <c r="BH328" s="498"/>
      <c r="BI328" s="498"/>
      <c r="BJ328" s="498"/>
      <c r="BK328" s="497"/>
      <c r="BL328" s="498"/>
      <c r="BM328" s="498"/>
      <c r="BN328" s="498"/>
      <c r="BO328" s="498"/>
    </row>
    <row r="329" spans="3:67">
      <c r="C329" s="463"/>
      <c r="D329" s="384"/>
      <c r="E329" s="384"/>
      <c r="F329" s="384"/>
      <c r="G329" s="384"/>
      <c r="H329" s="463"/>
      <c r="I329" s="384"/>
      <c r="J329" s="384"/>
      <c r="K329" s="384"/>
      <c r="L329" s="384"/>
      <c r="M329" s="463"/>
      <c r="N329" s="384"/>
      <c r="O329" s="384"/>
      <c r="P329" s="384"/>
      <c r="Q329" s="384"/>
      <c r="R329" s="463"/>
      <c r="S329" s="384"/>
      <c r="T329" s="384"/>
      <c r="U329" s="384"/>
      <c r="V329" s="384"/>
      <c r="W329" s="463"/>
      <c r="X329" s="384"/>
      <c r="Y329" s="384"/>
      <c r="Z329" s="384"/>
      <c r="AA329" s="384"/>
      <c r="AB329" s="463"/>
      <c r="AC329" s="384"/>
      <c r="AD329" s="384"/>
      <c r="AE329" s="384"/>
      <c r="AF329" s="384"/>
      <c r="AG329" s="463"/>
      <c r="AH329" s="384"/>
      <c r="AI329" s="384"/>
      <c r="AJ329" s="384"/>
      <c r="AK329" s="384"/>
      <c r="AL329" s="463"/>
      <c r="AM329" s="384"/>
      <c r="AN329" s="1116"/>
      <c r="AO329" s="384"/>
      <c r="AP329" s="384"/>
      <c r="AQ329" s="463"/>
      <c r="AR329" s="1116"/>
      <c r="AS329" s="384"/>
      <c r="AT329" s="384"/>
      <c r="AU329" s="384"/>
      <c r="AV329" s="463"/>
      <c r="AW329" s="384"/>
      <c r="AX329" s="384"/>
      <c r="AY329" s="384"/>
      <c r="AZ329" s="384"/>
      <c r="BA329" s="463"/>
      <c r="BB329" s="384"/>
      <c r="BC329" s="384"/>
      <c r="BD329" s="384"/>
      <c r="BE329" s="384"/>
      <c r="BF329" s="463"/>
      <c r="BG329" s="384"/>
      <c r="BH329" s="384"/>
      <c r="BI329" s="384"/>
      <c r="BJ329" s="384"/>
      <c r="BK329" s="463"/>
      <c r="BL329" s="384"/>
      <c r="BM329" s="384"/>
      <c r="BN329" s="384"/>
      <c r="BO329" s="384"/>
    </row>
    <row r="331" spans="3:67">
      <c r="C331" s="508"/>
      <c r="D331" s="501"/>
      <c r="E331" s="501"/>
      <c r="F331" s="501"/>
      <c r="G331" s="501"/>
      <c r="H331" s="508"/>
      <c r="I331" s="501"/>
      <c r="J331" s="501"/>
      <c r="K331" s="501"/>
      <c r="L331" s="501"/>
      <c r="M331" s="508"/>
      <c r="N331" s="501"/>
      <c r="O331" s="501"/>
      <c r="P331" s="501"/>
      <c r="Q331" s="501"/>
      <c r="R331" s="508"/>
      <c r="S331" s="501"/>
      <c r="T331" s="501"/>
      <c r="U331" s="501"/>
      <c r="V331" s="501"/>
      <c r="W331" s="508"/>
      <c r="X331" s="501"/>
      <c r="Y331" s="501"/>
      <c r="Z331" s="501"/>
      <c r="AA331" s="501"/>
      <c r="AB331" s="508"/>
      <c r="AC331" s="501"/>
      <c r="AD331" s="501"/>
      <c r="AE331" s="501"/>
      <c r="AF331" s="501"/>
      <c r="AG331" s="508"/>
      <c r="AH331" s="501"/>
      <c r="AI331" s="501"/>
      <c r="AJ331" s="501"/>
      <c r="AK331" s="501"/>
      <c r="AL331" s="508"/>
      <c r="AM331" s="501"/>
      <c r="AN331" s="1302"/>
      <c r="AO331" s="501"/>
      <c r="AP331" s="501"/>
      <c r="AQ331" s="508"/>
      <c r="AR331" s="1302"/>
      <c r="AS331" s="501"/>
      <c r="AT331" s="501"/>
      <c r="AU331" s="501"/>
      <c r="AV331" s="508"/>
      <c r="AW331" s="501"/>
      <c r="AX331" s="501"/>
      <c r="AY331" s="501"/>
      <c r="AZ331" s="501"/>
      <c r="BA331" s="508"/>
      <c r="BB331" s="501"/>
      <c r="BC331" s="501"/>
      <c r="BD331" s="501"/>
      <c r="BE331" s="501"/>
      <c r="BF331" s="508"/>
      <c r="BG331" s="501"/>
      <c r="BH331" s="501"/>
      <c r="BI331" s="501"/>
      <c r="BJ331" s="501"/>
      <c r="BK331" s="508"/>
      <c r="BL331" s="501"/>
      <c r="BM331" s="501"/>
      <c r="BN331" s="501"/>
      <c r="BO331" s="501"/>
    </row>
    <row r="332" spans="3:67">
      <c r="C332" s="502"/>
      <c r="D332" s="503"/>
      <c r="E332" s="503"/>
      <c r="F332" s="503"/>
      <c r="G332" s="503"/>
      <c r="H332" s="502"/>
      <c r="I332" s="503"/>
      <c r="J332" s="503"/>
      <c r="K332" s="503"/>
      <c r="L332" s="503"/>
      <c r="M332" s="502"/>
      <c r="N332" s="503"/>
      <c r="O332" s="503"/>
      <c r="P332" s="503"/>
      <c r="Q332" s="503"/>
      <c r="R332" s="502"/>
      <c r="S332" s="503"/>
      <c r="T332" s="503"/>
      <c r="U332" s="503"/>
      <c r="V332" s="503"/>
      <c r="W332" s="502"/>
      <c r="X332" s="503"/>
      <c r="Y332" s="503"/>
      <c r="Z332" s="503"/>
      <c r="AA332" s="503"/>
      <c r="AB332" s="502"/>
      <c r="AC332" s="503"/>
      <c r="AD332" s="503"/>
      <c r="AE332" s="503"/>
      <c r="AF332" s="503"/>
      <c r="AG332" s="502"/>
      <c r="AH332" s="503"/>
      <c r="AI332" s="503"/>
      <c r="AJ332" s="503"/>
      <c r="AK332" s="503"/>
      <c r="AL332" s="502"/>
      <c r="AM332" s="503"/>
      <c r="AN332" s="1303"/>
      <c r="AO332" s="503"/>
      <c r="AP332" s="503"/>
      <c r="AQ332" s="502"/>
      <c r="AR332" s="1303"/>
      <c r="AS332" s="503"/>
      <c r="AT332" s="503"/>
      <c r="AU332" s="503"/>
      <c r="AV332" s="502"/>
      <c r="AW332" s="503"/>
      <c r="AX332" s="503"/>
      <c r="AY332" s="503"/>
      <c r="AZ332" s="503"/>
      <c r="BA332" s="502"/>
      <c r="BB332" s="503"/>
      <c r="BC332" s="503"/>
      <c r="BD332" s="503"/>
      <c r="BE332" s="503"/>
      <c r="BF332" s="502"/>
      <c r="BG332" s="503"/>
      <c r="BH332" s="503"/>
      <c r="BI332" s="503"/>
      <c r="BJ332" s="503"/>
      <c r="BK332" s="502"/>
      <c r="BL332" s="503"/>
      <c r="BM332" s="503"/>
      <c r="BN332" s="503"/>
      <c r="BO332" s="503"/>
    </row>
    <row r="334" spans="3:67">
      <c r="C334" s="497"/>
      <c r="D334" s="498"/>
      <c r="E334" s="498"/>
      <c r="F334" s="498"/>
      <c r="G334" s="498"/>
      <c r="H334" s="497"/>
      <c r="I334" s="498"/>
      <c r="J334" s="498"/>
      <c r="K334" s="498"/>
      <c r="L334" s="498"/>
      <c r="M334" s="497"/>
      <c r="N334" s="498"/>
      <c r="O334" s="498"/>
      <c r="P334" s="498"/>
      <c r="Q334" s="498"/>
      <c r="R334" s="497"/>
      <c r="S334" s="498"/>
      <c r="T334" s="498"/>
      <c r="U334" s="498"/>
      <c r="V334" s="498"/>
      <c r="W334" s="497"/>
      <c r="X334" s="498"/>
      <c r="Y334" s="498"/>
      <c r="Z334" s="498"/>
      <c r="AA334" s="498"/>
      <c r="AB334" s="497"/>
      <c r="AC334" s="498"/>
      <c r="AD334" s="498"/>
      <c r="AE334" s="498"/>
      <c r="AF334" s="498"/>
      <c r="AG334" s="497"/>
      <c r="AH334" s="498"/>
      <c r="AI334" s="498"/>
      <c r="AJ334" s="498"/>
      <c r="AK334" s="498"/>
      <c r="AL334" s="497"/>
      <c r="AM334" s="498"/>
      <c r="AN334" s="1300"/>
      <c r="AO334" s="498"/>
      <c r="AP334" s="498"/>
      <c r="AQ334" s="497"/>
      <c r="AR334" s="1300"/>
      <c r="AS334" s="498"/>
      <c r="AT334" s="498"/>
      <c r="AU334" s="498"/>
      <c r="AV334" s="497"/>
      <c r="AW334" s="498"/>
      <c r="AX334" s="498"/>
      <c r="AY334" s="498"/>
      <c r="AZ334" s="498"/>
      <c r="BA334" s="497"/>
      <c r="BB334" s="498"/>
      <c r="BC334" s="498"/>
      <c r="BD334" s="498"/>
      <c r="BE334" s="498"/>
      <c r="BF334" s="497"/>
      <c r="BG334" s="498"/>
      <c r="BH334" s="498"/>
      <c r="BI334" s="498"/>
      <c r="BJ334" s="498"/>
      <c r="BK334" s="497"/>
      <c r="BL334" s="498"/>
      <c r="BM334" s="498"/>
      <c r="BN334" s="498"/>
      <c r="BO334" s="498"/>
    </row>
    <row r="335" spans="3:67">
      <c r="C335" s="463"/>
      <c r="D335" s="384"/>
      <c r="E335" s="384"/>
      <c r="F335" s="384"/>
      <c r="G335" s="384"/>
      <c r="H335" s="463"/>
      <c r="I335" s="384"/>
      <c r="J335" s="384"/>
      <c r="K335" s="384"/>
      <c r="L335" s="384"/>
      <c r="M335" s="463"/>
      <c r="N335" s="384"/>
      <c r="O335" s="384"/>
      <c r="P335" s="384"/>
      <c r="Q335" s="384"/>
      <c r="R335" s="463"/>
      <c r="S335" s="384"/>
      <c r="T335" s="384"/>
      <c r="U335" s="384"/>
      <c r="V335" s="384"/>
      <c r="W335" s="463"/>
      <c r="X335" s="384"/>
      <c r="Y335" s="384"/>
      <c r="Z335" s="384"/>
      <c r="AA335" s="384"/>
      <c r="AB335" s="463"/>
      <c r="AC335" s="384"/>
      <c r="AD335" s="384"/>
      <c r="AE335" s="384"/>
      <c r="AF335" s="384"/>
      <c r="AG335" s="463"/>
      <c r="AH335" s="384"/>
      <c r="AI335" s="384"/>
      <c r="AJ335" s="384"/>
      <c r="AK335" s="384"/>
      <c r="AL335" s="463"/>
      <c r="AM335" s="384"/>
      <c r="AN335" s="1116"/>
      <c r="AO335" s="384"/>
      <c r="AP335" s="384"/>
      <c r="AQ335" s="463"/>
      <c r="AR335" s="1116"/>
      <c r="AS335" s="384"/>
      <c r="AT335" s="384"/>
      <c r="AU335" s="384"/>
      <c r="AV335" s="463"/>
      <c r="AW335" s="384"/>
      <c r="AX335" s="384"/>
      <c r="AY335" s="384"/>
      <c r="AZ335" s="384"/>
      <c r="BA335" s="463"/>
      <c r="BB335" s="384"/>
      <c r="BC335" s="384"/>
      <c r="BD335" s="384"/>
      <c r="BE335" s="384"/>
      <c r="BF335" s="463"/>
      <c r="BG335" s="384"/>
      <c r="BH335" s="384"/>
      <c r="BI335" s="384"/>
      <c r="BJ335" s="384"/>
      <c r="BK335" s="463"/>
      <c r="BL335" s="384"/>
      <c r="BM335" s="384"/>
      <c r="BN335" s="384"/>
      <c r="BO335" s="384"/>
    </row>
    <row r="339" spans="3:67">
      <c r="C339" s="504"/>
      <c r="D339" s="505"/>
      <c r="E339" s="505"/>
      <c r="F339" s="505"/>
      <c r="G339" s="505"/>
      <c r="H339" s="504"/>
      <c r="I339" s="505"/>
      <c r="J339" s="505"/>
      <c r="K339" s="505"/>
      <c r="L339" s="505"/>
      <c r="M339" s="504"/>
      <c r="N339" s="505"/>
      <c r="O339" s="505"/>
      <c r="P339" s="505"/>
      <c r="Q339" s="505"/>
      <c r="R339" s="504"/>
      <c r="S339" s="505"/>
      <c r="T339" s="505"/>
      <c r="U339" s="505"/>
      <c r="V339" s="505"/>
      <c r="W339" s="504"/>
      <c r="X339" s="505"/>
      <c r="Y339" s="505"/>
      <c r="Z339" s="505"/>
      <c r="AA339" s="505"/>
      <c r="AB339" s="504"/>
      <c r="AC339" s="505"/>
      <c r="AD339" s="505"/>
      <c r="AE339" s="505"/>
      <c r="AF339" s="505"/>
      <c r="AG339" s="504"/>
      <c r="AH339" s="505"/>
      <c r="AI339" s="505"/>
      <c r="AJ339" s="505"/>
      <c r="AK339" s="505"/>
      <c r="AL339" s="504"/>
      <c r="AM339" s="505"/>
      <c r="AN339" s="1304"/>
      <c r="AO339" s="505"/>
      <c r="AP339" s="505"/>
      <c r="AQ339" s="504"/>
      <c r="AR339" s="1304"/>
      <c r="AS339" s="505"/>
      <c r="AT339" s="505"/>
      <c r="AU339" s="505"/>
      <c r="AV339" s="504"/>
      <c r="AW339" s="505"/>
      <c r="AX339" s="505"/>
      <c r="AY339" s="505"/>
      <c r="AZ339" s="505"/>
      <c r="BA339" s="504"/>
      <c r="BB339" s="505"/>
      <c r="BC339" s="505"/>
      <c r="BD339" s="505"/>
      <c r="BE339" s="505"/>
      <c r="BF339" s="504"/>
      <c r="BG339" s="505"/>
      <c r="BH339" s="505"/>
      <c r="BI339" s="505"/>
      <c r="BJ339" s="505"/>
      <c r="BK339" s="504"/>
      <c r="BL339" s="505"/>
      <c r="BM339" s="505"/>
      <c r="BN339" s="505"/>
      <c r="BO339" s="505"/>
    </row>
    <row r="340" spans="3:67">
      <c r="C340" s="509"/>
      <c r="D340" s="510"/>
      <c r="E340" s="510"/>
      <c r="F340" s="510"/>
      <c r="G340" s="510"/>
      <c r="H340" s="509"/>
      <c r="I340" s="510"/>
      <c r="J340" s="510"/>
      <c r="K340" s="510"/>
      <c r="L340" s="510"/>
      <c r="M340" s="509"/>
      <c r="N340" s="510"/>
      <c r="O340" s="510"/>
      <c r="P340" s="510"/>
      <c r="Q340" s="510"/>
      <c r="R340" s="509"/>
      <c r="S340" s="510"/>
      <c r="T340" s="510"/>
      <c r="U340" s="510"/>
      <c r="V340" s="510"/>
      <c r="W340" s="509"/>
      <c r="X340" s="510"/>
      <c r="Y340" s="510"/>
      <c r="Z340" s="510"/>
      <c r="AA340" s="510"/>
      <c r="AB340" s="509"/>
      <c r="AC340" s="510"/>
      <c r="AD340" s="510"/>
      <c r="AE340" s="510"/>
      <c r="AF340" s="510"/>
      <c r="AG340" s="509"/>
      <c r="AH340" s="510"/>
      <c r="AI340" s="510"/>
      <c r="AJ340" s="510"/>
      <c r="AK340" s="510"/>
      <c r="AL340" s="509"/>
      <c r="AM340" s="510"/>
      <c r="AN340" s="1306"/>
      <c r="AO340" s="510"/>
      <c r="AP340" s="510"/>
      <c r="AQ340" s="509"/>
      <c r="AR340" s="1306"/>
      <c r="AS340" s="510"/>
      <c r="AT340" s="510"/>
      <c r="AU340" s="510"/>
      <c r="AV340" s="509"/>
      <c r="AW340" s="510"/>
      <c r="AX340" s="510"/>
      <c r="AY340" s="510"/>
      <c r="AZ340" s="510"/>
      <c r="BA340" s="509"/>
      <c r="BB340" s="510"/>
      <c r="BC340" s="510"/>
      <c r="BD340" s="510"/>
      <c r="BE340" s="510"/>
      <c r="BF340" s="509"/>
      <c r="BG340" s="510"/>
      <c r="BH340" s="510"/>
      <c r="BI340" s="510"/>
      <c r="BJ340" s="510"/>
      <c r="BK340" s="509"/>
      <c r="BL340" s="510"/>
      <c r="BM340" s="510"/>
      <c r="BN340" s="510"/>
      <c r="BO340" s="510"/>
    </row>
    <row r="341" spans="3:67">
      <c r="C341" s="463"/>
      <c r="D341" s="384"/>
      <c r="E341" s="384"/>
      <c r="F341" s="384"/>
      <c r="G341" s="384"/>
      <c r="H341" s="463"/>
      <c r="I341" s="384"/>
      <c r="J341" s="384"/>
      <c r="K341" s="384"/>
      <c r="L341" s="384"/>
      <c r="M341" s="463"/>
      <c r="N341" s="384"/>
      <c r="O341" s="384"/>
      <c r="P341" s="384"/>
      <c r="Q341" s="384"/>
      <c r="R341" s="463"/>
      <c r="S341" s="384"/>
      <c r="T341" s="384"/>
      <c r="U341" s="384"/>
      <c r="V341" s="384"/>
      <c r="W341" s="463"/>
      <c r="X341" s="384"/>
      <c r="Y341" s="384"/>
      <c r="Z341" s="384"/>
      <c r="AA341" s="384"/>
      <c r="AB341" s="463"/>
      <c r="AC341" s="384"/>
      <c r="AD341" s="384"/>
      <c r="AE341" s="384"/>
      <c r="AF341" s="384"/>
      <c r="AG341" s="463"/>
      <c r="AH341" s="384"/>
      <c r="AI341" s="384"/>
      <c r="AJ341" s="384"/>
      <c r="AK341" s="384"/>
      <c r="AL341" s="463"/>
      <c r="AM341" s="384"/>
      <c r="AN341" s="1116"/>
      <c r="AO341" s="384"/>
      <c r="AP341" s="384"/>
      <c r="AQ341" s="463"/>
      <c r="AR341" s="1116"/>
      <c r="AS341" s="384"/>
      <c r="AT341" s="384"/>
      <c r="AU341" s="384"/>
      <c r="AV341" s="463"/>
      <c r="AW341" s="384"/>
      <c r="AX341" s="384"/>
      <c r="AY341" s="384"/>
      <c r="AZ341" s="384"/>
      <c r="BA341" s="463"/>
      <c r="BB341" s="384"/>
      <c r="BC341" s="384"/>
      <c r="BD341" s="384"/>
      <c r="BE341" s="384"/>
      <c r="BF341" s="463"/>
      <c r="BG341" s="384"/>
      <c r="BH341" s="384"/>
      <c r="BI341" s="384"/>
      <c r="BJ341" s="384"/>
      <c r="BK341" s="463"/>
      <c r="BL341" s="384"/>
      <c r="BM341" s="384"/>
      <c r="BN341" s="384"/>
      <c r="BO341" s="384"/>
    </row>
    <row r="344" spans="3:67">
      <c r="C344" s="497"/>
      <c r="D344" s="498"/>
      <c r="E344" s="498"/>
      <c r="F344" s="498"/>
      <c r="G344" s="498"/>
      <c r="H344" s="497"/>
      <c r="I344" s="498"/>
      <c r="J344" s="498"/>
      <c r="K344" s="498"/>
      <c r="L344" s="498"/>
      <c r="M344" s="497"/>
      <c r="N344" s="498"/>
      <c r="O344" s="498"/>
      <c r="P344" s="498"/>
      <c r="Q344" s="498"/>
      <c r="R344" s="497"/>
      <c r="S344" s="498"/>
      <c r="T344" s="498"/>
      <c r="U344" s="498"/>
      <c r="V344" s="498"/>
      <c r="W344" s="497"/>
      <c r="X344" s="498"/>
      <c r="Y344" s="498"/>
      <c r="Z344" s="498"/>
      <c r="AA344" s="498"/>
      <c r="AB344" s="497"/>
      <c r="AC344" s="498"/>
      <c r="AD344" s="498"/>
      <c r="AE344" s="498"/>
      <c r="AF344" s="498"/>
      <c r="AG344" s="497"/>
      <c r="AH344" s="498"/>
      <c r="AI344" s="498"/>
      <c r="AJ344" s="498"/>
      <c r="AK344" s="498"/>
      <c r="AL344" s="497"/>
      <c r="AM344" s="498"/>
      <c r="AN344" s="1300"/>
      <c r="AO344" s="498"/>
      <c r="AP344" s="498"/>
      <c r="AQ344" s="497"/>
      <c r="AR344" s="1300"/>
      <c r="AS344" s="498"/>
      <c r="AT344" s="498"/>
      <c r="AU344" s="498"/>
      <c r="AV344" s="497"/>
      <c r="AW344" s="498"/>
      <c r="AX344" s="498"/>
      <c r="AY344" s="498"/>
      <c r="AZ344" s="498"/>
      <c r="BA344" s="497"/>
      <c r="BB344" s="498"/>
      <c r="BC344" s="498"/>
      <c r="BD344" s="498"/>
      <c r="BE344" s="498"/>
      <c r="BF344" s="497"/>
      <c r="BG344" s="498"/>
      <c r="BH344" s="498"/>
      <c r="BI344" s="498"/>
      <c r="BJ344" s="498"/>
      <c r="BK344" s="497"/>
      <c r="BL344" s="498"/>
      <c r="BM344" s="498"/>
      <c r="BN344" s="498"/>
      <c r="BO344" s="498"/>
    </row>
    <row r="345" spans="3:67">
      <c r="C345" s="394"/>
      <c r="D345" s="395"/>
      <c r="E345" s="395"/>
      <c r="F345" s="395"/>
      <c r="G345" s="395"/>
      <c r="H345" s="394"/>
      <c r="I345" s="395"/>
      <c r="J345" s="395"/>
      <c r="K345" s="395"/>
      <c r="L345" s="395"/>
      <c r="M345" s="394"/>
      <c r="N345" s="395"/>
      <c r="O345" s="395"/>
      <c r="P345" s="395"/>
      <c r="Q345" s="395"/>
      <c r="R345" s="394"/>
      <c r="S345" s="395"/>
      <c r="T345" s="395"/>
      <c r="U345" s="395"/>
      <c r="V345" s="395"/>
      <c r="W345" s="394"/>
      <c r="X345" s="395"/>
      <c r="Y345" s="395"/>
      <c r="Z345" s="395"/>
      <c r="AA345" s="395"/>
      <c r="AB345" s="394"/>
      <c r="AC345" s="395"/>
      <c r="AD345" s="395"/>
      <c r="AE345" s="395"/>
      <c r="AF345" s="395"/>
      <c r="AG345" s="394"/>
      <c r="AH345" s="395"/>
      <c r="AI345" s="395"/>
      <c r="AJ345" s="395"/>
      <c r="AK345" s="395"/>
      <c r="AL345" s="394"/>
      <c r="AM345" s="395"/>
      <c r="AN345" s="1188"/>
      <c r="AO345" s="395"/>
      <c r="AP345" s="395"/>
      <c r="AQ345" s="394"/>
      <c r="AR345" s="1188"/>
      <c r="AS345" s="395"/>
      <c r="AT345" s="395"/>
      <c r="AU345" s="395"/>
      <c r="AV345" s="394"/>
      <c r="AW345" s="395"/>
      <c r="AX345" s="395"/>
      <c r="AY345" s="395"/>
      <c r="AZ345" s="395"/>
      <c r="BA345" s="394"/>
      <c r="BB345" s="395"/>
      <c r="BC345" s="395"/>
      <c r="BD345" s="395"/>
      <c r="BE345" s="395"/>
      <c r="BF345" s="394"/>
      <c r="BG345" s="395"/>
      <c r="BH345" s="395"/>
      <c r="BI345" s="395"/>
      <c r="BJ345" s="395"/>
      <c r="BK345" s="394"/>
      <c r="BL345" s="395"/>
      <c r="BM345" s="395"/>
      <c r="BN345" s="395"/>
      <c r="BO345" s="395"/>
    </row>
    <row r="346" spans="3:67">
      <c r="C346" s="394"/>
      <c r="D346" s="395"/>
      <c r="E346" s="395"/>
      <c r="F346" s="395"/>
      <c r="G346" s="395"/>
      <c r="H346" s="394"/>
      <c r="I346" s="395"/>
      <c r="J346" s="395"/>
      <c r="K346" s="395"/>
      <c r="L346" s="395"/>
      <c r="M346" s="394"/>
      <c r="N346" s="395"/>
      <c r="O346" s="395"/>
      <c r="P346" s="395"/>
      <c r="Q346" s="395"/>
      <c r="R346" s="394"/>
      <c r="S346" s="395"/>
      <c r="T346" s="395"/>
      <c r="U346" s="395"/>
      <c r="V346" s="395"/>
      <c r="W346" s="394"/>
      <c r="X346" s="395"/>
      <c r="Y346" s="395"/>
      <c r="Z346" s="395"/>
      <c r="AA346" s="395"/>
      <c r="AB346" s="394"/>
      <c r="AC346" s="395"/>
      <c r="AD346" s="395"/>
      <c r="AE346" s="395"/>
      <c r="AF346" s="395"/>
      <c r="AG346" s="394"/>
      <c r="AH346" s="395"/>
      <c r="AI346" s="395"/>
      <c r="AJ346" s="395"/>
      <c r="AK346" s="395"/>
      <c r="AL346" s="394"/>
      <c r="AM346" s="395"/>
      <c r="AN346" s="1188"/>
      <c r="AO346" s="395"/>
      <c r="AP346" s="395"/>
      <c r="AQ346" s="394"/>
      <c r="AR346" s="1188"/>
      <c r="AS346" s="395"/>
      <c r="AT346" s="395"/>
      <c r="AU346" s="395"/>
      <c r="AV346" s="394"/>
      <c r="AW346" s="395"/>
      <c r="AX346" s="395"/>
      <c r="AY346" s="395"/>
      <c r="AZ346" s="395"/>
      <c r="BA346" s="394"/>
      <c r="BB346" s="395"/>
      <c r="BC346" s="395"/>
      <c r="BD346" s="395"/>
      <c r="BE346" s="395"/>
      <c r="BF346" s="394"/>
      <c r="BG346" s="395"/>
      <c r="BH346" s="395"/>
      <c r="BI346" s="395"/>
      <c r="BJ346" s="395"/>
      <c r="BK346" s="394"/>
      <c r="BL346" s="395"/>
      <c r="BM346" s="395"/>
      <c r="BN346" s="395"/>
      <c r="BO346" s="395"/>
    </row>
    <row r="347" spans="3:67">
      <c r="C347" s="394"/>
      <c r="D347" s="395"/>
      <c r="E347" s="395"/>
      <c r="F347" s="395"/>
      <c r="G347" s="395"/>
      <c r="H347" s="394"/>
      <c r="I347" s="395"/>
      <c r="J347" s="395"/>
      <c r="K347" s="395"/>
      <c r="L347" s="395"/>
      <c r="M347" s="394"/>
      <c r="N347" s="395"/>
      <c r="O347" s="395"/>
      <c r="P347" s="395"/>
      <c r="Q347" s="395"/>
      <c r="R347" s="394"/>
      <c r="S347" s="395"/>
      <c r="T347" s="395"/>
      <c r="U347" s="395"/>
      <c r="V347" s="395"/>
      <c r="W347" s="394"/>
      <c r="X347" s="395"/>
      <c r="Y347" s="395"/>
      <c r="Z347" s="395"/>
      <c r="AA347" s="395"/>
      <c r="AB347" s="394"/>
      <c r="AC347" s="395"/>
      <c r="AD347" s="395"/>
      <c r="AE347" s="395"/>
      <c r="AF347" s="395"/>
      <c r="AG347" s="394"/>
      <c r="AH347" s="395"/>
      <c r="AI347" s="395"/>
      <c r="AJ347" s="395"/>
      <c r="AK347" s="395"/>
      <c r="AL347" s="394"/>
      <c r="AM347" s="395"/>
      <c r="AN347" s="1188"/>
      <c r="AO347" s="395"/>
      <c r="AP347" s="395"/>
      <c r="AQ347" s="394"/>
      <c r="AR347" s="1188"/>
      <c r="AS347" s="395"/>
      <c r="AT347" s="395"/>
      <c r="AU347" s="395"/>
      <c r="AV347" s="394"/>
      <c r="AW347" s="395"/>
      <c r="AX347" s="395"/>
      <c r="AY347" s="395"/>
      <c r="AZ347" s="395"/>
      <c r="BA347" s="394"/>
      <c r="BB347" s="395"/>
      <c r="BC347" s="395"/>
      <c r="BD347" s="395"/>
      <c r="BE347" s="395"/>
      <c r="BF347" s="394"/>
      <c r="BG347" s="395"/>
      <c r="BH347" s="395"/>
      <c r="BI347" s="395"/>
      <c r="BJ347" s="395"/>
      <c r="BK347" s="394"/>
      <c r="BL347" s="395"/>
      <c r="BM347" s="395"/>
      <c r="BN347" s="395"/>
      <c r="BO347" s="395"/>
    </row>
    <row r="348" spans="3:67">
      <c r="C348" s="499"/>
      <c r="D348" s="395"/>
      <c r="E348" s="395"/>
      <c r="F348" s="395"/>
      <c r="G348" s="395"/>
      <c r="H348" s="499"/>
      <c r="I348" s="395"/>
      <c r="J348" s="395"/>
      <c r="K348" s="395"/>
      <c r="L348" s="395"/>
      <c r="M348" s="499"/>
      <c r="N348" s="395"/>
      <c r="O348" s="395"/>
      <c r="P348" s="395"/>
      <c r="Q348" s="395"/>
      <c r="R348" s="499"/>
      <c r="S348" s="395"/>
      <c r="T348" s="395"/>
      <c r="U348" s="395"/>
      <c r="V348" s="395"/>
      <c r="W348" s="499"/>
      <c r="X348" s="395"/>
      <c r="Y348" s="395"/>
      <c r="Z348" s="395"/>
      <c r="AA348" s="395"/>
      <c r="AB348" s="499"/>
      <c r="AC348" s="395"/>
      <c r="AD348" s="395"/>
      <c r="AE348" s="395"/>
      <c r="AF348" s="395"/>
      <c r="AG348" s="499"/>
      <c r="AH348" s="395"/>
      <c r="AI348" s="395"/>
      <c r="AJ348" s="395"/>
      <c r="AK348" s="395"/>
      <c r="AL348" s="499"/>
      <c r="AM348" s="395"/>
      <c r="AN348" s="1188"/>
      <c r="AO348" s="395"/>
      <c r="AP348" s="395"/>
      <c r="AQ348" s="499"/>
      <c r="AR348" s="1188"/>
      <c r="AS348" s="395"/>
      <c r="AT348" s="395"/>
      <c r="AU348" s="395"/>
      <c r="AV348" s="499"/>
      <c r="AW348" s="395"/>
      <c r="AX348" s="395"/>
      <c r="AY348" s="395"/>
      <c r="AZ348" s="395"/>
      <c r="BA348" s="499"/>
      <c r="BB348" s="395"/>
      <c r="BC348" s="395"/>
      <c r="BD348" s="395"/>
      <c r="BE348" s="395"/>
      <c r="BF348" s="499"/>
      <c r="BG348" s="395"/>
      <c r="BH348" s="395"/>
      <c r="BI348" s="395"/>
      <c r="BJ348" s="395"/>
      <c r="BK348" s="499"/>
      <c r="BL348" s="395"/>
      <c r="BM348" s="395"/>
      <c r="BN348" s="395"/>
      <c r="BO348" s="395"/>
    </row>
    <row r="349" spans="3:67">
      <c r="C349" s="394"/>
      <c r="D349" s="395"/>
      <c r="E349" s="395"/>
      <c r="F349" s="395"/>
      <c r="G349" s="395"/>
      <c r="H349" s="394"/>
      <c r="I349" s="395"/>
      <c r="J349" s="395"/>
      <c r="K349" s="395"/>
      <c r="L349" s="395"/>
      <c r="M349" s="394"/>
      <c r="N349" s="395"/>
      <c r="O349" s="395"/>
      <c r="P349" s="395"/>
      <c r="Q349" s="395"/>
      <c r="R349" s="394"/>
      <c r="S349" s="395"/>
      <c r="T349" s="395"/>
      <c r="U349" s="395"/>
      <c r="V349" s="395"/>
      <c r="W349" s="394"/>
      <c r="X349" s="395"/>
      <c r="Y349" s="395"/>
      <c r="Z349" s="395"/>
      <c r="AA349" s="395"/>
      <c r="AB349" s="394"/>
      <c r="AC349" s="395"/>
      <c r="AD349" s="395"/>
      <c r="AE349" s="395"/>
      <c r="AF349" s="395"/>
      <c r="AG349" s="394"/>
      <c r="AH349" s="395"/>
      <c r="AI349" s="395"/>
      <c r="AJ349" s="395"/>
      <c r="AK349" s="395"/>
      <c r="AL349" s="394"/>
      <c r="AM349" s="395"/>
      <c r="AN349" s="1188"/>
      <c r="AO349" s="395"/>
      <c r="AP349" s="395"/>
      <c r="AQ349" s="394"/>
      <c r="AR349" s="1188"/>
      <c r="AS349" s="395"/>
      <c r="AT349" s="395"/>
      <c r="AU349" s="395"/>
      <c r="AV349" s="394"/>
      <c r="AW349" s="395"/>
      <c r="AX349" s="395"/>
      <c r="AY349" s="395"/>
      <c r="AZ349" s="395"/>
      <c r="BA349" s="394"/>
      <c r="BB349" s="395"/>
      <c r="BC349" s="395"/>
      <c r="BD349" s="395"/>
      <c r="BE349" s="395"/>
      <c r="BF349" s="394"/>
      <c r="BG349" s="395"/>
      <c r="BH349" s="395"/>
      <c r="BI349" s="395"/>
      <c r="BJ349" s="395"/>
      <c r="BK349" s="394"/>
      <c r="BL349" s="395"/>
      <c r="BM349" s="395"/>
      <c r="BN349" s="395"/>
      <c r="BO349" s="395"/>
    </row>
    <row r="350" spans="3:67">
      <c r="C350" s="497"/>
      <c r="D350" s="395"/>
      <c r="E350" s="395"/>
      <c r="F350" s="395"/>
      <c r="G350" s="395"/>
      <c r="H350" s="497"/>
      <c r="I350" s="395"/>
      <c r="J350" s="395"/>
      <c r="K350" s="395"/>
      <c r="L350" s="395"/>
      <c r="M350" s="497"/>
      <c r="N350" s="395"/>
      <c r="O350" s="395"/>
      <c r="P350" s="395"/>
      <c r="Q350" s="395"/>
      <c r="R350" s="497"/>
      <c r="S350" s="395"/>
      <c r="T350" s="395"/>
      <c r="U350" s="395"/>
      <c r="V350" s="395"/>
      <c r="W350" s="497"/>
      <c r="X350" s="395"/>
      <c r="Y350" s="395"/>
      <c r="Z350" s="395"/>
      <c r="AA350" s="395"/>
      <c r="AB350" s="497"/>
      <c r="AC350" s="395"/>
      <c r="AD350" s="395"/>
      <c r="AE350" s="395"/>
      <c r="AF350" s="395"/>
      <c r="AG350" s="497"/>
      <c r="AH350" s="395"/>
      <c r="AI350" s="395"/>
      <c r="AJ350" s="395"/>
      <c r="AK350" s="395"/>
      <c r="AL350" s="497"/>
      <c r="AM350" s="395"/>
      <c r="AN350" s="1188"/>
      <c r="AO350" s="395"/>
      <c r="AP350" s="395"/>
      <c r="AQ350" s="497"/>
      <c r="AR350" s="1188"/>
      <c r="AS350" s="395"/>
      <c r="AT350" s="395"/>
      <c r="AU350" s="395"/>
      <c r="AV350" s="497"/>
      <c r="AW350" s="395"/>
      <c r="AX350" s="395"/>
      <c r="AY350" s="395"/>
      <c r="AZ350" s="395"/>
      <c r="BA350" s="497"/>
      <c r="BB350" s="395"/>
      <c r="BC350" s="395"/>
      <c r="BD350" s="395"/>
      <c r="BE350" s="395"/>
      <c r="BF350" s="497"/>
      <c r="BG350" s="395"/>
      <c r="BH350" s="395"/>
      <c r="BI350" s="395"/>
      <c r="BJ350" s="395"/>
      <c r="BK350" s="497"/>
      <c r="BL350" s="395"/>
      <c r="BM350" s="395"/>
      <c r="BN350" s="395"/>
      <c r="BO350" s="395"/>
    </row>
    <row r="351" spans="3:67">
      <c r="C351" s="394"/>
      <c r="D351" s="395"/>
      <c r="E351" s="395"/>
      <c r="F351" s="395"/>
      <c r="G351" s="395"/>
      <c r="H351" s="394"/>
      <c r="I351" s="395"/>
      <c r="J351" s="395"/>
      <c r="K351" s="395"/>
      <c r="L351" s="395"/>
      <c r="M351" s="394"/>
      <c r="N351" s="395"/>
      <c r="O351" s="395"/>
      <c r="P351" s="395"/>
      <c r="Q351" s="395"/>
      <c r="R351" s="394"/>
      <c r="S351" s="395"/>
      <c r="T351" s="395"/>
      <c r="U351" s="395"/>
      <c r="V351" s="395"/>
      <c r="W351" s="394"/>
      <c r="X351" s="395"/>
      <c r="Y351" s="395"/>
      <c r="Z351" s="395"/>
      <c r="AA351" s="395"/>
      <c r="AB351" s="394"/>
      <c r="AC351" s="395"/>
      <c r="AD351" s="395"/>
      <c r="AE351" s="395"/>
      <c r="AF351" s="395"/>
      <c r="AG351" s="394"/>
      <c r="AH351" s="395"/>
      <c r="AI351" s="395"/>
      <c r="AJ351" s="395"/>
      <c r="AK351" s="395"/>
      <c r="AL351" s="394"/>
      <c r="AM351" s="395"/>
      <c r="AN351" s="1188"/>
      <c r="AO351" s="395"/>
      <c r="AP351" s="395"/>
      <c r="AQ351" s="394"/>
      <c r="AR351" s="1188"/>
      <c r="AS351" s="395"/>
      <c r="AT351" s="395"/>
      <c r="AU351" s="395"/>
      <c r="AV351" s="394"/>
      <c r="AW351" s="395"/>
      <c r="AX351" s="395"/>
      <c r="AY351" s="395"/>
      <c r="AZ351" s="395"/>
      <c r="BA351" s="394"/>
      <c r="BB351" s="395"/>
      <c r="BC351" s="395"/>
      <c r="BD351" s="395"/>
      <c r="BE351" s="395"/>
      <c r="BF351" s="394"/>
      <c r="BG351" s="395"/>
      <c r="BH351" s="395"/>
      <c r="BI351" s="395"/>
      <c r="BJ351" s="395"/>
      <c r="BK351" s="394"/>
      <c r="BL351" s="395"/>
      <c r="BM351" s="395"/>
      <c r="BN351" s="395"/>
      <c r="BO351" s="395"/>
    </row>
    <row r="352" spans="3:67">
      <c r="C352" s="394"/>
      <c r="D352" s="395"/>
      <c r="E352" s="395"/>
      <c r="F352" s="395"/>
      <c r="G352" s="395"/>
      <c r="H352" s="394"/>
      <c r="I352" s="395"/>
      <c r="J352" s="395"/>
      <c r="K352" s="395"/>
      <c r="L352" s="395"/>
      <c r="M352" s="394"/>
      <c r="N352" s="395"/>
      <c r="O352" s="395"/>
      <c r="P352" s="395"/>
      <c r="Q352" s="395"/>
      <c r="R352" s="394"/>
      <c r="S352" s="395"/>
      <c r="T352" s="395"/>
      <c r="U352" s="395"/>
      <c r="V352" s="395"/>
      <c r="W352" s="394"/>
      <c r="X352" s="395"/>
      <c r="Y352" s="395"/>
      <c r="Z352" s="395"/>
      <c r="AA352" s="395"/>
      <c r="AB352" s="394"/>
      <c r="AC352" s="395"/>
      <c r="AD352" s="395"/>
      <c r="AE352" s="395"/>
      <c r="AF352" s="395"/>
      <c r="AG352" s="394"/>
      <c r="AH352" s="395"/>
      <c r="AI352" s="395"/>
      <c r="AJ352" s="395"/>
      <c r="AK352" s="395"/>
      <c r="AL352" s="394"/>
      <c r="AM352" s="395"/>
      <c r="AN352" s="1188"/>
      <c r="AO352" s="395"/>
      <c r="AP352" s="395"/>
      <c r="AQ352" s="394"/>
      <c r="AR352" s="1188"/>
      <c r="AS352" s="395"/>
      <c r="AT352" s="395"/>
      <c r="AU352" s="395"/>
      <c r="AV352" s="394"/>
      <c r="AW352" s="395"/>
      <c r="AX352" s="395"/>
      <c r="AY352" s="395"/>
      <c r="AZ352" s="395"/>
      <c r="BA352" s="394"/>
      <c r="BB352" s="395"/>
      <c r="BC352" s="395"/>
      <c r="BD352" s="395"/>
      <c r="BE352" s="395"/>
      <c r="BF352" s="394"/>
      <c r="BG352" s="395"/>
      <c r="BH352" s="395"/>
      <c r="BI352" s="395"/>
      <c r="BJ352" s="395"/>
      <c r="BK352" s="394"/>
      <c r="BL352" s="395"/>
      <c r="BM352" s="395"/>
      <c r="BN352" s="395"/>
      <c r="BO352" s="395"/>
    </row>
    <row r="353" spans="3:67">
      <c r="C353" s="513"/>
      <c r="D353" s="514"/>
      <c r="E353" s="514"/>
      <c r="F353" s="514"/>
      <c r="G353" s="514"/>
      <c r="H353" s="513"/>
      <c r="I353" s="514"/>
      <c r="J353" s="514"/>
      <c r="K353" s="514"/>
      <c r="L353" s="514"/>
      <c r="M353" s="513"/>
      <c r="N353" s="514"/>
      <c r="O353" s="514"/>
      <c r="P353" s="514"/>
      <c r="Q353" s="514"/>
      <c r="R353" s="513"/>
      <c r="S353" s="514"/>
      <c r="T353" s="514"/>
      <c r="U353" s="514"/>
      <c r="V353" s="514"/>
      <c r="W353" s="513"/>
      <c r="X353" s="514"/>
      <c r="Y353" s="514"/>
      <c r="Z353" s="514"/>
      <c r="AA353" s="514"/>
      <c r="AB353" s="513"/>
      <c r="AC353" s="514"/>
      <c r="AD353" s="514"/>
      <c r="AE353" s="514"/>
      <c r="AF353" s="514"/>
      <c r="AG353" s="513"/>
      <c r="AH353" s="514"/>
      <c r="AI353" s="514"/>
      <c r="AJ353" s="514"/>
      <c r="AK353" s="514"/>
      <c r="AL353" s="513"/>
      <c r="AM353" s="514"/>
      <c r="AN353" s="1308"/>
      <c r="AO353" s="514"/>
      <c r="AP353" s="514"/>
      <c r="AQ353" s="513"/>
      <c r="AR353" s="1308"/>
      <c r="AS353" s="514"/>
      <c r="AT353" s="514"/>
      <c r="AU353" s="514"/>
      <c r="AV353" s="513"/>
      <c r="AW353" s="514"/>
      <c r="AX353" s="514"/>
      <c r="AY353" s="514"/>
      <c r="AZ353" s="514"/>
      <c r="BA353" s="513"/>
      <c r="BB353" s="514"/>
      <c r="BC353" s="514"/>
      <c r="BD353" s="514"/>
      <c r="BE353" s="514"/>
      <c r="BF353" s="513"/>
      <c r="BG353" s="514"/>
      <c r="BH353" s="514"/>
      <c r="BI353" s="514"/>
      <c r="BJ353" s="514"/>
      <c r="BK353" s="513"/>
      <c r="BL353" s="514"/>
      <c r="BM353" s="514"/>
      <c r="BN353" s="514"/>
      <c r="BO353" s="514"/>
    </row>
    <row r="354" spans="3:67">
      <c r="C354" s="502"/>
      <c r="D354" s="503"/>
      <c r="E354" s="503"/>
      <c r="F354" s="503"/>
      <c r="G354" s="503"/>
      <c r="H354" s="502"/>
      <c r="I354" s="503"/>
      <c r="J354" s="503"/>
      <c r="K354" s="503"/>
      <c r="L354" s="503"/>
      <c r="M354" s="502"/>
      <c r="N354" s="503"/>
      <c r="O354" s="503"/>
      <c r="P354" s="503"/>
      <c r="Q354" s="503"/>
      <c r="R354" s="502"/>
      <c r="S354" s="503"/>
      <c r="T354" s="503"/>
      <c r="U354" s="503"/>
      <c r="V354" s="503"/>
      <c r="W354" s="502"/>
      <c r="X354" s="503"/>
      <c r="Y354" s="503"/>
      <c r="Z354" s="503"/>
      <c r="AA354" s="503"/>
      <c r="AB354" s="502"/>
      <c r="AC354" s="503"/>
      <c r="AD354" s="503"/>
      <c r="AE354" s="503"/>
      <c r="AF354" s="503"/>
      <c r="AG354" s="502"/>
      <c r="AH354" s="503"/>
      <c r="AI354" s="503"/>
      <c r="AJ354" s="503"/>
      <c r="AK354" s="503"/>
      <c r="AL354" s="502"/>
      <c r="AM354" s="503"/>
      <c r="AN354" s="1303"/>
      <c r="AO354" s="503"/>
      <c r="AP354" s="503"/>
      <c r="AQ354" s="502"/>
      <c r="AR354" s="1303"/>
      <c r="AS354" s="503"/>
      <c r="AT354" s="503"/>
      <c r="AU354" s="503"/>
      <c r="AV354" s="502"/>
      <c r="AW354" s="503"/>
      <c r="AX354" s="503"/>
      <c r="AY354" s="503"/>
      <c r="AZ354" s="503"/>
      <c r="BA354" s="502"/>
      <c r="BB354" s="503"/>
      <c r="BC354" s="503"/>
      <c r="BD354" s="503"/>
      <c r="BE354" s="503"/>
      <c r="BF354" s="502"/>
      <c r="BG354" s="503"/>
      <c r="BH354" s="503"/>
      <c r="BI354" s="503"/>
      <c r="BJ354" s="503"/>
      <c r="BK354" s="502"/>
      <c r="BL354" s="503"/>
      <c r="BM354" s="503"/>
      <c r="BN354" s="503"/>
      <c r="BO354" s="503"/>
    </row>
    <row r="355" spans="3:67">
      <c r="C355" s="394"/>
      <c r="D355" s="395"/>
      <c r="E355" s="395"/>
      <c r="F355" s="395"/>
      <c r="G355" s="395"/>
      <c r="H355" s="394"/>
      <c r="I355" s="395"/>
      <c r="J355" s="395"/>
      <c r="K355" s="395"/>
      <c r="L355" s="395"/>
      <c r="M355" s="394"/>
      <c r="N355" s="395"/>
      <c r="O355" s="395"/>
      <c r="P355" s="395"/>
      <c r="Q355" s="395"/>
      <c r="R355" s="394"/>
      <c r="S355" s="395"/>
      <c r="T355" s="395"/>
      <c r="U355" s="395"/>
      <c r="V355" s="395"/>
      <c r="W355" s="394"/>
      <c r="X355" s="395"/>
      <c r="Y355" s="395"/>
      <c r="Z355" s="395"/>
      <c r="AA355" s="395"/>
      <c r="AB355" s="394"/>
      <c r="AC355" s="395"/>
      <c r="AD355" s="395"/>
      <c r="AE355" s="395"/>
      <c r="AF355" s="395"/>
      <c r="AG355" s="394"/>
      <c r="AH355" s="395"/>
      <c r="AI355" s="395"/>
      <c r="AJ355" s="395"/>
      <c r="AK355" s="395"/>
      <c r="AL355" s="394"/>
      <c r="AM355" s="395"/>
      <c r="AN355" s="1188"/>
      <c r="AO355" s="395"/>
      <c r="AP355" s="395"/>
      <c r="AQ355" s="394"/>
      <c r="AR355" s="1188"/>
      <c r="AS355" s="395"/>
      <c r="AT355" s="395"/>
      <c r="AU355" s="395"/>
      <c r="AV355" s="394"/>
      <c r="AW355" s="395"/>
      <c r="AX355" s="395"/>
      <c r="AY355" s="395"/>
      <c r="AZ355" s="395"/>
      <c r="BA355" s="394"/>
      <c r="BB355" s="395"/>
      <c r="BC355" s="395"/>
      <c r="BD355" s="395"/>
      <c r="BE355" s="395"/>
      <c r="BF355" s="394"/>
      <c r="BG355" s="395"/>
      <c r="BH355" s="395"/>
      <c r="BI355" s="395"/>
      <c r="BJ355" s="395"/>
      <c r="BK355" s="394"/>
      <c r="BL355" s="395"/>
      <c r="BM355" s="395"/>
      <c r="BN355" s="395"/>
      <c r="BO355" s="395"/>
    </row>
    <row r="356" spans="3:67">
      <c r="C356" s="463"/>
      <c r="D356" s="384"/>
      <c r="E356" s="384"/>
      <c r="F356" s="384"/>
      <c r="G356" s="384"/>
      <c r="H356" s="463"/>
      <c r="I356" s="384"/>
      <c r="J356" s="384"/>
      <c r="K356" s="384"/>
      <c r="L356" s="384"/>
      <c r="M356" s="463"/>
      <c r="N356" s="384"/>
      <c r="O356" s="384"/>
      <c r="P356" s="384"/>
      <c r="Q356" s="384"/>
      <c r="R356" s="463"/>
      <c r="S356" s="384"/>
      <c r="T356" s="384"/>
      <c r="U356" s="384"/>
      <c r="V356" s="384"/>
      <c r="W356" s="463"/>
      <c r="X356" s="384"/>
      <c r="Y356" s="384"/>
      <c r="Z356" s="384"/>
      <c r="AA356" s="384"/>
      <c r="AB356" s="463"/>
      <c r="AC356" s="384"/>
      <c r="AD356" s="384"/>
      <c r="AE356" s="384"/>
      <c r="AF356" s="384"/>
      <c r="AG356" s="463"/>
      <c r="AH356" s="384"/>
      <c r="AI356" s="384"/>
      <c r="AJ356" s="384"/>
      <c r="AK356" s="384"/>
      <c r="AL356" s="463"/>
      <c r="AM356" s="384"/>
      <c r="AN356" s="1116"/>
      <c r="AO356" s="384"/>
      <c r="AP356" s="384"/>
      <c r="AQ356" s="463"/>
      <c r="AR356" s="1116"/>
      <c r="AS356" s="384"/>
      <c r="AT356" s="384"/>
      <c r="AU356" s="384"/>
      <c r="AV356" s="463"/>
      <c r="AW356" s="384"/>
      <c r="AX356" s="384"/>
      <c r="AY356" s="384"/>
      <c r="AZ356" s="384"/>
      <c r="BA356" s="463"/>
      <c r="BB356" s="384"/>
      <c r="BC356" s="384"/>
      <c r="BD356" s="384"/>
      <c r="BE356" s="384"/>
      <c r="BF356" s="463"/>
      <c r="BG356" s="384"/>
      <c r="BH356" s="384"/>
      <c r="BI356" s="384"/>
      <c r="BJ356" s="384"/>
      <c r="BK356" s="463"/>
      <c r="BL356" s="384"/>
      <c r="BM356" s="384"/>
      <c r="BN356" s="384"/>
      <c r="BO356" s="384"/>
    </row>
    <row r="358" spans="3:67">
      <c r="C358" s="509"/>
      <c r="D358" s="510"/>
      <c r="E358" s="510"/>
      <c r="F358" s="510"/>
      <c r="G358" s="510"/>
      <c r="H358" s="509"/>
      <c r="I358" s="510"/>
      <c r="J358" s="510"/>
      <c r="K358" s="510"/>
      <c r="L358" s="510"/>
      <c r="M358" s="509"/>
      <c r="N358" s="510"/>
      <c r="O358" s="510"/>
      <c r="P358" s="510"/>
      <c r="Q358" s="510"/>
      <c r="R358" s="509"/>
      <c r="S358" s="510"/>
      <c r="T358" s="510"/>
      <c r="U358" s="510"/>
      <c r="V358" s="510"/>
      <c r="W358" s="509"/>
      <c r="X358" s="510"/>
      <c r="Y358" s="510"/>
      <c r="Z358" s="510"/>
      <c r="AA358" s="510"/>
      <c r="AB358" s="509"/>
      <c r="AC358" s="510"/>
      <c r="AD358" s="510"/>
      <c r="AE358" s="510"/>
      <c r="AF358" s="510"/>
      <c r="AG358" s="509"/>
      <c r="AH358" s="510"/>
      <c r="AI358" s="510"/>
      <c r="AJ358" s="510"/>
      <c r="AK358" s="510"/>
      <c r="AL358" s="509"/>
      <c r="AM358" s="510"/>
      <c r="AN358" s="1306"/>
      <c r="AO358" s="510"/>
      <c r="AP358" s="510"/>
      <c r="AQ358" s="509"/>
      <c r="AR358" s="1306"/>
      <c r="AS358" s="510"/>
      <c r="AT358" s="510"/>
      <c r="AU358" s="510"/>
      <c r="AV358" s="509"/>
      <c r="AW358" s="510"/>
      <c r="AX358" s="510"/>
      <c r="AY358" s="510"/>
      <c r="AZ358" s="510"/>
      <c r="BA358" s="509"/>
      <c r="BB358" s="510"/>
      <c r="BC358" s="510"/>
      <c r="BD358" s="510"/>
      <c r="BE358" s="510"/>
      <c r="BF358" s="509"/>
      <c r="BG358" s="510"/>
      <c r="BH358" s="510"/>
      <c r="BI358" s="510"/>
      <c r="BJ358" s="510"/>
      <c r="BK358" s="509"/>
      <c r="BL358" s="510"/>
      <c r="BM358" s="510"/>
      <c r="BN358" s="510"/>
      <c r="BO358" s="510"/>
    </row>
    <row r="359" spans="3:67">
      <c r="C359" s="463"/>
      <c r="D359" s="384"/>
      <c r="E359" s="384"/>
      <c r="F359" s="384"/>
      <c r="G359" s="384"/>
      <c r="H359" s="463"/>
      <c r="I359" s="384"/>
      <c r="J359" s="384"/>
      <c r="K359" s="384"/>
      <c r="L359" s="384"/>
      <c r="M359" s="463"/>
      <c r="N359" s="384"/>
      <c r="O359" s="384"/>
      <c r="P359" s="384"/>
      <c r="Q359" s="384"/>
      <c r="R359" s="463"/>
      <c r="S359" s="384"/>
      <c r="T359" s="384"/>
      <c r="U359" s="384"/>
      <c r="V359" s="384"/>
      <c r="W359" s="463"/>
      <c r="X359" s="384"/>
      <c r="Y359" s="384"/>
      <c r="Z359" s="384"/>
      <c r="AA359" s="384"/>
      <c r="AB359" s="463"/>
      <c r="AC359" s="384"/>
      <c r="AD359" s="384"/>
      <c r="AE359" s="384"/>
      <c r="AF359" s="384"/>
      <c r="AG359" s="463"/>
      <c r="AH359" s="384"/>
      <c r="AI359" s="384"/>
      <c r="AJ359" s="384"/>
      <c r="AK359" s="384"/>
      <c r="AL359" s="463"/>
      <c r="AM359" s="384"/>
      <c r="AN359" s="1116"/>
      <c r="AO359" s="384"/>
      <c r="AP359" s="384"/>
      <c r="AQ359" s="463"/>
      <c r="AR359" s="1116"/>
      <c r="AS359" s="384"/>
      <c r="AT359" s="384"/>
      <c r="AU359" s="384"/>
      <c r="AV359" s="463"/>
      <c r="AW359" s="384"/>
      <c r="AX359" s="384"/>
      <c r="AY359" s="384"/>
      <c r="AZ359" s="384"/>
      <c r="BA359" s="463"/>
      <c r="BB359" s="384"/>
      <c r="BC359" s="384"/>
      <c r="BD359" s="384"/>
      <c r="BE359" s="384"/>
      <c r="BF359" s="463"/>
      <c r="BG359" s="384"/>
      <c r="BH359" s="384"/>
      <c r="BI359" s="384"/>
      <c r="BJ359" s="384"/>
      <c r="BK359" s="463"/>
      <c r="BL359" s="384"/>
      <c r="BM359" s="384"/>
      <c r="BN359" s="384"/>
      <c r="BO359" s="384"/>
    </row>
    <row r="362" spans="3:67">
      <c r="C362" s="504"/>
      <c r="D362" s="505"/>
      <c r="E362" s="505"/>
      <c r="F362" s="505"/>
      <c r="G362" s="505"/>
      <c r="H362" s="504"/>
      <c r="I362" s="505"/>
      <c r="J362" s="505"/>
      <c r="K362" s="505"/>
      <c r="L362" s="505"/>
      <c r="M362" s="504"/>
      <c r="N362" s="505"/>
      <c r="O362" s="505"/>
      <c r="P362" s="505"/>
      <c r="Q362" s="505"/>
      <c r="R362" s="504"/>
      <c r="S362" s="505"/>
      <c r="T362" s="505"/>
      <c r="U362" s="505"/>
      <c r="V362" s="505"/>
      <c r="W362" s="504"/>
      <c r="X362" s="505"/>
      <c r="Y362" s="505"/>
      <c r="Z362" s="505"/>
      <c r="AA362" s="505"/>
      <c r="AB362" s="504"/>
      <c r="AC362" s="505"/>
      <c r="AD362" s="505"/>
      <c r="AE362" s="505"/>
      <c r="AF362" s="505"/>
      <c r="AG362" s="504"/>
      <c r="AH362" s="505"/>
      <c r="AI362" s="505"/>
      <c r="AJ362" s="505"/>
      <c r="AK362" s="505"/>
      <c r="AL362" s="504"/>
      <c r="AM362" s="505"/>
      <c r="AN362" s="1304"/>
      <c r="AO362" s="505"/>
      <c r="AP362" s="505"/>
      <c r="AQ362" s="504"/>
      <c r="AR362" s="1304"/>
      <c r="AS362" s="505"/>
      <c r="AT362" s="505"/>
      <c r="AU362" s="505"/>
      <c r="AV362" s="504"/>
      <c r="AW362" s="505"/>
      <c r="AX362" s="505"/>
      <c r="AY362" s="505"/>
      <c r="AZ362" s="505"/>
      <c r="BA362" s="504"/>
      <c r="BB362" s="505"/>
      <c r="BC362" s="505"/>
      <c r="BD362" s="505"/>
      <c r="BE362" s="505"/>
      <c r="BF362" s="504"/>
      <c r="BG362" s="505"/>
      <c r="BH362" s="505"/>
      <c r="BI362" s="505"/>
      <c r="BJ362" s="505"/>
      <c r="BK362" s="504"/>
      <c r="BL362" s="505"/>
      <c r="BM362" s="505"/>
      <c r="BN362" s="505"/>
      <c r="BO362" s="505"/>
    </row>
    <row r="365" spans="3:67">
      <c r="C365" s="513"/>
      <c r="D365" s="514"/>
      <c r="E365" s="514"/>
      <c r="F365" s="514"/>
      <c r="G365" s="514"/>
      <c r="H365" s="513"/>
      <c r="I365" s="514"/>
      <c r="J365" s="514"/>
      <c r="K365" s="514"/>
      <c r="L365" s="514"/>
      <c r="M365" s="513"/>
      <c r="N365" s="514"/>
      <c r="O365" s="514"/>
      <c r="P365" s="514"/>
      <c r="Q365" s="514"/>
      <c r="R365" s="513"/>
      <c r="S365" s="514"/>
      <c r="T365" s="514"/>
      <c r="U365" s="514"/>
      <c r="V365" s="514"/>
      <c r="W365" s="513"/>
      <c r="X365" s="514"/>
      <c r="Y365" s="514"/>
      <c r="Z365" s="514"/>
      <c r="AA365" s="514"/>
      <c r="AB365" s="513"/>
      <c r="AC365" s="514"/>
      <c r="AD365" s="514"/>
      <c r="AE365" s="514"/>
      <c r="AF365" s="514"/>
      <c r="AG365" s="513"/>
      <c r="AH365" s="514"/>
      <c r="AI365" s="514"/>
      <c r="AJ365" s="514"/>
      <c r="AK365" s="514"/>
      <c r="AL365" s="513"/>
      <c r="AM365" s="514"/>
      <c r="AN365" s="1308"/>
      <c r="AO365" s="514"/>
      <c r="AP365" s="514"/>
      <c r="AQ365" s="513"/>
      <c r="AR365" s="1308"/>
      <c r="AS365" s="514"/>
      <c r="AT365" s="514"/>
      <c r="AU365" s="514"/>
      <c r="AV365" s="513"/>
      <c r="AW365" s="514"/>
      <c r="AX365" s="514"/>
      <c r="AY365" s="514"/>
      <c r="AZ365" s="514"/>
      <c r="BA365" s="513"/>
      <c r="BB365" s="514"/>
      <c r="BC365" s="514"/>
      <c r="BD365" s="514"/>
      <c r="BE365" s="514"/>
      <c r="BF365" s="513"/>
      <c r="BG365" s="514"/>
      <c r="BH365" s="514"/>
      <c r="BI365" s="514"/>
      <c r="BJ365" s="514"/>
      <c r="BK365" s="513"/>
      <c r="BL365" s="514"/>
      <c r="BM365" s="514"/>
      <c r="BN365" s="514"/>
      <c r="BO365" s="514"/>
    </row>
    <row r="366" spans="3:67">
      <c r="C366" s="502"/>
      <c r="D366" s="503"/>
      <c r="E366" s="503"/>
      <c r="F366" s="503"/>
      <c r="G366" s="503"/>
      <c r="H366" s="502"/>
      <c r="I366" s="503"/>
      <c r="J366" s="503"/>
      <c r="K366" s="503"/>
      <c r="L366" s="503"/>
      <c r="M366" s="502"/>
      <c r="N366" s="503"/>
      <c r="O366" s="503"/>
      <c r="P366" s="503"/>
      <c r="Q366" s="503"/>
      <c r="R366" s="502"/>
      <c r="S366" s="503"/>
      <c r="T366" s="503"/>
      <c r="U366" s="503"/>
      <c r="V366" s="503"/>
      <c r="W366" s="502"/>
      <c r="X366" s="503"/>
      <c r="Y366" s="503"/>
      <c r="Z366" s="503"/>
      <c r="AA366" s="503"/>
      <c r="AB366" s="502"/>
      <c r="AC366" s="503"/>
      <c r="AD366" s="503"/>
      <c r="AE366" s="503"/>
      <c r="AF366" s="503"/>
      <c r="AG366" s="502"/>
      <c r="AH366" s="503"/>
      <c r="AI366" s="503"/>
      <c r="AJ366" s="503"/>
      <c r="AK366" s="503"/>
      <c r="AL366" s="502"/>
      <c r="AM366" s="503"/>
      <c r="AN366" s="1303"/>
      <c r="AO366" s="503"/>
      <c r="AP366" s="503"/>
      <c r="AQ366" s="502"/>
      <c r="AR366" s="1303"/>
      <c r="AS366" s="503"/>
      <c r="AT366" s="503"/>
      <c r="AU366" s="503"/>
      <c r="AV366" s="502"/>
      <c r="AW366" s="503"/>
      <c r="AX366" s="503"/>
      <c r="AY366" s="503"/>
      <c r="AZ366" s="503"/>
      <c r="BA366" s="502"/>
      <c r="BB366" s="503"/>
      <c r="BC366" s="503"/>
      <c r="BD366" s="503"/>
      <c r="BE366" s="503"/>
      <c r="BF366" s="502"/>
      <c r="BG366" s="503"/>
      <c r="BH366" s="503"/>
      <c r="BI366" s="503"/>
      <c r="BJ366" s="503"/>
      <c r="BK366" s="502"/>
      <c r="BL366" s="503"/>
      <c r="BM366" s="503"/>
      <c r="BN366" s="503"/>
      <c r="BO366" s="503"/>
    </row>
    <row r="368" spans="3:67">
      <c r="C368" s="463"/>
      <c r="D368" s="384"/>
      <c r="E368" s="384"/>
      <c r="F368" s="384"/>
      <c r="G368" s="384"/>
      <c r="H368" s="463"/>
      <c r="I368" s="384"/>
      <c r="J368" s="384"/>
      <c r="K368" s="384"/>
      <c r="L368" s="384"/>
      <c r="M368" s="463"/>
      <c r="N368" s="384"/>
      <c r="O368" s="384"/>
      <c r="P368" s="384"/>
      <c r="Q368" s="384"/>
      <c r="R368" s="463"/>
      <c r="S368" s="384"/>
      <c r="T368" s="384"/>
      <c r="U368" s="384"/>
      <c r="V368" s="384"/>
      <c r="W368" s="463"/>
      <c r="X368" s="384"/>
      <c r="Y368" s="384"/>
      <c r="Z368" s="384"/>
      <c r="AA368" s="384"/>
      <c r="AB368" s="463"/>
      <c r="AC368" s="384"/>
      <c r="AD368" s="384"/>
      <c r="AE368" s="384"/>
      <c r="AF368" s="384"/>
      <c r="AG368" s="463"/>
      <c r="AH368" s="384"/>
      <c r="AI368" s="384"/>
      <c r="AJ368" s="384"/>
      <c r="AK368" s="384"/>
      <c r="AL368" s="463"/>
      <c r="AM368" s="384"/>
      <c r="AN368" s="1116"/>
      <c r="AO368" s="384"/>
      <c r="AP368" s="384"/>
      <c r="AQ368" s="463"/>
      <c r="AR368" s="1116"/>
      <c r="AS368" s="384"/>
      <c r="AT368" s="384"/>
      <c r="AU368" s="384"/>
      <c r="AV368" s="463"/>
      <c r="AW368" s="384"/>
      <c r="AX368" s="384"/>
      <c r="AY368" s="384"/>
      <c r="AZ368" s="384"/>
      <c r="BA368" s="463"/>
      <c r="BB368" s="384"/>
      <c r="BC368" s="384"/>
      <c r="BD368" s="384"/>
      <c r="BE368" s="384"/>
      <c r="BF368" s="463"/>
      <c r="BG368" s="384"/>
      <c r="BH368" s="384"/>
      <c r="BI368" s="384"/>
      <c r="BJ368" s="384"/>
      <c r="BK368" s="463"/>
      <c r="BL368" s="384"/>
      <c r="BM368" s="384"/>
      <c r="BN368" s="384"/>
      <c r="BO368" s="384"/>
    </row>
    <row r="371" spans="3:67">
      <c r="C371" s="463"/>
      <c r="D371" s="384"/>
      <c r="E371" s="384"/>
      <c r="F371" s="384"/>
      <c r="G371" s="384"/>
      <c r="H371" s="463"/>
      <c r="I371" s="384"/>
      <c r="J371" s="384"/>
      <c r="K371" s="384"/>
      <c r="L371" s="384"/>
      <c r="M371" s="463"/>
      <c r="N371" s="384"/>
      <c r="O371" s="384"/>
      <c r="P371" s="384"/>
      <c r="Q371" s="384"/>
      <c r="R371" s="463"/>
      <c r="S371" s="384"/>
      <c r="T371" s="384"/>
      <c r="U371" s="384"/>
      <c r="V371" s="384"/>
      <c r="W371" s="463"/>
      <c r="X371" s="384"/>
      <c r="Y371" s="384"/>
      <c r="Z371" s="384"/>
      <c r="AA371" s="384"/>
      <c r="AB371" s="463"/>
      <c r="AC371" s="384"/>
      <c r="AD371" s="384"/>
      <c r="AE371" s="384"/>
      <c r="AF371" s="384"/>
      <c r="AG371" s="463"/>
      <c r="AH371" s="384"/>
      <c r="AI371" s="384"/>
      <c r="AJ371" s="384"/>
      <c r="AK371" s="384"/>
      <c r="AL371" s="463"/>
      <c r="AM371" s="384"/>
      <c r="AN371" s="1116"/>
      <c r="AO371" s="384"/>
      <c r="AP371" s="384"/>
      <c r="AQ371" s="463"/>
      <c r="AR371" s="1116"/>
      <c r="AS371" s="384"/>
      <c r="AT371" s="384"/>
      <c r="AU371" s="384"/>
      <c r="AV371" s="463"/>
      <c r="AW371" s="384"/>
      <c r="AX371" s="384"/>
      <c r="AY371" s="384"/>
      <c r="AZ371" s="384"/>
      <c r="BA371" s="463"/>
      <c r="BB371" s="384"/>
      <c r="BC371" s="384"/>
      <c r="BD371" s="384"/>
      <c r="BE371" s="384"/>
      <c r="BF371" s="463"/>
      <c r="BG371" s="384"/>
      <c r="BH371" s="384"/>
      <c r="BI371" s="384"/>
      <c r="BJ371" s="384"/>
      <c r="BK371" s="463"/>
      <c r="BL371" s="384"/>
      <c r="BM371" s="384"/>
      <c r="BN371" s="384"/>
      <c r="BO371" s="384"/>
    </row>
    <row r="373" spans="3:67">
      <c r="C373" s="508"/>
      <c r="D373" s="501"/>
      <c r="E373" s="501"/>
      <c r="F373" s="501"/>
      <c r="G373" s="501"/>
      <c r="H373" s="508"/>
      <c r="I373" s="501"/>
      <c r="J373" s="501"/>
      <c r="K373" s="501"/>
      <c r="L373" s="501"/>
      <c r="M373" s="508"/>
      <c r="N373" s="501"/>
      <c r="O373" s="501"/>
      <c r="P373" s="501"/>
      <c r="Q373" s="501"/>
      <c r="R373" s="508"/>
      <c r="S373" s="501"/>
      <c r="T373" s="501"/>
      <c r="U373" s="501"/>
      <c r="V373" s="501"/>
      <c r="W373" s="508"/>
      <c r="X373" s="501"/>
      <c r="Y373" s="501"/>
      <c r="Z373" s="501"/>
      <c r="AA373" s="501"/>
      <c r="AB373" s="508"/>
      <c r="AC373" s="501"/>
      <c r="AD373" s="501"/>
      <c r="AE373" s="501"/>
      <c r="AF373" s="501"/>
      <c r="AG373" s="508"/>
      <c r="AH373" s="501"/>
      <c r="AI373" s="501"/>
      <c r="AJ373" s="501"/>
      <c r="AK373" s="501"/>
      <c r="AL373" s="508"/>
      <c r="AM373" s="501"/>
      <c r="AN373" s="1302"/>
      <c r="AO373" s="501"/>
      <c r="AP373" s="501"/>
      <c r="AQ373" s="508"/>
      <c r="AR373" s="1302"/>
      <c r="AS373" s="501"/>
      <c r="AT373" s="501"/>
      <c r="AU373" s="501"/>
      <c r="AV373" s="508"/>
      <c r="AW373" s="501"/>
      <c r="AX373" s="501"/>
      <c r="AY373" s="501"/>
      <c r="AZ373" s="501"/>
      <c r="BA373" s="508"/>
      <c r="BB373" s="501"/>
      <c r="BC373" s="501"/>
      <c r="BD373" s="501"/>
      <c r="BE373" s="501"/>
      <c r="BF373" s="508"/>
      <c r="BG373" s="501"/>
      <c r="BH373" s="501"/>
      <c r="BI373" s="501"/>
      <c r="BJ373" s="501"/>
      <c r="BK373" s="508"/>
      <c r="BL373" s="501"/>
      <c r="BM373" s="501"/>
      <c r="BN373" s="501"/>
      <c r="BO373" s="501"/>
    </row>
    <row r="374" spans="3:67">
      <c r="C374" s="502"/>
      <c r="D374" s="503"/>
      <c r="E374" s="503"/>
      <c r="F374" s="503"/>
      <c r="G374" s="503"/>
      <c r="H374" s="502"/>
      <c r="I374" s="503"/>
      <c r="J374" s="503"/>
      <c r="K374" s="503"/>
      <c r="L374" s="503"/>
      <c r="M374" s="502"/>
      <c r="N374" s="503"/>
      <c r="O374" s="503"/>
      <c r="P374" s="503"/>
      <c r="Q374" s="503"/>
      <c r="R374" s="502"/>
      <c r="S374" s="503"/>
      <c r="T374" s="503"/>
      <c r="U374" s="503"/>
      <c r="V374" s="503"/>
      <c r="W374" s="502"/>
      <c r="X374" s="503"/>
      <c r="Y374" s="503"/>
      <c r="Z374" s="503"/>
      <c r="AA374" s="503"/>
      <c r="AB374" s="502"/>
      <c r="AC374" s="503"/>
      <c r="AD374" s="503"/>
      <c r="AE374" s="503"/>
      <c r="AF374" s="503"/>
      <c r="AG374" s="502"/>
      <c r="AH374" s="503"/>
      <c r="AI374" s="503"/>
      <c r="AJ374" s="503"/>
      <c r="AK374" s="503"/>
      <c r="AL374" s="502"/>
      <c r="AM374" s="503"/>
      <c r="AN374" s="1303"/>
      <c r="AO374" s="503"/>
      <c r="AP374" s="503"/>
      <c r="AQ374" s="502"/>
      <c r="AR374" s="1303"/>
      <c r="AS374" s="503"/>
      <c r="AT374" s="503"/>
      <c r="AU374" s="503"/>
      <c r="AV374" s="502"/>
      <c r="AW374" s="503"/>
      <c r="AX374" s="503"/>
      <c r="AY374" s="503"/>
      <c r="AZ374" s="503"/>
      <c r="BA374" s="502"/>
      <c r="BB374" s="503"/>
      <c r="BC374" s="503"/>
      <c r="BD374" s="503"/>
      <c r="BE374" s="503"/>
      <c r="BF374" s="502"/>
      <c r="BG374" s="503"/>
      <c r="BH374" s="503"/>
      <c r="BI374" s="503"/>
      <c r="BJ374" s="503"/>
      <c r="BK374" s="502"/>
      <c r="BL374" s="503"/>
      <c r="BM374" s="503"/>
      <c r="BN374" s="503"/>
      <c r="BO374" s="503"/>
    </row>
    <row r="376" spans="3:67">
      <c r="C376" s="463"/>
      <c r="D376" s="384"/>
      <c r="E376" s="384"/>
      <c r="F376" s="384"/>
      <c r="G376" s="384"/>
      <c r="H376" s="463"/>
      <c r="I376" s="384"/>
      <c r="J376" s="384"/>
      <c r="K376" s="384"/>
      <c r="L376" s="384"/>
      <c r="M376" s="463"/>
      <c r="N376" s="384"/>
      <c r="O376" s="384"/>
      <c r="P376" s="384"/>
      <c r="Q376" s="384"/>
      <c r="R376" s="463"/>
      <c r="S376" s="384"/>
      <c r="T376" s="384"/>
      <c r="U376" s="384"/>
      <c r="V376" s="384"/>
      <c r="W376" s="463"/>
      <c r="X376" s="384"/>
      <c r="Y376" s="384"/>
      <c r="Z376" s="384"/>
      <c r="AA376" s="384"/>
      <c r="AB376" s="463"/>
      <c r="AC376" s="384"/>
      <c r="AD376" s="384"/>
      <c r="AE376" s="384"/>
      <c r="AF376" s="384"/>
      <c r="AG376" s="463"/>
      <c r="AH376" s="384"/>
      <c r="AI376" s="384"/>
      <c r="AJ376" s="384"/>
      <c r="AK376" s="384"/>
      <c r="AL376" s="463"/>
      <c r="AM376" s="384"/>
      <c r="AN376" s="1116"/>
      <c r="AO376" s="384"/>
      <c r="AP376" s="384"/>
      <c r="AQ376" s="463"/>
      <c r="AR376" s="1116"/>
      <c r="AS376" s="384"/>
      <c r="AT376" s="384"/>
      <c r="AU376" s="384"/>
      <c r="AV376" s="463"/>
      <c r="AW376" s="384"/>
      <c r="AX376" s="384"/>
      <c r="AY376" s="384"/>
      <c r="AZ376" s="384"/>
      <c r="BA376" s="463"/>
      <c r="BB376" s="384"/>
      <c r="BC376" s="384"/>
      <c r="BD376" s="384"/>
      <c r="BE376" s="384"/>
      <c r="BF376" s="463"/>
      <c r="BG376" s="384"/>
      <c r="BH376" s="384"/>
      <c r="BI376" s="384"/>
      <c r="BJ376" s="384"/>
      <c r="BK376" s="463"/>
      <c r="BL376" s="384"/>
      <c r="BM376" s="384"/>
      <c r="BN376" s="384"/>
      <c r="BO376" s="384"/>
    </row>
    <row r="378" spans="3:67">
      <c r="C378" s="497"/>
      <c r="D378" s="498"/>
      <c r="E378" s="498"/>
      <c r="F378" s="498"/>
      <c r="G378" s="498"/>
      <c r="H378" s="497"/>
      <c r="I378" s="498"/>
      <c r="J378" s="498"/>
      <c r="K378" s="498"/>
      <c r="L378" s="498"/>
      <c r="M378" s="497"/>
      <c r="N378" s="498"/>
      <c r="O378" s="498"/>
      <c r="P378" s="498"/>
      <c r="Q378" s="498"/>
      <c r="R378" s="497"/>
      <c r="S378" s="498"/>
      <c r="T378" s="498"/>
      <c r="U378" s="498"/>
      <c r="V378" s="498"/>
      <c r="W378" s="497"/>
      <c r="X378" s="498"/>
      <c r="Y378" s="498"/>
      <c r="Z378" s="498"/>
      <c r="AA378" s="498"/>
      <c r="AB378" s="497"/>
      <c r="AC378" s="498"/>
      <c r="AD378" s="498"/>
      <c r="AE378" s="498"/>
      <c r="AF378" s="498"/>
      <c r="AG378" s="497"/>
      <c r="AH378" s="498"/>
      <c r="AI378" s="498"/>
      <c r="AJ378" s="498"/>
      <c r="AK378" s="498"/>
      <c r="AL378" s="497"/>
      <c r="AM378" s="498"/>
      <c r="AN378" s="1300"/>
      <c r="AO378" s="498"/>
      <c r="AP378" s="498"/>
      <c r="AQ378" s="497"/>
      <c r="AR378" s="1300"/>
      <c r="AS378" s="498"/>
      <c r="AT378" s="498"/>
      <c r="AU378" s="498"/>
      <c r="AV378" s="497"/>
      <c r="AW378" s="498"/>
      <c r="AX378" s="498"/>
      <c r="AY378" s="498"/>
      <c r="AZ378" s="498"/>
      <c r="BA378" s="497"/>
      <c r="BB378" s="498"/>
      <c r="BC378" s="498"/>
      <c r="BD378" s="498"/>
      <c r="BE378" s="498"/>
      <c r="BF378" s="497"/>
      <c r="BG378" s="498"/>
      <c r="BH378" s="498"/>
      <c r="BI378" s="498"/>
      <c r="BJ378" s="498"/>
      <c r="BK378" s="497"/>
      <c r="BL378" s="498"/>
      <c r="BM378" s="498"/>
      <c r="BN378" s="498"/>
      <c r="BO378" s="498"/>
    </row>
    <row r="379" spans="3:67">
      <c r="C379" s="463"/>
      <c r="D379" s="384"/>
      <c r="E379" s="384"/>
      <c r="F379" s="384"/>
      <c r="G379" s="384"/>
      <c r="H379" s="463"/>
      <c r="I379" s="384"/>
      <c r="J379" s="384"/>
      <c r="K379" s="384"/>
      <c r="L379" s="384"/>
      <c r="M379" s="463"/>
      <c r="N379" s="384"/>
      <c r="O379" s="384"/>
      <c r="P379" s="384"/>
      <c r="Q379" s="384"/>
      <c r="R379" s="463"/>
      <c r="S379" s="384"/>
      <c r="T379" s="384"/>
      <c r="U379" s="384"/>
      <c r="V379" s="384"/>
      <c r="W379" s="463"/>
      <c r="X379" s="384"/>
      <c r="Y379" s="384"/>
      <c r="Z379" s="384"/>
      <c r="AA379" s="384"/>
      <c r="AB379" s="463"/>
      <c r="AC379" s="384"/>
      <c r="AD379" s="384"/>
      <c r="AE379" s="384"/>
      <c r="AF379" s="384"/>
      <c r="AG379" s="463"/>
      <c r="AH379" s="384"/>
      <c r="AI379" s="384"/>
      <c r="AJ379" s="384"/>
      <c r="AK379" s="384"/>
      <c r="AL379" s="463"/>
      <c r="AM379" s="384"/>
      <c r="AN379" s="1116"/>
      <c r="AO379" s="384"/>
      <c r="AP379" s="384"/>
      <c r="AQ379" s="463"/>
      <c r="AR379" s="1116"/>
      <c r="AS379" s="384"/>
      <c r="AT379" s="384"/>
      <c r="AU379" s="384"/>
      <c r="AV379" s="463"/>
      <c r="AW379" s="384"/>
      <c r="AX379" s="384"/>
      <c r="AY379" s="384"/>
      <c r="AZ379" s="384"/>
      <c r="BA379" s="463"/>
      <c r="BB379" s="384"/>
      <c r="BC379" s="384"/>
      <c r="BD379" s="384"/>
      <c r="BE379" s="384"/>
      <c r="BF379" s="463"/>
      <c r="BG379" s="384"/>
      <c r="BH379" s="384"/>
      <c r="BI379" s="384"/>
      <c r="BJ379" s="384"/>
      <c r="BK379" s="463"/>
      <c r="BL379" s="384"/>
      <c r="BM379" s="384"/>
      <c r="BN379" s="384"/>
      <c r="BO379" s="384"/>
    </row>
    <row r="383" spans="3:67">
      <c r="C383" s="463"/>
      <c r="D383" s="384"/>
      <c r="E383" s="384"/>
      <c r="F383" s="384"/>
      <c r="G383" s="384"/>
      <c r="H383" s="463"/>
      <c r="I383" s="384"/>
      <c r="J383" s="384"/>
      <c r="K383" s="384"/>
      <c r="L383" s="384"/>
      <c r="M383" s="463"/>
      <c r="N383" s="384"/>
      <c r="O383" s="384"/>
      <c r="P383" s="384"/>
      <c r="Q383" s="384"/>
      <c r="R383" s="463"/>
      <c r="S383" s="384"/>
      <c r="T383" s="384"/>
      <c r="U383" s="384"/>
      <c r="V383" s="384"/>
      <c r="W383" s="463"/>
      <c r="X383" s="384"/>
      <c r="Y383" s="384"/>
      <c r="Z383" s="384"/>
      <c r="AA383" s="384"/>
      <c r="AB383" s="463"/>
      <c r="AC383" s="384"/>
      <c r="AD383" s="384"/>
      <c r="AE383" s="384"/>
      <c r="AF383" s="384"/>
      <c r="AG383" s="463"/>
      <c r="AH383" s="384"/>
      <c r="AI383" s="384"/>
      <c r="AJ383" s="384"/>
      <c r="AK383" s="384"/>
      <c r="AL383" s="463"/>
      <c r="AM383" s="384"/>
      <c r="AN383" s="1116"/>
      <c r="AO383" s="384"/>
      <c r="AP383" s="384"/>
      <c r="AQ383" s="463"/>
      <c r="AR383" s="1116"/>
      <c r="AS383" s="384"/>
      <c r="AT383" s="384"/>
      <c r="AU383" s="384"/>
      <c r="AV383" s="463"/>
      <c r="AW383" s="384"/>
      <c r="AX383" s="384"/>
      <c r="AY383" s="384"/>
      <c r="AZ383" s="384"/>
      <c r="BA383" s="463"/>
      <c r="BB383" s="384"/>
      <c r="BC383" s="384"/>
      <c r="BD383" s="384"/>
      <c r="BE383" s="384"/>
      <c r="BF383" s="463"/>
      <c r="BG383" s="384"/>
      <c r="BH383" s="384"/>
      <c r="BI383" s="384"/>
      <c r="BJ383" s="384"/>
      <c r="BK383" s="463"/>
      <c r="BL383" s="384"/>
      <c r="BM383" s="384"/>
      <c r="BN383" s="384"/>
      <c r="BO383" s="384"/>
    </row>
    <row r="384" spans="3:67">
      <c r="C384" s="463"/>
      <c r="D384" s="384"/>
      <c r="E384" s="384"/>
      <c r="F384" s="384"/>
      <c r="G384" s="384"/>
      <c r="H384" s="463"/>
      <c r="I384" s="384"/>
      <c r="J384" s="384"/>
      <c r="K384" s="384"/>
      <c r="L384" s="384"/>
      <c r="M384" s="463"/>
      <c r="N384" s="384"/>
      <c r="O384" s="384"/>
      <c r="P384" s="384"/>
      <c r="Q384" s="384"/>
      <c r="R384" s="463"/>
      <c r="S384" s="384"/>
      <c r="T384" s="384"/>
      <c r="U384" s="384"/>
      <c r="V384" s="384"/>
      <c r="W384" s="463"/>
      <c r="X384" s="384"/>
      <c r="Y384" s="384"/>
      <c r="Z384" s="384"/>
      <c r="AA384" s="384"/>
      <c r="AB384" s="463"/>
      <c r="AC384" s="384"/>
      <c r="AD384" s="384"/>
      <c r="AE384" s="384"/>
      <c r="AF384" s="384"/>
      <c r="AG384" s="463"/>
      <c r="AH384" s="384"/>
      <c r="AI384" s="384"/>
      <c r="AJ384" s="384"/>
      <c r="AK384" s="384"/>
      <c r="AL384" s="463"/>
      <c r="AM384" s="384"/>
      <c r="AN384" s="1116"/>
      <c r="AO384" s="384"/>
      <c r="AP384" s="384"/>
      <c r="AQ384" s="463"/>
      <c r="AR384" s="1116"/>
      <c r="AS384" s="384"/>
      <c r="AT384" s="384"/>
      <c r="AU384" s="384"/>
      <c r="AV384" s="463"/>
      <c r="AW384" s="384"/>
      <c r="AX384" s="384"/>
      <c r="AY384" s="384"/>
      <c r="AZ384" s="384"/>
      <c r="BA384" s="463"/>
      <c r="BB384" s="384"/>
      <c r="BC384" s="384"/>
      <c r="BD384" s="384"/>
      <c r="BE384" s="384"/>
      <c r="BF384" s="463"/>
      <c r="BG384" s="384"/>
      <c r="BH384" s="384"/>
      <c r="BI384" s="384"/>
      <c r="BJ384" s="384"/>
      <c r="BK384" s="463"/>
      <c r="BL384" s="384"/>
      <c r="BM384" s="384"/>
      <c r="BN384" s="384"/>
      <c r="BO384" s="384"/>
    </row>
    <row r="385" spans="3:67">
      <c r="C385" s="504"/>
      <c r="D385" s="505"/>
      <c r="E385" s="505"/>
      <c r="F385" s="505"/>
      <c r="G385" s="505"/>
      <c r="H385" s="504"/>
      <c r="I385" s="505"/>
      <c r="J385" s="505"/>
      <c r="K385" s="505"/>
      <c r="L385" s="505"/>
      <c r="M385" s="504"/>
      <c r="N385" s="505"/>
      <c r="O385" s="505"/>
      <c r="P385" s="505"/>
      <c r="Q385" s="505"/>
      <c r="R385" s="504"/>
      <c r="S385" s="505"/>
      <c r="T385" s="505"/>
      <c r="U385" s="505"/>
      <c r="V385" s="505"/>
      <c r="W385" s="504"/>
      <c r="X385" s="505"/>
      <c r="Y385" s="505"/>
      <c r="Z385" s="505"/>
      <c r="AA385" s="505"/>
      <c r="AB385" s="504"/>
      <c r="AC385" s="505"/>
      <c r="AD385" s="505"/>
      <c r="AE385" s="505"/>
      <c r="AF385" s="505"/>
      <c r="AG385" s="504"/>
      <c r="AH385" s="505"/>
      <c r="AI385" s="505"/>
      <c r="AJ385" s="505"/>
      <c r="AK385" s="505"/>
      <c r="AL385" s="504"/>
      <c r="AM385" s="505"/>
      <c r="AN385" s="1304"/>
      <c r="AO385" s="505"/>
      <c r="AP385" s="505"/>
      <c r="AQ385" s="504"/>
      <c r="AR385" s="1304"/>
      <c r="AS385" s="505"/>
      <c r="AT385" s="505"/>
      <c r="AU385" s="505"/>
      <c r="AV385" s="504"/>
      <c r="AW385" s="505"/>
      <c r="AX385" s="505"/>
      <c r="AY385" s="505"/>
      <c r="AZ385" s="505"/>
      <c r="BA385" s="504"/>
      <c r="BB385" s="505"/>
      <c r="BC385" s="505"/>
      <c r="BD385" s="505"/>
      <c r="BE385" s="505"/>
      <c r="BF385" s="504"/>
      <c r="BG385" s="505"/>
      <c r="BH385" s="505"/>
      <c r="BI385" s="505"/>
      <c r="BJ385" s="505"/>
      <c r="BK385" s="504"/>
      <c r="BL385" s="505"/>
      <c r="BM385" s="505"/>
      <c r="BN385" s="505"/>
      <c r="BO385" s="505"/>
    </row>
    <row r="386" spans="3:67">
      <c r="C386" s="463"/>
      <c r="D386" s="384"/>
      <c r="E386" s="384"/>
      <c r="F386" s="384"/>
      <c r="G386" s="384"/>
      <c r="H386" s="463"/>
      <c r="I386" s="384"/>
      <c r="J386" s="384"/>
      <c r="K386" s="384"/>
      <c r="L386" s="384"/>
      <c r="M386" s="463"/>
      <c r="N386" s="384"/>
      <c r="O386" s="384"/>
      <c r="P386" s="384"/>
      <c r="Q386" s="384"/>
      <c r="R386" s="463"/>
      <c r="S386" s="384"/>
      <c r="T386" s="384"/>
      <c r="U386" s="384"/>
      <c r="V386" s="384"/>
      <c r="W386" s="463"/>
      <c r="X386" s="384"/>
      <c r="Y386" s="384"/>
      <c r="Z386" s="384"/>
      <c r="AA386" s="384"/>
      <c r="AB386" s="463"/>
      <c r="AC386" s="384"/>
      <c r="AD386" s="384"/>
      <c r="AE386" s="384"/>
      <c r="AF386" s="384"/>
      <c r="AG386" s="463"/>
      <c r="AH386" s="384"/>
      <c r="AI386" s="384"/>
      <c r="AJ386" s="384"/>
      <c r="AK386" s="384"/>
      <c r="AL386" s="463"/>
      <c r="AM386" s="384"/>
      <c r="AN386" s="1116"/>
      <c r="AO386" s="384"/>
      <c r="AP386" s="384"/>
      <c r="AQ386" s="463"/>
      <c r="AR386" s="1116"/>
      <c r="AS386" s="384"/>
      <c r="AT386" s="384"/>
      <c r="AU386" s="384"/>
      <c r="AV386" s="463"/>
      <c r="AW386" s="384"/>
      <c r="AX386" s="384"/>
      <c r="AY386" s="384"/>
      <c r="AZ386" s="384"/>
      <c r="BA386" s="463"/>
      <c r="BB386" s="384"/>
      <c r="BC386" s="384"/>
      <c r="BD386" s="384"/>
      <c r="BE386" s="384"/>
      <c r="BF386" s="463"/>
      <c r="BG386" s="384"/>
      <c r="BH386" s="384"/>
      <c r="BI386" s="384"/>
      <c r="BJ386" s="384"/>
      <c r="BK386" s="463"/>
      <c r="BL386" s="384"/>
      <c r="BM386" s="384"/>
      <c r="BN386" s="384"/>
      <c r="BO386" s="384"/>
    </row>
    <row r="387" spans="3:67">
      <c r="C387" s="511"/>
      <c r="D387" s="512"/>
      <c r="E387" s="512"/>
      <c r="F387" s="512"/>
      <c r="G387" s="512"/>
      <c r="H387" s="511"/>
      <c r="I387" s="512"/>
      <c r="J387" s="512"/>
      <c r="K387" s="512"/>
      <c r="L387" s="512"/>
      <c r="M387" s="511"/>
      <c r="N387" s="512"/>
      <c r="O387" s="512"/>
      <c r="P387" s="512"/>
      <c r="Q387" s="512"/>
      <c r="R387" s="511"/>
      <c r="S387" s="512"/>
      <c r="T387" s="512"/>
      <c r="U387" s="512"/>
      <c r="V387" s="512"/>
      <c r="W387" s="511"/>
      <c r="X387" s="512"/>
      <c r="Y387" s="512"/>
      <c r="Z387" s="512"/>
      <c r="AA387" s="512"/>
      <c r="AB387" s="511"/>
      <c r="AC387" s="512"/>
      <c r="AD387" s="512"/>
      <c r="AE387" s="512"/>
      <c r="AF387" s="512"/>
      <c r="AG387" s="511"/>
      <c r="AH387" s="512"/>
      <c r="AI387" s="512"/>
      <c r="AJ387" s="512"/>
      <c r="AK387" s="512"/>
      <c r="AL387" s="511"/>
      <c r="AM387" s="512"/>
      <c r="AN387" s="1307"/>
      <c r="AO387" s="512"/>
      <c r="AP387" s="512"/>
      <c r="AQ387" s="511"/>
      <c r="AR387" s="1307"/>
      <c r="AS387" s="512"/>
      <c r="AT387" s="512"/>
      <c r="AU387" s="512"/>
      <c r="AV387" s="511"/>
      <c r="AW387" s="512"/>
      <c r="AX387" s="512"/>
      <c r="AY387" s="512"/>
      <c r="AZ387" s="512"/>
      <c r="BA387" s="511"/>
      <c r="BB387" s="512"/>
      <c r="BC387" s="512"/>
      <c r="BD387" s="512"/>
      <c r="BE387" s="512"/>
      <c r="BF387" s="511"/>
      <c r="BG387" s="512"/>
      <c r="BH387" s="512"/>
      <c r="BI387" s="512"/>
      <c r="BJ387" s="512"/>
      <c r="BK387" s="511"/>
      <c r="BL387" s="512"/>
      <c r="BM387" s="512"/>
      <c r="BN387" s="512"/>
      <c r="BO387" s="512"/>
    </row>
    <row r="390" spans="3:67">
      <c r="C390" s="504"/>
      <c r="D390" s="505"/>
      <c r="E390" s="505"/>
      <c r="F390" s="505"/>
      <c r="G390" s="505"/>
      <c r="H390" s="504"/>
      <c r="I390" s="505"/>
      <c r="J390" s="505"/>
      <c r="K390" s="505"/>
      <c r="L390" s="505"/>
      <c r="M390" s="504"/>
      <c r="N390" s="505"/>
      <c r="O390" s="505"/>
      <c r="P390" s="505"/>
      <c r="Q390" s="505"/>
      <c r="R390" s="504"/>
      <c r="S390" s="505"/>
      <c r="T390" s="505"/>
      <c r="U390" s="505"/>
      <c r="V390" s="505"/>
      <c r="W390" s="504"/>
      <c r="X390" s="505"/>
      <c r="Y390" s="505"/>
      <c r="Z390" s="505"/>
      <c r="AA390" s="505"/>
      <c r="AB390" s="504"/>
      <c r="AC390" s="505"/>
      <c r="AD390" s="505"/>
      <c r="AE390" s="505"/>
      <c r="AF390" s="505"/>
      <c r="AG390" s="504"/>
      <c r="AH390" s="505"/>
      <c r="AI390" s="505"/>
      <c r="AJ390" s="505"/>
      <c r="AK390" s="505"/>
      <c r="AL390" s="504"/>
      <c r="AM390" s="505"/>
      <c r="AN390" s="1304"/>
      <c r="AO390" s="505"/>
      <c r="AP390" s="505"/>
      <c r="AQ390" s="504"/>
      <c r="AR390" s="1304"/>
      <c r="AS390" s="505"/>
      <c r="AT390" s="505"/>
      <c r="AU390" s="505"/>
      <c r="AV390" s="504"/>
      <c r="AW390" s="505"/>
      <c r="AX390" s="505"/>
      <c r="AY390" s="505"/>
      <c r="AZ390" s="505"/>
      <c r="BA390" s="504"/>
      <c r="BB390" s="505"/>
      <c r="BC390" s="505"/>
      <c r="BD390" s="505"/>
      <c r="BE390" s="505"/>
      <c r="BF390" s="504"/>
      <c r="BG390" s="505"/>
      <c r="BH390" s="505"/>
      <c r="BI390" s="505"/>
      <c r="BJ390" s="505"/>
      <c r="BK390" s="504"/>
      <c r="BL390" s="505"/>
      <c r="BM390" s="505"/>
      <c r="BN390" s="505"/>
      <c r="BO390" s="505"/>
    </row>
    <row r="391" spans="3:67">
      <c r="C391" s="463"/>
      <c r="D391" s="384"/>
      <c r="E391" s="384"/>
      <c r="F391" s="384"/>
      <c r="G391" s="384"/>
      <c r="H391" s="463"/>
      <c r="I391" s="384"/>
      <c r="J391" s="384"/>
      <c r="K391" s="384"/>
      <c r="L391" s="384"/>
      <c r="M391" s="463"/>
      <c r="N391" s="384"/>
      <c r="O391" s="384"/>
      <c r="P391" s="384"/>
      <c r="Q391" s="384"/>
      <c r="R391" s="463"/>
      <c r="S391" s="384"/>
      <c r="T391" s="384"/>
      <c r="U391" s="384"/>
      <c r="V391" s="384"/>
      <c r="W391" s="463"/>
      <c r="X391" s="384"/>
      <c r="Y391" s="384"/>
      <c r="Z391" s="384"/>
      <c r="AA391" s="384"/>
      <c r="AB391" s="463"/>
      <c r="AC391" s="384"/>
      <c r="AD391" s="384"/>
      <c r="AE391" s="384"/>
      <c r="AF391" s="384"/>
      <c r="AG391" s="463"/>
      <c r="AH391" s="384"/>
      <c r="AI391" s="384"/>
      <c r="AJ391" s="384"/>
      <c r="AK391" s="384"/>
      <c r="AL391" s="463"/>
      <c r="AM391" s="384"/>
      <c r="AN391" s="1116"/>
      <c r="AO391" s="384"/>
      <c r="AP391" s="384"/>
      <c r="AQ391" s="463"/>
      <c r="AR391" s="1116"/>
      <c r="AS391" s="384"/>
      <c r="AT391" s="384"/>
      <c r="AU391" s="384"/>
      <c r="AV391" s="463"/>
      <c r="AW391" s="384"/>
      <c r="AX391" s="384"/>
      <c r="AY391" s="384"/>
      <c r="AZ391" s="384"/>
      <c r="BA391" s="463"/>
      <c r="BB391" s="384"/>
      <c r="BC391" s="384"/>
      <c r="BD391" s="384"/>
      <c r="BE391" s="384"/>
      <c r="BF391" s="463"/>
      <c r="BG391" s="384"/>
      <c r="BH391" s="384"/>
      <c r="BI391" s="384"/>
      <c r="BJ391" s="384"/>
      <c r="BK391" s="463"/>
      <c r="BL391" s="384"/>
      <c r="BM391" s="384"/>
      <c r="BN391" s="384"/>
      <c r="BO391" s="384"/>
    </row>
    <row r="392" spans="3:67">
      <c r="C392" s="511"/>
      <c r="D392" s="512"/>
      <c r="E392" s="512"/>
      <c r="F392" s="512"/>
      <c r="G392" s="512"/>
      <c r="H392" s="511"/>
      <c r="I392" s="512"/>
      <c r="J392" s="512"/>
      <c r="K392" s="512"/>
      <c r="L392" s="512"/>
      <c r="M392" s="511"/>
      <c r="N392" s="512"/>
      <c r="O392" s="512"/>
      <c r="P392" s="512"/>
      <c r="Q392" s="512"/>
      <c r="R392" s="511"/>
      <c r="S392" s="512"/>
      <c r="T392" s="512"/>
      <c r="U392" s="512"/>
      <c r="V392" s="512"/>
      <c r="W392" s="511"/>
      <c r="X392" s="512"/>
      <c r="Y392" s="512"/>
      <c r="Z392" s="512"/>
      <c r="AA392" s="512"/>
      <c r="AB392" s="511"/>
      <c r="AC392" s="512"/>
      <c r="AD392" s="512"/>
      <c r="AE392" s="512"/>
      <c r="AF392" s="512"/>
      <c r="AG392" s="511"/>
      <c r="AH392" s="512"/>
      <c r="AI392" s="512"/>
      <c r="AJ392" s="512"/>
      <c r="AK392" s="512"/>
      <c r="AL392" s="511"/>
      <c r="AM392" s="512"/>
      <c r="AN392" s="1307"/>
      <c r="AO392" s="512"/>
      <c r="AP392" s="512"/>
      <c r="AQ392" s="511"/>
      <c r="AR392" s="1307"/>
      <c r="AS392" s="512"/>
      <c r="AT392" s="512"/>
      <c r="AU392" s="512"/>
      <c r="AV392" s="511"/>
      <c r="AW392" s="512"/>
      <c r="AX392" s="512"/>
      <c r="AY392" s="512"/>
      <c r="AZ392" s="512"/>
      <c r="BA392" s="511"/>
      <c r="BB392" s="512"/>
      <c r="BC392" s="512"/>
      <c r="BD392" s="512"/>
      <c r="BE392" s="512"/>
      <c r="BF392" s="511"/>
      <c r="BG392" s="512"/>
      <c r="BH392" s="512"/>
      <c r="BI392" s="512"/>
      <c r="BJ392" s="512"/>
      <c r="BK392" s="511"/>
      <c r="BL392" s="512"/>
      <c r="BM392" s="512"/>
      <c r="BN392" s="512"/>
      <c r="BO392" s="512"/>
    </row>
    <row r="394" spans="3:67">
      <c r="C394" s="515"/>
      <c r="D394" s="516"/>
      <c r="E394" s="516"/>
      <c r="F394" s="516"/>
      <c r="G394" s="516"/>
      <c r="H394" s="515"/>
      <c r="I394" s="516"/>
      <c r="J394" s="516"/>
      <c r="K394" s="516"/>
      <c r="L394" s="516"/>
      <c r="M394" s="515"/>
      <c r="N394" s="516"/>
      <c r="O394" s="516"/>
      <c r="P394" s="516"/>
      <c r="Q394" s="516"/>
      <c r="R394" s="515"/>
      <c r="S394" s="516"/>
      <c r="T394" s="516"/>
      <c r="U394" s="516"/>
      <c r="V394" s="516"/>
      <c r="W394" s="515"/>
      <c r="X394" s="516"/>
      <c r="Y394" s="516"/>
      <c r="Z394" s="516"/>
      <c r="AA394" s="516"/>
      <c r="AB394" s="515"/>
      <c r="AC394" s="516"/>
      <c r="AD394" s="516"/>
      <c r="AE394" s="516"/>
      <c r="AF394" s="516"/>
      <c r="AG394" s="515"/>
      <c r="AH394" s="516"/>
      <c r="AI394" s="516"/>
      <c r="AJ394" s="516"/>
      <c r="AK394" s="516"/>
      <c r="AL394" s="515"/>
      <c r="AM394" s="516"/>
      <c r="AN394" s="1309"/>
      <c r="AO394" s="516"/>
      <c r="AP394" s="516"/>
      <c r="AQ394" s="515"/>
      <c r="AR394" s="1309"/>
      <c r="AS394" s="516"/>
      <c r="AT394" s="516"/>
      <c r="AU394" s="516"/>
      <c r="AV394" s="515"/>
      <c r="AW394" s="516"/>
      <c r="AX394" s="516"/>
      <c r="AY394" s="516"/>
      <c r="AZ394" s="516"/>
      <c r="BA394" s="515"/>
      <c r="BB394" s="516"/>
      <c r="BC394" s="516"/>
      <c r="BD394" s="516"/>
      <c r="BE394" s="516"/>
      <c r="BF394" s="515"/>
      <c r="BG394" s="516"/>
      <c r="BH394" s="516"/>
      <c r="BI394" s="516"/>
      <c r="BJ394" s="516"/>
      <c r="BK394" s="515"/>
      <c r="BL394" s="516"/>
      <c r="BM394" s="516"/>
      <c r="BN394" s="516"/>
      <c r="BO394" s="516"/>
    </row>
    <row r="395" spans="3:67">
      <c r="C395" s="509"/>
      <c r="D395" s="510"/>
      <c r="E395" s="510"/>
      <c r="F395" s="510"/>
      <c r="G395" s="510"/>
      <c r="H395" s="509"/>
      <c r="I395" s="510"/>
      <c r="J395" s="510"/>
      <c r="K395" s="510"/>
      <c r="L395" s="510"/>
      <c r="M395" s="509"/>
      <c r="N395" s="510"/>
      <c r="O395" s="510"/>
      <c r="P395" s="510"/>
      <c r="Q395" s="510"/>
      <c r="R395" s="509"/>
      <c r="S395" s="510"/>
      <c r="T395" s="510"/>
      <c r="U395" s="510"/>
      <c r="V395" s="510"/>
      <c r="W395" s="509"/>
      <c r="X395" s="510"/>
      <c r="Y395" s="510"/>
      <c r="Z395" s="510"/>
      <c r="AA395" s="510"/>
      <c r="AB395" s="509"/>
      <c r="AC395" s="510"/>
      <c r="AD395" s="510"/>
      <c r="AE395" s="510"/>
      <c r="AF395" s="510"/>
      <c r="AG395" s="509"/>
      <c r="AH395" s="510"/>
      <c r="AI395" s="510"/>
      <c r="AJ395" s="510"/>
      <c r="AK395" s="510"/>
      <c r="AL395" s="509"/>
      <c r="AM395" s="510"/>
      <c r="AN395" s="1306"/>
      <c r="AO395" s="510"/>
      <c r="AP395" s="510"/>
      <c r="AQ395" s="509"/>
      <c r="AR395" s="1306"/>
      <c r="AS395" s="510"/>
      <c r="AT395" s="510"/>
      <c r="AU395" s="510"/>
      <c r="AV395" s="509"/>
      <c r="AW395" s="510"/>
      <c r="AX395" s="510"/>
      <c r="AY395" s="510"/>
      <c r="AZ395" s="510"/>
      <c r="BA395" s="509"/>
      <c r="BB395" s="510"/>
      <c r="BC395" s="510"/>
      <c r="BD395" s="510"/>
      <c r="BE395" s="510"/>
      <c r="BF395" s="509"/>
      <c r="BG395" s="510"/>
      <c r="BH395" s="510"/>
      <c r="BI395" s="510"/>
      <c r="BJ395" s="510"/>
      <c r="BK395" s="509"/>
      <c r="BL395" s="510"/>
      <c r="BM395" s="510"/>
      <c r="BN395" s="510"/>
      <c r="BO395" s="510"/>
    </row>
    <row r="396" spans="3:67">
      <c r="C396" s="463"/>
      <c r="D396" s="384"/>
      <c r="E396" s="384"/>
      <c r="F396" s="384"/>
      <c r="G396" s="384"/>
      <c r="H396" s="463"/>
      <c r="I396" s="384"/>
      <c r="J396" s="384"/>
      <c r="K396" s="384"/>
      <c r="L396" s="384"/>
      <c r="M396" s="463"/>
      <c r="N396" s="384"/>
      <c r="O396" s="384"/>
      <c r="P396" s="384"/>
      <c r="Q396" s="384"/>
      <c r="R396" s="463"/>
      <c r="S396" s="384"/>
      <c r="T396" s="384"/>
      <c r="U396" s="384"/>
      <c r="V396" s="384"/>
      <c r="W396" s="463"/>
      <c r="X396" s="384"/>
      <c r="Y396" s="384"/>
      <c r="Z396" s="384"/>
      <c r="AA396" s="384"/>
      <c r="AB396" s="463"/>
      <c r="AC396" s="384"/>
      <c r="AD396" s="384"/>
      <c r="AE396" s="384"/>
      <c r="AF396" s="384"/>
      <c r="AG396" s="463"/>
      <c r="AH396" s="384"/>
      <c r="AI396" s="384"/>
      <c r="AJ396" s="384"/>
      <c r="AK396" s="384"/>
      <c r="AL396" s="463"/>
      <c r="AM396" s="384"/>
      <c r="AN396" s="1116"/>
      <c r="AO396" s="384"/>
      <c r="AP396" s="384"/>
      <c r="AQ396" s="463"/>
      <c r="AR396" s="1116"/>
      <c r="AS396" s="384"/>
      <c r="AT396" s="384"/>
      <c r="AU396" s="384"/>
      <c r="AV396" s="463"/>
      <c r="AW396" s="384"/>
      <c r="AX396" s="384"/>
      <c r="AY396" s="384"/>
      <c r="AZ396" s="384"/>
      <c r="BA396" s="463"/>
      <c r="BB396" s="384"/>
      <c r="BC396" s="384"/>
      <c r="BD396" s="384"/>
      <c r="BE396" s="384"/>
      <c r="BF396" s="463"/>
      <c r="BG396" s="384"/>
      <c r="BH396" s="384"/>
      <c r="BI396" s="384"/>
      <c r="BJ396" s="384"/>
      <c r="BK396" s="463"/>
      <c r="BL396" s="384"/>
      <c r="BM396" s="384"/>
      <c r="BN396" s="384"/>
      <c r="BO396" s="384"/>
    </row>
    <row r="397" spans="3:67">
      <c r="C397" s="511"/>
      <c r="D397" s="512"/>
      <c r="E397" s="512"/>
      <c r="F397" s="512"/>
      <c r="G397" s="512"/>
      <c r="H397" s="511"/>
      <c r="I397" s="512"/>
      <c r="J397" s="512"/>
      <c r="K397" s="512"/>
      <c r="L397" s="512"/>
      <c r="M397" s="511"/>
      <c r="N397" s="512"/>
      <c r="O397" s="512"/>
      <c r="P397" s="512"/>
      <c r="Q397" s="512"/>
      <c r="R397" s="511"/>
      <c r="S397" s="512"/>
      <c r="T397" s="512"/>
      <c r="U397" s="512"/>
      <c r="V397" s="512"/>
      <c r="W397" s="511"/>
      <c r="X397" s="512"/>
      <c r="Y397" s="512"/>
      <c r="Z397" s="512"/>
      <c r="AA397" s="512"/>
      <c r="AB397" s="511"/>
      <c r="AC397" s="512"/>
      <c r="AD397" s="512"/>
      <c r="AE397" s="512"/>
      <c r="AF397" s="512"/>
      <c r="AG397" s="511"/>
      <c r="AH397" s="512"/>
      <c r="AI397" s="512"/>
      <c r="AJ397" s="512"/>
      <c r="AK397" s="512"/>
      <c r="AL397" s="511"/>
      <c r="AM397" s="512"/>
      <c r="AN397" s="1307"/>
      <c r="AO397" s="512"/>
      <c r="AP397" s="512"/>
      <c r="AQ397" s="511"/>
      <c r="AR397" s="1307"/>
      <c r="AS397" s="512"/>
      <c r="AT397" s="512"/>
      <c r="AU397" s="512"/>
      <c r="AV397" s="511"/>
      <c r="AW397" s="512"/>
      <c r="AX397" s="512"/>
      <c r="AY397" s="512"/>
      <c r="AZ397" s="512"/>
      <c r="BA397" s="511"/>
      <c r="BB397" s="512"/>
      <c r="BC397" s="512"/>
      <c r="BD397" s="512"/>
      <c r="BE397" s="512"/>
      <c r="BF397" s="511"/>
      <c r="BG397" s="512"/>
      <c r="BH397" s="512"/>
      <c r="BI397" s="512"/>
      <c r="BJ397" s="512"/>
      <c r="BK397" s="511"/>
      <c r="BL397" s="512"/>
      <c r="BM397" s="512"/>
      <c r="BN397" s="512"/>
      <c r="BO397" s="512"/>
    </row>
    <row r="399" spans="3:67">
      <c r="C399" s="517"/>
      <c r="D399" s="518"/>
      <c r="E399" s="518"/>
      <c r="F399" s="518"/>
      <c r="G399" s="518"/>
      <c r="H399" s="517"/>
      <c r="I399" s="518"/>
      <c r="J399" s="518"/>
      <c r="K399" s="518"/>
      <c r="L399" s="518"/>
      <c r="M399" s="517"/>
      <c r="N399" s="518"/>
      <c r="O399" s="518"/>
      <c r="P399" s="518"/>
      <c r="Q399" s="518"/>
      <c r="R399" s="517"/>
      <c r="S399" s="518"/>
      <c r="T399" s="518"/>
      <c r="U399" s="518"/>
      <c r="V399" s="518"/>
      <c r="W399" s="517"/>
      <c r="X399" s="518"/>
      <c r="Y399" s="518"/>
      <c r="Z399" s="518"/>
      <c r="AA399" s="518"/>
      <c r="AB399" s="517"/>
      <c r="AC399" s="518"/>
      <c r="AD399" s="518"/>
      <c r="AE399" s="518"/>
      <c r="AF399" s="518"/>
      <c r="AG399" s="517"/>
      <c r="AH399" s="518"/>
      <c r="AI399" s="518"/>
      <c r="AJ399" s="518"/>
      <c r="AK399" s="518"/>
      <c r="AL399" s="517"/>
      <c r="AM399" s="518"/>
      <c r="AN399" s="1310"/>
      <c r="AO399" s="518"/>
      <c r="AP399" s="518"/>
      <c r="AQ399" s="517"/>
      <c r="AR399" s="1310"/>
      <c r="AS399" s="518"/>
      <c r="AT399" s="518"/>
      <c r="AU399" s="518"/>
      <c r="AV399" s="517"/>
      <c r="AW399" s="518"/>
      <c r="AX399" s="518"/>
      <c r="AY399" s="518"/>
      <c r="AZ399" s="518"/>
      <c r="BA399" s="517"/>
      <c r="BB399" s="518"/>
      <c r="BC399" s="518"/>
      <c r="BD399" s="518"/>
      <c r="BE399" s="518"/>
      <c r="BF399" s="517"/>
      <c r="BG399" s="518"/>
      <c r="BH399" s="518"/>
      <c r="BI399" s="518"/>
      <c r="BJ399" s="518"/>
      <c r="BK399" s="517"/>
      <c r="BL399" s="518"/>
      <c r="BM399" s="518"/>
      <c r="BN399" s="518"/>
      <c r="BO399" s="518"/>
    </row>
    <row r="400" spans="3:67">
      <c r="C400" s="519"/>
      <c r="D400" s="520"/>
      <c r="E400" s="520"/>
      <c r="F400" s="520"/>
      <c r="G400" s="520"/>
      <c r="H400" s="519"/>
      <c r="I400" s="520"/>
      <c r="J400" s="520"/>
      <c r="K400" s="520"/>
      <c r="L400" s="520"/>
      <c r="M400" s="519"/>
      <c r="N400" s="520"/>
      <c r="O400" s="520"/>
      <c r="P400" s="520"/>
      <c r="Q400" s="520"/>
      <c r="R400" s="519"/>
      <c r="S400" s="520"/>
      <c r="T400" s="520"/>
      <c r="U400" s="520"/>
      <c r="V400" s="520"/>
      <c r="W400" s="519"/>
      <c r="X400" s="520"/>
      <c r="Y400" s="520"/>
      <c r="Z400" s="520"/>
      <c r="AA400" s="520"/>
      <c r="AB400" s="519"/>
      <c r="AC400" s="520"/>
      <c r="AD400" s="520"/>
      <c r="AE400" s="520"/>
      <c r="AF400" s="520"/>
      <c r="AG400" s="519"/>
      <c r="AH400" s="520"/>
      <c r="AI400" s="520"/>
      <c r="AJ400" s="520"/>
      <c r="AK400" s="520"/>
      <c r="AL400" s="519"/>
      <c r="AM400" s="520"/>
      <c r="AN400" s="1311"/>
      <c r="AO400" s="520"/>
      <c r="AP400" s="520"/>
      <c r="AQ400" s="519"/>
      <c r="AR400" s="1311"/>
      <c r="AS400" s="520"/>
      <c r="AT400" s="520"/>
      <c r="AU400" s="520"/>
      <c r="AV400" s="519"/>
      <c r="AW400" s="520"/>
      <c r="AX400" s="520"/>
      <c r="AY400" s="520"/>
      <c r="AZ400" s="520"/>
      <c r="BA400" s="519"/>
      <c r="BB400" s="520"/>
      <c r="BC400" s="520"/>
      <c r="BD400" s="520"/>
      <c r="BE400" s="520"/>
      <c r="BF400" s="519"/>
      <c r="BG400" s="520"/>
      <c r="BH400" s="520"/>
      <c r="BI400" s="520"/>
      <c r="BJ400" s="520"/>
      <c r="BK400" s="519"/>
      <c r="BL400" s="520"/>
      <c r="BM400" s="520"/>
      <c r="BN400" s="520"/>
      <c r="BO400" s="520"/>
    </row>
    <row r="401" spans="3:67">
      <c r="C401" s="463"/>
      <c r="D401" s="384"/>
      <c r="E401" s="384"/>
      <c r="F401" s="384"/>
      <c r="G401" s="384"/>
      <c r="H401" s="463"/>
      <c r="I401" s="384"/>
      <c r="J401" s="384"/>
      <c r="K401" s="384"/>
      <c r="L401" s="384"/>
      <c r="M401" s="463"/>
      <c r="N401" s="384"/>
      <c r="O401" s="384"/>
      <c r="P401" s="384"/>
      <c r="Q401" s="384"/>
      <c r="R401" s="463"/>
      <c r="S401" s="384"/>
      <c r="T401" s="384"/>
      <c r="U401" s="384"/>
      <c r="V401" s="384"/>
      <c r="W401" s="463"/>
      <c r="X401" s="384"/>
      <c r="Y401" s="384"/>
      <c r="Z401" s="384"/>
      <c r="AA401" s="384"/>
      <c r="AB401" s="463"/>
      <c r="AC401" s="384"/>
      <c r="AD401" s="384"/>
      <c r="AE401" s="384"/>
      <c r="AF401" s="384"/>
      <c r="AG401" s="463"/>
      <c r="AH401" s="384"/>
      <c r="AI401" s="384"/>
      <c r="AJ401" s="384"/>
      <c r="AK401" s="384"/>
      <c r="AL401" s="463"/>
      <c r="AM401" s="384"/>
      <c r="AN401" s="1116"/>
      <c r="AO401" s="384"/>
      <c r="AP401" s="384"/>
      <c r="AQ401" s="463"/>
      <c r="AR401" s="1116"/>
      <c r="AS401" s="384"/>
      <c r="AT401" s="384"/>
      <c r="AU401" s="384"/>
      <c r="AV401" s="463"/>
      <c r="AW401" s="384"/>
      <c r="AX401" s="384"/>
      <c r="AY401" s="384"/>
      <c r="AZ401" s="384"/>
      <c r="BA401" s="463"/>
      <c r="BB401" s="384"/>
      <c r="BC401" s="384"/>
      <c r="BD401" s="384"/>
      <c r="BE401" s="384"/>
      <c r="BF401" s="463"/>
      <c r="BG401" s="384"/>
      <c r="BH401" s="384"/>
      <c r="BI401" s="384"/>
      <c r="BJ401" s="384"/>
      <c r="BK401" s="463"/>
      <c r="BL401" s="384"/>
      <c r="BM401" s="384"/>
      <c r="BN401" s="384"/>
      <c r="BO401" s="384"/>
    </row>
    <row r="402" spans="3:67">
      <c r="C402" s="463"/>
      <c r="D402" s="384"/>
      <c r="E402" s="384"/>
      <c r="F402" s="384"/>
      <c r="G402" s="384"/>
      <c r="H402" s="463"/>
      <c r="I402" s="384"/>
      <c r="J402" s="384"/>
      <c r="K402" s="384"/>
      <c r="L402" s="384"/>
      <c r="M402" s="463"/>
      <c r="N402" s="384"/>
      <c r="O402" s="384"/>
      <c r="P402" s="384"/>
      <c r="Q402" s="384"/>
      <c r="R402" s="463"/>
      <c r="S402" s="384"/>
      <c r="T402" s="384"/>
      <c r="U402" s="384"/>
      <c r="V402" s="384"/>
      <c r="W402" s="463"/>
      <c r="X402" s="384"/>
      <c r="Y402" s="384"/>
      <c r="Z402" s="384"/>
      <c r="AA402" s="384"/>
      <c r="AB402" s="463"/>
      <c r="AC402" s="384"/>
      <c r="AD402" s="384"/>
      <c r="AE402" s="384"/>
      <c r="AF402" s="384"/>
      <c r="AG402" s="463"/>
      <c r="AH402" s="384"/>
      <c r="AI402" s="384"/>
      <c r="AJ402" s="384"/>
      <c r="AK402" s="384"/>
      <c r="AL402" s="463"/>
      <c r="AM402" s="384"/>
      <c r="AN402" s="1116"/>
      <c r="AO402" s="384"/>
      <c r="AP402" s="384"/>
      <c r="AQ402" s="463"/>
      <c r="AR402" s="1116"/>
      <c r="AS402" s="384"/>
      <c r="AT402" s="384"/>
      <c r="AU402" s="384"/>
      <c r="AV402" s="463"/>
      <c r="AW402" s="384"/>
      <c r="AX402" s="384"/>
      <c r="AY402" s="384"/>
      <c r="AZ402" s="384"/>
      <c r="BA402" s="463"/>
      <c r="BB402" s="384"/>
      <c r="BC402" s="384"/>
      <c r="BD402" s="384"/>
      <c r="BE402" s="384"/>
      <c r="BF402" s="463"/>
      <c r="BG402" s="384"/>
      <c r="BH402" s="384"/>
      <c r="BI402" s="384"/>
      <c r="BJ402" s="384"/>
      <c r="BK402" s="463"/>
      <c r="BL402" s="384"/>
      <c r="BM402" s="384"/>
      <c r="BN402" s="384"/>
      <c r="BO402" s="384"/>
    </row>
    <row r="403" spans="3:67">
      <c r="C403" s="463"/>
      <c r="D403" s="384"/>
      <c r="E403" s="384"/>
      <c r="F403" s="384"/>
      <c r="G403" s="384"/>
      <c r="H403" s="463"/>
      <c r="I403" s="384"/>
      <c r="J403" s="384"/>
      <c r="K403" s="384"/>
      <c r="L403" s="384"/>
      <c r="M403" s="463"/>
      <c r="N403" s="384"/>
      <c r="O403" s="384"/>
      <c r="P403" s="384"/>
      <c r="Q403" s="384"/>
      <c r="R403" s="463"/>
      <c r="S403" s="384"/>
      <c r="T403" s="384"/>
      <c r="U403" s="384"/>
      <c r="V403" s="384"/>
      <c r="W403" s="463"/>
      <c r="X403" s="384"/>
      <c r="Y403" s="384"/>
      <c r="Z403" s="384"/>
      <c r="AA403" s="384"/>
      <c r="AB403" s="463"/>
      <c r="AC403" s="384"/>
      <c r="AD403" s="384"/>
      <c r="AE403" s="384"/>
      <c r="AF403" s="384"/>
      <c r="AG403" s="463"/>
      <c r="AH403" s="384"/>
      <c r="AI403" s="384"/>
      <c r="AJ403" s="384"/>
      <c r="AK403" s="384"/>
      <c r="AL403" s="463"/>
      <c r="AM403" s="384"/>
      <c r="AN403" s="1116"/>
      <c r="AO403" s="384"/>
      <c r="AP403" s="384"/>
      <c r="AQ403" s="463"/>
      <c r="AR403" s="1116"/>
      <c r="AS403" s="384"/>
      <c r="AT403" s="384"/>
      <c r="AU403" s="384"/>
      <c r="AV403" s="463"/>
      <c r="AW403" s="384"/>
      <c r="AX403" s="384"/>
      <c r="AY403" s="384"/>
      <c r="AZ403" s="384"/>
      <c r="BA403" s="463"/>
      <c r="BB403" s="384"/>
      <c r="BC403" s="384"/>
      <c r="BD403" s="384"/>
      <c r="BE403" s="384"/>
      <c r="BF403" s="463"/>
      <c r="BG403" s="384"/>
      <c r="BH403" s="384"/>
      <c r="BI403" s="384"/>
      <c r="BJ403" s="384"/>
      <c r="BK403" s="463"/>
      <c r="BL403" s="384"/>
      <c r="BM403" s="384"/>
      <c r="BN403" s="384"/>
      <c r="BO403" s="384"/>
    </row>
    <row r="404" spans="3:67">
      <c r="C404" s="463"/>
      <c r="D404" s="384"/>
      <c r="E404" s="384"/>
      <c r="F404" s="384"/>
      <c r="G404" s="384"/>
      <c r="H404" s="463"/>
      <c r="I404" s="384"/>
      <c r="J404" s="384"/>
      <c r="K404" s="384"/>
      <c r="L404" s="384"/>
      <c r="M404" s="463"/>
      <c r="N404" s="384"/>
      <c r="O404" s="384"/>
      <c r="P404" s="384"/>
      <c r="Q404" s="384"/>
      <c r="R404" s="463"/>
      <c r="S404" s="384"/>
      <c r="T404" s="384"/>
      <c r="U404" s="384"/>
      <c r="V404" s="384"/>
      <c r="W404" s="463"/>
      <c r="X404" s="384"/>
      <c r="Y404" s="384"/>
      <c r="Z404" s="384"/>
      <c r="AA404" s="384"/>
      <c r="AB404" s="463"/>
      <c r="AC404" s="384"/>
      <c r="AD404" s="384"/>
      <c r="AE404" s="384"/>
      <c r="AF404" s="384"/>
      <c r="AG404" s="463"/>
      <c r="AH404" s="384"/>
      <c r="AI404" s="384"/>
      <c r="AJ404" s="384"/>
      <c r="AK404" s="384"/>
      <c r="AL404" s="463"/>
      <c r="AM404" s="384"/>
      <c r="AN404" s="1116"/>
      <c r="AO404" s="384"/>
      <c r="AP404" s="384"/>
      <c r="AQ404" s="463"/>
      <c r="AR404" s="1116"/>
      <c r="AS404" s="384"/>
      <c r="AT404" s="384"/>
      <c r="AU404" s="384"/>
      <c r="AV404" s="463"/>
      <c r="AW404" s="384"/>
      <c r="AX404" s="384"/>
      <c r="AY404" s="384"/>
      <c r="AZ404" s="384"/>
      <c r="BA404" s="463"/>
      <c r="BB404" s="384"/>
      <c r="BC404" s="384"/>
      <c r="BD404" s="384"/>
      <c r="BE404" s="384"/>
      <c r="BF404" s="463"/>
      <c r="BG404" s="384"/>
      <c r="BH404" s="384"/>
      <c r="BI404" s="384"/>
      <c r="BJ404" s="384"/>
      <c r="BK404" s="463"/>
      <c r="BL404" s="384"/>
      <c r="BM404" s="384"/>
      <c r="BN404" s="384"/>
      <c r="BO404" s="384"/>
    </row>
    <row r="405" spans="3:67">
      <c r="C405" s="521"/>
      <c r="D405" s="522"/>
      <c r="E405" s="522"/>
      <c r="F405" s="522"/>
      <c r="G405" s="522"/>
      <c r="H405" s="521"/>
      <c r="I405" s="522"/>
      <c r="J405" s="522"/>
      <c r="K405" s="522"/>
      <c r="L405" s="522"/>
      <c r="M405" s="521"/>
      <c r="N405" s="522"/>
      <c r="O405" s="522"/>
      <c r="P405" s="522"/>
      <c r="Q405" s="522"/>
      <c r="R405" s="521"/>
      <c r="S405" s="522"/>
      <c r="T405" s="522"/>
      <c r="U405" s="522"/>
      <c r="V405" s="522"/>
      <c r="W405" s="521"/>
      <c r="X405" s="522"/>
      <c r="Y405" s="522"/>
      <c r="Z405" s="522"/>
      <c r="AA405" s="522"/>
      <c r="AB405" s="521"/>
      <c r="AC405" s="522"/>
      <c r="AD405" s="522"/>
      <c r="AE405" s="522"/>
      <c r="AF405" s="522"/>
      <c r="AG405" s="521"/>
      <c r="AH405" s="522"/>
      <c r="AI405" s="522"/>
      <c r="AJ405" s="522"/>
      <c r="AK405" s="522"/>
      <c r="AL405" s="521"/>
      <c r="AM405" s="522"/>
      <c r="AN405" s="1312"/>
      <c r="AO405" s="522"/>
      <c r="AP405" s="522"/>
      <c r="AQ405" s="521"/>
      <c r="AR405" s="1312"/>
      <c r="AS405" s="522"/>
      <c r="AT405" s="522"/>
      <c r="AU405" s="522"/>
      <c r="AV405" s="521"/>
      <c r="AW405" s="522"/>
      <c r="AX405" s="522"/>
      <c r="AY405" s="522"/>
      <c r="AZ405" s="522"/>
      <c r="BA405" s="521"/>
      <c r="BB405" s="522"/>
      <c r="BC405" s="522"/>
      <c r="BD405" s="522"/>
      <c r="BE405" s="522"/>
      <c r="BF405" s="521"/>
      <c r="BG405" s="522"/>
      <c r="BH405" s="522"/>
      <c r="BI405" s="522"/>
      <c r="BJ405" s="522"/>
      <c r="BK405" s="521"/>
      <c r="BL405" s="522"/>
      <c r="BM405" s="522"/>
      <c r="BN405" s="522"/>
      <c r="BO405" s="522"/>
    </row>
    <row r="406" spans="3:67">
      <c r="C406" s="523"/>
      <c r="H406" s="523"/>
      <c r="M406" s="523"/>
      <c r="R406" s="523"/>
      <c r="W406" s="523"/>
      <c r="AB406" s="523"/>
      <c r="AG406" s="523"/>
      <c r="AL406" s="523"/>
      <c r="AQ406" s="523"/>
      <c r="AV406" s="523"/>
      <c r="BA406" s="523"/>
      <c r="BF406" s="523"/>
      <c r="BK406" s="523"/>
    </row>
    <row r="407" spans="3:67">
      <c r="C407" s="523"/>
      <c r="H407" s="523"/>
      <c r="M407" s="523"/>
      <c r="R407" s="523"/>
      <c r="W407" s="523"/>
      <c r="AB407" s="523"/>
      <c r="AG407" s="523"/>
      <c r="AL407" s="523"/>
      <c r="AQ407" s="523"/>
      <c r="AV407" s="523"/>
      <c r="BA407" s="523"/>
      <c r="BF407" s="523"/>
      <c r="BK407" s="523"/>
    </row>
    <row r="408" spans="3:67">
      <c r="C408" s="524"/>
      <c r="D408" s="384"/>
      <c r="E408" s="384"/>
      <c r="F408" s="384"/>
      <c r="G408" s="384"/>
      <c r="H408" s="524"/>
      <c r="I408" s="384"/>
      <c r="J408" s="384"/>
      <c r="K408" s="384"/>
      <c r="L408" s="384"/>
      <c r="M408" s="524"/>
      <c r="N408" s="384"/>
      <c r="O408" s="384"/>
      <c r="P408" s="384"/>
      <c r="Q408" s="384"/>
      <c r="R408" s="524"/>
      <c r="S408" s="384"/>
      <c r="T408" s="384"/>
      <c r="U408" s="384"/>
      <c r="V408" s="384"/>
      <c r="W408" s="524"/>
      <c r="X408" s="384"/>
      <c r="Y408" s="384"/>
      <c r="Z408" s="384"/>
      <c r="AA408" s="384"/>
      <c r="AB408" s="524"/>
      <c r="AC408" s="384"/>
      <c r="AD408" s="384"/>
      <c r="AE408" s="384"/>
      <c r="AF408" s="384"/>
      <c r="AG408" s="524"/>
      <c r="AH408" s="384"/>
      <c r="AI408" s="384"/>
      <c r="AJ408" s="384"/>
      <c r="AK408" s="384"/>
      <c r="AL408" s="524"/>
      <c r="AM408" s="384"/>
      <c r="AN408" s="1116"/>
      <c r="AO408" s="384"/>
      <c r="AP408" s="384"/>
      <c r="AQ408" s="524"/>
      <c r="AR408" s="1116"/>
      <c r="AS408" s="384"/>
      <c r="AT408" s="384"/>
      <c r="AU408" s="384"/>
      <c r="AV408" s="524"/>
      <c r="AW408" s="384"/>
      <c r="AX408" s="384"/>
      <c r="AY408" s="384"/>
      <c r="AZ408" s="384"/>
      <c r="BA408" s="524"/>
      <c r="BB408" s="384"/>
      <c r="BC408" s="384"/>
      <c r="BD408" s="384"/>
      <c r="BE408" s="384"/>
      <c r="BF408" s="524"/>
      <c r="BG408" s="384"/>
      <c r="BH408" s="384"/>
      <c r="BI408" s="384"/>
      <c r="BJ408" s="384"/>
      <c r="BK408" s="524"/>
      <c r="BL408" s="384"/>
      <c r="BM408" s="384"/>
      <c r="BN408" s="384"/>
      <c r="BO408" s="384"/>
    </row>
    <row r="410" spans="3:67">
      <c r="C410" s="525"/>
      <c r="D410" s="522"/>
      <c r="E410" s="522"/>
      <c r="F410" s="522"/>
      <c r="G410" s="522"/>
      <c r="H410" s="525"/>
      <c r="I410" s="522"/>
      <c r="J410" s="522"/>
      <c r="K410" s="522"/>
      <c r="L410" s="522"/>
      <c r="M410" s="525"/>
      <c r="N410" s="522"/>
      <c r="O410" s="522"/>
      <c r="P410" s="522"/>
      <c r="Q410" s="522"/>
      <c r="R410" s="525"/>
      <c r="S410" s="522"/>
      <c r="T410" s="522"/>
      <c r="U410" s="522"/>
      <c r="V410" s="522"/>
      <c r="W410" s="525"/>
      <c r="X410" s="522"/>
      <c r="Y410" s="522"/>
      <c r="Z410" s="522"/>
      <c r="AA410" s="522"/>
      <c r="AB410" s="525"/>
      <c r="AC410" s="522"/>
      <c r="AD410" s="522"/>
      <c r="AE410" s="522"/>
      <c r="AF410" s="522"/>
      <c r="AG410" s="525"/>
      <c r="AH410" s="522"/>
      <c r="AI410" s="522"/>
      <c r="AJ410" s="522"/>
      <c r="AK410" s="522"/>
      <c r="AL410" s="525"/>
      <c r="AM410" s="522"/>
      <c r="AN410" s="1312"/>
      <c r="AO410" s="522"/>
      <c r="AP410" s="522"/>
      <c r="AQ410" s="525"/>
      <c r="AR410" s="1312"/>
      <c r="AS410" s="522"/>
      <c r="AT410" s="522"/>
      <c r="AU410" s="522"/>
      <c r="AV410" s="525"/>
      <c r="AW410" s="522"/>
      <c r="AX410" s="522"/>
      <c r="AY410" s="522"/>
      <c r="AZ410" s="522"/>
      <c r="BA410" s="525"/>
      <c r="BB410" s="522"/>
      <c r="BC410" s="522"/>
      <c r="BD410" s="522"/>
      <c r="BE410" s="522"/>
      <c r="BF410" s="525"/>
      <c r="BG410" s="522"/>
      <c r="BH410" s="522"/>
      <c r="BI410" s="522"/>
      <c r="BJ410" s="522"/>
      <c r="BK410" s="525"/>
      <c r="BL410" s="522"/>
      <c r="BM410" s="522"/>
      <c r="BN410" s="522"/>
      <c r="BO410" s="522"/>
    </row>
    <row r="415" spans="3:67">
      <c r="C415" s="525"/>
      <c r="D415" s="522"/>
      <c r="E415" s="522"/>
      <c r="F415" s="522"/>
      <c r="G415" s="522"/>
      <c r="H415" s="525"/>
      <c r="I415" s="522"/>
      <c r="J415" s="522"/>
      <c r="K415" s="522"/>
      <c r="L415" s="522"/>
      <c r="M415" s="525"/>
      <c r="N415" s="522"/>
      <c r="O415" s="522"/>
      <c r="P415" s="522"/>
      <c r="Q415" s="522"/>
      <c r="R415" s="525"/>
      <c r="S415" s="522"/>
      <c r="T415" s="522"/>
      <c r="U415" s="522"/>
      <c r="V415" s="522"/>
      <c r="W415" s="525"/>
      <c r="X415" s="522"/>
      <c r="Y415" s="522"/>
      <c r="Z415" s="522"/>
      <c r="AA415" s="522"/>
      <c r="AB415" s="525"/>
      <c r="AC415" s="522"/>
      <c r="AD415" s="522"/>
      <c r="AE415" s="522"/>
      <c r="AF415" s="522"/>
      <c r="AG415" s="525"/>
      <c r="AH415" s="522"/>
      <c r="AI415" s="522"/>
      <c r="AJ415" s="522"/>
      <c r="AK415" s="522"/>
      <c r="AL415" s="525"/>
      <c r="AM415" s="522"/>
      <c r="AN415" s="1312"/>
      <c r="AO415" s="522"/>
      <c r="AP415" s="522"/>
      <c r="AQ415" s="525"/>
      <c r="AR415" s="1312"/>
      <c r="AS415" s="522"/>
      <c r="AT415" s="522"/>
      <c r="AU415" s="522"/>
      <c r="AV415" s="525"/>
      <c r="AW415" s="522"/>
      <c r="AX415" s="522"/>
      <c r="AY415" s="522"/>
      <c r="AZ415" s="522"/>
      <c r="BA415" s="525"/>
      <c r="BB415" s="522"/>
      <c r="BC415" s="522"/>
      <c r="BD415" s="522"/>
      <c r="BE415" s="522"/>
      <c r="BF415" s="525"/>
      <c r="BG415" s="522"/>
      <c r="BH415" s="522"/>
      <c r="BI415" s="522"/>
      <c r="BJ415" s="522"/>
      <c r="BK415" s="525"/>
      <c r="BL415" s="522"/>
      <c r="BM415" s="522"/>
      <c r="BN415" s="522"/>
      <c r="BO415" s="522"/>
    </row>
    <row r="416" spans="3:67">
      <c r="C416" s="463"/>
      <c r="D416" s="384"/>
      <c r="E416" s="384"/>
      <c r="F416" s="384"/>
      <c r="G416" s="384"/>
      <c r="H416" s="463"/>
      <c r="I416" s="384"/>
      <c r="J416" s="384"/>
      <c r="K416" s="384"/>
      <c r="L416" s="384"/>
      <c r="M416" s="463"/>
      <c r="N416" s="384"/>
      <c r="O416" s="384"/>
      <c r="P416" s="384"/>
      <c r="Q416" s="384"/>
      <c r="R416" s="463"/>
      <c r="S416" s="384"/>
      <c r="T416" s="384"/>
      <c r="U416" s="384"/>
      <c r="V416" s="384"/>
      <c r="W416" s="463"/>
      <c r="X416" s="384"/>
      <c r="Y416" s="384"/>
      <c r="Z416" s="384"/>
      <c r="AA416" s="384"/>
      <c r="AB416" s="463"/>
      <c r="AC416" s="384"/>
      <c r="AD416" s="384"/>
      <c r="AE416" s="384"/>
      <c r="AF416" s="384"/>
      <c r="AG416" s="463"/>
      <c r="AH416" s="384"/>
      <c r="AI416" s="384"/>
      <c r="AJ416" s="384"/>
      <c r="AK416" s="384"/>
      <c r="AL416" s="463"/>
      <c r="AM416" s="384"/>
      <c r="AN416" s="1116"/>
      <c r="AO416" s="384"/>
      <c r="AP416" s="384"/>
      <c r="AQ416" s="463"/>
      <c r="AR416" s="1116"/>
      <c r="AS416" s="384"/>
      <c r="AT416" s="384"/>
      <c r="AU416" s="384"/>
      <c r="AV416" s="463"/>
      <c r="AW416" s="384"/>
      <c r="AX416" s="384"/>
      <c r="AY416" s="384"/>
      <c r="AZ416" s="384"/>
      <c r="BA416" s="463"/>
      <c r="BB416" s="384"/>
      <c r="BC416" s="384"/>
      <c r="BD416" s="384"/>
      <c r="BE416" s="384"/>
      <c r="BF416" s="463"/>
      <c r="BG416" s="384"/>
      <c r="BH416" s="384"/>
      <c r="BI416" s="384"/>
      <c r="BJ416" s="384"/>
      <c r="BK416" s="463"/>
      <c r="BL416" s="384"/>
      <c r="BM416" s="384"/>
      <c r="BN416" s="384"/>
      <c r="BO416" s="384"/>
    </row>
    <row r="417" spans="3:67">
      <c r="C417" s="463"/>
      <c r="D417" s="384"/>
      <c r="E417" s="384"/>
      <c r="F417" s="384"/>
      <c r="G417" s="384"/>
      <c r="H417" s="463"/>
      <c r="I417" s="384"/>
      <c r="J417" s="384"/>
      <c r="K417" s="384"/>
      <c r="L417" s="384"/>
      <c r="M417" s="463"/>
      <c r="N417" s="384"/>
      <c r="O417" s="384"/>
      <c r="P417" s="384"/>
      <c r="Q417" s="384"/>
      <c r="R417" s="463"/>
      <c r="S417" s="384"/>
      <c r="T417" s="384"/>
      <c r="U417" s="384"/>
      <c r="V417" s="384"/>
      <c r="W417" s="463"/>
      <c r="X417" s="384"/>
      <c r="Y417" s="384"/>
      <c r="Z417" s="384"/>
      <c r="AA417" s="384"/>
      <c r="AB417" s="463"/>
      <c r="AC417" s="384"/>
      <c r="AD417" s="384"/>
      <c r="AE417" s="384"/>
      <c r="AF417" s="384"/>
      <c r="AG417" s="463"/>
      <c r="AH417" s="384"/>
      <c r="AI417" s="384"/>
      <c r="AJ417" s="384"/>
      <c r="AK417" s="384"/>
      <c r="AL417" s="463"/>
      <c r="AM417" s="384"/>
      <c r="AN417" s="1116"/>
      <c r="AO417" s="384"/>
      <c r="AP417" s="384"/>
      <c r="AQ417" s="463"/>
      <c r="AR417" s="1116"/>
      <c r="AS417" s="384"/>
      <c r="AT417" s="384"/>
      <c r="AU417" s="384"/>
      <c r="AV417" s="463"/>
      <c r="AW417" s="384"/>
      <c r="AX417" s="384"/>
      <c r="AY417" s="384"/>
      <c r="AZ417" s="384"/>
      <c r="BA417" s="463"/>
      <c r="BB417" s="384"/>
      <c r="BC417" s="384"/>
      <c r="BD417" s="384"/>
      <c r="BE417" s="384"/>
      <c r="BF417" s="463"/>
      <c r="BG417" s="384"/>
      <c r="BH417" s="384"/>
      <c r="BI417" s="384"/>
      <c r="BJ417" s="384"/>
      <c r="BK417" s="463"/>
      <c r="BL417" s="384"/>
      <c r="BM417" s="384"/>
      <c r="BN417" s="384"/>
      <c r="BO417" s="384"/>
    </row>
    <row r="418" spans="3:67">
      <c r="C418" s="463"/>
      <c r="D418" s="384"/>
      <c r="E418" s="384"/>
      <c r="F418" s="384"/>
      <c r="G418" s="384"/>
      <c r="H418" s="463"/>
      <c r="I418" s="384"/>
      <c r="J418" s="384"/>
      <c r="K418" s="384"/>
      <c r="L418" s="384"/>
      <c r="M418" s="463"/>
      <c r="N418" s="384"/>
      <c r="O418" s="384"/>
      <c r="P418" s="384"/>
      <c r="Q418" s="384"/>
      <c r="R418" s="463"/>
      <c r="S418" s="384"/>
      <c r="T418" s="384"/>
      <c r="U418" s="384"/>
      <c r="V418" s="384"/>
      <c r="W418" s="463"/>
      <c r="X418" s="384"/>
      <c r="Y418" s="384"/>
      <c r="Z418" s="384"/>
      <c r="AA418" s="384"/>
      <c r="AB418" s="463"/>
      <c r="AC418" s="384"/>
      <c r="AD418" s="384"/>
      <c r="AE418" s="384"/>
      <c r="AF418" s="384"/>
      <c r="AG418" s="463"/>
      <c r="AH418" s="384"/>
      <c r="AI418" s="384"/>
      <c r="AJ418" s="384"/>
      <c r="AK418" s="384"/>
      <c r="AL418" s="463"/>
      <c r="AM418" s="384"/>
      <c r="AN418" s="1116"/>
      <c r="AO418" s="384"/>
      <c r="AP418" s="384"/>
      <c r="AQ418" s="463"/>
      <c r="AR418" s="1116"/>
      <c r="AS418" s="384"/>
      <c r="AT418" s="384"/>
      <c r="AU418" s="384"/>
      <c r="AV418" s="463"/>
      <c r="AW418" s="384"/>
      <c r="AX418" s="384"/>
      <c r="AY418" s="384"/>
      <c r="AZ418" s="384"/>
      <c r="BA418" s="463"/>
      <c r="BB418" s="384"/>
      <c r="BC418" s="384"/>
      <c r="BD418" s="384"/>
      <c r="BE418" s="384"/>
      <c r="BF418" s="463"/>
      <c r="BG418" s="384"/>
      <c r="BH418" s="384"/>
      <c r="BI418" s="384"/>
      <c r="BJ418" s="384"/>
      <c r="BK418" s="463"/>
      <c r="BL418" s="384"/>
      <c r="BM418" s="384"/>
      <c r="BN418" s="384"/>
      <c r="BO418" s="384"/>
    </row>
    <row r="420" spans="3:67">
      <c r="C420" s="526"/>
      <c r="D420" s="527"/>
      <c r="E420" s="527"/>
      <c r="F420" s="527"/>
      <c r="G420" s="527"/>
      <c r="H420" s="526"/>
      <c r="I420" s="527"/>
      <c r="J420" s="527"/>
      <c r="K420" s="527"/>
      <c r="L420" s="527"/>
      <c r="M420" s="526"/>
      <c r="N420" s="527"/>
      <c r="O420" s="527"/>
      <c r="P420" s="527"/>
      <c r="Q420" s="527"/>
      <c r="R420" s="526"/>
      <c r="S420" s="527"/>
      <c r="T420" s="527"/>
      <c r="U420" s="527"/>
      <c r="V420" s="527"/>
      <c r="W420" s="526"/>
      <c r="X420" s="527"/>
      <c r="Y420" s="527"/>
      <c r="Z420" s="527"/>
      <c r="AA420" s="527"/>
      <c r="AB420" s="526"/>
      <c r="AC420" s="527"/>
      <c r="AD420" s="527"/>
      <c r="AE420" s="527"/>
      <c r="AF420" s="527"/>
      <c r="AG420" s="526"/>
      <c r="AH420" s="527"/>
      <c r="AI420" s="527"/>
      <c r="AJ420" s="527"/>
      <c r="AK420" s="527"/>
      <c r="AL420" s="526"/>
      <c r="AM420" s="527"/>
      <c r="AN420" s="1313"/>
      <c r="AO420" s="527"/>
      <c r="AP420" s="527"/>
      <c r="AQ420" s="526"/>
      <c r="AR420" s="1313"/>
      <c r="AS420" s="527"/>
      <c r="AT420" s="527"/>
      <c r="AU420" s="527"/>
      <c r="AV420" s="526"/>
      <c r="AW420" s="527"/>
      <c r="AX420" s="527"/>
      <c r="AY420" s="527"/>
      <c r="AZ420" s="527"/>
      <c r="BA420" s="526"/>
      <c r="BB420" s="527"/>
      <c r="BC420" s="527"/>
      <c r="BD420" s="527"/>
      <c r="BE420" s="527"/>
      <c r="BF420" s="526"/>
      <c r="BG420" s="527"/>
      <c r="BH420" s="527"/>
      <c r="BI420" s="527"/>
      <c r="BJ420" s="527"/>
      <c r="BK420" s="526"/>
      <c r="BL420" s="527"/>
      <c r="BM420" s="527"/>
      <c r="BN420" s="527"/>
      <c r="BO420" s="527"/>
    </row>
    <row r="421" spans="3:67">
      <c r="C421" s="524"/>
      <c r="D421" s="384"/>
      <c r="E421" s="384"/>
      <c r="F421" s="384"/>
      <c r="G421" s="384"/>
      <c r="H421" s="524"/>
      <c r="I421" s="384"/>
      <c r="J421" s="384"/>
      <c r="K421" s="384"/>
      <c r="L421" s="384"/>
      <c r="M421" s="524"/>
      <c r="N421" s="384"/>
      <c r="O421" s="384"/>
      <c r="P421" s="384"/>
      <c r="Q421" s="384"/>
      <c r="R421" s="524"/>
      <c r="S421" s="384"/>
      <c r="T421" s="384"/>
      <c r="U421" s="384"/>
      <c r="V421" s="384"/>
      <c r="W421" s="524"/>
      <c r="X421" s="384"/>
      <c r="Y421" s="384"/>
      <c r="Z421" s="384"/>
      <c r="AA421" s="384"/>
      <c r="AB421" s="524"/>
      <c r="AC421" s="384"/>
      <c r="AD421" s="384"/>
      <c r="AE421" s="384"/>
      <c r="AF421" s="384"/>
      <c r="AG421" s="524"/>
      <c r="AH421" s="384"/>
      <c r="AI421" s="384"/>
      <c r="AJ421" s="384"/>
      <c r="AK421" s="384"/>
      <c r="AL421" s="524"/>
      <c r="AM421" s="384"/>
      <c r="AN421" s="1116"/>
      <c r="AO421" s="384"/>
      <c r="AP421" s="384"/>
      <c r="AQ421" s="524"/>
      <c r="AR421" s="1116"/>
      <c r="AS421" s="384"/>
      <c r="AT421" s="384"/>
      <c r="AU421" s="384"/>
      <c r="AV421" s="524"/>
      <c r="AW421" s="384"/>
      <c r="AX421" s="384"/>
      <c r="AY421" s="384"/>
      <c r="AZ421" s="384"/>
      <c r="BA421" s="524"/>
      <c r="BB421" s="384"/>
      <c r="BC421" s="384"/>
      <c r="BD421" s="384"/>
      <c r="BE421" s="384"/>
      <c r="BF421" s="524"/>
      <c r="BG421" s="384"/>
      <c r="BH421" s="384"/>
      <c r="BI421" s="384"/>
      <c r="BJ421" s="384"/>
      <c r="BK421" s="524"/>
      <c r="BL421" s="384"/>
      <c r="BM421" s="384"/>
      <c r="BN421" s="384"/>
      <c r="BO421" s="384"/>
    </row>
    <row r="422" spans="3:67">
      <c r="C422" s="524"/>
      <c r="D422" s="384"/>
      <c r="E422" s="384"/>
      <c r="F422" s="384"/>
      <c r="G422" s="384"/>
      <c r="H422" s="524"/>
      <c r="I422" s="384"/>
      <c r="J422" s="384"/>
      <c r="K422" s="384"/>
      <c r="L422" s="384"/>
      <c r="M422" s="524"/>
      <c r="N422" s="384"/>
      <c r="O422" s="384"/>
      <c r="P422" s="384"/>
      <c r="Q422" s="384"/>
      <c r="R422" s="524"/>
      <c r="S422" s="384"/>
      <c r="T422" s="384"/>
      <c r="U422" s="384"/>
      <c r="V422" s="384"/>
      <c r="W422" s="524"/>
      <c r="X422" s="384"/>
      <c r="Y422" s="384"/>
      <c r="Z422" s="384"/>
      <c r="AA422" s="384"/>
      <c r="AB422" s="524"/>
      <c r="AC422" s="384"/>
      <c r="AD422" s="384"/>
      <c r="AE422" s="384"/>
      <c r="AF422" s="384"/>
      <c r="AG422" s="524"/>
      <c r="AH422" s="384"/>
      <c r="AI422" s="384"/>
      <c r="AJ422" s="384"/>
      <c r="AK422" s="384"/>
      <c r="AL422" s="524"/>
      <c r="AM422" s="384"/>
      <c r="AN422" s="1116"/>
      <c r="AO422" s="384"/>
      <c r="AP422" s="384"/>
      <c r="AQ422" s="524"/>
      <c r="AR422" s="1116"/>
      <c r="AS422" s="384"/>
      <c r="AT422" s="384"/>
      <c r="AU422" s="384"/>
      <c r="AV422" s="524"/>
      <c r="AW422" s="384"/>
      <c r="AX422" s="384"/>
      <c r="AY422" s="384"/>
      <c r="AZ422" s="384"/>
      <c r="BA422" s="524"/>
      <c r="BB422" s="384"/>
      <c r="BC422" s="384"/>
      <c r="BD422" s="384"/>
      <c r="BE422" s="384"/>
      <c r="BF422" s="524"/>
      <c r="BG422" s="384"/>
      <c r="BH422" s="384"/>
      <c r="BI422" s="384"/>
      <c r="BJ422" s="384"/>
      <c r="BK422" s="524"/>
      <c r="BL422" s="384"/>
      <c r="BM422" s="384"/>
      <c r="BN422" s="384"/>
      <c r="BO422" s="384"/>
    </row>
    <row r="423" spans="3:67">
      <c r="C423" s="524"/>
      <c r="D423" s="384"/>
      <c r="E423" s="384"/>
      <c r="F423" s="384"/>
      <c r="G423" s="384"/>
      <c r="H423" s="524"/>
      <c r="I423" s="384"/>
      <c r="J423" s="384"/>
      <c r="K423" s="384"/>
      <c r="L423" s="384"/>
      <c r="M423" s="524"/>
      <c r="N423" s="384"/>
      <c r="O423" s="384"/>
      <c r="P423" s="384"/>
      <c r="Q423" s="384"/>
      <c r="R423" s="524"/>
      <c r="S423" s="384"/>
      <c r="T423" s="384"/>
      <c r="U423" s="384"/>
      <c r="V423" s="384"/>
      <c r="W423" s="524"/>
      <c r="X423" s="384"/>
      <c r="Y423" s="384"/>
      <c r="Z423" s="384"/>
      <c r="AA423" s="384"/>
      <c r="AB423" s="524"/>
      <c r="AC423" s="384"/>
      <c r="AD423" s="384"/>
      <c r="AE423" s="384"/>
      <c r="AF423" s="384"/>
      <c r="AG423" s="524"/>
      <c r="AH423" s="384"/>
      <c r="AI423" s="384"/>
      <c r="AJ423" s="384"/>
      <c r="AK423" s="384"/>
      <c r="AL423" s="524"/>
      <c r="AM423" s="384"/>
      <c r="AN423" s="1116"/>
      <c r="AO423" s="384"/>
      <c r="AP423" s="384"/>
      <c r="AQ423" s="524"/>
      <c r="AR423" s="1116"/>
      <c r="AS423" s="384"/>
      <c r="AT423" s="384"/>
      <c r="AU423" s="384"/>
      <c r="AV423" s="524"/>
      <c r="AW423" s="384"/>
      <c r="AX423" s="384"/>
      <c r="AY423" s="384"/>
      <c r="AZ423" s="384"/>
      <c r="BA423" s="524"/>
      <c r="BB423" s="384"/>
      <c r="BC423" s="384"/>
      <c r="BD423" s="384"/>
      <c r="BE423" s="384"/>
      <c r="BF423" s="524"/>
      <c r="BG423" s="384"/>
      <c r="BH423" s="384"/>
      <c r="BI423" s="384"/>
      <c r="BJ423" s="384"/>
      <c r="BK423" s="524"/>
      <c r="BL423" s="384"/>
      <c r="BM423" s="384"/>
      <c r="BN423" s="384"/>
      <c r="BO423" s="384"/>
    </row>
    <row r="425" spans="3:67">
      <c r="C425" s="528"/>
      <c r="D425" s="498"/>
      <c r="E425" s="498"/>
      <c r="F425" s="498"/>
      <c r="G425" s="498"/>
      <c r="H425" s="528"/>
      <c r="I425" s="498"/>
      <c r="J425" s="498"/>
      <c r="K425" s="498"/>
      <c r="L425" s="498"/>
      <c r="M425" s="528"/>
      <c r="N425" s="498"/>
      <c r="O425" s="498"/>
      <c r="P425" s="498"/>
      <c r="Q425" s="498"/>
      <c r="R425" s="528"/>
      <c r="S425" s="498"/>
      <c r="T425" s="498"/>
      <c r="U425" s="498"/>
      <c r="V425" s="498"/>
      <c r="W425" s="528"/>
      <c r="X425" s="498"/>
      <c r="Y425" s="498"/>
      <c r="Z425" s="498"/>
      <c r="AA425" s="498"/>
      <c r="AB425" s="528"/>
      <c r="AC425" s="498"/>
      <c r="AD425" s="498"/>
      <c r="AE425" s="498"/>
      <c r="AF425" s="498"/>
      <c r="AG425" s="528"/>
      <c r="AH425" s="498"/>
      <c r="AI425" s="498"/>
      <c r="AJ425" s="498"/>
      <c r="AK425" s="498"/>
      <c r="AL425" s="528"/>
      <c r="AM425" s="498"/>
      <c r="AN425" s="1300"/>
      <c r="AO425" s="498"/>
      <c r="AP425" s="498"/>
      <c r="AQ425" s="528"/>
      <c r="AR425" s="1300"/>
      <c r="AS425" s="498"/>
      <c r="AT425" s="498"/>
      <c r="AU425" s="498"/>
      <c r="AV425" s="528"/>
      <c r="AW425" s="498"/>
      <c r="AX425" s="498"/>
      <c r="AY425" s="498"/>
      <c r="AZ425" s="498"/>
      <c r="BA425" s="528"/>
      <c r="BB425" s="498"/>
      <c r="BC425" s="498"/>
      <c r="BD425" s="498"/>
      <c r="BE425" s="498"/>
      <c r="BF425" s="528"/>
      <c r="BG425" s="498"/>
      <c r="BH425" s="498"/>
      <c r="BI425" s="498"/>
      <c r="BJ425" s="498"/>
      <c r="BK425" s="528"/>
      <c r="BL425" s="498"/>
      <c r="BM425" s="498"/>
      <c r="BN425" s="498"/>
      <c r="BO425" s="498"/>
    </row>
    <row r="426" spans="3:67">
      <c r="C426" s="529"/>
      <c r="H426" s="529"/>
      <c r="M426" s="529"/>
      <c r="R426" s="529"/>
      <c r="W426" s="529"/>
      <c r="AB426" s="529"/>
      <c r="AG426" s="529"/>
      <c r="AL426" s="529"/>
      <c r="AQ426" s="529"/>
      <c r="AV426" s="529"/>
      <c r="BA426" s="529"/>
      <c r="BF426" s="529"/>
      <c r="BK426" s="529"/>
    </row>
    <row r="427" spans="3:67">
      <c r="C427" s="529"/>
      <c r="H427" s="529"/>
      <c r="M427" s="529"/>
      <c r="R427" s="529"/>
      <c r="W427" s="529"/>
      <c r="AB427" s="529"/>
      <c r="AG427" s="529"/>
      <c r="AL427" s="529"/>
      <c r="AQ427" s="529"/>
      <c r="AV427" s="529"/>
      <c r="BA427" s="529"/>
      <c r="BF427" s="529"/>
      <c r="BK427" s="529"/>
    </row>
    <row r="429" spans="3:67">
      <c r="C429" s="530"/>
      <c r="D429" s="531"/>
      <c r="E429" s="531"/>
      <c r="F429" s="531"/>
      <c r="G429" s="531"/>
      <c r="H429" s="530"/>
      <c r="I429" s="531"/>
      <c r="J429" s="531"/>
      <c r="K429" s="531"/>
      <c r="L429" s="531"/>
      <c r="M429" s="530"/>
      <c r="N429" s="531"/>
      <c r="O429" s="531"/>
      <c r="P429" s="531"/>
      <c r="Q429" s="531"/>
      <c r="R429" s="530"/>
      <c r="S429" s="531"/>
      <c r="T429" s="531"/>
      <c r="U429" s="531"/>
      <c r="V429" s="531"/>
      <c r="W429" s="530"/>
      <c r="X429" s="531"/>
      <c r="Y429" s="531"/>
      <c r="Z429" s="531"/>
      <c r="AA429" s="531"/>
      <c r="AB429" s="530"/>
      <c r="AC429" s="531"/>
      <c r="AD429" s="531"/>
      <c r="AE429" s="531"/>
      <c r="AF429" s="531"/>
      <c r="AG429" s="530"/>
      <c r="AH429" s="531"/>
      <c r="AI429" s="531"/>
      <c r="AJ429" s="531"/>
      <c r="AK429" s="531"/>
      <c r="AL429" s="530"/>
      <c r="AM429" s="531"/>
      <c r="AN429" s="1314"/>
      <c r="AO429" s="531"/>
      <c r="AP429" s="531"/>
      <c r="AQ429" s="530"/>
      <c r="AR429" s="1314"/>
      <c r="AS429" s="531"/>
      <c r="AT429" s="531"/>
      <c r="AU429" s="531"/>
      <c r="AV429" s="530"/>
      <c r="AW429" s="531"/>
      <c r="AX429" s="531"/>
      <c r="AY429" s="531"/>
      <c r="AZ429" s="531"/>
      <c r="BA429" s="530"/>
      <c r="BB429" s="531"/>
      <c r="BC429" s="531"/>
      <c r="BD429" s="531"/>
      <c r="BE429" s="531"/>
      <c r="BF429" s="530"/>
      <c r="BG429" s="531"/>
      <c r="BH429" s="531"/>
      <c r="BI429" s="531"/>
      <c r="BJ429" s="531"/>
      <c r="BK429" s="530"/>
      <c r="BL429" s="531"/>
      <c r="BM429" s="531"/>
      <c r="BN429" s="531"/>
      <c r="BO429" s="531"/>
    </row>
    <row r="430" spans="3:67">
      <c r="C430" s="532"/>
      <c r="D430" s="533"/>
      <c r="E430" s="533"/>
      <c r="F430" s="533"/>
      <c r="G430" s="533"/>
      <c r="H430" s="532"/>
      <c r="I430" s="533"/>
      <c r="J430" s="533"/>
      <c r="K430" s="533"/>
      <c r="L430" s="533"/>
      <c r="M430" s="532"/>
      <c r="N430" s="533"/>
      <c r="O430" s="533"/>
      <c r="P430" s="533"/>
      <c r="Q430" s="533"/>
      <c r="R430" s="532"/>
      <c r="S430" s="533"/>
      <c r="T430" s="533"/>
      <c r="U430" s="533"/>
      <c r="V430" s="533"/>
      <c r="W430" s="532"/>
      <c r="X430" s="533"/>
      <c r="Y430" s="533"/>
      <c r="Z430" s="533"/>
      <c r="AA430" s="533"/>
      <c r="AB430" s="532"/>
      <c r="AC430" s="533"/>
      <c r="AD430" s="533"/>
      <c r="AE430" s="533"/>
      <c r="AF430" s="533"/>
      <c r="AG430" s="532"/>
      <c r="AH430" s="533"/>
      <c r="AI430" s="533"/>
      <c r="AJ430" s="533"/>
      <c r="AK430" s="533"/>
      <c r="AL430" s="532"/>
      <c r="AM430" s="533"/>
      <c r="AN430" s="1118"/>
      <c r="AO430" s="533"/>
      <c r="AP430" s="533"/>
      <c r="AQ430" s="532"/>
      <c r="AR430" s="1118"/>
      <c r="AS430" s="533"/>
      <c r="AT430" s="533"/>
      <c r="AU430" s="533"/>
      <c r="AV430" s="532"/>
      <c r="AW430" s="533"/>
      <c r="AX430" s="533"/>
      <c r="AY430" s="533"/>
      <c r="AZ430" s="533"/>
      <c r="BA430" s="532"/>
      <c r="BB430" s="533"/>
      <c r="BC430" s="533"/>
      <c r="BD430" s="533"/>
      <c r="BE430" s="533"/>
      <c r="BF430" s="532"/>
      <c r="BG430" s="533"/>
      <c r="BH430" s="533"/>
      <c r="BI430" s="533"/>
      <c r="BJ430" s="533"/>
      <c r="BK430" s="532"/>
      <c r="BL430" s="533"/>
      <c r="BM430" s="533"/>
      <c r="BN430" s="533"/>
      <c r="BO430" s="533"/>
    </row>
    <row r="437" spans="3:67">
      <c r="C437" s="463"/>
      <c r="D437" s="384"/>
      <c r="E437" s="384"/>
      <c r="F437" s="384"/>
      <c r="G437" s="384"/>
      <c r="H437" s="463"/>
      <c r="I437" s="384"/>
      <c r="J437" s="384"/>
      <c r="K437" s="384"/>
      <c r="L437" s="384"/>
      <c r="M437" s="463"/>
      <c r="N437" s="384"/>
      <c r="O437" s="384"/>
      <c r="P437" s="384"/>
      <c r="Q437" s="384"/>
      <c r="R437" s="463"/>
      <c r="S437" s="384"/>
      <c r="T437" s="384"/>
      <c r="U437" s="384"/>
      <c r="V437" s="384"/>
      <c r="W437" s="463"/>
      <c r="X437" s="384"/>
      <c r="Y437" s="384"/>
      <c r="Z437" s="384"/>
      <c r="AA437" s="384"/>
      <c r="AB437" s="463"/>
      <c r="AC437" s="384"/>
      <c r="AD437" s="384"/>
      <c r="AE437" s="384"/>
      <c r="AF437" s="384"/>
      <c r="AG437" s="463"/>
      <c r="AH437" s="384"/>
      <c r="AI437" s="384"/>
      <c r="AJ437" s="384"/>
      <c r="AK437" s="384"/>
      <c r="AL437" s="463"/>
      <c r="AM437" s="384"/>
      <c r="AN437" s="1116"/>
      <c r="AO437" s="384"/>
      <c r="AP437" s="384"/>
      <c r="AQ437" s="463"/>
      <c r="AR437" s="1116"/>
      <c r="AS437" s="384"/>
      <c r="AT437" s="384"/>
      <c r="AU437" s="384"/>
      <c r="AV437" s="463"/>
      <c r="AW437" s="384"/>
      <c r="AX437" s="384"/>
      <c r="AY437" s="384"/>
      <c r="AZ437" s="384"/>
      <c r="BA437" s="463"/>
      <c r="BB437" s="384"/>
      <c r="BC437" s="384"/>
      <c r="BD437" s="384"/>
      <c r="BE437" s="384"/>
      <c r="BF437" s="463"/>
      <c r="BG437" s="384"/>
      <c r="BH437" s="384"/>
      <c r="BI437" s="384"/>
      <c r="BJ437" s="384"/>
      <c r="BK437" s="463"/>
      <c r="BL437" s="384"/>
      <c r="BM437" s="384"/>
      <c r="BN437" s="384"/>
      <c r="BO437" s="384"/>
    </row>
    <row r="438" spans="3:67">
      <c r="C438" s="463"/>
      <c r="D438" s="384"/>
      <c r="E438" s="384"/>
      <c r="F438" s="384"/>
      <c r="G438" s="384"/>
      <c r="H438" s="463"/>
      <c r="I438" s="384"/>
      <c r="J438" s="384"/>
      <c r="K438" s="384"/>
      <c r="L438" s="384"/>
      <c r="M438" s="463"/>
      <c r="N438" s="384"/>
      <c r="O438" s="384"/>
      <c r="P438" s="384"/>
      <c r="Q438" s="384"/>
      <c r="R438" s="463"/>
      <c r="S438" s="384"/>
      <c r="T438" s="384"/>
      <c r="U438" s="384"/>
      <c r="V438" s="384"/>
      <c r="W438" s="463"/>
      <c r="X438" s="384"/>
      <c r="Y438" s="384"/>
      <c r="Z438" s="384"/>
      <c r="AA438" s="384"/>
      <c r="AB438" s="463"/>
      <c r="AC438" s="384"/>
      <c r="AD438" s="384"/>
      <c r="AE438" s="384"/>
      <c r="AF438" s="384"/>
      <c r="AG438" s="463"/>
      <c r="AH438" s="384"/>
      <c r="AI438" s="384"/>
      <c r="AJ438" s="384"/>
      <c r="AK438" s="384"/>
      <c r="AL438" s="463"/>
      <c r="AM438" s="384"/>
      <c r="AN438" s="1116"/>
      <c r="AO438" s="384"/>
      <c r="AP438" s="384"/>
      <c r="AQ438" s="463"/>
      <c r="AR438" s="1116"/>
      <c r="AS438" s="384"/>
      <c r="AT438" s="384"/>
      <c r="AU438" s="384"/>
      <c r="AV438" s="463"/>
      <c r="AW438" s="384"/>
      <c r="AX438" s="384"/>
      <c r="AY438" s="384"/>
      <c r="AZ438" s="384"/>
      <c r="BA438" s="463"/>
      <c r="BB438" s="384"/>
      <c r="BC438" s="384"/>
      <c r="BD438" s="384"/>
      <c r="BE438" s="384"/>
      <c r="BF438" s="463"/>
      <c r="BG438" s="384"/>
      <c r="BH438" s="384"/>
      <c r="BI438" s="384"/>
      <c r="BJ438" s="384"/>
      <c r="BK438" s="463"/>
      <c r="BL438" s="384"/>
      <c r="BM438" s="384"/>
      <c r="BN438" s="384"/>
      <c r="BO438" s="384"/>
    </row>
    <row r="440" spans="3:67">
      <c r="C440" s="463"/>
      <c r="D440" s="384"/>
      <c r="E440" s="384"/>
      <c r="F440" s="384"/>
      <c r="G440" s="384"/>
      <c r="H440" s="463"/>
      <c r="I440" s="384"/>
      <c r="J440" s="384"/>
      <c r="K440" s="384"/>
      <c r="L440" s="384"/>
      <c r="M440" s="463"/>
      <c r="N440" s="384"/>
      <c r="O440" s="384"/>
      <c r="P440" s="384"/>
      <c r="Q440" s="384"/>
      <c r="R440" s="463"/>
      <c r="S440" s="384"/>
      <c r="T440" s="384"/>
      <c r="U440" s="384"/>
      <c r="V440" s="384"/>
      <c r="W440" s="463"/>
      <c r="X440" s="384"/>
      <c r="Y440" s="384"/>
      <c r="Z440" s="384"/>
      <c r="AA440" s="384"/>
      <c r="AB440" s="463"/>
      <c r="AC440" s="384"/>
      <c r="AD440" s="384"/>
      <c r="AE440" s="384"/>
      <c r="AF440" s="384"/>
      <c r="AG440" s="463"/>
      <c r="AH440" s="384"/>
      <c r="AI440" s="384"/>
      <c r="AJ440" s="384"/>
      <c r="AK440" s="384"/>
      <c r="AL440" s="463"/>
      <c r="AM440" s="384"/>
      <c r="AN440" s="1116"/>
      <c r="AO440" s="384"/>
      <c r="AP440" s="384"/>
      <c r="AQ440" s="463"/>
      <c r="AR440" s="1116"/>
      <c r="AS440" s="384"/>
      <c r="AT440" s="384"/>
      <c r="AU440" s="384"/>
      <c r="AV440" s="463"/>
      <c r="AW440" s="384"/>
      <c r="AX440" s="384"/>
      <c r="AY440" s="384"/>
      <c r="AZ440" s="384"/>
      <c r="BA440" s="463"/>
      <c r="BB440" s="384"/>
      <c r="BC440" s="384"/>
      <c r="BD440" s="384"/>
      <c r="BE440" s="384"/>
      <c r="BF440" s="463"/>
      <c r="BG440" s="384"/>
      <c r="BH440" s="384"/>
      <c r="BI440" s="384"/>
      <c r="BJ440" s="384"/>
      <c r="BK440" s="463"/>
      <c r="BL440" s="384"/>
      <c r="BM440" s="384"/>
      <c r="BN440" s="384"/>
      <c r="BO440" s="384"/>
    </row>
    <row r="441" spans="3:67">
      <c r="C441" s="463"/>
      <c r="D441" s="384"/>
      <c r="E441" s="384"/>
      <c r="F441" s="384"/>
      <c r="G441" s="384"/>
      <c r="H441" s="463"/>
      <c r="I441" s="384"/>
      <c r="J441" s="384"/>
      <c r="K441" s="384"/>
      <c r="L441" s="384"/>
      <c r="M441" s="463"/>
      <c r="N441" s="384"/>
      <c r="O441" s="384"/>
      <c r="P441" s="384"/>
      <c r="Q441" s="384"/>
      <c r="R441" s="463"/>
      <c r="S441" s="384"/>
      <c r="T441" s="384"/>
      <c r="U441" s="384"/>
      <c r="V441" s="384"/>
      <c r="W441" s="463"/>
      <c r="X441" s="384"/>
      <c r="Y441" s="384"/>
      <c r="Z441" s="384"/>
      <c r="AA441" s="384"/>
      <c r="AB441" s="463"/>
      <c r="AC441" s="384"/>
      <c r="AD441" s="384"/>
      <c r="AE441" s="384"/>
      <c r="AF441" s="384"/>
      <c r="AG441" s="463"/>
      <c r="AH441" s="384"/>
      <c r="AI441" s="384"/>
      <c r="AJ441" s="384"/>
      <c r="AK441" s="384"/>
      <c r="AL441" s="463"/>
      <c r="AM441" s="384"/>
      <c r="AN441" s="1116"/>
      <c r="AO441" s="384"/>
      <c r="AP441" s="384"/>
      <c r="AQ441" s="463"/>
      <c r="AR441" s="1116"/>
      <c r="AS441" s="384"/>
      <c r="AT441" s="384"/>
      <c r="AU441" s="384"/>
      <c r="AV441" s="463"/>
      <c r="AW441" s="384"/>
      <c r="AX441" s="384"/>
      <c r="AY441" s="384"/>
      <c r="AZ441" s="384"/>
      <c r="BA441" s="463"/>
      <c r="BB441" s="384"/>
      <c r="BC441" s="384"/>
      <c r="BD441" s="384"/>
      <c r="BE441" s="384"/>
      <c r="BF441" s="463"/>
      <c r="BG441" s="384"/>
      <c r="BH441" s="384"/>
      <c r="BI441" s="384"/>
      <c r="BJ441" s="384"/>
      <c r="BK441" s="463"/>
      <c r="BL441" s="384"/>
      <c r="BM441" s="384"/>
      <c r="BN441" s="384"/>
      <c r="BO441" s="384"/>
    </row>
    <row r="442" spans="3:67">
      <c r="C442" s="534"/>
      <c r="D442" s="535"/>
      <c r="E442" s="535"/>
      <c r="F442" s="535"/>
      <c r="G442" s="535"/>
      <c r="H442" s="534"/>
      <c r="I442" s="535"/>
      <c r="J442" s="535"/>
      <c r="K442" s="535"/>
      <c r="L442" s="535"/>
      <c r="M442" s="534"/>
      <c r="N442" s="535"/>
      <c r="O442" s="535"/>
      <c r="P442" s="535"/>
      <c r="Q442" s="535"/>
      <c r="R442" s="534"/>
      <c r="S442" s="535"/>
      <c r="T442" s="535"/>
      <c r="U442" s="535"/>
      <c r="V442" s="535"/>
      <c r="W442" s="534"/>
      <c r="X442" s="535"/>
      <c r="Y442" s="535"/>
      <c r="Z442" s="535"/>
      <c r="AA442" s="535"/>
      <c r="AB442" s="534"/>
      <c r="AC442" s="535"/>
      <c r="AD442" s="535"/>
      <c r="AE442" s="535"/>
      <c r="AF442" s="535"/>
      <c r="AG442" s="534"/>
      <c r="AH442" s="535"/>
      <c r="AI442" s="535"/>
      <c r="AJ442" s="535"/>
      <c r="AK442" s="535"/>
      <c r="AL442" s="534"/>
      <c r="AM442" s="535"/>
      <c r="AN442" s="1315"/>
      <c r="AO442" s="535"/>
      <c r="AP442" s="535"/>
      <c r="AQ442" s="534"/>
      <c r="AR442" s="1315"/>
      <c r="AS442" s="535"/>
      <c r="AT442" s="535"/>
      <c r="AU442" s="535"/>
      <c r="AV442" s="534"/>
      <c r="AW442" s="535"/>
      <c r="AX442" s="535"/>
      <c r="AY442" s="535"/>
      <c r="AZ442" s="535"/>
      <c r="BA442" s="534"/>
      <c r="BB442" s="535"/>
      <c r="BC442" s="535"/>
      <c r="BD442" s="535"/>
      <c r="BE442" s="535"/>
      <c r="BF442" s="534"/>
      <c r="BG442" s="535"/>
      <c r="BH442" s="535"/>
      <c r="BI442" s="535"/>
      <c r="BJ442" s="535"/>
      <c r="BK442" s="534"/>
      <c r="BL442" s="535"/>
      <c r="BM442" s="535"/>
      <c r="BN442" s="535"/>
      <c r="BO442" s="535"/>
    </row>
    <row r="443" spans="3:67">
      <c r="C443" s="463"/>
      <c r="D443" s="384"/>
      <c r="E443" s="384"/>
      <c r="F443" s="384"/>
      <c r="G443" s="384"/>
      <c r="H443" s="463"/>
      <c r="I443" s="384"/>
      <c r="J443" s="384"/>
      <c r="K443" s="384"/>
      <c r="L443" s="384"/>
      <c r="M443" s="463"/>
      <c r="N443" s="384"/>
      <c r="O443" s="384"/>
      <c r="P443" s="384"/>
      <c r="Q443" s="384"/>
      <c r="R443" s="463"/>
      <c r="S443" s="384"/>
      <c r="T443" s="384"/>
      <c r="U443" s="384"/>
      <c r="V443" s="384"/>
      <c r="W443" s="463"/>
      <c r="X443" s="384"/>
      <c r="Y443" s="384"/>
      <c r="Z443" s="384"/>
      <c r="AA443" s="384"/>
      <c r="AB443" s="463"/>
      <c r="AC443" s="384"/>
      <c r="AD443" s="384"/>
      <c r="AE443" s="384"/>
      <c r="AF443" s="384"/>
      <c r="AG443" s="463"/>
      <c r="AH443" s="384"/>
      <c r="AI443" s="384"/>
      <c r="AJ443" s="384"/>
      <c r="AK443" s="384"/>
      <c r="AL443" s="463"/>
      <c r="AM443" s="384"/>
      <c r="AN443" s="1116"/>
      <c r="AO443" s="384"/>
      <c r="AP443" s="384"/>
      <c r="AQ443" s="463"/>
      <c r="AR443" s="1116"/>
      <c r="AS443" s="384"/>
      <c r="AT443" s="384"/>
      <c r="AU443" s="384"/>
      <c r="AV443" s="463"/>
      <c r="AW443" s="384"/>
      <c r="AX443" s="384"/>
      <c r="AY443" s="384"/>
      <c r="AZ443" s="384"/>
      <c r="BA443" s="463"/>
      <c r="BB443" s="384"/>
      <c r="BC443" s="384"/>
      <c r="BD443" s="384"/>
      <c r="BE443" s="384"/>
      <c r="BF443" s="463"/>
      <c r="BG443" s="384"/>
      <c r="BH443" s="384"/>
      <c r="BI443" s="384"/>
      <c r="BJ443" s="384"/>
      <c r="BK443" s="463"/>
      <c r="BL443" s="384"/>
      <c r="BM443" s="384"/>
      <c r="BN443" s="384"/>
      <c r="BO443" s="384"/>
    </row>
    <row r="446" spans="3:67">
      <c r="C446" s="536"/>
      <c r="D446" s="537"/>
      <c r="E446" s="537"/>
      <c r="F446" s="537"/>
      <c r="G446" s="537"/>
      <c r="H446" s="536"/>
      <c r="I446" s="537"/>
      <c r="J446" s="537"/>
      <c r="K446" s="537"/>
      <c r="L446" s="537"/>
      <c r="M446" s="536"/>
      <c r="N446" s="537"/>
      <c r="O446" s="537"/>
      <c r="P446" s="537"/>
      <c r="Q446" s="537"/>
      <c r="R446" s="536"/>
      <c r="S446" s="537"/>
      <c r="T446" s="537"/>
      <c r="U446" s="537"/>
      <c r="V446" s="537"/>
      <c r="W446" s="536"/>
      <c r="X446" s="537"/>
      <c r="Y446" s="537"/>
      <c r="Z446" s="537"/>
      <c r="AA446" s="537"/>
      <c r="AB446" s="536"/>
      <c r="AC446" s="537"/>
      <c r="AD446" s="537"/>
      <c r="AE446" s="537"/>
      <c r="AF446" s="537"/>
      <c r="AG446" s="536"/>
      <c r="AH446" s="537"/>
      <c r="AI446" s="537"/>
      <c r="AJ446" s="537"/>
      <c r="AK446" s="537"/>
      <c r="AL446" s="536"/>
      <c r="AM446" s="537"/>
      <c r="AN446" s="1316"/>
      <c r="AO446" s="537"/>
      <c r="AP446" s="537"/>
      <c r="AQ446" s="536"/>
      <c r="AR446" s="1316"/>
      <c r="AS446" s="537"/>
      <c r="AT446" s="537"/>
      <c r="AU446" s="537"/>
      <c r="AV446" s="536"/>
      <c r="AW446" s="537"/>
      <c r="AX446" s="537"/>
      <c r="AY446" s="537"/>
      <c r="AZ446" s="537"/>
      <c r="BA446" s="536"/>
      <c r="BB446" s="537"/>
      <c r="BC446" s="537"/>
      <c r="BD446" s="537"/>
      <c r="BE446" s="537"/>
      <c r="BF446" s="536"/>
      <c r="BG446" s="537"/>
      <c r="BH446" s="537"/>
      <c r="BI446" s="537"/>
      <c r="BJ446" s="537"/>
      <c r="BK446" s="536"/>
      <c r="BL446" s="537"/>
      <c r="BM446" s="537"/>
      <c r="BN446" s="537"/>
      <c r="BO446" s="537"/>
    </row>
    <row r="447" spans="3:67">
      <c r="C447" s="463"/>
      <c r="D447" s="384"/>
      <c r="E447" s="384"/>
      <c r="F447" s="384"/>
      <c r="G447" s="384"/>
      <c r="H447" s="463"/>
      <c r="I447" s="384"/>
      <c r="J447" s="384"/>
      <c r="K447" s="384"/>
      <c r="L447" s="384"/>
      <c r="M447" s="463"/>
      <c r="N447" s="384"/>
      <c r="O447" s="384"/>
      <c r="P447" s="384"/>
      <c r="Q447" s="384"/>
      <c r="R447" s="463"/>
      <c r="S447" s="384"/>
      <c r="T447" s="384"/>
      <c r="U447" s="384"/>
      <c r="V447" s="384"/>
      <c r="W447" s="463"/>
      <c r="X447" s="384"/>
      <c r="Y447" s="384"/>
      <c r="Z447" s="384"/>
      <c r="AA447" s="384"/>
      <c r="AB447" s="463"/>
      <c r="AC447" s="384"/>
      <c r="AD447" s="384"/>
      <c r="AE447" s="384"/>
      <c r="AF447" s="384"/>
      <c r="AG447" s="463"/>
      <c r="AH447" s="384"/>
      <c r="AI447" s="384"/>
      <c r="AJ447" s="384"/>
      <c r="AK447" s="384"/>
      <c r="AL447" s="463"/>
      <c r="AM447" s="384"/>
      <c r="AN447" s="1116"/>
      <c r="AO447" s="384"/>
      <c r="AP447" s="384"/>
      <c r="AQ447" s="463"/>
      <c r="AR447" s="1116"/>
      <c r="AS447" s="384"/>
      <c r="AT447" s="384"/>
      <c r="AU447" s="384"/>
      <c r="AV447" s="463"/>
      <c r="AW447" s="384"/>
      <c r="AX447" s="384"/>
      <c r="AY447" s="384"/>
      <c r="AZ447" s="384"/>
      <c r="BA447" s="463"/>
      <c r="BB447" s="384"/>
      <c r="BC447" s="384"/>
      <c r="BD447" s="384"/>
      <c r="BE447" s="384"/>
      <c r="BF447" s="463"/>
      <c r="BG447" s="384"/>
      <c r="BH447" s="384"/>
      <c r="BI447" s="384"/>
      <c r="BJ447" s="384"/>
      <c r="BK447" s="463"/>
      <c r="BL447" s="384"/>
      <c r="BM447" s="384"/>
      <c r="BN447" s="384"/>
      <c r="BO447" s="384"/>
    </row>
    <row r="448" spans="3:67">
      <c r="C448" s="463"/>
      <c r="D448" s="384"/>
      <c r="E448" s="384"/>
      <c r="F448" s="384"/>
      <c r="G448" s="384"/>
      <c r="H448" s="463"/>
      <c r="I448" s="384"/>
      <c r="J448" s="384"/>
      <c r="K448" s="384"/>
      <c r="L448" s="384"/>
      <c r="M448" s="463"/>
      <c r="N448" s="384"/>
      <c r="O448" s="384"/>
      <c r="P448" s="384"/>
      <c r="Q448" s="384"/>
      <c r="R448" s="463"/>
      <c r="S448" s="384"/>
      <c r="T448" s="384"/>
      <c r="U448" s="384"/>
      <c r="V448" s="384"/>
      <c r="W448" s="463"/>
      <c r="X448" s="384"/>
      <c r="Y448" s="384"/>
      <c r="Z448" s="384"/>
      <c r="AA448" s="384"/>
      <c r="AB448" s="463"/>
      <c r="AC448" s="384"/>
      <c r="AD448" s="384"/>
      <c r="AE448" s="384"/>
      <c r="AF448" s="384"/>
      <c r="AG448" s="463"/>
      <c r="AH448" s="384"/>
      <c r="AI448" s="384"/>
      <c r="AJ448" s="384"/>
      <c r="AK448" s="384"/>
      <c r="AL448" s="463"/>
      <c r="AM448" s="384"/>
      <c r="AN448" s="1116"/>
      <c r="AO448" s="384"/>
      <c r="AP448" s="384"/>
      <c r="AQ448" s="463"/>
      <c r="AR448" s="1116"/>
      <c r="AS448" s="384"/>
      <c r="AT448" s="384"/>
      <c r="AU448" s="384"/>
      <c r="AV448" s="463"/>
      <c r="AW448" s="384"/>
      <c r="AX448" s="384"/>
      <c r="AY448" s="384"/>
      <c r="AZ448" s="384"/>
      <c r="BA448" s="463"/>
      <c r="BB448" s="384"/>
      <c r="BC448" s="384"/>
      <c r="BD448" s="384"/>
      <c r="BE448" s="384"/>
      <c r="BF448" s="463"/>
      <c r="BG448" s="384"/>
      <c r="BH448" s="384"/>
      <c r="BI448" s="384"/>
      <c r="BJ448" s="384"/>
      <c r="BK448" s="463"/>
      <c r="BL448" s="384"/>
      <c r="BM448" s="384"/>
      <c r="BN448" s="384"/>
      <c r="BO448" s="384"/>
    </row>
    <row r="449" spans="3:67">
      <c r="C449" s="536"/>
      <c r="D449" s="537"/>
      <c r="E449" s="537"/>
      <c r="F449" s="537"/>
      <c r="G449" s="537"/>
      <c r="H449" s="536"/>
      <c r="I449" s="537"/>
      <c r="J449" s="537"/>
      <c r="K449" s="537"/>
      <c r="L449" s="537"/>
      <c r="M449" s="536"/>
      <c r="N449" s="537"/>
      <c r="O449" s="537"/>
      <c r="P449" s="537"/>
      <c r="Q449" s="537"/>
      <c r="R449" s="536"/>
      <c r="S449" s="537"/>
      <c r="T449" s="537"/>
      <c r="U449" s="537"/>
      <c r="V449" s="537"/>
      <c r="W449" s="536"/>
      <c r="X449" s="537"/>
      <c r="Y449" s="537"/>
      <c r="Z449" s="537"/>
      <c r="AA449" s="537"/>
      <c r="AB449" s="536"/>
      <c r="AC449" s="537"/>
      <c r="AD449" s="537"/>
      <c r="AE449" s="537"/>
      <c r="AF449" s="537"/>
      <c r="AG449" s="536"/>
      <c r="AH449" s="537"/>
      <c r="AI449" s="537"/>
      <c r="AJ449" s="537"/>
      <c r="AK449" s="537"/>
      <c r="AL449" s="536"/>
      <c r="AM449" s="537"/>
      <c r="AN449" s="1316"/>
      <c r="AO449" s="537"/>
      <c r="AP449" s="537"/>
      <c r="AQ449" s="536"/>
      <c r="AR449" s="1316"/>
      <c r="AS449" s="537"/>
      <c r="AT449" s="537"/>
      <c r="AU449" s="537"/>
      <c r="AV449" s="536"/>
      <c r="AW449" s="537"/>
      <c r="AX449" s="537"/>
      <c r="AY449" s="537"/>
      <c r="AZ449" s="537"/>
      <c r="BA449" s="536"/>
      <c r="BB449" s="537"/>
      <c r="BC449" s="537"/>
      <c r="BD449" s="537"/>
      <c r="BE449" s="537"/>
      <c r="BF449" s="536"/>
      <c r="BG449" s="537"/>
      <c r="BH449" s="537"/>
      <c r="BI449" s="537"/>
      <c r="BJ449" s="537"/>
      <c r="BK449" s="536"/>
      <c r="BL449" s="537"/>
      <c r="BM449" s="537"/>
      <c r="BN449" s="537"/>
      <c r="BO449" s="537"/>
    </row>
    <row r="450" spans="3:67">
      <c r="C450" s="463"/>
      <c r="D450" s="384"/>
      <c r="E450" s="384"/>
      <c r="F450" s="384"/>
      <c r="G450" s="384"/>
      <c r="H450" s="463"/>
      <c r="I450" s="384"/>
      <c r="J450" s="384"/>
      <c r="K450" s="384"/>
      <c r="L450" s="384"/>
      <c r="M450" s="463"/>
      <c r="N450" s="384"/>
      <c r="O450" s="384"/>
      <c r="P450" s="384"/>
      <c r="Q450" s="384"/>
      <c r="R450" s="463"/>
      <c r="S450" s="384"/>
      <c r="T450" s="384"/>
      <c r="U450" s="384"/>
      <c r="V450" s="384"/>
      <c r="W450" s="463"/>
      <c r="X450" s="384"/>
      <c r="Y450" s="384"/>
      <c r="Z450" s="384"/>
      <c r="AA450" s="384"/>
      <c r="AB450" s="463"/>
      <c r="AC450" s="384"/>
      <c r="AD450" s="384"/>
      <c r="AE450" s="384"/>
      <c r="AF450" s="384"/>
      <c r="AG450" s="463"/>
      <c r="AH450" s="384"/>
      <c r="AI450" s="384"/>
      <c r="AJ450" s="384"/>
      <c r="AK450" s="384"/>
      <c r="AL450" s="463"/>
      <c r="AM450" s="384"/>
      <c r="AN450" s="1116"/>
      <c r="AO450" s="384"/>
      <c r="AP450" s="384"/>
      <c r="AQ450" s="463"/>
      <c r="AR450" s="1116"/>
      <c r="AS450" s="384"/>
      <c r="AT450" s="384"/>
      <c r="AU450" s="384"/>
      <c r="AV450" s="463"/>
      <c r="AW450" s="384"/>
      <c r="AX450" s="384"/>
      <c r="AY450" s="384"/>
      <c r="AZ450" s="384"/>
      <c r="BA450" s="463"/>
      <c r="BB450" s="384"/>
      <c r="BC450" s="384"/>
      <c r="BD450" s="384"/>
      <c r="BE450" s="384"/>
      <c r="BF450" s="463"/>
      <c r="BG450" s="384"/>
      <c r="BH450" s="384"/>
      <c r="BI450" s="384"/>
      <c r="BJ450" s="384"/>
      <c r="BK450" s="463"/>
      <c r="BL450" s="384"/>
      <c r="BM450" s="384"/>
      <c r="BN450" s="384"/>
      <c r="BO450" s="384"/>
    </row>
    <row r="451" spans="3:67">
      <c r="C451" s="463"/>
      <c r="D451" s="384"/>
      <c r="E451" s="384"/>
      <c r="F451" s="384"/>
      <c r="G451" s="384"/>
      <c r="H451" s="463"/>
      <c r="I451" s="384"/>
      <c r="J451" s="384"/>
      <c r="K451" s="384"/>
      <c r="L451" s="384"/>
      <c r="M451" s="463"/>
      <c r="N451" s="384"/>
      <c r="O451" s="384"/>
      <c r="P451" s="384"/>
      <c r="Q451" s="384"/>
      <c r="R451" s="463"/>
      <c r="S451" s="384"/>
      <c r="T451" s="384"/>
      <c r="U451" s="384"/>
      <c r="V451" s="384"/>
      <c r="W451" s="463"/>
      <c r="X451" s="384"/>
      <c r="Y451" s="384"/>
      <c r="Z451" s="384"/>
      <c r="AA451" s="384"/>
      <c r="AB451" s="463"/>
      <c r="AC451" s="384"/>
      <c r="AD451" s="384"/>
      <c r="AE451" s="384"/>
      <c r="AF451" s="384"/>
      <c r="AG451" s="463"/>
      <c r="AH451" s="384"/>
      <c r="AI451" s="384"/>
      <c r="AJ451" s="384"/>
      <c r="AK451" s="384"/>
      <c r="AL451" s="463"/>
      <c r="AM451" s="384"/>
      <c r="AN451" s="1116"/>
      <c r="AO451" s="384"/>
      <c r="AP451" s="384"/>
      <c r="AQ451" s="463"/>
      <c r="AR451" s="1116"/>
      <c r="AS451" s="384"/>
      <c r="AT451" s="384"/>
      <c r="AU451" s="384"/>
      <c r="AV451" s="463"/>
      <c r="AW451" s="384"/>
      <c r="AX451" s="384"/>
      <c r="AY451" s="384"/>
      <c r="AZ451" s="384"/>
      <c r="BA451" s="463"/>
      <c r="BB451" s="384"/>
      <c r="BC451" s="384"/>
      <c r="BD451" s="384"/>
      <c r="BE451" s="384"/>
      <c r="BF451" s="463"/>
      <c r="BG451" s="384"/>
      <c r="BH451" s="384"/>
      <c r="BI451" s="384"/>
      <c r="BJ451" s="384"/>
      <c r="BK451" s="463"/>
      <c r="BL451" s="384"/>
      <c r="BM451" s="384"/>
      <c r="BN451" s="384"/>
      <c r="BO451" s="384"/>
    </row>
    <row r="453" spans="3:67">
      <c r="C453" s="463"/>
      <c r="D453" s="384"/>
      <c r="E453" s="384"/>
      <c r="F453" s="384"/>
      <c r="G453" s="384"/>
      <c r="H453" s="463"/>
      <c r="I453" s="384"/>
      <c r="J453" s="384"/>
      <c r="K453" s="384"/>
      <c r="L453" s="384"/>
      <c r="M453" s="463"/>
      <c r="N453" s="384"/>
      <c r="O453" s="384"/>
      <c r="P453" s="384"/>
      <c r="Q453" s="384"/>
      <c r="R453" s="463"/>
      <c r="S453" s="384"/>
      <c r="T453" s="384"/>
      <c r="U453" s="384"/>
      <c r="V453" s="384"/>
      <c r="W453" s="463"/>
      <c r="X453" s="384"/>
      <c r="Y453" s="384"/>
      <c r="Z453" s="384"/>
      <c r="AA453" s="384"/>
      <c r="AB453" s="463"/>
      <c r="AC453" s="384"/>
      <c r="AD453" s="384"/>
      <c r="AE453" s="384"/>
      <c r="AF453" s="384"/>
      <c r="AG453" s="463"/>
      <c r="AH453" s="384"/>
      <c r="AI453" s="384"/>
      <c r="AJ453" s="384"/>
      <c r="AK453" s="384"/>
      <c r="AL453" s="463"/>
      <c r="AM453" s="384"/>
      <c r="AN453" s="1116"/>
      <c r="AO453" s="384"/>
      <c r="AP453" s="384"/>
      <c r="AQ453" s="463"/>
      <c r="AR453" s="1116"/>
      <c r="AS453" s="384"/>
      <c r="AT453" s="384"/>
      <c r="AU453" s="384"/>
      <c r="AV453" s="463"/>
      <c r="AW453" s="384"/>
      <c r="AX453" s="384"/>
      <c r="AY453" s="384"/>
      <c r="AZ453" s="384"/>
      <c r="BA453" s="463"/>
      <c r="BB453" s="384"/>
      <c r="BC453" s="384"/>
      <c r="BD453" s="384"/>
      <c r="BE453" s="384"/>
      <c r="BF453" s="463"/>
      <c r="BG453" s="384"/>
      <c r="BH453" s="384"/>
      <c r="BI453" s="384"/>
      <c r="BJ453" s="384"/>
      <c r="BK453" s="463"/>
      <c r="BL453" s="384"/>
      <c r="BM453" s="384"/>
      <c r="BN453" s="384"/>
      <c r="BO453" s="384"/>
    </row>
    <row r="454" spans="3:67">
      <c r="C454" s="463"/>
      <c r="D454" s="384"/>
      <c r="E454" s="384"/>
      <c r="F454" s="384"/>
      <c r="G454" s="384"/>
      <c r="H454" s="463"/>
      <c r="I454" s="384"/>
      <c r="J454" s="384"/>
      <c r="K454" s="384"/>
      <c r="L454" s="384"/>
      <c r="M454" s="463"/>
      <c r="N454" s="384"/>
      <c r="O454" s="384"/>
      <c r="P454" s="384"/>
      <c r="Q454" s="384"/>
      <c r="R454" s="463"/>
      <c r="S454" s="384"/>
      <c r="T454" s="384"/>
      <c r="U454" s="384"/>
      <c r="V454" s="384"/>
      <c r="W454" s="463"/>
      <c r="X454" s="384"/>
      <c r="Y454" s="384"/>
      <c r="Z454" s="384"/>
      <c r="AA454" s="384"/>
      <c r="AB454" s="463"/>
      <c r="AC454" s="384"/>
      <c r="AD454" s="384"/>
      <c r="AE454" s="384"/>
      <c r="AF454" s="384"/>
      <c r="AG454" s="463"/>
      <c r="AH454" s="384"/>
      <c r="AI454" s="384"/>
      <c r="AJ454" s="384"/>
      <c r="AK454" s="384"/>
      <c r="AL454" s="463"/>
      <c r="AM454" s="384"/>
      <c r="AN454" s="1116"/>
      <c r="AO454" s="384"/>
      <c r="AP454" s="384"/>
      <c r="AQ454" s="463"/>
      <c r="AR454" s="1116"/>
      <c r="AS454" s="384"/>
      <c r="AT454" s="384"/>
      <c r="AU454" s="384"/>
      <c r="AV454" s="463"/>
      <c r="AW454" s="384"/>
      <c r="AX454" s="384"/>
      <c r="AY454" s="384"/>
      <c r="AZ454" s="384"/>
      <c r="BA454" s="463"/>
      <c r="BB454" s="384"/>
      <c r="BC454" s="384"/>
      <c r="BD454" s="384"/>
      <c r="BE454" s="384"/>
      <c r="BF454" s="463"/>
      <c r="BG454" s="384"/>
      <c r="BH454" s="384"/>
      <c r="BI454" s="384"/>
      <c r="BJ454" s="384"/>
      <c r="BK454" s="463"/>
      <c r="BL454" s="384"/>
      <c r="BM454" s="384"/>
      <c r="BN454" s="384"/>
      <c r="BO454" s="384"/>
    </row>
    <row r="455" spans="3:67">
      <c r="C455" s="463"/>
      <c r="D455" s="384"/>
      <c r="E455" s="384"/>
      <c r="F455" s="384"/>
      <c r="G455" s="384"/>
      <c r="H455" s="463"/>
      <c r="I455" s="384"/>
      <c r="J455" s="384"/>
      <c r="K455" s="384"/>
      <c r="L455" s="384"/>
      <c r="M455" s="463"/>
      <c r="N455" s="384"/>
      <c r="O455" s="384"/>
      <c r="P455" s="384"/>
      <c r="Q455" s="384"/>
      <c r="R455" s="463"/>
      <c r="S455" s="384"/>
      <c r="T455" s="384"/>
      <c r="U455" s="384"/>
      <c r="V455" s="384"/>
      <c r="W455" s="463"/>
      <c r="X455" s="384"/>
      <c r="Y455" s="384"/>
      <c r="Z455" s="384"/>
      <c r="AA455" s="384"/>
      <c r="AB455" s="463"/>
      <c r="AC455" s="384"/>
      <c r="AD455" s="384"/>
      <c r="AE455" s="384"/>
      <c r="AF455" s="384"/>
      <c r="AG455" s="463"/>
      <c r="AH455" s="384"/>
      <c r="AI455" s="384"/>
      <c r="AJ455" s="384"/>
      <c r="AK455" s="384"/>
      <c r="AL455" s="463"/>
      <c r="AM455" s="384"/>
      <c r="AN455" s="1116"/>
      <c r="AO455" s="384"/>
      <c r="AP455" s="384"/>
      <c r="AQ455" s="463"/>
      <c r="AR455" s="1116"/>
      <c r="AS455" s="384"/>
      <c r="AT455" s="384"/>
      <c r="AU455" s="384"/>
      <c r="AV455" s="463"/>
      <c r="AW455" s="384"/>
      <c r="AX455" s="384"/>
      <c r="AY455" s="384"/>
      <c r="AZ455" s="384"/>
      <c r="BA455" s="463"/>
      <c r="BB455" s="384"/>
      <c r="BC455" s="384"/>
      <c r="BD455" s="384"/>
      <c r="BE455" s="384"/>
      <c r="BF455" s="463"/>
      <c r="BG455" s="384"/>
      <c r="BH455" s="384"/>
      <c r="BI455" s="384"/>
      <c r="BJ455" s="384"/>
      <c r="BK455" s="463"/>
      <c r="BL455" s="384"/>
      <c r="BM455" s="384"/>
      <c r="BN455" s="384"/>
      <c r="BO455" s="384"/>
    </row>
    <row r="459" spans="3:67">
      <c r="C459" s="463"/>
      <c r="D459" s="384"/>
      <c r="E459" s="384"/>
      <c r="F459" s="384"/>
      <c r="G459" s="384"/>
      <c r="H459" s="463"/>
      <c r="I459" s="384"/>
      <c r="J459" s="384"/>
      <c r="K459" s="384"/>
      <c r="L459" s="384"/>
      <c r="M459" s="463"/>
      <c r="N459" s="384"/>
      <c r="O459" s="384"/>
      <c r="P459" s="384"/>
      <c r="Q459" s="384"/>
      <c r="R459" s="463"/>
      <c r="S459" s="384"/>
      <c r="T459" s="384"/>
      <c r="U459" s="384"/>
      <c r="V459" s="384"/>
      <c r="W459" s="463"/>
      <c r="X459" s="384"/>
      <c r="Y459" s="384"/>
      <c r="Z459" s="384"/>
      <c r="AA459" s="384"/>
      <c r="AB459" s="463"/>
      <c r="AC459" s="384"/>
      <c r="AD459" s="384"/>
      <c r="AE459" s="384"/>
      <c r="AF459" s="384"/>
      <c r="AG459" s="463"/>
      <c r="AH459" s="384"/>
      <c r="AI459" s="384"/>
      <c r="AJ459" s="384"/>
      <c r="AK459" s="384"/>
      <c r="AL459" s="463"/>
      <c r="AM459" s="384"/>
      <c r="AN459" s="1116"/>
      <c r="AO459" s="384"/>
      <c r="AP459" s="384"/>
      <c r="AQ459" s="463"/>
      <c r="AR459" s="1116"/>
      <c r="AS459" s="384"/>
      <c r="AT459" s="384"/>
      <c r="AU459" s="384"/>
      <c r="AV459" s="463"/>
      <c r="AW459" s="384"/>
      <c r="AX459" s="384"/>
      <c r="AY459" s="384"/>
      <c r="AZ459" s="384"/>
      <c r="BA459" s="463"/>
      <c r="BB459" s="384"/>
      <c r="BC459" s="384"/>
      <c r="BD459" s="384"/>
      <c r="BE459" s="384"/>
      <c r="BF459" s="463"/>
      <c r="BG459" s="384"/>
      <c r="BH459" s="384"/>
      <c r="BI459" s="384"/>
      <c r="BJ459" s="384"/>
      <c r="BK459" s="463"/>
      <c r="BL459" s="384"/>
      <c r="BM459" s="384"/>
      <c r="BN459" s="384"/>
      <c r="BO459" s="384"/>
    </row>
    <row r="460" spans="3:67">
      <c r="C460" s="463"/>
      <c r="D460" s="384"/>
      <c r="E460" s="384"/>
      <c r="F460" s="384"/>
      <c r="G460" s="384"/>
      <c r="H460" s="463"/>
      <c r="I460" s="384"/>
      <c r="J460" s="384"/>
      <c r="K460" s="384"/>
      <c r="L460" s="384"/>
      <c r="M460" s="463"/>
      <c r="N460" s="384"/>
      <c r="O460" s="384"/>
      <c r="P460" s="384"/>
      <c r="Q460" s="384"/>
      <c r="R460" s="463"/>
      <c r="S460" s="384"/>
      <c r="T460" s="384"/>
      <c r="U460" s="384"/>
      <c r="V460" s="384"/>
      <c r="W460" s="463"/>
      <c r="X460" s="384"/>
      <c r="Y460" s="384"/>
      <c r="Z460" s="384"/>
      <c r="AA460" s="384"/>
      <c r="AB460" s="463"/>
      <c r="AC460" s="384"/>
      <c r="AD460" s="384"/>
      <c r="AE460" s="384"/>
      <c r="AF460" s="384"/>
      <c r="AG460" s="463"/>
      <c r="AH460" s="384"/>
      <c r="AI460" s="384"/>
      <c r="AJ460" s="384"/>
      <c r="AK460" s="384"/>
      <c r="AL460" s="463"/>
      <c r="AM460" s="384"/>
      <c r="AN460" s="1116"/>
      <c r="AO460" s="384"/>
      <c r="AP460" s="384"/>
      <c r="AQ460" s="463"/>
      <c r="AR460" s="1116"/>
      <c r="AS460" s="384"/>
      <c r="AT460" s="384"/>
      <c r="AU460" s="384"/>
      <c r="AV460" s="463"/>
      <c r="AW460" s="384"/>
      <c r="AX460" s="384"/>
      <c r="AY460" s="384"/>
      <c r="AZ460" s="384"/>
      <c r="BA460" s="463"/>
      <c r="BB460" s="384"/>
      <c r="BC460" s="384"/>
      <c r="BD460" s="384"/>
      <c r="BE460" s="384"/>
      <c r="BF460" s="463"/>
      <c r="BG460" s="384"/>
      <c r="BH460" s="384"/>
      <c r="BI460" s="384"/>
      <c r="BJ460" s="384"/>
      <c r="BK460" s="463"/>
      <c r="BL460" s="384"/>
      <c r="BM460" s="384"/>
      <c r="BN460" s="384"/>
      <c r="BO460" s="384"/>
    </row>
    <row r="461" spans="3:67">
      <c r="C461" s="463"/>
      <c r="D461" s="384"/>
      <c r="E461" s="384"/>
      <c r="F461" s="384"/>
      <c r="G461" s="384"/>
      <c r="H461" s="463"/>
      <c r="I461" s="384"/>
      <c r="J461" s="384"/>
      <c r="K461" s="384"/>
      <c r="L461" s="384"/>
      <c r="M461" s="463"/>
      <c r="N461" s="384"/>
      <c r="O461" s="384"/>
      <c r="P461" s="384"/>
      <c r="Q461" s="384"/>
      <c r="R461" s="463"/>
      <c r="S461" s="384"/>
      <c r="T461" s="384"/>
      <c r="U461" s="384"/>
      <c r="V461" s="384"/>
      <c r="W461" s="463"/>
      <c r="X461" s="384"/>
      <c r="Y461" s="384"/>
      <c r="Z461" s="384"/>
      <c r="AA461" s="384"/>
      <c r="AB461" s="463"/>
      <c r="AC461" s="384"/>
      <c r="AD461" s="384"/>
      <c r="AE461" s="384"/>
      <c r="AF461" s="384"/>
      <c r="AG461" s="463"/>
      <c r="AH461" s="384"/>
      <c r="AI461" s="384"/>
      <c r="AJ461" s="384"/>
      <c r="AK461" s="384"/>
      <c r="AL461" s="463"/>
      <c r="AM461" s="384"/>
      <c r="AN461" s="1116"/>
      <c r="AO461" s="384"/>
      <c r="AP461" s="384"/>
      <c r="AQ461" s="463"/>
      <c r="AR461" s="1116"/>
      <c r="AS461" s="384"/>
      <c r="AT461" s="384"/>
      <c r="AU461" s="384"/>
      <c r="AV461" s="463"/>
      <c r="AW461" s="384"/>
      <c r="AX461" s="384"/>
      <c r="AY461" s="384"/>
      <c r="AZ461" s="384"/>
      <c r="BA461" s="463"/>
      <c r="BB461" s="384"/>
      <c r="BC461" s="384"/>
      <c r="BD461" s="384"/>
      <c r="BE461" s="384"/>
      <c r="BF461" s="463"/>
      <c r="BG461" s="384"/>
      <c r="BH461" s="384"/>
      <c r="BI461" s="384"/>
      <c r="BJ461" s="384"/>
      <c r="BK461" s="463"/>
      <c r="BL461" s="384"/>
      <c r="BM461" s="384"/>
      <c r="BN461" s="384"/>
      <c r="BO461" s="384"/>
    </row>
    <row r="462" spans="3:67">
      <c r="C462" s="463"/>
      <c r="D462" s="384"/>
      <c r="E462" s="384"/>
      <c r="F462" s="384"/>
      <c r="G462" s="384"/>
      <c r="H462" s="463"/>
      <c r="I462" s="384"/>
      <c r="J462" s="384"/>
      <c r="K462" s="384"/>
      <c r="L462" s="384"/>
      <c r="M462" s="463"/>
      <c r="N462" s="384"/>
      <c r="O462" s="384"/>
      <c r="P462" s="384"/>
      <c r="Q462" s="384"/>
      <c r="R462" s="463"/>
      <c r="S462" s="384"/>
      <c r="T462" s="384"/>
      <c r="U462" s="384"/>
      <c r="V462" s="384"/>
      <c r="W462" s="463"/>
      <c r="X462" s="384"/>
      <c r="Y462" s="384"/>
      <c r="Z462" s="384"/>
      <c r="AA462" s="384"/>
      <c r="AB462" s="463"/>
      <c r="AC462" s="384"/>
      <c r="AD462" s="384"/>
      <c r="AE462" s="384"/>
      <c r="AF462" s="384"/>
      <c r="AG462" s="463"/>
      <c r="AH462" s="384"/>
      <c r="AI462" s="384"/>
      <c r="AJ462" s="384"/>
      <c r="AK462" s="384"/>
      <c r="AL462" s="463"/>
      <c r="AM462" s="384"/>
      <c r="AN462" s="1116"/>
      <c r="AO462" s="384"/>
      <c r="AP462" s="384"/>
      <c r="AQ462" s="463"/>
      <c r="AR462" s="1116"/>
      <c r="AS462" s="384"/>
      <c r="AT462" s="384"/>
      <c r="AU462" s="384"/>
      <c r="AV462" s="463"/>
      <c r="AW462" s="384"/>
      <c r="AX462" s="384"/>
      <c r="AY462" s="384"/>
      <c r="AZ462" s="384"/>
      <c r="BA462" s="463"/>
      <c r="BB462" s="384"/>
      <c r="BC462" s="384"/>
      <c r="BD462" s="384"/>
      <c r="BE462" s="384"/>
      <c r="BF462" s="463"/>
      <c r="BG462" s="384"/>
      <c r="BH462" s="384"/>
      <c r="BI462" s="384"/>
      <c r="BJ462" s="384"/>
      <c r="BK462" s="463"/>
      <c r="BL462" s="384"/>
      <c r="BM462" s="384"/>
      <c r="BN462" s="384"/>
      <c r="BO462" s="384"/>
    </row>
    <row r="465" spans="3:67">
      <c r="C465" s="490"/>
      <c r="D465" s="490"/>
      <c r="E465" s="490"/>
      <c r="F465" s="490"/>
      <c r="G465" s="490"/>
      <c r="H465" s="490"/>
      <c r="I465" s="490"/>
      <c r="J465" s="490"/>
      <c r="K465" s="490"/>
      <c r="L465" s="490"/>
      <c r="M465" s="490"/>
      <c r="N465" s="490"/>
      <c r="O465" s="490"/>
      <c r="P465" s="490"/>
      <c r="Q465" s="490"/>
      <c r="R465" s="490"/>
      <c r="S465" s="490"/>
      <c r="T465" s="490"/>
      <c r="U465" s="490"/>
      <c r="V465" s="490"/>
      <c r="W465" s="490"/>
      <c r="X465" s="490"/>
      <c r="Y465" s="490"/>
      <c r="Z465" s="490"/>
      <c r="AA465" s="490"/>
      <c r="AB465" s="490"/>
      <c r="AC465" s="490"/>
      <c r="AD465" s="490"/>
      <c r="AE465" s="490"/>
      <c r="AF465" s="490"/>
      <c r="AG465" s="490"/>
      <c r="AH465" s="490"/>
      <c r="AI465" s="490"/>
      <c r="AJ465" s="490"/>
      <c r="AK465" s="490"/>
      <c r="AL465" s="490"/>
      <c r="AM465" s="490"/>
      <c r="AN465" s="1298"/>
      <c r="AO465" s="490"/>
      <c r="AP465" s="490"/>
      <c r="AQ465" s="490"/>
      <c r="AR465" s="1298"/>
      <c r="AS465" s="490"/>
      <c r="AT465" s="490"/>
      <c r="AU465" s="490"/>
      <c r="AV465" s="490"/>
      <c r="AW465" s="490"/>
      <c r="AX465" s="490"/>
      <c r="AY465" s="490"/>
      <c r="AZ465" s="490"/>
      <c r="BA465" s="490"/>
      <c r="BB465" s="490"/>
      <c r="BC465" s="490"/>
      <c r="BD465" s="490"/>
      <c r="BE465" s="490"/>
      <c r="BF465" s="490"/>
      <c r="BG465" s="490"/>
      <c r="BH465" s="490"/>
      <c r="BI465" s="490"/>
      <c r="BJ465" s="490"/>
      <c r="BK465" s="490"/>
      <c r="BL465" s="490"/>
      <c r="BM465" s="490"/>
      <c r="BN465" s="490"/>
      <c r="BO465" s="490"/>
    </row>
    <row r="466" spans="3:67">
      <c r="C466" s="490"/>
      <c r="D466" s="490"/>
      <c r="E466" s="490"/>
      <c r="F466" s="490"/>
      <c r="G466" s="490"/>
      <c r="H466" s="490"/>
      <c r="I466" s="490"/>
      <c r="J466" s="490"/>
      <c r="K466" s="490"/>
      <c r="L466" s="490"/>
      <c r="M466" s="490"/>
      <c r="N466" s="490"/>
      <c r="O466" s="490"/>
      <c r="P466" s="490"/>
      <c r="Q466" s="490"/>
      <c r="R466" s="490"/>
      <c r="S466" s="490"/>
      <c r="T466" s="490"/>
      <c r="U466" s="490"/>
      <c r="V466" s="490"/>
      <c r="W466" s="490"/>
      <c r="X466" s="490"/>
      <c r="Y466" s="490"/>
      <c r="Z466" s="490"/>
      <c r="AA466" s="490"/>
      <c r="AB466" s="490"/>
      <c r="AC466" s="490"/>
      <c r="AD466" s="490"/>
      <c r="AE466" s="490"/>
      <c r="AF466" s="490"/>
      <c r="AG466" s="490"/>
      <c r="AH466" s="490"/>
      <c r="AI466" s="490"/>
      <c r="AJ466" s="490"/>
      <c r="AK466" s="490"/>
      <c r="AL466" s="490"/>
      <c r="AM466" s="490"/>
      <c r="AN466" s="1298"/>
      <c r="AO466" s="490"/>
      <c r="AP466" s="490"/>
      <c r="AQ466" s="490"/>
      <c r="AR466" s="1298"/>
      <c r="AS466" s="490"/>
      <c r="AT466" s="490"/>
      <c r="AU466" s="490"/>
      <c r="AV466" s="490"/>
      <c r="AW466" s="490"/>
      <c r="AX466" s="490"/>
      <c r="AY466" s="490"/>
      <c r="AZ466" s="490"/>
      <c r="BA466" s="490"/>
      <c r="BB466" s="490"/>
      <c r="BC466" s="490"/>
      <c r="BD466" s="490"/>
      <c r="BE466" s="490"/>
      <c r="BF466" s="490"/>
      <c r="BG466" s="490"/>
      <c r="BH466" s="490"/>
      <c r="BI466" s="490"/>
      <c r="BJ466" s="490"/>
      <c r="BK466" s="490"/>
      <c r="BL466" s="490"/>
      <c r="BM466" s="490"/>
      <c r="BN466" s="490"/>
      <c r="BO466" s="490"/>
    </row>
    <row r="467" spans="3:67">
      <c r="C467" s="490"/>
      <c r="D467" s="490"/>
      <c r="E467" s="490"/>
      <c r="F467" s="490"/>
      <c r="G467" s="490"/>
      <c r="H467" s="490"/>
      <c r="I467" s="490"/>
      <c r="J467" s="490"/>
      <c r="K467" s="490"/>
      <c r="L467" s="490"/>
      <c r="M467" s="490"/>
      <c r="N467" s="490"/>
      <c r="O467" s="490"/>
      <c r="P467" s="490"/>
      <c r="Q467" s="490"/>
      <c r="R467" s="490"/>
      <c r="S467" s="490"/>
      <c r="T467" s="490"/>
      <c r="U467" s="490"/>
      <c r="V467" s="490"/>
      <c r="W467" s="490"/>
      <c r="X467" s="490"/>
      <c r="Y467" s="490"/>
      <c r="Z467" s="490"/>
      <c r="AA467" s="490"/>
      <c r="AB467" s="490"/>
      <c r="AC467" s="490"/>
      <c r="AD467" s="490"/>
      <c r="AE467" s="490"/>
      <c r="AF467" s="490"/>
      <c r="AG467" s="490"/>
      <c r="AH467" s="490"/>
      <c r="AI467" s="490"/>
      <c r="AJ467" s="490"/>
      <c r="AK467" s="490"/>
      <c r="AL467" s="490"/>
      <c r="AM467" s="490"/>
      <c r="AN467" s="1298"/>
      <c r="AO467" s="490"/>
      <c r="AP467" s="490"/>
      <c r="AQ467" s="490"/>
      <c r="AR467" s="1298"/>
      <c r="AS467" s="490"/>
      <c r="AT467" s="490"/>
      <c r="AU467" s="490"/>
      <c r="AV467" s="490"/>
      <c r="AW467" s="490"/>
      <c r="AX467" s="490"/>
      <c r="AY467" s="490"/>
      <c r="AZ467" s="490"/>
      <c r="BA467" s="490"/>
      <c r="BB467" s="490"/>
      <c r="BC467" s="490"/>
      <c r="BD467" s="490"/>
      <c r="BE467" s="490"/>
      <c r="BF467" s="490"/>
      <c r="BG467" s="490"/>
      <c r="BH467" s="490"/>
      <c r="BI467" s="490"/>
      <c r="BJ467" s="490"/>
      <c r="BK467" s="490"/>
      <c r="BL467" s="490"/>
      <c r="BM467" s="490"/>
      <c r="BN467" s="490"/>
      <c r="BO467" s="490"/>
    </row>
    <row r="468" spans="3:67">
      <c r="C468" s="394"/>
      <c r="D468" s="394"/>
      <c r="E468" s="394"/>
      <c r="F468" s="394"/>
      <c r="G468" s="394"/>
      <c r="H468" s="394"/>
      <c r="I468" s="394"/>
      <c r="J468" s="394"/>
      <c r="K468" s="394"/>
      <c r="L468" s="394"/>
      <c r="M468" s="394"/>
      <c r="N468" s="394"/>
      <c r="O468" s="394"/>
      <c r="P468" s="394"/>
      <c r="Q468" s="394"/>
      <c r="R468" s="394"/>
      <c r="S468" s="394"/>
      <c r="T468" s="394"/>
      <c r="U468" s="394"/>
      <c r="V468" s="394"/>
      <c r="W468" s="394"/>
      <c r="X468" s="394"/>
      <c r="Y468" s="394"/>
      <c r="Z468" s="394"/>
      <c r="AA468" s="394"/>
      <c r="AB468" s="394"/>
      <c r="AC468" s="394"/>
      <c r="AD468" s="394"/>
      <c r="AE468" s="394"/>
      <c r="AF468" s="394"/>
      <c r="AG468" s="394"/>
      <c r="AH468" s="394"/>
      <c r="AI468" s="394"/>
      <c r="AJ468" s="394"/>
      <c r="AK468" s="394"/>
      <c r="AL468" s="394"/>
      <c r="AM468" s="394"/>
      <c r="AN468" s="1317"/>
      <c r="AO468" s="394"/>
      <c r="AP468" s="394"/>
      <c r="AQ468" s="394"/>
      <c r="AR468" s="1317"/>
      <c r="AS468" s="394"/>
      <c r="AT468" s="394"/>
      <c r="AU468" s="394"/>
      <c r="AV468" s="394"/>
      <c r="AW468" s="394"/>
      <c r="AX468" s="394"/>
      <c r="AY468" s="394"/>
      <c r="AZ468" s="394"/>
      <c r="BA468" s="394"/>
      <c r="BB468" s="394"/>
      <c r="BC468" s="394"/>
      <c r="BD468" s="394"/>
      <c r="BE468" s="394"/>
      <c r="BF468" s="394"/>
      <c r="BG468" s="394"/>
      <c r="BH468" s="394"/>
      <c r="BI468" s="394"/>
      <c r="BJ468" s="394"/>
      <c r="BK468" s="394"/>
      <c r="BL468" s="394"/>
      <c r="BM468" s="394"/>
      <c r="BN468" s="394"/>
      <c r="BO468" s="394"/>
    </row>
    <row r="469" spans="3:67">
      <c r="C469" s="538"/>
      <c r="D469" s="538"/>
      <c r="E469" s="538"/>
      <c r="F469" s="538"/>
      <c r="G469" s="538"/>
      <c r="H469" s="538"/>
      <c r="I469" s="538"/>
      <c r="J469" s="538"/>
      <c r="K469" s="538"/>
      <c r="L469" s="538"/>
      <c r="M469" s="538"/>
      <c r="N469" s="538"/>
      <c r="O469" s="538"/>
      <c r="P469" s="538"/>
      <c r="Q469" s="538"/>
      <c r="R469" s="538"/>
      <c r="S469" s="538"/>
      <c r="T469" s="538"/>
      <c r="U469" s="538"/>
      <c r="V469" s="538"/>
      <c r="W469" s="538"/>
      <c r="X469" s="538"/>
      <c r="Y469" s="538"/>
      <c r="Z469" s="538"/>
      <c r="AA469" s="538"/>
      <c r="AB469" s="538"/>
      <c r="AC469" s="538"/>
      <c r="AD469" s="538"/>
      <c r="AE469" s="538"/>
      <c r="AF469" s="538"/>
      <c r="AG469" s="538"/>
      <c r="AH469" s="538"/>
      <c r="AI469" s="538"/>
      <c r="AJ469" s="538"/>
      <c r="AK469" s="538"/>
      <c r="AL469" s="538"/>
      <c r="AM469" s="538"/>
      <c r="AN469" s="1318"/>
      <c r="AO469" s="538"/>
      <c r="AP469" s="538"/>
      <c r="AQ469" s="538"/>
      <c r="AR469" s="1318"/>
      <c r="AS469" s="538"/>
      <c r="AT469" s="538"/>
      <c r="AU469" s="538"/>
      <c r="AV469" s="538"/>
      <c r="AW469" s="538"/>
      <c r="AX469" s="538"/>
      <c r="AY469" s="538"/>
      <c r="AZ469" s="538"/>
      <c r="BA469" s="538"/>
      <c r="BB469" s="538"/>
      <c r="BC469" s="538"/>
      <c r="BD469" s="538"/>
      <c r="BE469" s="538"/>
      <c r="BF469" s="538"/>
      <c r="BG469" s="538"/>
      <c r="BH469" s="538"/>
      <c r="BI469" s="538"/>
      <c r="BJ469" s="538"/>
      <c r="BK469" s="538"/>
      <c r="BL469" s="538"/>
      <c r="BM469" s="538"/>
      <c r="BN469" s="538"/>
      <c r="BO469" s="538"/>
    </row>
    <row r="470" spans="3:67">
      <c r="C470" s="490"/>
      <c r="D470" s="490"/>
      <c r="E470" s="490"/>
      <c r="F470" s="490"/>
      <c r="G470" s="490"/>
      <c r="H470" s="490"/>
      <c r="I470" s="490"/>
      <c r="J470" s="490"/>
      <c r="K470" s="490"/>
      <c r="L470" s="490"/>
      <c r="M470" s="490"/>
      <c r="N470" s="490"/>
      <c r="O470" s="490"/>
      <c r="P470" s="490"/>
      <c r="Q470" s="490"/>
      <c r="R470" s="490"/>
      <c r="S470" s="490"/>
      <c r="T470" s="490"/>
      <c r="U470" s="490"/>
      <c r="V470" s="490"/>
      <c r="W470" s="490"/>
      <c r="X470" s="490"/>
      <c r="Y470" s="490"/>
      <c r="Z470" s="490"/>
      <c r="AA470" s="490"/>
      <c r="AB470" s="490"/>
      <c r="AC470" s="490"/>
      <c r="AD470" s="490"/>
      <c r="AE470" s="490"/>
      <c r="AF470" s="490"/>
      <c r="AG470" s="490"/>
      <c r="AH470" s="490"/>
      <c r="AI470" s="490"/>
      <c r="AJ470" s="490"/>
      <c r="AK470" s="490"/>
      <c r="AL470" s="490"/>
      <c r="AM470" s="490"/>
      <c r="AN470" s="1298"/>
      <c r="AO470" s="490"/>
      <c r="AP470" s="490"/>
      <c r="AQ470" s="490"/>
      <c r="AR470" s="1298"/>
      <c r="AS470" s="490"/>
      <c r="AT470" s="490"/>
      <c r="AU470" s="490"/>
      <c r="AV470" s="490"/>
      <c r="AW470" s="490"/>
      <c r="AX470" s="490"/>
      <c r="AY470" s="490"/>
      <c r="AZ470" s="490"/>
      <c r="BA470" s="490"/>
      <c r="BB470" s="490"/>
      <c r="BC470" s="490"/>
      <c r="BD470" s="490"/>
      <c r="BE470" s="490"/>
      <c r="BF470" s="490"/>
      <c r="BG470" s="490"/>
      <c r="BH470" s="490"/>
      <c r="BI470" s="490"/>
      <c r="BJ470" s="490"/>
      <c r="BK470" s="490"/>
      <c r="BL470" s="490"/>
      <c r="BM470" s="490"/>
      <c r="BN470" s="490"/>
      <c r="BO470" s="490"/>
    </row>
    <row r="471" spans="3:67">
      <c r="C471" s="490"/>
      <c r="D471" s="490"/>
      <c r="E471" s="490"/>
      <c r="F471" s="490"/>
      <c r="G471" s="490"/>
      <c r="H471" s="490"/>
      <c r="I471" s="490"/>
      <c r="J471" s="490"/>
      <c r="K471" s="490"/>
      <c r="L471" s="490"/>
      <c r="M471" s="490"/>
      <c r="N471" s="490"/>
      <c r="O471" s="490"/>
      <c r="P471" s="490"/>
      <c r="Q471" s="490"/>
      <c r="R471" s="490"/>
      <c r="S471" s="490"/>
      <c r="T471" s="490"/>
      <c r="U471" s="490"/>
      <c r="V471" s="490"/>
      <c r="W471" s="490"/>
      <c r="X471" s="490"/>
      <c r="Y471" s="490"/>
      <c r="Z471" s="490"/>
      <c r="AA471" s="490"/>
      <c r="AB471" s="490"/>
      <c r="AC471" s="490"/>
      <c r="AD471" s="490"/>
      <c r="AE471" s="490"/>
      <c r="AF471" s="490"/>
      <c r="AG471" s="490"/>
      <c r="AH471" s="490"/>
      <c r="AI471" s="490"/>
      <c r="AJ471" s="490"/>
      <c r="AK471" s="490"/>
      <c r="AL471" s="490"/>
      <c r="AM471" s="490"/>
      <c r="AN471" s="1298"/>
      <c r="AO471" s="490"/>
      <c r="AP471" s="490"/>
      <c r="AQ471" s="490"/>
      <c r="AR471" s="1298"/>
      <c r="AS471" s="490"/>
      <c r="AT471" s="490"/>
      <c r="AU471" s="490"/>
      <c r="AV471" s="490"/>
      <c r="AW471" s="490"/>
      <c r="AX471" s="490"/>
      <c r="AY471" s="490"/>
      <c r="AZ471" s="490"/>
      <c r="BA471" s="490"/>
      <c r="BB471" s="490"/>
      <c r="BC471" s="490"/>
      <c r="BD471" s="490"/>
      <c r="BE471" s="490"/>
      <c r="BF471" s="490"/>
      <c r="BG471" s="490"/>
      <c r="BH471" s="490"/>
      <c r="BI471" s="490"/>
      <c r="BJ471" s="490"/>
      <c r="BK471" s="490"/>
      <c r="BL471" s="490"/>
      <c r="BM471" s="490"/>
      <c r="BN471" s="490"/>
      <c r="BO471" s="490"/>
    </row>
    <row r="472" spans="3:67">
      <c r="C472" s="394"/>
      <c r="D472" s="394"/>
      <c r="E472" s="394"/>
      <c r="F472" s="394"/>
      <c r="G472" s="394"/>
      <c r="H472" s="394"/>
      <c r="I472" s="394"/>
      <c r="J472" s="394"/>
      <c r="K472" s="394"/>
      <c r="L472" s="394"/>
      <c r="M472" s="394"/>
      <c r="N472" s="394"/>
      <c r="O472" s="394"/>
      <c r="P472" s="394"/>
      <c r="Q472" s="394"/>
      <c r="R472" s="394"/>
      <c r="S472" s="394"/>
      <c r="T472" s="394"/>
      <c r="U472" s="394"/>
      <c r="V472" s="394"/>
      <c r="W472" s="394"/>
      <c r="X472" s="394"/>
      <c r="Y472" s="394"/>
      <c r="Z472" s="394"/>
      <c r="AA472" s="394"/>
      <c r="AB472" s="394"/>
      <c r="AC472" s="394"/>
      <c r="AD472" s="394"/>
      <c r="AE472" s="394"/>
      <c r="AF472" s="394"/>
      <c r="AG472" s="394"/>
      <c r="AH472" s="394"/>
      <c r="AI472" s="394"/>
      <c r="AJ472" s="394"/>
      <c r="AK472" s="394"/>
      <c r="AL472" s="394"/>
      <c r="AM472" s="394"/>
      <c r="AN472" s="1317"/>
      <c r="AO472" s="394"/>
      <c r="AP472" s="394"/>
      <c r="AQ472" s="394"/>
      <c r="AR472" s="1317"/>
      <c r="AS472" s="394"/>
      <c r="AT472" s="394"/>
      <c r="AU472" s="394"/>
      <c r="AV472" s="394"/>
      <c r="AW472" s="394"/>
      <c r="AX472" s="394"/>
      <c r="AY472" s="394"/>
      <c r="AZ472" s="394"/>
      <c r="BA472" s="394"/>
      <c r="BB472" s="394"/>
      <c r="BC472" s="394"/>
      <c r="BD472" s="394"/>
      <c r="BE472" s="394"/>
      <c r="BF472" s="394"/>
      <c r="BG472" s="394"/>
      <c r="BH472" s="394"/>
      <c r="BI472" s="394"/>
      <c r="BJ472" s="394"/>
      <c r="BK472" s="394"/>
      <c r="BL472" s="394"/>
      <c r="BM472" s="394"/>
      <c r="BN472" s="394"/>
      <c r="BO472" s="394"/>
    </row>
    <row r="473" spans="3:67">
      <c r="C473" s="394"/>
      <c r="D473" s="394"/>
      <c r="E473" s="394"/>
      <c r="F473" s="394"/>
      <c r="G473" s="394"/>
      <c r="H473" s="394"/>
      <c r="I473" s="394"/>
      <c r="J473" s="394"/>
      <c r="K473" s="394"/>
      <c r="L473" s="394"/>
      <c r="M473" s="394"/>
      <c r="N473" s="394"/>
      <c r="O473" s="394"/>
      <c r="P473" s="394"/>
      <c r="Q473" s="394"/>
      <c r="R473" s="394"/>
      <c r="S473" s="394"/>
      <c r="T473" s="394"/>
      <c r="U473" s="394"/>
      <c r="V473" s="394"/>
      <c r="W473" s="394"/>
      <c r="X473" s="394"/>
      <c r="Y473" s="394"/>
      <c r="Z473" s="394"/>
      <c r="AA473" s="394"/>
      <c r="AB473" s="394"/>
      <c r="AC473" s="394"/>
      <c r="AD473" s="394"/>
      <c r="AE473" s="394"/>
      <c r="AF473" s="394"/>
      <c r="AG473" s="394"/>
      <c r="AH473" s="394"/>
      <c r="AI473" s="394"/>
      <c r="AJ473" s="394"/>
      <c r="AK473" s="394"/>
      <c r="AL473" s="394"/>
      <c r="AM473" s="394"/>
      <c r="AN473" s="1317"/>
      <c r="AO473" s="394"/>
      <c r="AP473" s="394"/>
      <c r="AQ473" s="394"/>
      <c r="AR473" s="1317"/>
      <c r="AS473" s="394"/>
      <c r="AT473" s="394"/>
      <c r="AU473" s="394"/>
      <c r="AV473" s="394"/>
      <c r="AW473" s="394"/>
      <c r="AX473" s="394"/>
      <c r="AY473" s="394"/>
      <c r="AZ473" s="394"/>
      <c r="BA473" s="394"/>
      <c r="BB473" s="394"/>
      <c r="BC473" s="394"/>
      <c r="BD473" s="394"/>
      <c r="BE473" s="394"/>
      <c r="BF473" s="394"/>
      <c r="BG473" s="394"/>
      <c r="BH473" s="394"/>
      <c r="BI473" s="394"/>
      <c r="BJ473" s="394"/>
      <c r="BK473" s="394"/>
      <c r="BL473" s="394"/>
      <c r="BM473" s="394"/>
      <c r="BN473" s="394"/>
      <c r="BO473" s="394"/>
    </row>
    <row r="474" spans="3:67">
      <c r="C474" s="490"/>
      <c r="D474" s="490"/>
      <c r="E474" s="490"/>
      <c r="F474" s="490"/>
      <c r="G474" s="490"/>
      <c r="H474" s="490"/>
      <c r="I474" s="490"/>
      <c r="J474" s="490"/>
      <c r="K474" s="490"/>
      <c r="L474" s="490"/>
      <c r="M474" s="490"/>
      <c r="N474" s="490"/>
      <c r="O474" s="490"/>
      <c r="P474" s="490"/>
      <c r="Q474" s="490"/>
      <c r="R474" s="490"/>
      <c r="S474" s="490"/>
      <c r="T474" s="490"/>
      <c r="U474" s="490"/>
      <c r="V474" s="490"/>
      <c r="W474" s="490"/>
      <c r="X474" s="490"/>
      <c r="Y474" s="490"/>
      <c r="Z474" s="490"/>
      <c r="AA474" s="490"/>
      <c r="AB474" s="490"/>
      <c r="AC474" s="490"/>
      <c r="AD474" s="490"/>
      <c r="AE474" s="490"/>
      <c r="AF474" s="490"/>
      <c r="AG474" s="490"/>
      <c r="AH474" s="490"/>
      <c r="AI474" s="490"/>
      <c r="AJ474" s="490"/>
      <c r="AK474" s="490"/>
      <c r="AL474" s="490"/>
      <c r="AM474" s="490"/>
      <c r="AN474" s="1298"/>
      <c r="AO474" s="490"/>
      <c r="AP474" s="490"/>
      <c r="AQ474" s="490"/>
      <c r="AR474" s="1298"/>
      <c r="AS474" s="490"/>
      <c r="AT474" s="490"/>
      <c r="AU474" s="490"/>
      <c r="AV474" s="490"/>
      <c r="AW474" s="490"/>
      <c r="AX474" s="490"/>
      <c r="AY474" s="490"/>
      <c r="AZ474" s="490"/>
      <c r="BA474" s="490"/>
      <c r="BB474" s="490"/>
      <c r="BC474" s="490"/>
      <c r="BD474" s="490"/>
      <c r="BE474" s="490"/>
      <c r="BF474" s="490"/>
      <c r="BG474" s="490"/>
      <c r="BH474" s="490"/>
      <c r="BI474" s="490"/>
      <c r="BJ474" s="490"/>
      <c r="BK474" s="490"/>
      <c r="BL474" s="490"/>
      <c r="BM474" s="490"/>
      <c r="BN474" s="490"/>
      <c r="BO474" s="490"/>
    </row>
    <row r="475" spans="3:67">
      <c r="C475" s="539"/>
      <c r="D475" s="539"/>
      <c r="E475" s="539"/>
      <c r="F475" s="539"/>
      <c r="G475" s="539"/>
      <c r="H475" s="539"/>
      <c r="I475" s="539"/>
      <c r="J475" s="539"/>
      <c r="K475" s="539"/>
      <c r="L475" s="539"/>
      <c r="M475" s="539"/>
      <c r="N475" s="539"/>
      <c r="O475" s="539"/>
      <c r="P475" s="539"/>
      <c r="Q475" s="539"/>
      <c r="R475" s="539"/>
      <c r="S475" s="539"/>
      <c r="T475" s="539"/>
      <c r="U475" s="539"/>
      <c r="V475" s="539"/>
      <c r="W475" s="539"/>
      <c r="X475" s="539"/>
      <c r="Y475" s="539"/>
      <c r="Z475" s="539"/>
      <c r="AA475" s="539"/>
      <c r="AB475" s="539"/>
      <c r="AC475" s="539"/>
      <c r="AD475" s="539"/>
      <c r="AE475" s="539"/>
      <c r="AF475" s="539"/>
      <c r="AG475" s="539"/>
      <c r="AH475" s="539"/>
      <c r="AI475" s="539"/>
      <c r="AJ475" s="539"/>
      <c r="AK475" s="539"/>
      <c r="AL475" s="539"/>
      <c r="AM475" s="539"/>
      <c r="AN475" s="1319"/>
      <c r="AO475" s="539"/>
      <c r="AP475" s="539"/>
      <c r="AQ475" s="539"/>
      <c r="AR475" s="1319"/>
      <c r="AS475" s="539"/>
      <c r="AT475" s="539"/>
      <c r="AU475" s="539"/>
      <c r="AV475" s="539"/>
      <c r="AW475" s="539"/>
      <c r="AX475" s="539"/>
      <c r="AY475" s="539"/>
      <c r="AZ475" s="539"/>
      <c r="BA475" s="539"/>
      <c r="BB475" s="539"/>
      <c r="BC475" s="539"/>
      <c r="BD475" s="539"/>
      <c r="BE475" s="539"/>
      <c r="BF475" s="539"/>
      <c r="BG475" s="539"/>
      <c r="BH475" s="539"/>
      <c r="BI475" s="539"/>
      <c r="BJ475" s="539"/>
      <c r="BK475" s="539"/>
      <c r="BL475" s="539"/>
      <c r="BM475" s="539"/>
      <c r="BN475" s="539"/>
      <c r="BO475" s="539"/>
    </row>
    <row r="476" spans="3:67">
      <c r="C476" s="394"/>
      <c r="D476" s="394"/>
      <c r="E476" s="394"/>
      <c r="F476" s="394"/>
      <c r="G476" s="394"/>
      <c r="H476" s="394"/>
      <c r="I476" s="394"/>
      <c r="J476" s="394"/>
      <c r="K476" s="394"/>
      <c r="L476" s="394"/>
      <c r="M476" s="394"/>
      <c r="N476" s="394"/>
      <c r="O476" s="394"/>
      <c r="P476" s="394"/>
      <c r="Q476" s="394"/>
      <c r="R476" s="394"/>
      <c r="S476" s="394"/>
      <c r="T476" s="394"/>
      <c r="U476" s="394"/>
      <c r="V476" s="394"/>
      <c r="W476" s="394"/>
      <c r="X476" s="394"/>
      <c r="Y476" s="394"/>
      <c r="Z476" s="394"/>
      <c r="AA476" s="394"/>
      <c r="AB476" s="394"/>
      <c r="AC476" s="394"/>
      <c r="AD476" s="394"/>
      <c r="AE476" s="394"/>
      <c r="AF476" s="394"/>
      <c r="AG476" s="394"/>
      <c r="AH476" s="394"/>
      <c r="AI476" s="394"/>
      <c r="AJ476" s="394"/>
      <c r="AK476" s="394"/>
      <c r="AL476" s="394"/>
      <c r="AM476" s="394"/>
      <c r="AN476" s="1317"/>
      <c r="AO476" s="394"/>
      <c r="AP476" s="394"/>
      <c r="AQ476" s="394"/>
      <c r="AR476" s="1317"/>
      <c r="AS476" s="394"/>
      <c r="AT476" s="394"/>
      <c r="AU476" s="394"/>
      <c r="AV476" s="394"/>
      <c r="AW476" s="394"/>
      <c r="AX476" s="394"/>
      <c r="AY476" s="394"/>
      <c r="AZ476" s="394"/>
      <c r="BA476" s="394"/>
      <c r="BB476" s="394"/>
      <c r="BC476" s="394"/>
      <c r="BD476" s="394"/>
      <c r="BE476" s="394"/>
      <c r="BF476" s="394"/>
      <c r="BG476" s="394"/>
      <c r="BH476" s="394"/>
      <c r="BI476" s="394"/>
      <c r="BJ476" s="394"/>
      <c r="BK476" s="394"/>
      <c r="BL476" s="394"/>
      <c r="BM476" s="394"/>
      <c r="BN476" s="394"/>
      <c r="BO476" s="394"/>
    </row>
    <row r="477" spans="3:67">
      <c r="C477" s="394"/>
      <c r="D477" s="394"/>
      <c r="E477" s="394"/>
      <c r="F477" s="394"/>
      <c r="G477" s="394"/>
      <c r="H477" s="394"/>
      <c r="I477" s="394"/>
      <c r="J477" s="394"/>
      <c r="K477" s="394"/>
      <c r="L477" s="394"/>
      <c r="M477" s="394"/>
      <c r="N477" s="394"/>
      <c r="O477" s="394"/>
      <c r="P477" s="394"/>
      <c r="Q477" s="394"/>
      <c r="R477" s="394"/>
      <c r="S477" s="394"/>
      <c r="T477" s="394"/>
      <c r="U477" s="394"/>
      <c r="V477" s="394"/>
      <c r="W477" s="394"/>
      <c r="X477" s="394"/>
      <c r="Y477" s="394"/>
      <c r="Z477" s="394"/>
      <c r="AA477" s="394"/>
      <c r="AB477" s="394"/>
      <c r="AC477" s="394"/>
      <c r="AD477" s="394"/>
      <c r="AE477" s="394"/>
      <c r="AF477" s="394"/>
      <c r="AG477" s="394"/>
      <c r="AH477" s="394"/>
      <c r="AI477" s="394"/>
      <c r="AJ477" s="394"/>
      <c r="AK477" s="394"/>
      <c r="AL477" s="394"/>
      <c r="AM477" s="394"/>
      <c r="AN477" s="1317"/>
      <c r="AO477" s="394"/>
      <c r="AP477" s="394"/>
      <c r="AQ477" s="394"/>
      <c r="AR477" s="1317"/>
      <c r="AS477" s="394"/>
      <c r="AT477" s="394"/>
      <c r="AU477" s="394"/>
      <c r="AV477" s="394"/>
      <c r="AW477" s="394"/>
      <c r="AX477" s="394"/>
      <c r="AY477" s="394"/>
      <c r="AZ477" s="394"/>
      <c r="BA477" s="394"/>
      <c r="BB477" s="394"/>
      <c r="BC477" s="394"/>
      <c r="BD477" s="394"/>
      <c r="BE477" s="394"/>
      <c r="BF477" s="394"/>
      <c r="BG477" s="394"/>
      <c r="BH477" s="394"/>
      <c r="BI477" s="394"/>
      <c r="BJ477" s="394"/>
      <c r="BK477" s="394"/>
      <c r="BL477" s="394"/>
      <c r="BM477" s="394"/>
      <c r="BN477" s="394"/>
      <c r="BO477" s="394"/>
    </row>
    <row r="478" spans="3:67">
      <c r="C478" s="540"/>
      <c r="D478" s="540"/>
      <c r="E478" s="540"/>
      <c r="F478" s="540"/>
      <c r="G478" s="540"/>
      <c r="H478" s="540"/>
      <c r="I478" s="540"/>
      <c r="J478" s="540"/>
      <c r="K478" s="540"/>
      <c r="L478" s="540"/>
      <c r="M478" s="540"/>
      <c r="N478" s="540"/>
      <c r="O478" s="540"/>
      <c r="P478" s="540"/>
      <c r="Q478" s="540"/>
      <c r="R478" s="540"/>
      <c r="S478" s="540"/>
      <c r="T478" s="540"/>
      <c r="U478" s="540"/>
      <c r="V478" s="540"/>
      <c r="W478" s="540"/>
      <c r="X478" s="540"/>
      <c r="Y478" s="540"/>
      <c r="Z478" s="540"/>
      <c r="AA478" s="540"/>
      <c r="AB478" s="540"/>
      <c r="AC478" s="540"/>
      <c r="AD478" s="540"/>
      <c r="AE478" s="540"/>
      <c r="AF478" s="540"/>
      <c r="AG478" s="540"/>
      <c r="AH478" s="540"/>
      <c r="AI478" s="540"/>
      <c r="AJ478" s="540"/>
      <c r="AK478" s="540"/>
      <c r="AL478" s="540"/>
      <c r="AM478" s="540"/>
      <c r="AN478" s="1320"/>
      <c r="AO478" s="540"/>
      <c r="AP478" s="540"/>
      <c r="AQ478" s="540"/>
      <c r="AR478" s="1320"/>
      <c r="AS478" s="540"/>
      <c r="AT478" s="540"/>
      <c r="AU478" s="540"/>
      <c r="AV478" s="540"/>
      <c r="AW478" s="540"/>
      <c r="AX478" s="540"/>
      <c r="AY478" s="540"/>
      <c r="AZ478" s="540"/>
      <c r="BA478" s="540"/>
      <c r="BB478" s="540"/>
      <c r="BC478" s="540"/>
      <c r="BD478" s="540"/>
      <c r="BE478" s="540"/>
      <c r="BF478" s="540"/>
      <c r="BG478" s="540"/>
      <c r="BH478" s="540"/>
      <c r="BI478" s="540"/>
      <c r="BJ478" s="540"/>
      <c r="BK478" s="540"/>
      <c r="BL478" s="540"/>
      <c r="BM478" s="540"/>
      <c r="BN478" s="540"/>
      <c r="BO478" s="540"/>
    </row>
    <row r="479" spans="3:67">
      <c r="C479" s="490"/>
      <c r="D479" s="490"/>
      <c r="E479" s="490"/>
      <c r="F479" s="490"/>
      <c r="G479" s="490"/>
      <c r="H479" s="490"/>
      <c r="I479" s="490"/>
      <c r="J479" s="490"/>
      <c r="K479" s="490"/>
      <c r="L479" s="490"/>
      <c r="M479" s="490"/>
      <c r="N479" s="490"/>
      <c r="O479" s="490"/>
      <c r="P479" s="490"/>
      <c r="Q479" s="490"/>
      <c r="R479" s="490"/>
      <c r="S479" s="490"/>
      <c r="T479" s="490"/>
      <c r="U479" s="490"/>
      <c r="V479" s="490"/>
      <c r="W479" s="490"/>
      <c r="X479" s="490"/>
      <c r="Y479" s="490"/>
      <c r="Z479" s="490"/>
      <c r="AA479" s="490"/>
      <c r="AB479" s="490"/>
      <c r="AC479" s="490"/>
      <c r="AD479" s="490"/>
      <c r="AE479" s="490"/>
      <c r="AF479" s="490"/>
      <c r="AG479" s="490"/>
      <c r="AH479" s="490"/>
      <c r="AI479" s="490"/>
      <c r="AJ479" s="490"/>
      <c r="AK479" s="490"/>
      <c r="AL479" s="490"/>
      <c r="AM479" s="490"/>
      <c r="AN479" s="1298"/>
      <c r="AO479" s="490"/>
      <c r="AP479" s="490"/>
      <c r="AQ479" s="490"/>
      <c r="AR479" s="1298"/>
      <c r="AS479" s="490"/>
      <c r="AT479" s="490"/>
      <c r="AU479" s="490"/>
      <c r="AV479" s="490"/>
      <c r="AW479" s="490"/>
      <c r="AX479" s="490"/>
      <c r="AY479" s="490"/>
      <c r="AZ479" s="490"/>
      <c r="BA479" s="490"/>
      <c r="BB479" s="490"/>
      <c r="BC479" s="490"/>
      <c r="BD479" s="490"/>
      <c r="BE479" s="490"/>
      <c r="BF479" s="490"/>
      <c r="BG479" s="490"/>
      <c r="BH479" s="490"/>
      <c r="BI479" s="490"/>
      <c r="BJ479" s="490"/>
      <c r="BK479" s="490"/>
      <c r="BL479" s="490"/>
      <c r="BM479" s="490"/>
      <c r="BN479" s="490"/>
      <c r="BO479" s="490"/>
    </row>
    <row r="480" spans="3:67">
      <c r="C480" s="490"/>
      <c r="D480" s="490"/>
      <c r="E480" s="490"/>
      <c r="F480" s="490"/>
      <c r="G480" s="490"/>
      <c r="H480" s="490"/>
      <c r="I480" s="490"/>
      <c r="J480" s="490"/>
      <c r="K480" s="490"/>
      <c r="L480" s="490"/>
      <c r="M480" s="490"/>
      <c r="N480" s="490"/>
      <c r="O480" s="490"/>
      <c r="P480" s="490"/>
      <c r="Q480" s="490"/>
      <c r="R480" s="490"/>
      <c r="S480" s="490"/>
      <c r="T480" s="490"/>
      <c r="U480" s="490"/>
      <c r="V480" s="490"/>
      <c r="W480" s="490"/>
      <c r="X480" s="490"/>
      <c r="Y480" s="490"/>
      <c r="Z480" s="490"/>
      <c r="AA480" s="490"/>
      <c r="AB480" s="490"/>
      <c r="AC480" s="490"/>
      <c r="AD480" s="490"/>
      <c r="AE480" s="490"/>
      <c r="AF480" s="490"/>
      <c r="AG480" s="490"/>
      <c r="AH480" s="490"/>
      <c r="AI480" s="490"/>
      <c r="AJ480" s="490"/>
      <c r="AK480" s="490"/>
      <c r="AL480" s="490"/>
      <c r="AM480" s="490"/>
      <c r="AN480" s="1298"/>
      <c r="AO480" s="490"/>
      <c r="AP480" s="490"/>
      <c r="AQ480" s="490"/>
      <c r="AR480" s="1298"/>
      <c r="AS480" s="490"/>
      <c r="AT480" s="490"/>
      <c r="AU480" s="490"/>
      <c r="AV480" s="490"/>
      <c r="AW480" s="490"/>
      <c r="AX480" s="490"/>
      <c r="AY480" s="490"/>
      <c r="AZ480" s="490"/>
      <c r="BA480" s="490"/>
      <c r="BB480" s="490"/>
      <c r="BC480" s="490"/>
      <c r="BD480" s="490"/>
      <c r="BE480" s="490"/>
      <c r="BF480" s="490"/>
      <c r="BG480" s="490"/>
      <c r="BH480" s="490"/>
      <c r="BI480" s="490"/>
      <c r="BJ480" s="490"/>
      <c r="BK480" s="490"/>
      <c r="BL480" s="490"/>
      <c r="BM480" s="490"/>
      <c r="BN480" s="490"/>
      <c r="BO480" s="490"/>
    </row>
    <row r="481" spans="3:67">
      <c r="C481" s="541"/>
      <c r="D481" s="541"/>
      <c r="E481" s="541"/>
      <c r="F481" s="541"/>
      <c r="G481" s="541"/>
      <c r="H481" s="541"/>
      <c r="I481" s="541"/>
      <c r="J481" s="541"/>
      <c r="K481" s="541"/>
      <c r="L481" s="541"/>
      <c r="M481" s="541"/>
      <c r="N481" s="541"/>
      <c r="O481" s="541"/>
      <c r="P481" s="541"/>
      <c r="Q481" s="541"/>
      <c r="R481" s="541"/>
      <c r="S481" s="541"/>
      <c r="T481" s="541"/>
      <c r="U481" s="541"/>
      <c r="V481" s="541"/>
      <c r="W481" s="541"/>
      <c r="X481" s="541"/>
      <c r="Y481" s="541"/>
      <c r="Z481" s="541"/>
      <c r="AA481" s="541"/>
      <c r="AB481" s="541"/>
      <c r="AC481" s="541"/>
      <c r="AD481" s="541"/>
      <c r="AE481" s="541"/>
      <c r="AF481" s="541"/>
      <c r="AG481" s="541"/>
      <c r="AH481" s="541"/>
      <c r="AI481" s="541"/>
      <c r="AJ481" s="541"/>
      <c r="AK481" s="541"/>
      <c r="AL481" s="541"/>
      <c r="AM481" s="541"/>
      <c r="AN481" s="1321"/>
      <c r="AO481" s="541"/>
      <c r="AP481" s="541"/>
      <c r="AQ481" s="541"/>
      <c r="AR481" s="1321"/>
      <c r="AS481" s="541"/>
      <c r="AT481" s="541"/>
      <c r="AU481" s="541"/>
      <c r="AV481" s="541"/>
      <c r="AW481" s="541"/>
      <c r="AX481" s="541"/>
      <c r="AY481" s="541"/>
      <c r="AZ481" s="541"/>
      <c r="BA481" s="541"/>
      <c r="BB481" s="541"/>
      <c r="BC481" s="541"/>
      <c r="BD481" s="541"/>
      <c r="BE481" s="541"/>
      <c r="BF481" s="541"/>
      <c r="BG481" s="541"/>
      <c r="BH481" s="541"/>
      <c r="BI481" s="541"/>
      <c r="BJ481" s="541"/>
      <c r="BK481" s="541"/>
      <c r="BL481" s="541"/>
      <c r="BM481" s="541"/>
      <c r="BN481" s="541"/>
      <c r="BO481" s="541"/>
    </row>
    <row r="482" spans="3:67">
      <c r="C482" s="394"/>
      <c r="D482" s="394"/>
      <c r="E482" s="394"/>
      <c r="F482" s="394"/>
      <c r="G482" s="394"/>
      <c r="H482" s="394"/>
      <c r="I482" s="394"/>
      <c r="J482" s="394"/>
      <c r="K482" s="394"/>
      <c r="L482" s="394"/>
      <c r="M482" s="394"/>
      <c r="N482" s="394"/>
      <c r="O482" s="394"/>
      <c r="P482" s="394"/>
      <c r="Q482" s="394"/>
      <c r="R482" s="394"/>
      <c r="S482" s="394"/>
      <c r="T482" s="394"/>
      <c r="U482" s="394"/>
      <c r="V482" s="394"/>
      <c r="W482" s="394"/>
      <c r="X482" s="394"/>
      <c r="Y482" s="394"/>
      <c r="Z482" s="394"/>
      <c r="AA482" s="394"/>
      <c r="AB482" s="394"/>
      <c r="AC482" s="394"/>
      <c r="AD482" s="394"/>
      <c r="AE482" s="394"/>
      <c r="AF482" s="394"/>
      <c r="AG482" s="394"/>
      <c r="AH482" s="394"/>
      <c r="AI482" s="394"/>
      <c r="AJ482" s="394"/>
      <c r="AK482" s="394"/>
      <c r="AL482" s="394"/>
      <c r="AM482" s="394"/>
      <c r="AN482" s="1317"/>
      <c r="AO482" s="394"/>
      <c r="AP482" s="394"/>
      <c r="AQ482" s="394"/>
      <c r="AR482" s="1317"/>
      <c r="AS482" s="394"/>
      <c r="AT482" s="394"/>
      <c r="AU482" s="394"/>
      <c r="AV482" s="394"/>
      <c r="AW482" s="394"/>
      <c r="AX482" s="394"/>
      <c r="AY482" s="394"/>
      <c r="AZ482" s="394"/>
      <c r="BA482" s="394"/>
      <c r="BB482" s="394"/>
      <c r="BC482" s="394"/>
      <c r="BD482" s="394"/>
      <c r="BE482" s="394"/>
      <c r="BF482" s="394"/>
      <c r="BG482" s="394"/>
      <c r="BH482" s="394"/>
      <c r="BI482" s="394"/>
      <c r="BJ482" s="394"/>
      <c r="BK482" s="394"/>
      <c r="BL482" s="394"/>
      <c r="BM482" s="394"/>
      <c r="BN482" s="394"/>
      <c r="BO482" s="394"/>
    </row>
    <row r="483" spans="3:67">
      <c r="C483" s="542"/>
      <c r="D483" s="542"/>
      <c r="E483" s="542"/>
      <c r="F483" s="542"/>
      <c r="G483" s="542"/>
      <c r="H483" s="542"/>
      <c r="I483" s="542"/>
      <c r="J483" s="542"/>
      <c r="K483" s="542"/>
      <c r="L483" s="542"/>
      <c r="M483" s="542"/>
      <c r="N483" s="542"/>
      <c r="O483" s="542"/>
      <c r="P483" s="542"/>
      <c r="Q483" s="542"/>
      <c r="R483" s="542"/>
      <c r="S483" s="542"/>
      <c r="T483" s="542"/>
      <c r="U483" s="542"/>
      <c r="V483" s="542"/>
      <c r="W483" s="542"/>
      <c r="X483" s="542"/>
      <c r="Y483" s="542"/>
      <c r="Z483" s="542"/>
      <c r="AA483" s="542"/>
      <c r="AB483" s="542"/>
      <c r="AC483" s="542"/>
      <c r="AD483" s="542"/>
      <c r="AE483" s="542"/>
      <c r="AF483" s="542"/>
      <c r="AG483" s="542"/>
      <c r="AH483" s="542"/>
      <c r="AI483" s="542"/>
      <c r="AJ483" s="542"/>
      <c r="AK483" s="542"/>
      <c r="AL483" s="542"/>
      <c r="AM483" s="542"/>
      <c r="AN483" s="1322"/>
      <c r="AO483" s="542"/>
      <c r="AP483" s="542"/>
      <c r="AQ483" s="542"/>
      <c r="AR483" s="1322"/>
      <c r="AS483" s="542"/>
      <c r="AT483" s="542"/>
      <c r="AU483" s="542"/>
      <c r="AV483" s="542"/>
      <c r="AW483" s="542"/>
      <c r="AX483" s="542"/>
      <c r="AY483" s="542"/>
      <c r="AZ483" s="542"/>
      <c r="BA483" s="542"/>
      <c r="BB483" s="542"/>
      <c r="BC483" s="542"/>
      <c r="BD483" s="542"/>
      <c r="BE483" s="542"/>
      <c r="BF483" s="542"/>
      <c r="BG483" s="542"/>
      <c r="BH483" s="542"/>
      <c r="BI483" s="542"/>
      <c r="BJ483" s="542"/>
      <c r="BK483" s="542"/>
      <c r="BL483" s="542"/>
      <c r="BM483" s="542"/>
      <c r="BN483" s="542"/>
      <c r="BO483" s="542"/>
    </row>
    <row r="484" spans="3:67">
      <c r="C484" s="543"/>
      <c r="D484" s="543"/>
      <c r="E484" s="543"/>
      <c r="F484" s="543"/>
      <c r="G484" s="543"/>
      <c r="H484" s="543"/>
      <c r="I484" s="543"/>
      <c r="J484" s="543"/>
      <c r="K484" s="543"/>
      <c r="L484" s="543"/>
      <c r="M484" s="543"/>
      <c r="N484" s="543"/>
      <c r="O484" s="543"/>
      <c r="P484" s="543"/>
      <c r="Q484" s="543"/>
      <c r="R484" s="543"/>
      <c r="S484" s="543"/>
      <c r="T484" s="543"/>
      <c r="U484" s="543"/>
      <c r="V484" s="543"/>
      <c r="W484" s="543"/>
      <c r="X484" s="543"/>
      <c r="Y484" s="543"/>
      <c r="Z484" s="543"/>
      <c r="AA484" s="543"/>
      <c r="AB484" s="543"/>
      <c r="AC484" s="543"/>
      <c r="AD484" s="543"/>
      <c r="AE484" s="543"/>
      <c r="AF484" s="543"/>
      <c r="AG484" s="543"/>
      <c r="AH484" s="543"/>
      <c r="AI484" s="543"/>
      <c r="AJ484" s="543"/>
      <c r="AK484" s="543"/>
      <c r="AL484" s="543"/>
      <c r="AM484" s="543"/>
      <c r="AN484" s="1323"/>
      <c r="AO484" s="543"/>
      <c r="AP484" s="543"/>
      <c r="AQ484" s="543"/>
      <c r="AR484" s="1323"/>
      <c r="AS484" s="543"/>
      <c r="AT484" s="543"/>
      <c r="AU484" s="543"/>
      <c r="AV484" s="543"/>
      <c r="AW484" s="543"/>
      <c r="AX484" s="543"/>
      <c r="AY484" s="543"/>
      <c r="AZ484" s="543"/>
      <c r="BA484" s="543"/>
      <c r="BB484" s="543"/>
      <c r="BC484" s="543"/>
      <c r="BD484" s="543"/>
      <c r="BE484" s="543"/>
      <c r="BF484" s="543"/>
      <c r="BG484" s="543"/>
      <c r="BH484" s="543"/>
      <c r="BI484" s="543"/>
      <c r="BJ484" s="543"/>
      <c r="BK484" s="543"/>
      <c r="BL484" s="543"/>
      <c r="BM484" s="543"/>
      <c r="BN484" s="543"/>
      <c r="BO484" s="543"/>
    </row>
    <row r="485" spans="3:67">
      <c r="C485" s="543"/>
      <c r="D485" s="543"/>
      <c r="E485" s="543"/>
      <c r="F485" s="543"/>
      <c r="G485" s="543"/>
      <c r="H485" s="543"/>
      <c r="I485" s="543"/>
      <c r="J485" s="543"/>
      <c r="K485" s="543"/>
      <c r="L485" s="543"/>
      <c r="M485" s="543"/>
      <c r="N485" s="543"/>
      <c r="O485" s="543"/>
      <c r="P485" s="543"/>
      <c r="Q485" s="543"/>
      <c r="R485" s="543"/>
      <c r="S485" s="543"/>
      <c r="T485" s="543"/>
      <c r="U485" s="543"/>
      <c r="V485" s="543"/>
      <c r="W485" s="543"/>
      <c r="X485" s="543"/>
      <c r="Y485" s="543"/>
      <c r="Z485" s="543"/>
      <c r="AA485" s="543"/>
      <c r="AB485" s="543"/>
      <c r="AC485" s="543"/>
      <c r="AD485" s="543"/>
      <c r="AE485" s="543"/>
      <c r="AF485" s="543"/>
      <c r="AG485" s="543"/>
      <c r="AH485" s="543"/>
      <c r="AI485" s="543"/>
      <c r="AJ485" s="543"/>
      <c r="AK485" s="543"/>
      <c r="AL485" s="543"/>
      <c r="AM485" s="543"/>
      <c r="AN485" s="1323"/>
      <c r="AO485" s="543"/>
      <c r="AP485" s="543"/>
      <c r="AQ485" s="543"/>
      <c r="AR485" s="1323"/>
      <c r="AS485" s="543"/>
      <c r="AT485" s="543"/>
      <c r="AU485" s="543"/>
      <c r="AV485" s="543"/>
      <c r="AW485" s="543"/>
      <c r="AX485" s="543"/>
      <c r="AY485" s="543"/>
      <c r="AZ485" s="543"/>
      <c r="BA485" s="543"/>
      <c r="BB485" s="543"/>
      <c r="BC485" s="543"/>
      <c r="BD485" s="543"/>
      <c r="BE485" s="543"/>
      <c r="BF485" s="543"/>
      <c r="BG485" s="543"/>
      <c r="BH485" s="543"/>
      <c r="BI485" s="543"/>
      <c r="BJ485" s="543"/>
      <c r="BK485" s="543"/>
      <c r="BL485" s="543"/>
      <c r="BM485" s="543"/>
      <c r="BN485" s="543"/>
      <c r="BO485" s="543"/>
    </row>
    <row r="486" spans="3:67">
      <c r="C486" s="543"/>
      <c r="D486" s="543"/>
      <c r="E486" s="543"/>
      <c r="F486" s="543"/>
      <c r="G486" s="543"/>
      <c r="H486" s="543"/>
      <c r="I486" s="543"/>
      <c r="J486" s="543"/>
      <c r="K486" s="543"/>
      <c r="L486" s="543"/>
      <c r="M486" s="543"/>
      <c r="N486" s="543"/>
      <c r="O486" s="543"/>
      <c r="P486" s="543"/>
      <c r="Q486" s="543"/>
      <c r="R486" s="543"/>
      <c r="S486" s="543"/>
      <c r="T486" s="543"/>
      <c r="U486" s="543"/>
      <c r="V486" s="543"/>
      <c r="W486" s="543"/>
      <c r="X486" s="543"/>
      <c r="Y486" s="543"/>
      <c r="Z486" s="543"/>
      <c r="AA486" s="543"/>
      <c r="AB486" s="543"/>
      <c r="AC486" s="543"/>
      <c r="AD486" s="543"/>
      <c r="AE486" s="543"/>
      <c r="AF486" s="543"/>
      <c r="AG486" s="543"/>
      <c r="AH486" s="543"/>
      <c r="AI486" s="543"/>
      <c r="AJ486" s="543"/>
      <c r="AK486" s="543"/>
      <c r="AL486" s="543"/>
      <c r="AM486" s="543"/>
      <c r="AN486" s="1323"/>
      <c r="AO486" s="543"/>
      <c r="AP486" s="543"/>
      <c r="AQ486" s="543"/>
      <c r="AR486" s="1323"/>
      <c r="AS486" s="543"/>
      <c r="AT486" s="543"/>
      <c r="AU486" s="543"/>
      <c r="AV486" s="543"/>
      <c r="AW486" s="543"/>
      <c r="AX486" s="543"/>
      <c r="AY486" s="543"/>
      <c r="AZ486" s="543"/>
      <c r="BA486" s="543"/>
      <c r="BB486" s="543"/>
      <c r="BC486" s="543"/>
      <c r="BD486" s="543"/>
      <c r="BE486" s="543"/>
      <c r="BF486" s="543"/>
      <c r="BG486" s="543"/>
      <c r="BH486" s="543"/>
      <c r="BI486" s="543"/>
      <c r="BJ486" s="543"/>
      <c r="BK486" s="543"/>
      <c r="BL486" s="543"/>
      <c r="BM486" s="543"/>
      <c r="BN486" s="543"/>
      <c r="BO486" s="543"/>
    </row>
    <row r="487" spans="3:67">
      <c r="C487" s="544"/>
      <c r="D487" s="545"/>
      <c r="E487" s="545"/>
      <c r="F487" s="545"/>
      <c r="G487" s="545"/>
      <c r="H487" s="544"/>
      <c r="I487" s="545"/>
      <c r="J487" s="545"/>
      <c r="K487" s="545"/>
      <c r="L487" s="545"/>
      <c r="M487" s="544"/>
      <c r="N487" s="545"/>
      <c r="O487" s="545"/>
      <c r="P487" s="545"/>
      <c r="Q487" s="545"/>
      <c r="R487" s="544"/>
      <c r="S487" s="545"/>
      <c r="T487" s="545"/>
      <c r="U487" s="545"/>
      <c r="V487" s="545"/>
      <c r="W487" s="544"/>
      <c r="X487" s="545"/>
      <c r="Y487" s="545"/>
      <c r="Z487" s="545"/>
      <c r="AA487" s="545"/>
      <c r="AB487" s="544"/>
      <c r="AC487" s="545"/>
      <c r="AD487" s="545"/>
      <c r="AE487" s="545"/>
      <c r="AF487" s="545"/>
      <c r="AG487" s="544"/>
      <c r="AH487" s="545"/>
      <c r="AI487" s="545"/>
      <c r="AJ487" s="545"/>
      <c r="AK487" s="545"/>
      <c r="AL487" s="544"/>
      <c r="AM487" s="545"/>
      <c r="AN487" s="1324"/>
      <c r="AO487" s="545"/>
      <c r="AP487" s="545"/>
      <c r="AQ487" s="544"/>
      <c r="AR487" s="1324"/>
      <c r="AS487" s="545"/>
      <c r="AT487" s="545"/>
      <c r="AU487" s="545"/>
      <c r="AV487" s="544"/>
      <c r="AW487" s="545"/>
      <c r="AX487" s="545"/>
      <c r="AY487" s="545"/>
      <c r="AZ487" s="545"/>
      <c r="BA487" s="544"/>
      <c r="BB487" s="545"/>
      <c r="BC487" s="545"/>
      <c r="BD487" s="545"/>
      <c r="BE487" s="545"/>
      <c r="BF487" s="544"/>
      <c r="BG487" s="545"/>
      <c r="BH487" s="545"/>
      <c r="BI487" s="545"/>
      <c r="BJ487" s="545"/>
      <c r="BK487" s="544"/>
      <c r="BL487" s="545"/>
      <c r="BM487" s="545"/>
      <c r="BN487" s="545"/>
      <c r="BO487" s="545"/>
    </row>
    <row r="488" spans="3:67">
      <c r="C488" s="544"/>
      <c r="D488" s="545"/>
      <c r="E488" s="545"/>
      <c r="F488" s="545"/>
      <c r="G488" s="545"/>
      <c r="H488" s="544"/>
      <c r="I488" s="545"/>
      <c r="J488" s="545"/>
      <c r="K488" s="545"/>
      <c r="L488" s="545"/>
      <c r="M488" s="544"/>
      <c r="N488" s="545"/>
      <c r="O488" s="545"/>
      <c r="P488" s="545"/>
      <c r="Q488" s="545"/>
      <c r="R488" s="544"/>
      <c r="S488" s="545"/>
      <c r="T488" s="545"/>
      <c r="U488" s="545"/>
      <c r="V488" s="545"/>
      <c r="W488" s="544"/>
      <c r="X488" s="545"/>
      <c r="Y488" s="545"/>
      <c r="Z488" s="545"/>
      <c r="AA488" s="545"/>
      <c r="AB488" s="544"/>
      <c r="AC488" s="545"/>
      <c r="AD488" s="545"/>
      <c r="AE488" s="545"/>
      <c r="AF488" s="545"/>
      <c r="AG488" s="544"/>
      <c r="AH488" s="545"/>
      <c r="AI488" s="545"/>
      <c r="AJ488" s="545"/>
      <c r="AK488" s="545"/>
      <c r="AL488" s="544"/>
      <c r="AM488" s="545"/>
      <c r="AN488" s="1324"/>
      <c r="AO488" s="545"/>
      <c r="AP488" s="545"/>
      <c r="AQ488" s="544"/>
      <c r="AR488" s="1324"/>
      <c r="AS488" s="545"/>
      <c r="AT488" s="545"/>
      <c r="AU488" s="545"/>
      <c r="AV488" s="544"/>
      <c r="AW488" s="545"/>
      <c r="AX488" s="545"/>
      <c r="AY488" s="545"/>
      <c r="AZ488" s="545"/>
      <c r="BA488" s="544"/>
      <c r="BB488" s="545"/>
      <c r="BC488" s="545"/>
      <c r="BD488" s="545"/>
      <c r="BE488" s="545"/>
      <c r="BF488" s="544"/>
      <c r="BG488" s="545"/>
      <c r="BH488" s="545"/>
      <c r="BI488" s="545"/>
      <c r="BJ488" s="545"/>
      <c r="BK488" s="544"/>
      <c r="BL488" s="545"/>
      <c r="BM488" s="545"/>
      <c r="BN488" s="545"/>
      <c r="BO488" s="545"/>
    </row>
    <row r="489" spans="3:67">
      <c r="C489" s="490"/>
      <c r="D489" s="490"/>
      <c r="E489" s="490"/>
      <c r="F489" s="490"/>
      <c r="G489" s="490"/>
      <c r="H489" s="490"/>
      <c r="I489" s="490"/>
      <c r="J489" s="490"/>
      <c r="K489" s="490"/>
      <c r="L489" s="490"/>
      <c r="M489" s="490"/>
      <c r="N489" s="490"/>
      <c r="O489" s="490"/>
      <c r="P489" s="490"/>
      <c r="Q489" s="490"/>
      <c r="R489" s="490"/>
      <c r="S489" s="490"/>
      <c r="T489" s="490"/>
      <c r="U489" s="490"/>
      <c r="V489" s="490"/>
      <c r="W489" s="490"/>
      <c r="X489" s="490"/>
      <c r="Y489" s="490"/>
      <c r="Z489" s="490"/>
      <c r="AA489" s="490"/>
      <c r="AB489" s="490"/>
      <c r="AC489" s="490"/>
      <c r="AD489" s="490"/>
      <c r="AE489" s="490"/>
      <c r="AF489" s="490"/>
      <c r="AG489" s="490"/>
      <c r="AH489" s="490"/>
      <c r="AI489" s="490"/>
      <c r="AJ489" s="490"/>
      <c r="AK489" s="490"/>
      <c r="AL489" s="490"/>
      <c r="AM489" s="490"/>
      <c r="AN489" s="1298"/>
      <c r="AO489" s="490"/>
      <c r="AP489" s="490"/>
      <c r="AQ489" s="490"/>
      <c r="AR489" s="1298"/>
      <c r="AS489" s="490"/>
      <c r="AT489" s="490"/>
      <c r="AU489" s="490"/>
      <c r="AV489" s="490"/>
      <c r="AW489" s="490"/>
      <c r="AX489" s="490"/>
      <c r="AY489" s="490"/>
      <c r="AZ489" s="490"/>
      <c r="BA489" s="490"/>
      <c r="BB489" s="490"/>
      <c r="BC489" s="490"/>
      <c r="BD489" s="490"/>
      <c r="BE489" s="490"/>
      <c r="BF489" s="490"/>
      <c r="BG489" s="490"/>
      <c r="BH489" s="490"/>
      <c r="BI489" s="490"/>
      <c r="BJ489" s="490"/>
      <c r="BK489" s="490"/>
      <c r="BL489" s="490"/>
      <c r="BM489" s="490"/>
      <c r="BN489" s="490"/>
      <c r="BO489" s="490"/>
    </row>
    <row r="490" spans="3:67">
      <c r="C490" s="488"/>
      <c r="D490" s="488"/>
      <c r="E490" s="488"/>
      <c r="F490" s="488"/>
      <c r="G490" s="488"/>
      <c r="H490" s="488"/>
      <c r="I490" s="488"/>
      <c r="J490" s="488"/>
      <c r="K490" s="488"/>
      <c r="L490" s="488"/>
      <c r="M490" s="488"/>
      <c r="N490" s="488"/>
      <c r="O490" s="488"/>
      <c r="P490" s="488"/>
      <c r="Q490" s="488"/>
      <c r="R490" s="488"/>
      <c r="S490" s="488"/>
      <c r="T490" s="488"/>
      <c r="U490" s="488"/>
      <c r="V490" s="488"/>
      <c r="W490" s="488"/>
      <c r="X490" s="488"/>
      <c r="Y490" s="488"/>
      <c r="Z490" s="488"/>
      <c r="AA490" s="488"/>
      <c r="AB490" s="488"/>
      <c r="AC490" s="488"/>
      <c r="AD490" s="488"/>
      <c r="AE490" s="488"/>
      <c r="AF490" s="488"/>
      <c r="AG490" s="488"/>
      <c r="AH490" s="488"/>
      <c r="AI490" s="488"/>
      <c r="AJ490" s="488"/>
      <c r="AK490" s="488"/>
      <c r="AL490" s="488"/>
      <c r="AM490" s="488"/>
      <c r="AN490" s="1325"/>
      <c r="AO490" s="488"/>
      <c r="AP490" s="488"/>
      <c r="AQ490" s="488"/>
      <c r="AR490" s="1325"/>
      <c r="AS490" s="488"/>
      <c r="AT490" s="488"/>
      <c r="AU490" s="488"/>
      <c r="AV490" s="488"/>
      <c r="AW490" s="488"/>
      <c r="AX490" s="488"/>
      <c r="AY490" s="488"/>
      <c r="AZ490" s="488"/>
      <c r="BA490" s="488"/>
      <c r="BB490" s="488"/>
      <c r="BC490" s="488"/>
      <c r="BD490" s="488"/>
      <c r="BE490" s="488"/>
      <c r="BF490" s="488"/>
      <c r="BG490" s="488"/>
      <c r="BH490" s="488"/>
      <c r="BI490" s="488"/>
      <c r="BJ490" s="488"/>
      <c r="BK490" s="488"/>
      <c r="BL490" s="488"/>
      <c r="BM490" s="488"/>
      <c r="BN490" s="488"/>
      <c r="BO490" s="488"/>
    </row>
    <row r="491" spans="3:67">
      <c r="C491" s="486"/>
      <c r="D491" s="486"/>
      <c r="E491" s="486"/>
      <c r="F491" s="486"/>
      <c r="G491" s="486"/>
      <c r="H491" s="486"/>
      <c r="I491" s="486"/>
      <c r="J491" s="486"/>
      <c r="K491" s="486"/>
      <c r="L491" s="486"/>
      <c r="M491" s="486"/>
      <c r="N491" s="486"/>
      <c r="O491" s="486"/>
      <c r="P491" s="486"/>
      <c r="Q491" s="486"/>
      <c r="R491" s="486"/>
      <c r="S491" s="486"/>
      <c r="T491" s="486"/>
      <c r="U491" s="486"/>
      <c r="V491" s="486"/>
      <c r="W491" s="486"/>
      <c r="X491" s="486"/>
      <c r="Y491" s="486"/>
      <c r="Z491" s="486"/>
      <c r="AA491" s="486"/>
      <c r="AB491" s="486"/>
      <c r="AC491" s="486"/>
      <c r="AD491" s="486"/>
      <c r="AE491" s="486"/>
      <c r="AF491" s="486"/>
      <c r="AG491" s="486"/>
      <c r="AH491" s="486"/>
      <c r="AI491" s="486"/>
      <c r="AJ491" s="486"/>
      <c r="AK491" s="486"/>
      <c r="AL491" s="486"/>
      <c r="AM491" s="486"/>
      <c r="AN491" s="1326"/>
      <c r="AO491" s="486"/>
      <c r="AP491" s="486"/>
      <c r="AQ491" s="486"/>
      <c r="AR491" s="1326"/>
      <c r="AS491" s="486"/>
      <c r="AT491" s="486"/>
      <c r="AU491" s="486"/>
      <c r="AV491" s="486"/>
      <c r="AW491" s="486"/>
      <c r="AX491" s="486"/>
      <c r="AY491" s="486"/>
      <c r="AZ491" s="486"/>
      <c r="BA491" s="486"/>
      <c r="BB491" s="486"/>
      <c r="BC491" s="486"/>
      <c r="BD491" s="486"/>
      <c r="BE491" s="486"/>
      <c r="BF491" s="486"/>
      <c r="BG491" s="486"/>
      <c r="BH491" s="486"/>
      <c r="BI491" s="486"/>
      <c r="BJ491" s="486"/>
      <c r="BK491" s="486"/>
      <c r="BL491" s="486"/>
      <c r="BM491" s="486"/>
      <c r="BN491" s="486"/>
      <c r="BO491" s="486"/>
    </row>
    <row r="492" spans="3:67">
      <c r="C492" s="490"/>
      <c r="D492" s="490"/>
      <c r="E492" s="490"/>
      <c r="F492" s="490"/>
      <c r="G492" s="490"/>
      <c r="H492" s="490"/>
      <c r="I492" s="490"/>
      <c r="J492" s="490"/>
      <c r="K492" s="490"/>
      <c r="L492" s="490"/>
      <c r="M492" s="490"/>
      <c r="N492" s="490"/>
      <c r="O492" s="490"/>
      <c r="P492" s="490"/>
      <c r="Q492" s="490"/>
      <c r="R492" s="490"/>
      <c r="S492" s="490"/>
      <c r="T492" s="490"/>
      <c r="U492" s="490"/>
      <c r="V492" s="490"/>
      <c r="W492" s="490"/>
      <c r="X492" s="490"/>
      <c r="Y492" s="490"/>
      <c r="Z492" s="490"/>
      <c r="AA492" s="490"/>
      <c r="AB492" s="490"/>
      <c r="AC492" s="490"/>
      <c r="AD492" s="490"/>
      <c r="AE492" s="490"/>
      <c r="AF492" s="490"/>
      <c r="AG492" s="490"/>
      <c r="AH492" s="490"/>
      <c r="AI492" s="490"/>
      <c r="AJ492" s="490"/>
      <c r="AK492" s="490"/>
      <c r="AL492" s="490"/>
      <c r="AM492" s="490"/>
      <c r="AN492" s="1298"/>
      <c r="AO492" s="490"/>
      <c r="AP492" s="490"/>
      <c r="AQ492" s="490"/>
      <c r="AR492" s="1298"/>
      <c r="AS492" s="490"/>
      <c r="AT492" s="490"/>
      <c r="AU492" s="490"/>
      <c r="AV492" s="490"/>
      <c r="AW492" s="490"/>
      <c r="AX492" s="490"/>
      <c r="AY492" s="490"/>
      <c r="AZ492" s="490"/>
      <c r="BA492" s="490"/>
      <c r="BB492" s="490"/>
      <c r="BC492" s="490"/>
      <c r="BD492" s="490"/>
      <c r="BE492" s="490"/>
      <c r="BF492" s="490"/>
      <c r="BG492" s="490"/>
      <c r="BH492" s="490"/>
      <c r="BI492" s="490"/>
      <c r="BJ492" s="490"/>
      <c r="BK492" s="490"/>
      <c r="BL492" s="490"/>
      <c r="BM492" s="490"/>
      <c r="BN492" s="490"/>
      <c r="BO492" s="490"/>
    </row>
    <row r="493" spans="3:67">
      <c r="C493" s="394"/>
      <c r="D493" s="394"/>
      <c r="E493" s="394"/>
      <c r="F493" s="394"/>
      <c r="G493" s="394"/>
      <c r="H493" s="394"/>
      <c r="I493" s="394"/>
      <c r="J493" s="394"/>
      <c r="K493" s="394"/>
      <c r="L493" s="394"/>
      <c r="M493" s="394"/>
      <c r="N493" s="394"/>
      <c r="O493" s="394"/>
      <c r="P493" s="394"/>
      <c r="Q493" s="394"/>
      <c r="R493" s="394"/>
      <c r="S493" s="394"/>
      <c r="T493" s="394"/>
      <c r="U493" s="394"/>
      <c r="V493" s="394"/>
      <c r="W493" s="394"/>
      <c r="X493" s="394"/>
      <c r="Y493" s="394"/>
      <c r="Z493" s="394"/>
      <c r="AA493" s="394"/>
      <c r="AB493" s="394"/>
      <c r="AC493" s="394"/>
      <c r="AD493" s="394"/>
      <c r="AE493" s="394"/>
      <c r="AF493" s="394"/>
      <c r="AG493" s="394"/>
      <c r="AH493" s="394"/>
      <c r="AI493" s="394"/>
      <c r="AJ493" s="394"/>
      <c r="AK493" s="394"/>
      <c r="AL493" s="394"/>
      <c r="AM493" s="394"/>
      <c r="AN493" s="1317"/>
      <c r="AO493" s="394"/>
      <c r="AP493" s="394"/>
      <c r="AQ493" s="394"/>
      <c r="AR493" s="1317"/>
      <c r="AS493" s="394"/>
      <c r="AT493" s="394"/>
      <c r="AU493" s="394"/>
      <c r="AV493" s="394"/>
      <c r="AW493" s="394"/>
      <c r="AX493" s="394"/>
      <c r="AY493" s="394"/>
      <c r="AZ493" s="394"/>
      <c r="BA493" s="394"/>
      <c r="BB493" s="394"/>
      <c r="BC493" s="394"/>
      <c r="BD493" s="394"/>
      <c r="BE493" s="394"/>
      <c r="BF493" s="394"/>
      <c r="BG493" s="394"/>
      <c r="BH493" s="394"/>
      <c r="BI493" s="394"/>
      <c r="BJ493" s="394"/>
      <c r="BK493" s="394"/>
      <c r="BL493" s="394"/>
      <c r="BM493" s="394"/>
      <c r="BN493" s="394"/>
      <c r="BO493" s="394"/>
    </row>
    <row r="494" spans="3:67">
      <c r="C494" s="490"/>
      <c r="D494" s="490"/>
      <c r="E494" s="490"/>
      <c r="F494" s="490"/>
      <c r="G494" s="490"/>
      <c r="H494" s="490"/>
      <c r="I494" s="490"/>
      <c r="J494" s="490"/>
      <c r="K494" s="490"/>
      <c r="L494" s="490"/>
      <c r="M494" s="490"/>
      <c r="N494" s="490"/>
      <c r="O494" s="490"/>
      <c r="P494" s="490"/>
      <c r="Q494" s="490"/>
      <c r="R494" s="490"/>
      <c r="S494" s="490"/>
      <c r="T494" s="490"/>
      <c r="U494" s="490"/>
      <c r="V494" s="490"/>
      <c r="W494" s="490"/>
      <c r="X494" s="490"/>
      <c r="Y494" s="490"/>
      <c r="Z494" s="490"/>
      <c r="AA494" s="490"/>
      <c r="AB494" s="490"/>
      <c r="AC494" s="490"/>
      <c r="AD494" s="490"/>
      <c r="AE494" s="490"/>
      <c r="AF494" s="490"/>
      <c r="AG494" s="490"/>
      <c r="AH494" s="490"/>
      <c r="AI494" s="490"/>
      <c r="AJ494" s="490"/>
      <c r="AK494" s="490"/>
      <c r="AL494" s="490"/>
      <c r="AM494" s="490"/>
      <c r="AN494" s="1298"/>
      <c r="AO494" s="490"/>
      <c r="AP494" s="490"/>
      <c r="AQ494" s="490"/>
      <c r="AR494" s="1298"/>
      <c r="AS494" s="490"/>
      <c r="AT494" s="490"/>
      <c r="AU494" s="490"/>
      <c r="AV494" s="490"/>
      <c r="AW494" s="490"/>
      <c r="AX494" s="490"/>
      <c r="AY494" s="490"/>
      <c r="AZ494" s="490"/>
      <c r="BA494" s="490"/>
      <c r="BB494" s="490"/>
      <c r="BC494" s="490"/>
      <c r="BD494" s="490"/>
      <c r="BE494" s="490"/>
      <c r="BF494" s="490"/>
      <c r="BG494" s="490"/>
      <c r="BH494" s="490"/>
      <c r="BI494" s="490"/>
      <c r="BJ494" s="490"/>
      <c r="BK494" s="490"/>
      <c r="BL494" s="490"/>
      <c r="BM494" s="490"/>
      <c r="BN494" s="490"/>
      <c r="BO494" s="490"/>
    </row>
    <row r="495" spans="3:67">
      <c r="C495" s="490"/>
      <c r="D495" s="490"/>
      <c r="E495" s="490"/>
      <c r="F495" s="490"/>
      <c r="G495" s="490"/>
      <c r="H495" s="490"/>
      <c r="I495" s="490"/>
      <c r="J495" s="490"/>
      <c r="K495" s="490"/>
      <c r="L495" s="490"/>
      <c r="M495" s="490"/>
      <c r="N495" s="490"/>
      <c r="O495" s="490"/>
      <c r="P495" s="490"/>
      <c r="Q495" s="490"/>
      <c r="R495" s="490"/>
      <c r="S495" s="490"/>
      <c r="T495" s="490"/>
      <c r="U495" s="490"/>
      <c r="V495" s="490"/>
      <c r="W495" s="490"/>
      <c r="X495" s="490"/>
      <c r="Y495" s="490"/>
      <c r="Z495" s="490"/>
      <c r="AA495" s="490"/>
      <c r="AB495" s="490"/>
      <c r="AC495" s="490"/>
      <c r="AD495" s="490"/>
      <c r="AE495" s="490"/>
      <c r="AF495" s="490"/>
      <c r="AG495" s="490"/>
      <c r="AH495" s="490"/>
      <c r="AI495" s="490"/>
      <c r="AJ495" s="490"/>
      <c r="AK495" s="490"/>
      <c r="AL495" s="490"/>
      <c r="AM495" s="490"/>
      <c r="AN495" s="1298"/>
      <c r="AO495" s="490"/>
      <c r="AP495" s="490"/>
      <c r="AQ495" s="490"/>
      <c r="AR495" s="1298"/>
      <c r="AS495" s="490"/>
      <c r="AT495" s="490"/>
      <c r="AU495" s="490"/>
      <c r="AV495" s="490"/>
      <c r="AW495" s="490"/>
      <c r="AX495" s="490"/>
      <c r="AY495" s="490"/>
      <c r="AZ495" s="490"/>
      <c r="BA495" s="490"/>
      <c r="BB495" s="490"/>
      <c r="BC495" s="490"/>
      <c r="BD495" s="490"/>
      <c r="BE495" s="490"/>
      <c r="BF495" s="490"/>
      <c r="BG495" s="490"/>
      <c r="BH495" s="490"/>
      <c r="BI495" s="490"/>
      <c r="BJ495" s="490"/>
      <c r="BK495" s="490"/>
      <c r="BL495" s="490"/>
      <c r="BM495" s="490"/>
      <c r="BN495" s="490"/>
      <c r="BO495" s="490"/>
    </row>
    <row r="496" spans="3:67">
      <c r="C496" s="490"/>
      <c r="D496" s="490"/>
      <c r="E496" s="490"/>
      <c r="F496" s="490"/>
      <c r="G496" s="490"/>
      <c r="H496" s="490"/>
      <c r="I496" s="490"/>
      <c r="J496" s="490"/>
      <c r="K496" s="490"/>
      <c r="L496" s="490"/>
      <c r="M496" s="490"/>
      <c r="N496" s="490"/>
      <c r="O496" s="490"/>
      <c r="P496" s="490"/>
      <c r="Q496" s="490"/>
      <c r="R496" s="490"/>
      <c r="S496" s="490"/>
      <c r="T496" s="490"/>
      <c r="U496" s="490"/>
      <c r="V496" s="490"/>
      <c r="W496" s="490"/>
      <c r="X496" s="490"/>
      <c r="Y496" s="490"/>
      <c r="Z496" s="490"/>
      <c r="AA496" s="490"/>
      <c r="AB496" s="490"/>
      <c r="AC496" s="490"/>
      <c r="AD496" s="490"/>
      <c r="AE496" s="490"/>
      <c r="AF496" s="490"/>
      <c r="AG496" s="490"/>
      <c r="AH496" s="490"/>
      <c r="AI496" s="490"/>
      <c r="AJ496" s="490"/>
      <c r="AK496" s="490"/>
      <c r="AL496" s="490"/>
      <c r="AM496" s="490"/>
      <c r="AN496" s="1298"/>
      <c r="AO496" s="490"/>
      <c r="AP496" s="490"/>
      <c r="AQ496" s="490"/>
      <c r="AR496" s="1298"/>
      <c r="AS496" s="490"/>
      <c r="AT496" s="490"/>
      <c r="AU496" s="490"/>
      <c r="AV496" s="490"/>
      <c r="AW496" s="490"/>
      <c r="AX496" s="490"/>
      <c r="AY496" s="490"/>
      <c r="AZ496" s="490"/>
      <c r="BA496" s="490"/>
      <c r="BB496" s="490"/>
      <c r="BC496" s="490"/>
      <c r="BD496" s="490"/>
      <c r="BE496" s="490"/>
      <c r="BF496" s="490"/>
      <c r="BG496" s="490"/>
      <c r="BH496" s="490"/>
      <c r="BI496" s="490"/>
      <c r="BJ496" s="490"/>
      <c r="BK496" s="490"/>
      <c r="BL496" s="490"/>
      <c r="BM496" s="490"/>
      <c r="BN496" s="490"/>
      <c r="BO496" s="490"/>
    </row>
    <row r="497" spans="3:67">
      <c r="C497" s="490"/>
      <c r="D497" s="490"/>
      <c r="E497" s="490"/>
      <c r="F497" s="490"/>
      <c r="G497" s="490"/>
      <c r="H497" s="490"/>
      <c r="I497" s="490"/>
      <c r="J497" s="490"/>
      <c r="K497" s="490"/>
      <c r="L497" s="490"/>
      <c r="M497" s="490"/>
      <c r="N497" s="490"/>
      <c r="O497" s="490"/>
      <c r="P497" s="490"/>
      <c r="Q497" s="490"/>
      <c r="R497" s="490"/>
      <c r="S497" s="490"/>
      <c r="T497" s="490"/>
      <c r="U497" s="490"/>
      <c r="V497" s="490"/>
      <c r="W497" s="490"/>
      <c r="X497" s="490"/>
      <c r="Y497" s="490"/>
      <c r="Z497" s="490"/>
      <c r="AA497" s="490"/>
      <c r="AB497" s="490"/>
      <c r="AC497" s="490"/>
      <c r="AD497" s="490"/>
      <c r="AE497" s="490"/>
      <c r="AF497" s="490"/>
      <c r="AG497" s="490"/>
      <c r="AH497" s="490"/>
      <c r="AI497" s="490"/>
      <c r="AJ497" s="490"/>
      <c r="AK497" s="490"/>
      <c r="AL497" s="490"/>
      <c r="AM497" s="490"/>
      <c r="AN497" s="1298"/>
      <c r="AO497" s="490"/>
      <c r="AP497" s="490"/>
      <c r="AQ497" s="490"/>
      <c r="AR497" s="1298"/>
      <c r="AS497" s="490"/>
      <c r="AT497" s="490"/>
      <c r="AU497" s="490"/>
      <c r="AV497" s="490"/>
      <c r="AW497" s="490"/>
      <c r="AX497" s="490"/>
      <c r="AY497" s="490"/>
      <c r="AZ497" s="490"/>
      <c r="BA497" s="490"/>
      <c r="BB497" s="490"/>
      <c r="BC497" s="490"/>
      <c r="BD497" s="490"/>
      <c r="BE497" s="490"/>
      <c r="BF497" s="490"/>
      <c r="BG497" s="490"/>
      <c r="BH497" s="490"/>
      <c r="BI497" s="490"/>
      <c r="BJ497" s="490"/>
      <c r="BK497" s="490"/>
      <c r="BL497" s="490"/>
      <c r="BM497" s="490"/>
      <c r="BN497" s="490"/>
      <c r="BO497" s="490"/>
    </row>
    <row r="498" spans="3:67">
      <c r="C498" s="490"/>
      <c r="D498" s="490"/>
      <c r="E498" s="490"/>
      <c r="F498" s="490"/>
      <c r="G498" s="490"/>
      <c r="H498" s="490"/>
      <c r="I498" s="490"/>
      <c r="J498" s="490"/>
      <c r="K498" s="490"/>
      <c r="L498" s="490"/>
      <c r="M498" s="490"/>
      <c r="N498" s="490"/>
      <c r="O498" s="490"/>
      <c r="P498" s="490"/>
      <c r="Q498" s="490"/>
      <c r="R498" s="490"/>
      <c r="S498" s="490"/>
      <c r="T498" s="490"/>
      <c r="U498" s="490"/>
      <c r="V498" s="490"/>
      <c r="W498" s="490"/>
      <c r="X498" s="490"/>
      <c r="Y498" s="490"/>
      <c r="Z498" s="490"/>
      <c r="AA498" s="490"/>
      <c r="AB498" s="490"/>
      <c r="AC498" s="490"/>
      <c r="AD498" s="490"/>
      <c r="AE498" s="490"/>
      <c r="AF498" s="490"/>
      <c r="AG498" s="490"/>
      <c r="AH498" s="490"/>
      <c r="AI498" s="490"/>
      <c r="AJ498" s="490"/>
      <c r="AK498" s="490"/>
      <c r="AL498" s="490"/>
      <c r="AM498" s="490"/>
      <c r="AN498" s="1298"/>
      <c r="AO498" s="490"/>
      <c r="AP498" s="490"/>
      <c r="AQ498" s="490"/>
      <c r="AR498" s="1298"/>
      <c r="AS498" s="490"/>
      <c r="AT498" s="490"/>
      <c r="AU498" s="490"/>
      <c r="AV498" s="490"/>
      <c r="AW498" s="490"/>
      <c r="AX498" s="490"/>
      <c r="AY498" s="490"/>
      <c r="AZ498" s="490"/>
      <c r="BA498" s="490"/>
      <c r="BB498" s="490"/>
      <c r="BC498" s="490"/>
      <c r="BD498" s="490"/>
      <c r="BE498" s="490"/>
      <c r="BF498" s="490"/>
      <c r="BG498" s="490"/>
      <c r="BH498" s="490"/>
      <c r="BI498" s="490"/>
      <c r="BJ498" s="490"/>
      <c r="BK498" s="490"/>
      <c r="BL498" s="490"/>
      <c r="BM498" s="490"/>
      <c r="BN498" s="490"/>
      <c r="BO498" s="490"/>
    </row>
    <row r="499" spans="3:67">
      <c r="C499" s="490"/>
      <c r="D499" s="490"/>
      <c r="E499" s="490"/>
      <c r="F499" s="490"/>
      <c r="G499" s="490"/>
      <c r="H499" s="490"/>
      <c r="I499" s="490"/>
      <c r="J499" s="490"/>
      <c r="K499" s="490"/>
      <c r="L499" s="490"/>
      <c r="M499" s="490"/>
      <c r="N499" s="490"/>
      <c r="O499" s="490"/>
      <c r="P499" s="490"/>
      <c r="Q499" s="490"/>
      <c r="R499" s="490"/>
      <c r="S499" s="490"/>
      <c r="T499" s="490"/>
      <c r="U499" s="490"/>
      <c r="V499" s="490"/>
      <c r="W499" s="490"/>
      <c r="X499" s="490"/>
      <c r="Y499" s="490"/>
      <c r="Z499" s="490"/>
      <c r="AA499" s="490"/>
      <c r="AB499" s="490"/>
      <c r="AC499" s="490"/>
      <c r="AD499" s="490"/>
      <c r="AE499" s="490"/>
      <c r="AF499" s="490"/>
      <c r="AG499" s="490"/>
      <c r="AH499" s="490"/>
      <c r="AI499" s="490"/>
      <c r="AJ499" s="490"/>
      <c r="AK499" s="490"/>
      <c r="AL499" s="490"/>
      <c r="AM499" s="490"/>
      <c r="AN499" s="1298"/>
      <c r="AO499" s="490"/>
      <c r="AP499" s="490"/>
      <c r="AQ499" s="490"/>
      <c r="AR499" s="1298"/>
      <c r="AS499" s="490"/>
      <c r="AT499" s="490"/>
      <c r="AU499" s="490"/>
      <c r="AV499" s="490"/>
      <c r="AW499" s="490"/>
      <c r="AX499" s="490"/>
      <c r="AY499" s="490"/>
      <c r="AZ499" s="490"/>
      <c r="BA499" s="490"/>
      <c r="BB499" s="490"/>
      <c r="BC499" s="490"/>
      <c r="BD499" s="490"/>
      <c r="BE499" s="490"/>
      <c r="BF499" s="490"/>
      <c r="BG499" s="490"/>
      <c r="BH499" s="490"/>
      <c r="BI499" s="490"/>
      <c r="BJ499" s="490"/>
      <c r="BK499" s="490"/>
      <c r="BL499" s="490"/>
      <c r="BM499" s="490"/>
      <c r="BN499" s="490"/>
      <c r="BO499" s="490"/>
    </row>
    <row r="500" spans="3:67">
      <c r="C500" s="546"/>
      <c r="D500" s="546"/>
      <c r="E500" s="546"/>
      <c r="F500" s="546"/>
      <c r="G500" s="546"/>
      <c r="H500" s="546"/>
      <c r="I500" s="546"/>
      <c r="J500" s="546"/>
      <c r="K500" s="546"/>
      <c r="L500" s="546"/>
      <c r="M500" s="546"/>
      <c r="N500" s="546"/>
      <c r="O500" s="546"/>
      <c r="P500" s="546"/>
      <c r="Q500" s="546"/>
      <c r="R500" s="546"/>
      <c r="S500" s="546"/>
      <c r="T500" s="546"/>
      <c r="U500" s="546"/>
      <c r="V500" s="546"/>
      <c r="W500" s="546"/>
      <c r="X500" s="546"/>
      <c r="Y500" s="546"/>
      <c r="Z500" s="546"/>
      <c r="AA500" s="546"/>
      <c r="AB500" s="546"/>
      <c r="AC500" s="546"/>
      <c r="AD500" s="546"/>
      <c r="AE500" s="546"/>
      <c r="AF500" s="546"/>
      <c r="AG500" s="546"/>
      <c r="AH500" s="546"/>
      <c r="AI500" s="546"/>
      <c r="AJ500" s="546"/>
      <c r="AK500" s="546"/>
      <c r="AL500" s="546"/>
      <c r="AM500" s="546"/>
      <c r="AN500" s="1327"/>
      <c r="AO500" s="546"/>
      <c r="AP500" s="546"/>
      <c r="AQ500" s="546"/>
      <c r="AR500" s="1327"/>
      <c r="AS500" s="546"/>
      <c r="AT500" s="546"/>
      <c r="AU500" s="546"/>
      <c r="AV500" s="546"/>
      <c r="AW500" s="546"/>
      <c r="AX500" s="546"/>
      <c r="AY500" s="546"/>
      <c r="AZ500" s="546"/>
      <c r="BA500" s="546"/>
      <c r="BB500" s="546"/>
      <c r="BC500" s="546"/>
      <c r="BD500" s="546"/>
      <c r="BE500" s="546"/>
      <c r="BF500" s="546"/>
      <c r="BG500" s="546"/>
      <c r="BH500" s="546"/>
      <c r="BI500" s="546"/>
      <c r="BJ500" s="546"/>
      <c r="BK500" s="546"/>
      <c r="BL500" s="546"/>
      <c r="BM500" s="546"/>
      <c r="BN500" s="546"/>
      <c r="BO500" s="546"/>
    </row>
    <row r="501" spans="3:67">
      <c r="C501" s="394"/>
      <c r="D501" s="394"/>
      <c r="E501" s="394"/>
      <c r="F501" s="394"/>
      <c r="G501" s="394"/>
      <c r="H501" s="394"/>
      <c r="I501" s="394"/>
      <c r="J501" s="394"/>
      <c r="K501" s="394"/>
      <c r="L501" s="394"/>
      <c r="M501" s="394"/>
      <c r="N501" s="394"/>
      <c r="O501" s="394"/>
      <c r="P501" s="394"/>
      <c r="Q501" s="394"/>
      <c r="R501" s="394"/>
      <c r="S501" s="394"/>
      <c r="T501" s="394"/>
      <c r="U501" s="394"/>
      <c r="V501" s="394"/>
      <c r="W501" s="394"/>
      <c r="X501" s="394"/>
      <c r="Y501" s="394"/>
      <c r="Z501" s="394"/>
      <c r="AA501" s="394"/>
      <c r="AB501" s="394"/>
      <c r="AC501" s="394"/>
      <c r="AD501" s="394"/>
      <c r="AE501" s="394"/>
      <c r="AF501" s="394"/>
      <c r="AG501" s="394"/>
      <c r="AH501" s="394"/>
      <c r="AI501" s="394"/>
      <c r="AJ501" s="394"/>
      <c r="AK501" s="394"/>
      <c r="AL501" s="394"/>
      <c r="AM501" s="394"/>
      <c r="AN501" s="1317"/>
      <c r="AO501" s="394"/>
      <c r="AP501" s="394"/>
      <c r="AQ501" s="394"/>
      <c r="AR501" s="1317"/>
      <c r="AS501" s="394"/>
      <c r="AT501" s="394"/>
      <c r="AU501" s="394"/>
      <c r="AV501" s="394"/>
      <c r="AW501" s="394"/>
      <c r="AX501" s="394"/>
      <c r="AY501" s="394"/>
      <c r="AZ501" s="394"/>
      <c r="BA501" s="394"/>
      <c r="BB501" s="394"/>
      <c r="BC501" s="394"/>
      <c r="BD501" s="394"/>
      <c r="BE501" s="394"/>
      <c r="BF501" s="394"/>
      <c r="BG501" s="394"/>
      <c r="BH501" s="394"/>
      <c r="BI501" s="394"/>
      <c r="BJ501" s="394"/>
      <c r="BK501" s="394"/>
      <c r="BL501" s="394"/>
      <c r="BM501" s="394"/>
      <c r="BN501" s="394"/>
      <c r="BO501" s="394"/>
    </row>
    <row r="502" spans="3:67">
      <c r="C502" s="394"/>
      <c r="D502" s="394"/>
      <c r="E502" s="394"/>
      <c r="F502" s="394"/>
      <c r="G502" s="394"/>
      <c r="H502" s="394"/>
      <c r="I502" s="394"/>
      <c r="J502" s="394"/>
      <c r="K502" s="394"/>
      <c r="L502" s="394"/>
      <c r="M502" s="394"/>
      <c r="N502" s="394"/>
      <c r="O502" s="394"/>
      <c r="P502" s="394"/>
      <c r="Q502" s="394"/>
      <c r="R502" s="394"/>
      <c r="S502" s="394"/>
      <c r="T502" s="394"/>
      <c r="U502" s="394"/>
      <c r="V502" s="394"/>
      <c r="W502" s="394"/>
      <c r="X502" s="394"/>
      <c r="Y502" s="394"/>
      <c r="Z502" s="394"/>
      <c r="AA502" s="394"/>
      <c r="AB502" s="394"/>
      <c r="AC502" s="394"/>
      <c r="AD502" s="394"/>
      <c r="AE502" s="394"/>
      <c r="AF502" s="394"/>
      <c r="AG502" s="394"/>
      <c r="AH502" s="394"/>
      <c r="AI502" s="394"/>
      <c r="AJ502" s="394"/>
      <c r="AK502" s="394"/>
      <c r="AL502" s="394"/>
      <c r="AM502" s="394"/>
      <c r="AN502" s="1317"/>
      <c r="AO502" s="394"/>
      <c r="AP502" s="394"/>
      <c r="AQ502" s="394"/>
      <c r="AR502" s="1317"/>
      <c r="AS502" s="394"/>
      <c r="AT502" s="394"/>
      <c r="AU502" s="394"/>
      <c r="AV502" s="394"/>
      <c r="AW502" s="394"/>
      <c r="AX502" s="394"/>
      <c r="AY502" s="394"/>
      <c r="AZ502" s="394"/>
      <c r="BA502" s="394"/>
      <c r="BB502" s="394"/>
      <c r="BC502" s="394"/>
      <c r="BD502" s="394"/>
      <c r="BE502" s="394"/>
      <c r="BF502" s="394"/>
      <c r="BG502" s="394"/>
      <c r="BH502" s="394"/>
      <c r="BI502" s="394"/>
      <c r="BJ502" s="394"/>
      <c r="BK502" s="394"/>
      <c r="BL502" s="394"/>
      <c r="BM502" s="394"/>
      <c r="BN502" s="394"/>
      <c r="BO502" s="394"/>
    </row>
    <row r="503" spans="3:67">
      <c r="C503" s="546"/>
      <c r="D503" s="546"/>
      <c r="E503" s="546"/>
      <c r="F503" s="546"/>
      <c r="G503" s="546"/>
      <c r="H503" s="546"/>
      <c r="I503" s="546"/>
      <c r="J503" s="546"/>
      <c r="K503" s="546"/>
      <c r="L503" s="546"/>
      <c r="M503" s="546"/>
      <c r="N503" s="546"/>
      <c r="O503" s="546"/>
      <c r="P503" s="546"/>
      <c r="Q503" s="546"/>
      <c r="R503" s="546"/>
      <c r="S503" s="546"/>
      <c r="T503" s="546"/>
      <c r="U503" s="546"/>
      <c r="V503" s="546"/>
      <c r="W503" s="546"/>
      <c r="X503" s="546"/>
      <c r="Y503" s="546"/>
      <c r="Z503" s="546"/>
      <c r="AA503" s="546"/>
      <c r="AB503" s="546"/>
      <c r="AC503" s="546"/>
      <c r="AD503" s="546"/>
      <c r="AE503" s="546"/>
      <c r="AF503" s="546"/>
      <c r="AG503" s="546"/>
      <c r="AH503" s="546"/>
      <c r="AI503" s="546"/>
      <c r="AJ503" s="546"/>
      <c r="AK503" s="546"/>
      <c r="AL503" s="546"/>
      <c r="AM503" s="546"/>
      <c r="AN503" s="1327"/>
      <c r="AO503" s="546"/>
      <c r="AP503" s="546"/>
      <c r="AQ503" s="546"/>
      <c r="AR503" s="1327"/>
      <c r="AS503" s="546"/>
      <c r="AT503" s="546"/>
      <c r="AU503" s="546"/>
      <c r="AV503" s="546"/>
      <c r="AW503" s="546"/>
      <c r="AX503" s="546"/>
      <c r="AY503" s="546"/>
      <c r="AZ503" s="546"/>
      <c r="BA503" s="546"/>
      <c r="BB503" s="546"/>
      <c r="BC503" s="546"/>
      <c r="BD503" s="546"/>
      <c r="BE503" s="546"/>
      <c r="BF503" s="546"/>
      <c r="BG503" s="546"/>
      <c r="BH503" s="546"/>
      <c r="BI503" s="546"/>
      <c r="BJ503" s="546"/>
      <c r="BK503" s="546"/>
      <c r="BL503" s="546"/>
      <c r="BM503" s="546"/>
      <c r="BN503" s="546"/>
      <c r="BO503" s="546"/>
    </row>
    <row r="504" spans="3:67">
      <c r="C504" s="546"/>
      <c r="D504" s="546"/>
      <c r="E504" s="546"/>
      <c r="F504" s="546"/>
      <c r="G504" s="546"/>
      <c r="H504" s="546"/>
      <c r="I504" s="546"/>
      <c r="J504" s="546"/>
      <c r="K504" s="546"/>
      <c r="L504" s="546"/>
      <c r="M504" s="546"/>
      <c r="N504" s="546"/>
      <c r="O504" s="546"/>
      <c r="P504" s="546"/>
      <c r="Q504" s="546"/>
      <c r="R504" s="546"/>
      <c r="S504" s="546"/>
      <c r="T504" s="546"/>
      <c r="U504" s="546"/>
      <c r="V504" s="546"/>
      <c r="W504" s="546"/>
      <c r="X504" s="546"/>
      <c r="Y504" s="546"/>
      <c r="Z504" s="546"/>
      <c r="AA504" s="546"/>
      <c r="AB504" s="546"/>
      <c r="AC504" s="546"/>
      <c r="AD504" s="546"/>
      <c r="AE504" s="546"/>
      <c r="AF504" s="546"/>
      <c r="AG504" s="546"/>
      <c r="AH504" s="546"/>
      <c r="AI504" s="546"/>
      <c r="AJ504" s="546"/>
      <c r="AK504" s="546"/>
      <c r="AL504" s="546"/>
      <c r="AM504" s="546"/>
      <c r="AN504" s="1327"/>
      <c r="AO504" s="546"/>
      <c r="AP504" s="546"/>
      <c r="AQ504" s="546"/>
      <c r="AR504" s="1327"/>
      <c r="AS504" s="546"/>
      <c r="AT504" s="546"/>
      <c r="AU504" s="546"/>
      <c r="AV504" s="546"/>
      <c r="AW504" s="546"/>
      <c r="AX504" s="546"/>
      <c r="AY504" s="546"/>
      <c r="AZ504" s="546"/>
      <c r="BA504" s="546"/>
      <c r="BB504" s="546"/>
      <c r="BC504" s="546"/>
      <c r="BD504" s="546"/>
      <c r="BE504" s="546"/>
      <c r="BF504" s="546"/>
      <c r="BG504" s="546"/>
      <c r="BH504" s="546"/>
      <c r="BI504" s="546"/>
      <c r="BJ504" s="546"/>
      <c r="BK504" s="546"/>
      <c r="BL504" s="546"/>
      <c r="BM504" s="546"/>
      <c r="BN504" s="546"/>
      <c r="BO504" s="546"/>
    </row>
    <row r="505" spans="3:67">
      <c r="C505" s="490"/>
      <c r="D505" s="490"/>
      <c r="E505" s="490"/>
      <c r="F505" s="490"/>
      <c r="G505" s="490"/>
      <c r="H505" s="490"/>
      <c r="I505" s="490"/>
      <c r="J505" s="490"/>
      <c r="K505" s="490"/>
      <c r="L505" s="490"/>
      <c r="M505" s="490"/>
      <c r="N505" s="490"/>
      <c r="O505" s="490"/>
      <c r="P505" s="490"/>
      <c r="Q505" s="490"/>
      <c r="R505" s="490"/>
      <c r="S505" s="490"/>
      <c r="T505" s="490"/>
      <c r="U505" s="490"/>
      <c r="V505" s="490"/>
      <c r="W505" s="490"/>
      <c r="X505" s="490"/>
      <c r="Y505" s="490"/>
      <c r="Z505" s="490"/>
      <c r="AA505" s="490"/>
      <c r="AB505" s="490"/>
      <c r="AC505" s="490"/>
      <c r="AD505" s="490"/>
      <c r="AE505" s="490"/>
      <c r="AF505" s="490"/>
      <c r="AG505" s="490"/>
      <c r="AH505" s="490"/>
      <c r="AI505" s="490"/>
      <c r="AJ505" s="490"/>
      <c r="AK505" s="490"/>
      <c r="AL505" s="490"/>
      <c r="AM505" s="490"/>
      <c r="AN505" s="1298"/>
      <c r="AO505" s="490"/>
      <c r="AP505" s="490"/>
      <c r="AQ505" s="490"/>
      <c r="AR505" s="1298"/>
      <c r="AS505" s="490"/>
      <c r="AT505" s="490"/>
      <c r="AU505" s="490"/>
      <c r="AV505" s="490"/>
      <c r="AW505" s="490"/>
      <c r="AX505" s="490"/>
      <c r="AY505" s="490"/>
      <c r="AZ505" s="490"/>
      <c r="BA505" s="490"/>
      <c r="BB505" s="490"/>
      <c r="BC505" s="490"/>
      <c r="BD505" s="490"/>
      <c r="BE505" s="490"/>
      <c r="BF505" s="490"/>
      <c r="BG505" s="490"/>
      <c r="BH505" s="490"/>
      <c r="BI505" s="490"/>
      <c r="BJ505" s="490"/>
      <c r="BK505" s="490"/>
      <c r="BL505" s="490"/>
      <c r="BM505" s="490"/>
      <c r="BN505" s="490"/>
      <c r="BO505" s="490"/>
    </row>
    <row r="506" spans="3:67">
      <c r="C506" s="490"/>
      <c r="D506" s="490"/>
      <c r="E506" s="490"/>
      <c r="F506" s="490"/>
      <c r="G506" s="490"/>
      <c r="H506" s="490"/>
      <c r="I506" s="490"/>
      <c r="J506" s="490"/>
      <c r="K506" s="490"/>
      <c r="L506" s="490"/>
      <c r="M506" s="490"/>
      <c r="N506" s="490"/>
      <c r="O506" s="490"/>
      <c r="P506" s="490"/>
      <c r="Q506" s="490"/>
      <c r="R506" s="490"/>
      <c r="S506" s="490"/>
      <c r="T506" s="490"/>
      <c r="U506" s="490"/>
      <c r="V506" s="490"/>
      <c r="W506" s="490"/>
      <c r="X506" s="490"/>
      <c r="Y506" s="490"/>
      <c r="Z506" s="490"/>
      <c r="AA506" s="490"/>
      <c r="AB506" s="490"/>
      <c r="AC506" s="490"/>
      <c r="AD506" s="490"/>
      <c r="AE506" s="490"/>
      <c r="AF506" s="490"/>
      <c r="AG506" s="490"/>
      <c r="AH506" s="490"/>
      <c r="AI506" s="490"/>
      <c r="AJ506" s="490"/>
      <c r="AK506" s="490"/>
      <c r="AL506" s="490"/>
      <c r="AM506" s="490"/>
      <c r="AN506" s="1298"/>
      <c r="AO506" s="490"/>
      <c r="AP506" s="490"/>
      <c r="AQ506" s="490"/>
      <c r="AR506" s="1298"/>
      <c r="AS506" s="490"/>
      <c r="AT506" s="490"/>
      <c r="AU506" s="490"/>
      <c r="AV506" s="490"/>
      <c r="AW506" s="490"/>
      <c r="AX506" s="490"/>
      <c r="AY506" s="490"/>
      <c r="AZ506" s="490"/>
      <c r="BA506" s="490"/>
      <c r="BB506" s="490"/>
      <c r="BC506" s="490"/>
      <c r="BD506" s="490"/>
      <c r="BE506" s="490"/>
      <c r="BF506" s="490"/>
      <c r="BG506" s="490"/>
      <c r="BH506" s="490"/>
      <c r="BI506" s="490"/>
      <c r="BJ506" s="490"/>
      <c r="BK506" s="490"/>
      <c r="BL506" s="490"/>
      <c r="BM506" s="490"/>
      <c r="BN506" s="490"/>
      <c r="BO506" s="490"/>
    </row>
    <row r="507" spans="3:67">
      <c r="C507" s="490"/>
      <c r="D507" s="490"/>
      <c r="E507" s="490"/>
      <c r="F507" s="490"/>
      <c r="G507" s="490"/>
      <c r="H507" s="490"/>
      <c r="I507" s="490"/>
      <c r="J507" s="490"/>
      <c r="K507" s="490"/>
      <c r="L507" s="490"/>
      <c r="M507" s="490"/>
      <c r="N507" s="490"/>
      <c r="O507" s="490"/>
      <c r="P507" s="490"/>
      <c r="Q507" s="490"/>
      <c r="R507" s="490"/>
      <c r="S507" s="490"/>
      <c r="T507" s="490"/>
      <c r="U507" s="490"/>
      <c r="V507" s="490"/>
      <c r="W507" s="490"/>
      <c r="X507" s="490"/>
      <c r="Y507" s="490"/>
      <c r="Z507" s="490"/>
      <c r="AA507" s="490"/>
      <c r="AB507" s="490"/>
      <c r="AC507" s="490"/>
      <c r="AD507" s="490"/>
      <c r="AE507" s="490"/>
      <c r="AF507" s="490"/>
      <c r="AG507" s="490"/>
      <c r="AH507" s="490"/>
      <c r="AI507" s="490"/>
      <c r="AJ507" s="490"/>
      <c r="AK507" s="490"/>
      <c r="AL507" s="490"/>
      <c r="AM507" s="490"/>
      <c r="AN507" s="1298"/>
      <c r="AO507" s="490"/>
      <c r="AP507" s="490"/>
      <c r="AQ507" s="490"/>
      <c r="AR507" s="1298"/>
      <c r="AS507" s="490"/>
      <c r="AT507" s="490"/>
      <c r="AU507" s="490"/>
      <c r="AV507" s="490"/>
      <c r="AW507" s="490"/>
      <c r="AX507" s="490"/>
      <c r="AY507" s="490"/>
      <c r="AZ507" s="490"/>
      <c r="BA507" s="490"/>
      <c r="BB507" s="490"/>
      <c r="BC507" s="490"/>
      <c r="BD507" s="490"/>
      <c r="BE507" s="490"/>
      <c r="BF507" s="490"/>
      <c r="BG507" s="490"/>
      <c r="BH507" s="490"/>
      <c r="BI507" s="490"/>
      <c r="BJ507" s="490"/>
      <c r="BK507" s="490"/>
      <c r="BL507" s="490"/>
      <c r="BM507" s="490"/>
      <c r="BN507" s="490"/>
      <c r="BO507" s="490"/>
    </row>
    <row r="508" spans="3:67">
      <c r="C508" s="394"/>
      <c r="D508" s="394"/>
      <c r="E508" s="394"/>
      <c r="F508" s="394"/>
      <c r="G508" s="394"/>
      <c r="H508" s="394"/>
      <c r="I508" s="394"/>
      <c r="J508" s="394"/>
      <c r="K508" s="394"/>
      <c r="L508" s="394"/>
      <c r="M508" s="394"/>
      <c r="N508" s="394"/>
      <c r="O508" s="394"/>
      <c r="P508" s="394"/>
      <c r="Q508" s="394"/>
      <c r="R508" s="394"/>
      <c r="S508" s="394"/>
      <c r="T508" s="394"/>
      <c r="U508" s="394"/>
      <c r="V508" s="394"/>
      <c r="W508" s="394"/>
      <c r="X508" s="394"/>
      <c r="Y508" s="394"/>
      <c r="Z508" s="394"/>
      <c r="AA508" s="394"/>
      <c r="AB508" s="394"/>
      <c r="AC508" s="394"/>
      <c r="AD508" s="394"/>
      <c r="AE508" s="394"/>
      <c r="AF508" s="394"/>
      <c r="AG508" s="394"/>
      <c r="AH508" s="394"/>
      <c r="AI508" s="394"/>
      <c r="AJ508" s="394"/>
      <c r="AK508" s="394"/>
      <c r="AL508" s="394"/>
      <c r="AM508" s="394"/>
      <c r="AN508" s="1317"/>
      <c r="AO508" s="394"/>
      <c r="AP508" s="394"/>
      <c r="AQ508" s="394"/>
      <c r="AR508" s="1317"/>
      <c r="AS508" s="394"/>
      <c r="AT508" s="394"/>
      <c r="AU508" s="394"/>
      <c r="AV508" s="394"/>
      <c r="AW508" s="394"/>
      <c r="AX508" s="394"/>
      <c r="AY508" s="394"/>
      <c r="AZ508" s="394"/>
      <c r="BA508" s="394"/>
      <c r="BB508" s="394"/>
      <c r="BC508" s="394"/>
      <c r="BD508" s="394"/>
      <c r="BE508" s="394"/>
      <c r="BF508" s="394"/>
      <c r="BG508" s="394"/>
      <c r="BH508" s="394"/>
      <c r="BI508" s="394"/>
      <c r="BJ508" s="394"/>
      <c r="BK508" s="394"/>
      <c r="BL508" s="394"/>
      <c r="BM508" s="394"/>
      <c r="BN508" s="394"/>
      <c r="BO508" s="394"/>
    </row>
    <row r="509" spans="3:67">
      <c r="C509" s="547"/>
      <c r="D509" s="394"/>
      <c r="E509" s="394"/>
      <c r="F509" s="394"/>
      <c r="G509" s="394"/>
      <c r="H509" s="547"/>
      <c r="I509" s="394"/>
      <c r="J509" s="394"/>
      <c r="K509" s="394"/>
      <c r="L509" s="394"/>
      <c r="M509" s="547"/>
      <c r="N509" s="394"/>
      <c r="O509" s="394"/>
      <c r="P509" s="394"/>
      <c r="Q509" s="394"/>
      <c r="R509" s="547"/>
      <c r="S509" s="394"/>
      <c r="T509" s="394"/>
      <c r="U509" s="394"/>
      <c r="V509" s="394"/>
      <c r="W509" s="547"/>
      <c r="X509" s="394"/>
      <c r="Y509" s="394"/>
      <c r="Z509" s="394"/>
      <c r="AA509" s="394"/>
      <c r="AB509" s="547"/>
      <c r="AC509" s="394"/>
      <c r="AD509" s="394"/>
      <c r="AE509" s="394"/>
      <c r="AF509" s="394"/>
      <c r="AG509" s="547"/>
      <c r="AH509" s="394"/>
      <c r="AI509" s="394"/>
      <c r="AJ509" s="394"/>
      <c r="AK509" s="394"/>
      <c r="AL509" s="547"/>
      <c r="AM509" s="394"/>
      <c r="AN509" s="1317"/>
      <c r="AO509" s="394"/>
      <c r="AP509" s="394"/>
      <c r="AQ509" s="547"/>
      <c r="AR509" s="1317"/>
      <c r="AS509" s="394"/>
      <c r="AT509" s="394"/>
      <c r="AU509" s="394"/>
      <c r="AV509" s="547"/>
      <c r="AW509" s="394"/>
      <c r="AX509" s="394"/>
      <c r="AY509" s="394"/>
      <c r="AZ509" s="394"/>
      <c r="BA509" s="547"/>
      <c r="BB509" s="394"/>
      <c r="BC509" s="394"/>
      <c r="BD509" s="394"/>
      <c r="BE509" s="394"/>
      <c r="BF509" s="547"/>
      <c r="BG509" s="394"/>
      <c r="BH509" s="394"/>
      <c r="BI509" s="394"/>
      <c r="BJ509" s="394"/>
      <c r="BK509" s="547"/>
      <c r="BL509" s="394"/>
      <c r="BM509" s="394"/>
      <c r="BN509" s="394"/>
      <c r="BO509" s="394"/>
    </row>
    <row r="510" spans="3:67">
      <c r="C510" s="394"/>
      <c r="D510" s="394"/>
      <c r="E510" s="394"/>
      <c r="F510" s="394"/>
      <c r="G510" s="394"/>
      <c r="H510" s="394"/>
      <c r="I510" s="394"/>
      <c r="J510" s="394"/>
      <c r="K510" s="394"/>
      <c r="L510" s="394"/>
      <c r="M510" s="394"/>
      <c r="N510" s="394"/>
      <c r="O510" s="394"/>
      <c r="P510" s="394"/>
      <c r="Q510" s="394"/>
      <c r="R510" s="394"/>
      <c r="S510" s="394"/>
      <c r="T510" s="394"/>
      <c r="U510" s="394"/>
      <c r="V510" s="394"/>
      <c r="W510" s="394"/>
      <c r="X510" s="394"/>
      <c r="Y510" s="394"/>
      <c r="Z510" s="394"/>
      <c r="AA510" s="394"/>
      <c r="AB510" s="394"/>
      <c r="AC510" s="394"/>
      <c r="AD510" s="394"/>
      <c r="AE510" s="394"/>
      <c r="AF510" s="394"/>
      <c r="AG510" s="394"/>
      <c r="AH510" s="394"/>
      <c r="AI510" s="394"/>
      <c r="AJ510" s="394"/>
      <c r="AK510" s="394"/>
      <c r="AL510" s="394"/>
      <c r="AM510" s="394"/>
      <c r="AN510" s="1317"/>
      <c r="AO510" s="394"/>
      <c r="AP510" s="394"/>
      <c r="AQ510" s="394"/>
      <c r="AR510" s="1317"/>
      <c r="AS510" s="394"/>
      <c r="AT510" s="394"/>
      <c r="AU510" s="394"/>
      <c r="AV510" s="394"/>
      <c r="AW510" s="394"/>
      <c r="AX510" s="394"/>
      <c r="AY510" s="394"/>
      <c r="AZ510" s="394"/>
      <c r="BA510" s="394"/>
      <c r="BB510" s="394"/>
      <c r="BC510" s="394"/>
      <c r="BD510" s="394"/>
      <c r="BE510" s="394"/>
      <c r="BF510" s="394"/>
      <c r="BG510" s="394"/>
      <c r="BH510" s="394"/>
      <c r="BI510" s="394"/>
      <c r="BJ510" s="394"/>
      <c r="BK510" s="394"/>
      <c r="BL510" s="394"/>
      <c r="BM510" s="394"/>
      <c r="BN510" s="394"/>
      <c r="BO510" s="394"/>
    </row>
    <row r="511" spans="3:67">
      <c r="C511" s="548"/>
      <c r="D511" s="543"/>
      <c r="E511" s="543"/>
      <c r="F511" s="543"/>
      <c r="G511" s="543"/>
      <c r="H511" s="548"/>
      <c r="I511" s="543"/>
      <c r="J511" s="543"/>
      <c r="K511" s="543"/>
      <c r="L511" s="543"/>
      <c r="M511" s="548"/>
      <c r="N511" s="543"/>
      <c r="O511" s="543"/>
      <c r="P511" s="543"/>
      <c r="Q511" s="543"/>
      <c r="R511" s="548"/>
      <c r="S511" s="543"/>
      <c r="T511" s="543"/>
      <c r="U511" s="543"/>
      <c r="V511" s="543"/>
      <c r="W511" s="548"/>
      <c r="X511" s="543"/>
      <c r="Y511" s="543"/>
      <c r="Z511" s="543"/>
      <c r="AA511" s="543"/>
      <c r="AB511" s="548"/>
      <c r="AC511" s="543"/>
      <c r="AD511" s="543"/>
      <c r="AE511" s="543"/>
      <c r="AF511" s="543"/>
      <c r="AG511" s="548"/>
      <c r="AH511" s="543"/>
      <c r="AI511" s="543"/>
      <c r="AJ511" s="543"/>
      <c r="AK511" s="543"/>
      <c r="AL511" s="548"/>
      <c r="AM511" s="543"/>
      <c r="AN511" s="1323"/>
      <c r="AO511" s="543"/>
      <c r="AP511" s="543"/>
      <c r="AQ511" s="548"/>
      <c r="AR511" s="1323"/>
      <c r="AS511" s="543"/>
      <c r="AT511" s="543"/>
      <c r="AU511" s="543"/>
      <c r="AV511" s="548"/>
      <c r="AW511" s="543"/>
      <c r="AX511" s="543"/>
      <c r="AY511" s="543"/>
      <c r="AZ511" s="543"/>
      <c r="BA511" s="548"/>
      <c r="BB511" s="543"/>
      <c r="BC511" s="543"/>
      <c r="BD511" s="543"/>
      <c r="BE511" s="543"/>
      <c r="BF511" s="548"/>
      <c r="BG511" s="543"/>
      <c r="BH511" s="543"/>
      <c r="BI511" s="543"/>
      <c r="BJ511" s="543"/>
      <c r="BK511" s="548"/>
      <c r="BL511" s="543"/>
      <c r="BM511" s="543"/>
      <c r="BN511" s="543"/>
      <c r="BO511" s="543"/>
    </row>
    <row r="512" spans="3:67">
      <c r="C512" s="547"/>
      <c r="D512" s="394"/>
      <c r="E512" s="394"/>
      <c r="F512" s="394"/>
      <c r="G512" s="394"/>
      <c r="H512" s="547"/>
      <c r="I512" s="394"/>
      <c r="J512" s="394"/>
      <c r="K512" s="394"/>
      <c r="L512" s="394"/>
      <c r="M512" s="547"/>
      <c r="N512" s="394"/>
      <c r="O512" s="394"/>
      <c r="P512" s="394"/>
      <c r="Q512" s="394"/>
      <c r="R512" s="547"/>
      <c r="S512" s="394"/>
      <c r="T512" s="394"/>
      <c r="U512" s="394"/>
      <c r="V512" s="394"/>
      <c r="W512" s="547"/>
      <c r="X512" s="394"/>
      <c r="Y512" s="394"/>
      <c r="Z512" s="394"/>
      <c r="AA512" s="394"/>
      <c r="AB512" s="547"/>
      <c r="AC512" s="394"/>
      <c r="AD512" s="394"/>
      <c r="AE512" s="394"/>
      <c r="AF512" s="394"/>
      <c r="AG512" s="547"/>
      <c r="AH512" s="394"/>
      <c r="AI512" s="394"/>
      <c r="AJ512" s="394"/>
      <c r="AK512" s="394"/>
      <c r="AL512" s="547"/>
      <c r="AM512" s="394"/>
      <c r="AN512" s="1317"/>
      <c r="AO512" s="394"/>
      <c r="AP512" s="394"/>
      <c r="AQ512" s="547"/>
      <c r="AR512" s="1317"/>
      <c r="AS512" s="394"/>
      <c r="AT512" s="394"/>
      <c r="AU512" s="394"/>
      <c r="AV512" s="547"/>
      <c r="AW512" s="394"/>
      <c r="AX512" s="394"/>
      <c r="AY512" s="394"/>
      <c r="AZ512" s="394"/>
      <c r="BA512" s="547"/>
      <c r="BB512" s="394"/>
      <c r="BC512" s="394"/>
      <c r="BD512" s="394"/>
      <c r="BE512" s="394"/>
      <c r="BF512" s="547"/>
      <c r="BG512" s="394"/>
      <c r="BH512" s="394"/>
      <c r="BI512" s="394"/>
      <c r="BJ512" s="394"/>
      <c r="BK512" s="547"/>
      <c r="BL512" s="394"/>
      <c r="BM512" s="394"/>
      <c r="BN512" s="394"/>
      <c r="BO512" s="394"/>
    </row>
    <row r="513" spans="3:67">
      <c r="C513" s="547"/>
      <c r="D513" s="394"/>
      <c r="E513" s="394"/>
      <c r="F513" s="394"/>
      <c r="G513" s="394"/>
      <c r="H513" s="547"/>
      <c r="I513" s="394"/>
      <c r="J513" s="394"/>
      <c r="K513" s="394"/>
      <c r="L513" s="394"/>
      <c r="M513" s="547"/>
      <c r="N513" s="394"/>
      <c r="O513" s="394"/>
      <c r="P513" s="394"/>
      <c r="Q513" s="394"/>
      <c r="R513" s="547"/>
      <c r="S513" s="394"/>
      <c r="T513" s="394"/>
      <c r="U513" s="394"/>
      <c r="V513" s="394"/>
      <c r="W513" s="547"/>
      <c r="X513" s="394"/>
      <c r="Y513" s="394"/>
      <c r="Z513" s="394"/>
      <c r="AA513" s="394"/>
      <c r="AB513" s="547"/>
      <c r="AC513" s="394"/>
      <c r="AD513" s="394"/>
      <c r="AE513" s="394"/>
      <c r="AF513" s="394"/>
      <c r="AG513" s="547"/>
      <c r="AH513" s="394"/>
      <c r="AI513" s="394"/>
      <c r="AJ513" s="394"/>
      <c r="AK513" s="394"/>
      <c r="AL513" s="547"/>
      <c r="AM513" s="394"/>
      <c r="AN513" s="1317"/>
      <c r="AO513" s="394"/>
      <c r="AP513" s="394"/>
      <c r="AQ513" s="547"/>
      <c r="AR513" s="1317"/>
      <c r="AS513" s="394"/>
      <c r="AT513" s="394"/>
      <c r="AU513" s="394"/>
      <c r="AV513" s="547"/>
      <c r="AW513" s="394"/>
      <c r="AX513" s="394"/>
      <c r="AY513" s="394"/>
      <c r="AZ513" s="394"/>
      <c r="BA513" s="547"/>
      <c r="BB513" s="394"/>
      <c r="BC513" s="394"/>
      <c r="BD513" s="394"/>
      <c r="BE513" s="394"/>
      <c r="BF513" s="547"/>
      <c r="BG513" s="394"/>
      <c r="BH513" s="394"/>
      <c r="BI513" s="394"/>
      <c r="BJ513" s="394"/>
      <c r="BK513" s="547"/>
      <c r="BL513" s="394"/>
      <c r="BM513" s="394"/>
      <c r="BN513" s="394"/>
      <c r="BO513" s="394"/>
    </row>
    <row r="514" spans="3:67">
      <c r="C514" s="394"/>
      <c r="D514" s="394"/>
      <c r="E514" s="394"/>
      <c r="F514" s="394"/>
      <c r="G514" s="394"/>
      <c r="H514" s="394"/>
      <c r="I514" s="394"/>
      <c r="J514" s="394"/>
      <c r="K514" s="394"/>
      <c r="L514" s="394"/>
      <c r="M514" s="394"/>
      <c r="N514" s="394"/>
      <c r="O514" s="394"/>
      <c r="P514" s="394"/>
      <c r="Q514" s="394"/>
      <c r="R514" s="394"/>
      <c r="S514" s="394"/>
      <c r="T514" s="394"/>
      <c r="U514" s="394"/>
      <c r="V514" s="394"/>
      <c r="W514" s="394"/>
      <c r="X514" s="394"/>
      <c r="Y514" s="394"/>
      <c r="Z514" s="394"/>
      <c r="AA514" s="394"/>
      <c r="AB514" s="394"/>
      <c r="AC514" s="394"/>
      <c r="AD514" s="394"/>
      <c r="AE514" s="394"/>
      <c r="AF514" s="394"/>
      <c r="AG514" s="394"/>
      <c r="AH514" s="394"/>
      <c r="AI514" s="394"/>
      <c r="AJ514" s="394"/>
      <c r="AK514" s="394"/>
      <c r="AL514" s="394"/>
      <c r="AM514" s="394"/>
      <c r="AN514" s="1317"/>
      <c r="AO514" s="394"/>
      <c r="AP514" s="394"/>
      <c r="AQ514" s="394"/>
      <c r="AR514" s="1317"/>
      <c r="AS514" s="394"/>
      <c r="AT514" s="394"/>
      <c r="AU514" s="394"/>
      <c r="AV514" s="394"/>
      <c r="AW514" s="394"/>
      <c r="AX514" s="394"/>
      <c r="AY514" s="394"/>
      <c r="AZ514" s="394"/>
      <c r="BA514" s="394"/>
      <c r="BB514" s="394"/>
      <c r="BC514" s="394"/>
      <c r="BD514" s="394"/>
      <c r="BE514" s="394"/>
      <c r="BF514" s="394"/>
      <c r="BG514" s="394"/>
      <c r="BH514" s="394"/>
      <c r="BI514" s="394"/>
      <c r="BJ514" s="394"/>
      <c r="BK514" s="394"/>
      <c r="BL514" s="394"/>
      <c r="BM514" s="394"/>
      <c r="BN514" s="394"/>
      <c r="BO514" s="394"/>
    </row>
    <row r="515" spans="3:67"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  <c r="P515" s="394"/>
      <c r="Q515" s="394"/>
      <c r="R515" s="394"/>
      <c r="S515" s="394"/>
      <c r="T515" s="394"/>
      <c r="U515" s="394"/>
      <c r="V515" s="394"/>
      <c r="W515" s="394"/>
      <c r="X515" s="394"/>
      <c r="Y515" s="394"/>
      <c r="Z515" s="394"/>
      <c r="AA515" s="394"/>
      <c r="AB515" s="394"/>
      <c r="AC515" s="394"/>
      <c r="AD515" s="394"/>
      <c r="AE515" s="394"/>
      <c r="AF515" s="394"/>
      <c r="AG515" s="394"/>
      <c r="AH515" s="394"/>
      <c r="AI515" s="394"/>
      <c r="AJ515" s="394"/>
      <c r="AK515" s="394"/>
      <c r="AL515" s="394"/>
      <c r="AM515" s="394"/>
      <c r="AN515" s="1317"/>
      <c r="AO515" s="394"/>
      <c r="AP515" s="394"/>
      <c r="AQ515" s="394"/>
      <c r="AR515" s="1317"/>
      <c r="AS515" s="394"/>
      <c r="AT515" s="394"/>
      <c r="AU515" s="394"/>
      <c r="AV515" s="394"/>
      <c r="AW515" s="394"/>
      <c r="AX515" s="394"/>
      <c r="AY515" s="394"/>
      <c r="AZ515" s="394"/>
      <c r="BA515" s="394"/>
      <c r="BB515" s="394"/>
      <c r="BC515" s="394"/>
      <c r="BD515" s="394"/>
      <c r="BE515" s="394"/>
      <c r="BF515" s="394"/>
      <c r="BG515" s="394"/>
      <c r="BH515" s="394"/>
      <c r="BI515" s="394"/>
      <c r="BJ515" s="394"/>
      <c r="BK515" s="394"/>
      <c r="BL515" s="394"/>
      <c r="BM515" s="394"/>
      <c r="BN515" s="394"/>
      <c r="BO515" s="394"/>
    </row>
    <row r="516" spans="3:67">
      <c r="C516" s="394"/>
      <c r="D516" s="394"/>
      <c r="E516" s="394"/>
      <c r="F516" s="394"/>
      <c r="G516" s="394"/>
      <c r="H516" s="394"/>
      <c r="I516" s="394"/>
      <c r="J516" s="394"/>
      <c r="K516" s="394"/>
      <c r="L516" s="394"/>
      <c r="M516" s="394"/>
      <c r="N516" s="394"/>
      <c r="O516" s="394"/>
      <c r="P516" s="394"/>
      <c r="Q516" s="394"/>
      <c r="R516" s="394"/>
      <c r="S516" s="394"/>
      <c r="T516" s="394"/>
      <c r="U516" s="394"/>
      <c r="V516" s="394"/>
      <c r="W516" s="394"/>
      <c r="X516" s="394"/>
      <c r="Y516" s="394"/>
      <c r="Z516" s="394"/>
      <c r="AA516" s="394"/>
      <c r="AB516" s="394"/>
      <c r="AC516" s="394"/>
      <c r="AD516" s="394"/>
      <c r="AE516" s="394"/>
      <c r="AF516" s="394"/>
      <c r="AG516" s="394"/>
      <c r="AH516" s="394"/>
      <c r="AI516" s="394"/>
      <c r="AJ516" s="394"/>
      <c r="AK516" s="394"/>
      <c r="AL516" s="394"/>
      <c r="AM516" s="394"/>
      <c r="AN516" s="1317"/>
      <c r="AO516" s="394"/>
      <c r="AP516" s="394"/>
      <c r="AQ516" s="394"/>
      <c r="AR516" s="1317"/>
      <c r="AS516" s="394"/>
      <c r="AT516" s="394"/>
      <c r="AU516" s="394"/>
      <c r="AV516" s="394"/>
      <c r="AW516" s="394"/>
      <c r="AX516" s="394"/>
      <c r="AY516" s="394"/>
      <c r="AZ516" s="394"/>
      <c r="BA516" s="394"/>
      <c r="BB516" s="394"/>
      <c r="BC516" s="394"/>
      <c r="BD516" s="394"/>
      <c r="BE516" s="394"/>
      <c r="BF516" s="394"/>
      <c r="BG516" s="394"/>
      <c r="BH516" s="394"/>
      <c r="BI516" s="394"/>
      <c r="BJ516" s="394"/>
      <c r="BK516" s="394"/>
      <c r="BL516" s="394"/>
      <c r="BM516" s="394"/>
      <c r="BN516" s="394"/>
      <c r="BO516" s="394"/>
    </row>
    <row r="517" spans="3:67">
      <c r="C517" s="490"/>
      <c r="D517" s="394"/>
      <c r="E517" s="394"/>
      <c r="F517" s="394"/>
      <c r="G517" s="394"/>
      <c r="H517" s="490"/>
      <c r="I517" s="394"/>
      <c r="J517" s="394"/>
      <c r="K517" s="394"/>
      <c r="L517" s="394"/>
      <c r="M517" s="490"/>
      <c r="N517" s="394"/>
      <c r="O517" s="394"/>
      <c r="P517" s="394"/>
      <c r="Q517" s="394"/>
      <c r="R517" s="490"/>
      <c r="S517" s="394"/>
      <c r="T517" s="394"/>
      <c r="U517" s="394"/>
      <c r="V517" s="394"/>
      <c r="W517" s="490"/>
      <c r="X517" s="394"/>
      <c r="Y517" s="394"/>
      <c r="Z517" s="394"/>
      <c r="AA517" s="394"/>
      <c r="AB517" s="490"/>
      <c r="AC517" s="394"/>
      <c r="AD517" s="394"/>
      <c r="AE517" s="394"/>
      <c r="AF517" s="394"/>
      <c r="AG517" s="490"/>
      <c r="AH517" s="394"/>
      <c r="AI517" s="394"/>
      <c r="AJ517" s="394"/>
      <c r="AK517" s="394"/>
      <c r="AL517" s="490"/>
      <c r="AM517" s="394"/>
      <c r="AN517" s="1317"/>
      <c r="AO517" s="394"/>
      <c r="AP517" s="394"/>
      <c r="AQ517" s="490"/>
      <c r="AR517" s="1317"/>
      <c r="AS517" s="394"/>
      <c r="AT517" s="394"/>
      <c r="AU517" s="394"/>
      <c r="AV517" s="490"/>
      <c r="AW517" s="394"/>
      <c r="AX517" s="394"/>
      <c r="AY517" s="394"/>
      <c r="AZ517" s="394"/>
      <c r="BA517" s="490"/>
      <c r="BB517" s="394"/>
      <c r="BC517" s="394"/>
      <c r="BD517" s="394"/>
      <c r="BE517" s="394"/>
      <c r="BF517" s="490"/>
      <c r="BG517" s="394"/>
      <c r="BH517" s="394"/>
      <c r="BI517" s="394"/>
      <c r="BJ517" s="394"/>
      <c r="BK517" s="490"/>
      <c r="BL517" s="394"/>
      <c r="BM517" s="394"/>
      <c r="BN517" s="394"/>
      <c r="BO517" s="394"/>
    </row>
    <row r="518" spans="3:67">
      <c r="C518" s="547"/>
      <c r="D518" s="394"/>
      <c r="E518" s="394"/>
      <c r="F518" s="394"/>
      <c r="G518" s="394"/>
      <c r="H518" s="547"/>
      <c r="I518" s="394"/>
      <c r="J518" s="394"/>
      <c r="K518" s="394"/>
      <c r="L518" s="394"/>
      <c r="M518" s="547"/>
      <c r="N518" s="394"/>
      <c r="O518" s="394"/>
      <c r="P518" s="394"/>
      <c r="Q518" s="394"/>
      <c r="R518" s="547"/>
      <c r="S518" s="394"/>
      <c r="T518" s="394"/>
      <c r="U518" s="394"/>
      <c r="V518" s="394"/>
      <c r="W518" s="547"/>
      <c r="X518" s="394"/>
      <c r="Y518" s="394"/>
      <c r="Z518" s="394"/>
      <c r="AA518" s="394"/>
      <c r="AB518" s="547"/>
      <c r="AC518" s="394"/>
      <c r="AD518" s="394"/>
      <c r="AE518" s="394"/>
      <c r="AF518" s="394"/>
      <c r="AG518" s="547"/>
      <c r="AH518" s="394"/>
      <c r="AI518" s="394"/>
      <c r="AJ518" s="394"/>
      <c r="AK518" s="394"/>
      <c r="AL518" s="547"/>
      <c r="AM518" s="394"/>
      <c r="AN518" s="1317"/>
      <c r="AO518" s="394"/>
      <c r="AP518" s="394"/>
      <c r="AQ518" s="547"/>
      <c r="AR518" s="1317"/>
      <c r="AS518" s="394"/>
      <c r="AT518" s="394"/>
      <c r="AU518" s="394"/>
      <c r="AV518" s="547"/>
      <c r="AW518" s="394"/>
      <c r="AX518" s="394"/>
      <c r="AY518" s="394"/>
      <c r="AZ518" s="394"/>
      <c r="BA518" s="547"/>
      <c r="BB518" s="394"/>
      <c r="BC518" s="394"/>
      <c r="BD518" s="394"/>
      <c r="BE518" s="394"/>
      <c r="BF518" s="547"/>
      <c r="BG518" s="394"/>
      <c r="BH518" s="394"/>
      <c r="BI518" s="394"/>
      <c r="BJ518" s="394"/>
      <c r="BK518" s="547"/>
      <c r="BL518" s="394"/>
      <c r="BM518" s="394"/>
      <c r="BN518" s="394"/>
      <c r="BO518" s="394"/>
    </row>
    <row r="519" spans="3:67">
      <c r="C519" s="547"/>
      <c r="D519" s="394"/>
      <c r="E519" s="394"/>
      <c r="F519" s="394"/>
      <c r="G519" s="394"/>
      <c r="H519" s="547"/>
      <c r="I519" s="394"/>
      <c r="J519" s="394"/>
      <c r="K519" s="394"/>
      <c r="L519" s="394"/>
      <c r="M519" s="547"/>
      <c r="N519" s="394"/>
      <c r="O519" s="394"/>
      <c r="P519" s="394"/>
      <c r="Q519" s="394"/>
      <c r="R519" s="547"/>
      <c r="S519" s="394"/>
      <c r="T519" s="394"/>
      <c r="U519" s="394"/>
      <c r="V519" s="394"/>
      <c r="W519" s="547"/>
      <c r="X519" s="394"/>
      <c r="Y519" s="394"/>
      <c r="Z519" s="394"/>
      <c r="AA519" s="394"/>
      <c r="AB519" s="547"/>
      <c r="AC519" s="394"/>
      <c r="AD519" s="394"/>
      <c r="AE519" s="394"/>
      <c r="AF519" s="394"/>
      <c r="AG519" s="547"/>
      <c r="AH519" s="394"/>
      <c r="AI519" s="394"/>
      <c r="AJ519" s="394"/>
      <c r="AK519" s="394"/>
      <c r="AL519" s="547"/>
      <c r="AM519" s="394"/>
      <c r="AN519" s="1317"/>
      <c r="AO519" s="394"/>
      <c r="AP519" s="394"/>
      <c r="AQ519" s="547"/>
      <c r="AR519" s="1317"/>
      <c r="AS519" s="394"/>
      <c r="AT519" s="394"/>
      <c r="AU519" s="394"/>
      <c r="AV519" s="547"/>
      <c r="AW519" s="394"/>
      <c r="AX519" s="394"/>
      <c r="AY519" s="394"/>
      <c r="AZ519" s="394"/>
      <c r="BA519" s="547"/>
      <c r="BB519" s="394"/>
      <c r="BC519" s="394"/>
      <c r="BD519" s="394"/>
      <c r="BE519" s="394"/>
      <c r="BF519" s="547"/>
      <c r="BG519" s="394"/>
      <c r="BH519" s="394"/>
      <c r="BI519" s="394"/>
      <c r="BJ519" s="394"/>
      <c r="BK519" s="547"/>
      <c r="BL519" s="394"/>
      <c r="BM519" s="394"/>
      <c r="BN519" s="394"/>
      <c r="BO519" s="394"/>
    </row>
    <row r="520" spans="3:67">
      <c r="C520" s="394"/>
      <c r="D520" s="394"/>
      <c r="E520" s="394"/>
      <c r="F520" s="394"/>
      <c r="G520" s="394"/>
      <c r="H520" s="394"/>
      <c r="I520" s="394"/>
      <c r="J520" s="394"/>
      <c r="K520" s="394"/>
      <c r="L520" s="394"/>
      <c r="M520" s="394"/>
      <c r="N520" s="394"/>
      <c r="O520" s="394"/>
      <c r="P520" s="394"/>
      <c r="Q520" s="394"/>
      <c r="R520" s="394"/>
      <c r="S520" s="394"/>
      <c r="T520" s="394"/>
      <c r="U520" s="394"/>
      <c r="V520" s="394"/>
      <c r="W520" s="394"/>
      <c r="X520" s="394"/>
      <c r="Y520" s="394"/>
      <c r="Z520" s="394"/>
      <c r="AA520" s="394"/>
      <c r="AB520" s="394"/>
      <c r="AC520" s="394"/>
      <c r="AD520" s="394"/>
      <c r="AE520" s="394"/>
      <c r="AF520" s="394"/>
      <c r="AG520" s="394"/>
      <c r="AH520" s="394"/>
      <c r="AI520" s="394"/>
      <c r="AJ520" s="394"/>
      <c r="AK520" s="394"/>
      <c r="AL520" s="394"/>
      <c r="AM520" s="394"/>
      <c r="AN520" s="1317"/>
      <c r="AO520" s="394"/>
      <c r="AP520" s="394"/>
      <c r="AQ520" s="394"/>
      <c r="AR520" s="1317"/>
      <c r="AS520" s="394"/>
      <c r="AT520" s="394"/>
      <c r="AU520" s="394"/>
      <c r="AV520" s="394"/>
      <c r="AW520" s="394"/>
      <c r="AX520" s="394"/>
      <c r="AY520" s="394"/>
      <c r="AZ520" s="394"/>
      <c r="BA520" s="394"/>
      <c r="BB520" s="394"/>
      <c r="BC520" s="394"/>
      <c r="BD520" s="394"/>
      <c r="BE520" s="394"/>
      <c r="BF520" s="394"/>
      <c r="BG520" s="394"/>
      <c r="BH520" s="394"/>
      <c r="BI520" s="394"/>
      <c r="BJ520" s="394"/>
      <c r="BK520" s="394"/>
      <c r="BL520" s="394"/>
      <c r="BM520" s="394"/>
      <c r="BN520" s="394"/>
      <c r="BO520" s="394"/>
    </row>
    <row r="521" spans="3:67">
      <c r="C521" s="543"/>
      <c r="D521" s="543"/>
      <c r="E521" s="543"/>
      <c r="F521" s="543"/>
      <c r="G521" s="543"/>
      <c r="H521" s="543"/>
      <c r="I521" s="543"/>
      <c r="J521" s="543"/>
      <c r="K521" s="543"/>
      <c r="L521" s="543"/>
      <c r="M521" s="543"/>
      <c r="N521" s="543"/>
      <c r="O521" s="543"/>
      <c r="P521" s="543"/>
      <c r="Q521" s="543"/>
      <c r="R521" s="543"/>
      <c r="S521" s="543"/>
      <c r="T521" s="543"/>
      <c r="U521" s="543"/>
      <c r="V521" s="543"/>
      <c r="W521" s="543"/>
      <c r="X521" s="543"/>
      <c r="Y521" s="543"/>
      <c r="Z521" s="543"/>
      <c r="AA521" s="543"/>
      <c r="AB521" s="543"/>
      <c r="AC521" s="543"/>
      <c r="AD521" s="543"/>
      <c r="AE521" s="543"/>
      <c r="AF521" s="543"/>
      <c r="AG521" s="543"/>
      <c r="AH521" s="543"/>
      <c r="AI521" s="543"/>
      <c r="AJ521" s="543"/>
      <c r="AK521" s="543"/>
      <c r="AL521" s="543"/>
      <c r="AM521" s="543"/>
      <c r="AN521" s="1323"/>
      <c r="AO521" s="543"/>
      <c r="AP521" s="543"/>
      <c r="AQ521" s="543"/>
      <c r="AR521" s="1323"/>
      <c r="AS521" s="543"/>
      <c r="AT521" s="543"/>
      <c r="AU521" s="543"/>
      <c r="AV521" s="543"/>
      <c r="AW521" s="543"/>
      <c r="AX521" s="543"/>
      <c r="AY521" s="543"/>
      <c r="AZ521" s="543"/>
      <c r="BA521" s="543"/>
      <c r="BB521" s="543"/>
      <c r="BC521" s="543"/>
      <c r="BD521" s="543"/>
      <c r="BE521" s="543"/>
      <c r="BF521" s="543"/>
      <c r="BG521" s="543"/>
      <c r="BH521" s="543"/>
      <c r="BI521" s="543"/>
      <c r="BJ521" s="543"/>
      <c r="BK521" s="543"/>
      <c r="BL521" s="543"/>
      <c r="BM521" s="543"/>
      <c r="BN521" s="543"/>
      <c r="BO521" s="543"/>
    </row>
    <row r="522" spans="3:67">
      <c r="C522" s="547"/>
      <c r="D522" s="394"/>
      <c r="E522" s="394"/>
      <c r="F522" s="394"/>
      <c r="G522" s="394"/>
      <c r="H522" s="547"/>
      <c r="I522" s="394"/>
      <c r="J522" s="394"/>
      <c r="K522" s="394"/>
      <c r="L522" s="394"/>
      <c r="M522" s="547"/>
      <c r="N522" s="394"/>
      <c r="O522" s="394"/>
      <c r="P522" s="394"/>
      <c r="Q522" s="394"/>
      <c r="R522" s="547"/>
      <c r="S522" s="394"/>
      <c r="T522" s="394"/>
      <c r="U522" s="394"/>
      <c r="V522" s="394"/>
      <c r="W522" s="547"/>
      <c r="X522" s="394"/>
      <c r="Y522" s="394"/>
      <c r="Z522" s="394"/>
      <c r="AA522" s="394"/>
      <c r="AB522" s="547"/>
      <c r="AC522" s="394"/>
      <c r="AD522" s="394"/>
      <c r="AE522" s="394"/>
      <c r="AF522" s="394"/>
      <c r="AG522" s="547"/>
      <c r="AH522" s="394"/>
      <c r="AI522" s="394"/>
      <c r="AJ522" s="394"/>
      <c r="AK522" s="394"/>
      <c r="AL522" s="547"/>
      <c r="AM522" s="394"/>
      <c r="AN522" s="1317"/>
      <c r="AO522" s="394"/>
      <c r="AP522" s="394"/>
      <c r="AQ522" s="547"/>
      <c r="AR522" s="1317"/>
      <c r="AS522" s="394"/>
      <c r="AT522" s="394"/>
      <c r="AU522" s="394"/>
      <c r="AV522" s="547"/>
      <c r="AW522" s="394"/>
      <c r="AX522" s="394"/>
      <c r="AY522" s="394"/>
      <c r="AZ522" s="394"/>
      <c r="BA522" s="547"/>
      <c r="BB522" s="394"/>
      <c r="BC522" s="394"/>
      <c r="BD522" s="394"/>
      <c r="BE522" s="394"/>
      <c r="BF522" s="547"/>
      <c r="BG522" s="394"/>
      <c r="BH522" s="394"/>
      <c r="BI522" s="394"/>
      <c r="BJ522" s="394"/>
      <c r="BK522" s="547"/>
      <c r="BL522" s="394"/>
      <c r="BM522" s="394"/>
      <c r="BN522" s="394"/>
      <c r="BO522" s="394"/>
    </row>
    <row r="523" spans="3:67">
      <c r="C523" s="547"/>
      <c r="D523" s="394"/>
      <c r="E523" s="394"/>
      <c r="F523" s="394"/>
      <c r="G523" s="394"/>
      <c r="H523" s="547"/>
      <c r="I523" s="394"/>
      <c r="J523" s="394"/>
      <c r="K523" s="394"/>
      <c r="L523" s="394"/>
      <c r="M523" s="547"/>
      <c r="N523" s="394"/>
      <c r="O523" s="394"/>
      <c r="P523" s="394"/>
      <c r="Q523" s="394"/>
      <c r="R523" s="547"/>
      <c r="S523" s="394"/>
      <c r="T523" s="394"/>
      <c r="U523" s="394"/>
      <c r="V523" s="394"/>
      <c r="W523" s="547"/>
      <c r="X523" s="394"/>
      <c r="Y523" s="394"/>
      <c r="Z523" s="394"/>
      <c r="AA523" s="394"/>
      <c r="AB523" s="547"/>
      <c r="AC523" s="394"/>
      <c r="AD523" s="394"/>
      <c r="AE523" s="394"/>
      <c r="AF523" s="394"/>
      <c r="AG523" s="547"/>
      <c r="AH523" s="394"/>
      <c r="AI523" s="394"/>
      <c r="AJ523" s="394"/>
      <c r="AK523" s="394"/>
      <c r="AL523" s="547"/>
      <c r="AM523" s="394"/>
      <c r="AN523" s="1317"/>
      <c r="AO523" s="394"/>
      <c r="AP523" s="394"/>
      <c r="AQ523" s="547"/>
      <c r="AR523" s="1317"/>
      <c r="AS523" s="394"/>
      <c r="AT523" s="394"/>
      <c r="AU523" s="394"/>
      <c r="AV523" s="547"/>
      <c r="AW523" s="394"/>
      <c r="AX523" s="394"/>
      <c r="AY523" s="394"/>
      <c r="AZ523" s="394"/>
      <c r="BA523" s="547"/>
      <c r="BB523" s="394"/>
      <c r="BC523" s="394"/>
      <c r="BD523" s="394"/>
      <c r="BE523" s="394"/>
      <c r="BF523" s="547"/>
      <c r="BG523" s="394"/>
      <c r="BH523" s="394"/>
      <c r="BI523" s="394"/>
      <c r="BJ523" s="394"/>
      <c r="BK523" s="547"/>
      <c r="BL523" s="394"/>
      <c r="BM523" s="394"/>
      <c r="BN523" s="394"/>
      <c r="BO523" s="394"/>
    </row>
    <row r="524" spans="3:67">
      <c r="C524" s="546"/>
      <c r="D524" s="546"/>
      <c r="E524" s="546"/>
      <c r="F524" s="546"/>
      <c r="G524" s="546"/>
      <c r="H524" s="546"/>
      <c r="I524" s="546"/>
      <c r="J524" s="546"/>
      <c r="K524" s="546"/>
      <c r="L524" s="546"/>
      <c r="M524" s="546"/>
      <c r="N524" s="546"/>
      <c r="O524" s="546"/>
      <c r="P524" s="546"/>
      <c r="Q524" s="546"/>
      <c r="R524" s="546"/>
      <c r="S524" s="546"/>
      <c r="T524" s="546"/>
      <c r="U524" s="546"/>
      <c r="V524" s="546"/>
      <c r="W524" s="546"/>
      <c r="X524" s="546"/>
      <c r="Y524" s="546"/>
      <c r="Z524" s="546"/>
      <c r="AA524" s="546"/>
      <c r="AB524" s="546"/>
      <c r="AC524" s="546"/>
      <c r="AD524" s="546"/>
      <c r="AE524" s="546"/>
      <c r="AF524" s="546"/>
      <c r="AG524" s="546"/>
      <c r="AH524" s="546"/>
      <c r="AI524" s="546"/>
      <c r="AJ524" s="546"/>
      <c r="AK524" s="546"/>
      <c r="AL524" s="546"/>
      <c r="AM524" s="546"/>
      <c r="AN524" s="1327"/>
      <c r="AO524" s="546"/>
      <c r="AP524" s="546"/>
      <c r="AQ524" s="546"/>
      <c r="AR524" s="1327"/>
      <c r="AS524" s="546"/>
      <c r="AT524" s="546"/>
      <c r="AU524" s="546"/>
      <c r="AV524" s="546"/>
      <c r="AW524" s="546"/>
      <c r="AX524" s="546"/>
      <c r="AY524" s="546"/>
      <c r="AZ524" s="546"/>
      <c r="BA524" s="546"/>
      <c r="BB524" s="546"/>
      <c r="BC524" s="546"/>
      <c r="BD524" s="546"/>
      <c r="BE524" s="546"/>
      <c r="BF524" s="546"/>
      <c r="BG524" s="546"/>
      <c r="BH524" s="546"/>
      <c r="BI524" s="546"/>
      <c r="BJ524" s="546"/>
      <c r="BK524" s="546"/>
      <c r="BL524" s="546"/>
      <c r="BM524" s="546"/>
      <c r="BN524" s="546"/>
      <c r="BO524" s="546"/>
    </row>
    <row r="525" spans="3:67">
      <c r="C525" s="541"/>
      <c r="D525" s="541"/>
      <c r="E525" s="541"/>
      <c r="F525" s="541"/>
      <c r="G525" s="541"/>
      <c r="H525" s="541"/>
      <c r="I525" s="541"/>
      <c r="J525" s="541"/>
      <c r="K525" s="541"/>
      <c r="L525" s="541"/>
      <c r="M525" s="541"/>
      <c r="N525" s="541"/>
      <c r="O525" s="541"/>
      <c r="P525" s="541"/>
      <c r="Q525" s="541"/>
      <c r="R525" s="541"/>
      <c r="S525" s="541"/>
      <c r="T525" s="541"/>
      <c r="U525" s="541"/>
      <c r="V525" s="541"/>
      <c r="W525" s="541"/>
      <c r="X525" s="541"/>
      <c r="Y525" s="541"/>
      <c r="Z525" s="541"/>
      <c r="AA525" s="541"/>
      <c r="AB525" s="541"/>
      <c r="AC525" s="541"/>
      <c r="AD525" s="541"/>
      <c r="AE525" s="541"/>
      <c r="AF525" s="541"/>
      <c r="AG525" s="541"/>
      <c r="AH525" s="541"/>
      <c r="AI525" s="541"/>
      <c r="AJ525" s="541"/>
      <c r="AK525" s="541"/>
      <c r="AL525" s="541"/>
      <c r="AM525" s="541"/>
      <c r="AN525" s="1321"/>
      <c r="AO525" s="541"/>
      <c r="AP525" s="541"/>
      <c r="AQ525" s="541"/>
      <c r="AR525" s="1321"/>
      <c r="AS525" s="541"/>
      <c r="AT525" s="541"/>
      <c r="AU525" s="541"/>
      <c r="AV525" s="541"/>
      <c r="AW525" s="541"/>
      <c r="AX525" s="541"/>
      <c r="AY525" s="541"/>
      <c r="AZ525" s="541"/>
      <c r="BA525" s="541"/>
      <c r="BB525" s="541"/>
      <c r="BC525" s="541"/>
      <c r="BD525" s="541"/>
      <c r="BE525" s="541"/>
      <c r="BF525" s="541"/>
      <c r="BG525" s="541"/>
      <c r="BH525" s="541"/>
      <c r="BI525" s="541"/>
      <c r="BJ525" s="541"/>
      <c r="BK525" s="541"/>
      <c r="BL525" s="541"/>
      <c r="BM525" s="541"/>
      <c r="BN525" s="541"/>
      <c r="BO525" s="541"/>
    </row>
    <row r="526" spans="3:67">
      <c r="C526" s="394"/>
      <c r="D526" s="394"/>
      <c r="E526" s="394"/>
      <c r="F526" s="394"/>
      <c r="G526" s="394"/>
      <c r="H526" s="394"/>
      <c r="I526" s="394"/>
      <c r="J526" s="394"/>
      <c r="K526" s="394"/>
      <c r="L526" s="394"/>
      <c r="M526" s="394"/>
      <c r="N526" s="394"/>
      <c r="O526" s="394"/>
      <c r="P526" s="394"/>
      <c r="Q526" s="394"/>
      <c r="R526" s="394"/>
      <c r="S526" s="394"/>
      <c r="T526" s="394"/>
      <c r="U526" s="394"/>
      <c r="V526" s="394"/>
      <c r="W526" s="394"/>
      <c r="X526" s="394"/>
      <c r="Y526" s="394"/>
      <c r="Z526" s="394"/>
      <c r="AA526" s="394"/>
      <c r="AB526" s="394"/>
      <c r="AC526" s="394"/>
      <c r="AD526" s="394"/>
      <c r="AE526" s="394"/>
      <c r="AF526" s="394"/>
      <c r="AG526" s="394"/>
      <c r="AH526" s="394"/>
      <c r="AI526" s="394"/>
      <c r="AJ526" s="394"/>
      <c r="AK526" s="394"/>
      <c r="AL526" s="394"/>
      <c r="AM526" s="394"/>
      <c r="AN526" s="1317"/>
      <c r="AO526" s="394"/>
      <c r="AP526" s="394"/>
      <c r="AQ526" s="394"/>
      <c r="AR526" s="1317"/>
      <c r="AS526" s="394"/>
      <c r="AT526" s="394"/>
      <c r="AU526" s="394"/>
      <c r="AV526" s="394"/>
      <c r="AW526" s="394"/>
      <c r="AX526" s="394"/>
      <c r="AY526" s="394"/>
      <c r="AZ526" s="394"/>
      <c r="BA526" s="394"/>
      <c r="BB526" s="394"/>
      <c r="BC526" s="394"/>
      <c r="BD526" s="394"/>
      <c r="BE526" s="394"/>
      <c r="BF526" s="394"/>
      <c r="BG526" s="394"/>
      <c r="BH526" s="394"/>
      <c r="BI526" s="394"/>
      <c r="BJ526" s="394"/>
      <c r="BK526" s="394"/>
      <c r="BL526" s="394"/>
      <c r="BM526" s="394"/>
      <c r="BN526" s="394"/>
      <c r="BO526" s="394"/>
    </row>
    <row r="527" spans="3:67">
      <c r="C527" s="490"/>
      <c r="D527" s="490"/>
      <c r="E527" s="490"/>
      <c r="F527" s="490"/>
      <c r="G527" s="490"/>
      <c r="H527" s="490"/>
      <c r="I527" s="490"/>
      <c r="J527" s="490"/>
      <c r="K527" s="490"/>
      <c r="L527" s="490"/>
      <c r="M527" s="490"/>
      <c r="N527" s="490"/>
      <c r="O527" s="490"/>
      <c r="P527" s="490"/>
      <c r="Q527" s="490"/>
      <c r="R527" s="490"/>
      <c r="S527" s="490"/>
      <c r="T527" s="490"/>
      <c r="U527" s="490"/>
      <c r="V527" s="490"/>
      <c r="W527" s="490"/>
      <c r="X527" s="490"/>
      <c r="Y527" s="490"/>
      <c r="Z527" s="490"/>
      <c r="AA527" s="490"/>
      <c r="AB527" s="490"/>
      <c r="AC527" s="490"/>
      <c r="AD527" s="490"/>
      <c r="AE527" s="490"/>
      <c r="AF527" s="490"/>
      <c r="AG527" s="490"/>
      <c r="AH527" s="490"/>
      <c r="AI527" s="490"/>
      <c r="AJ527" s="490"/>
      <c r="AK527" s="490"/>
      <c r="AL527" s="490"/>
      <c r="AM527" s="490"/>
      <c r="AN527" s="1298"/>
      <c r="AO527" s="490"/>
      <c r="AP527" s="490"/>
      <c r="AQ527" s="490"/>
      <c r="AR527" s="1298"/>
      <c r="AS527" s="490"/>
      <c r="AT527" s="490"/>
      <c r="AU527" s="490"/>
      <c r="AV527" s="490"/>
      <c r="AW527" s="490"/>
      <c r="AX527" s="490"/>
      <c r="AY527" s="490"/>
      <c r="AZ527" s="490"/>
      <c r="BA527" s="490"/>
      <c r="BB527" s="490"/>
      <c r="BC527" s="490"/>
      <c r="BD527" s="490"/>
      <c r="BE527" s="490"/>
      <c r="BF527" s="490"/>
      <c r="BG527" s="490"/>
      <c r="BH527" s="490"/>
      <c r="BI527" s="490"/>
      <c r="BJ527" s="490"/>
      <c r="BK527" s="490"/>
      <c r="BL527" s="490"/>
      <c r="BM527" s="490"/>
      <c r="BN527" s="490"/>
      <c r="BO527" s="490"/>
    </row>
    <row r="528" spans="3:67">
      <c r="C528" s="543"/>
      <c r="D528" s="543"/>
      <c r="E528" s="543"/>
      <c r="F528" s="543"/>
      <c r="G528" s="543"/>
      <c r="H528" s="543"/>
      <c r="I528" s="543"/>
      <c r="J528" s="543"/>
      <c r="K528" s="543"/>
      <c r="L528" s="543"/>
      <c r="M528" s="543"/>
      <c r="N528" s="543"/>
      <c r="O528" s="543"/>
      <c r="P528" s="543"/>
      <c r="Q528" s="543"/>
      <c r="R528" s="543"/>
      <c r="S528" s="543"/>
      <c r="T528" s="543"/>
      <c r="U528" s="543"/>
      <c r="V528" s="543"/>
      <c r="W528" s="543"/>
      <c r="X528" s="543"/>
      <c r="Y528" s="543"/>
      <c r="Z528" s="543"/>
      <c r="AA528" s="543"/>
      <c r="AB528" s="543"/>
      <c r="AC528" s="543"/>
      <c r="AD528" s="543"/>
      <c r="AE528" s="543"/>
      <c r="AF528" s="543"/>
      <c r="AG528" s="543"/>
      <c r="AH528" s="543"/>
      <c r="AI528" s="543"/>
      <c r="AJ528" s="543"/>
      <c r="AK528" s="543"/>
      <c r="AL528" s="543"/>
      <c r="AM528" s="543"/>
      <c r="AN528" s="1323"/>
      <c r="AO528" s="543"/>
      <c r="AP528" s="543"/>
      <c r="AQ528" s="543"/>
      <c r="AR528" s="1323"/>
      <c r="AS528" s="543"/>
      <c r="AT528" s="543"/>
      <c r="AU528" s="543"/>
      <c r="AV528" s="543"/>
      <c r="AW528" s="543"/>
      <c r="AX528" s="543"/>
      <c r="AY528" s="543"/>
      <c r="AZ528" s="543"/>
      <c r="BA528" s="543"/>
      <c r="BB528" s="543"/>
      <c r="BC528" s="543"/>
      <c r="BD528" s="543"/>
      <c r="BE528" s="543"/>
      <c r="BF528" s="543"/>
      <c r="BG528" s="543"/>
      <c r="BH528" s="543"/>
      <c r="BI528" s="543"/>
      <c r="BJ528" s="543"/>
      <c r="BK528" s="543"/>
      <c r="BL528" s="543"/>
      <c r="BM528" s="543"/>
      <c r="BN528" s="543"/>
      <c r="BO528" s="543"/>
    </row>
    <row r="529" spans="3:67">
      <c r="C529" s="543"/>
      <c r="D529" s="543"/>
      <c r="E529" s="543"/>
      <c r="F529" s="543"/>
      <c r="G529" s="543"/>
      <c r="H529" s="543"/>
      <c r="I529" s="543"/>
      <c r="J529" s="543"/>
      <c r="K529" s="543"/>
      <c r="L529" s="543"/>
      <c r="M529" s="543"/>
      <c r="N529" s="543"/>
      <c r="O529" s="543"/>
      <c r="P529" s="543"/>
      <c r="Q529" s="543"/>
      <c r="R529" s="543"/>
      <c r="S529" s="543"/>
      <c r="T529" s="543"/>
      <c r="U529" s="543"/>
      <c r="V529" s="543"/>
      <c r="W529" s="543"/>
      <c r="X529" s="543"/>
      <c r="Y529" s="543"/>
      <c r="Z529" s="543"/>
      <c r="AA529" s="543"/>
      <c r="AB529" s="543"/>
      <c r="AC529" s="543"/>
      <c r="AD529" s="543"/>
      <c r="AE529" s="543"/>
      <c r="AF529" s="543"/>
      <c r="AG529" s="543"/>
      <c r="AH529" s="543"/>
      <c r="AI529" s="543"/>
      <c r="AJ529" s="543"/>
      <c r="AK529" s="543"/>
      <c r="AL529" s="543"/>
      <c r="AM529" s="543"/>
      <c r="AN529" s="1323"/>
      <c r="AO529" s="543"/>
      <c r="AP529" s="543"/>
      <c r="AQ529" s="543"/>
      <c r="AR529" s="1323"/>
      <c r="AS529" s="543"/>
      <c r="AT529" s="543"/>
      <c r="AU529" s="543"/>
      <c r="AV529" s="543"/>
      <c r="AW529" s="543"/>
      <c r="AX529" s="543"/>
      <c r="AY529" s="543"/>
      <c r="AZ529" s="543"/>
      <c r="BA529" s="543"/>
      <c r="BB529" s="543"/>
      <c r="BC529" s="543"/>
      <c r="BD529" s="543"/>
      <c r="BE529" s="543"/>
      <c r="BF529" s="543"/>
      <c r="BG529" s="543"/>
      <c r="BH529" s="543"/>
      <c r="BI529" s="543"/>
      <c r="BJ529" s="543"/>
      <c r="BK529" s="543"/>
      <c r="BL529" s="543"/>
      <c r="BM529" s="543"/>
      <c r="BN529" s="543"/>
      <c r="BO529" s="543"/>
    </row>
    <row r="530" spans="3:67">
      <c r="C530" s="546"/>
      <c r="D530" s="546"/>
      <c r="E530" s="546"/>
      <c r="F530" s="546"/>
      <c r="G530" s="546"/>
      <c r="H530" s="546"/>
      <c r="I530" s="546"/>
      <c r="J530" s="546"/>
      <c r="K530" s="546"/>
      <c r="L530" s="546"/>
      <c r="M530" s="546"/>
      <c r="N530" s="546"/>
      <c r="O530" s="546"/>
      <c r="P530" s="546"/>
      <c r="Q530" s="546"/>
      <c r="R530" s="546"/>
      <c r="S530" s="546"/>
      <c r="T530" s="546"/>
      <c r="U530" s="546"/>
      <c r="V530" s="546"/>
      <c r="W530" s="546"/>
      <c r="X530" s="546"/>
      <c r="Y530" s="546"/>
      <c r="Z530" s="546"/>
      <c r="AA530" s="546"/>
      <c r="AB530" s="546"/>
      <c r="AC530" s="546"/>
      <c r="AD530" s="546"/>
      <c r="AE530" s="546"/>
      <c r="AF530" s="546"/>
      <c r="AG530" s="546"/>
      <c r="AH530" s="546"/>
      <c r="AI530" s="546"/>
      <c r="AJ530" s="546"/>
      <c r="AK530" s="546"/>
      <c r="AL530" s="546"/>
      <c r="AM530" s="546"/>
      <c r="AN530" s="1327"/>
      <c r="AO530" s="546"/>
      <c r="AP530" s="546"/>
      <c r="AQ530" s="546"/>
      <c r="AR530" s="1327"/>
      <c r="AS530" s="546"/>
      <c r="AT530" s="546"/>
      <c r="AU530" s="546"/>
      <c r="AV530" s="546"/>
      <c r="AW530" s="546"/>
      <c r="AX530" s="546"/>
      <c r="AY530" s="546"/>
      <c r="AZ530" s="546"/>
      <c r="BA530" s="546"/>
      <c r="BB530" s="546"/>
      <c r="BC530" s="546"/>
      <c r="BD530" s="546"/>
      <c r="BE530" s="546"/>
      <c r="BF530" s="546"/>
      <c r="BG530" s="546"/>
      <c r="BH530" s="546"/>
      <c r="BI530" s="546"/>
      <c r="BJ530" s="546"/>
      <c r="BK530" s="546"/>
      <c r="BL530" s="546"/>
      <c r="BM530" s="546"/>
      <c r="BN530" s="546"/>
      <c r="BO530" s="546"/>
    </row>
    <row r="531" spans="3:67">
      <c r="C531" s="544"/>
      <c r="D531" s="545"/>
      <c r="E531" s="545"/>
      <c r="F531" s="545"/>
      <c r="G531" s="545"/>
      <c r="H531" s="544"/>
      <c r="I531" s="545"/>
      <c r="J531" s="545"/>
      <c r="K531" s="545"/>
      <c r="L531" s="545"/>
      <c r="M531" s="544"/>
      <c r="N531" s="545"/>
      <c r="O531" s="545"/>
      <c r="P531" s="545"/>
      <c r="Q531" s="545"/>
      <c r="R531" s="544"/>
      <c r="S531" s="545"/>
      <c r="T531" s="545"/>
      <c r="U531" s="545"/>
      <c r="V531" s="545"/>
      <c r="W531" s="544"/>
      <c r="X531" s="545"/>
      <c r="Y531" s="545"/>
      <c r="Z531" s="545"/>
      <c r="AA531" s="545"/>
      <c r="AB531" s="544"/>
      <c r="AC531" s="545"/>
      <c r="AD531" s="545"/>
      <c r="AE531" s="545"/>
      <c r="AF531" s="545"/>
      <c r="AG531" s="544"/>
      <c r="AH531" s="545"/>
      <c r="AI531" s="545"/>
      <c r="AJ531" s="545"/>
      <c r="AK531" s="545"/>
      <c r="AL531" s="544"/>
      <c r="AM531" s="545"/>
      <c r="AN531" s="1324"/>
      <c r="AO531" s="545"/>
      <c r="AP531" s="545"/>
      <c r="AQ531" s="544"/>
      <c r="AR531" s="1324"/>
      <c r="AS531" s="545"/>
      <c r="AT531" s="545"/>
      <c r="AU531" s="545"/>
      <c r="AV531" s="544"/>
      <c r="AW531" s="545"/>
      <c r="AX531" s="545"/>
      <c r="AY531" s="545"/>
      <c r="AZ531" s="545"/>
      <c r="BA531" s="544"/>
      <c r="BB531" s="545"/>
      <c r="BC531" s="545"/>
      <c r="BD531" s="545"/>
      <c r="BE531" s="545"/>
      <c r="BF531" s="544"/>
      <c r="BG531" s="545"/>
      <c r="BH531" s="545"/>
      <c r="BI531" s="545"/>
      <c r="BJ531" s="545"/>
      <c r="BK531" s="544"/>
      <c r="BL531" s="545"/>
      <c r="BM531" s="545"/>
      <c r="BN531" s="545"/>
      <c r="BO531" s="545"/>
    </row>
    <row r="532" spans="3:67">
      <c r="C532" s="544"/>
      <c r="D532" s="545"/>
      <c r="E532" s="545"/>
      <c r="F532" s="545"/>
      <c r="G532" s="545"/>
      <c r="H532" s="544"/>
      <c r="I532" s="545"/>
      <c r="J532" s="545"/>
      <c r="K532" s="545"/>
      <c r="L532" s="545"/>
      <c r="M532" s="544"/>
      <c r="N532" s="545"/>
      <c r="O532" s="545"/>
      <c r="P532" s="545"/>
      <c r="Q532" s="545"/>
      <c r="R532" s="544"/>
      <c r="S532" s="545"/>
      <c r="T532" s="545"/>
      <c r="U532" s="545"/>
      <c r="V532" s="545"/>
      <c r="W532" s="544"/>
      <c r="X532" s="545"/>
      <c r="Y532" s="545"/>
      <c r="Z532" s="545"/>
      <c r="AA532" s="545"/>
      <c r="AB532" s="544"/>
      <c r="AC532" s="545"/>
      <c r="AD532" s="545"/>
      <c r="AE532" s="545"/>
      <c r="AF532" s="545"/>
      <c r="AG532" s="544"/>
      <c r="AH532" s="545"/>
      <c r="AI532" s="545"/>
      <c r="AJ532" s="545"/>
      <c r="AK532" s="545"/>
      <c r="AL532" s="544"/>
      <c r="AM532" s="545"/>
      <c r="AN532" s="1324"/>
      <c r="AO532" s="545"/>
      <c r="AP532" s="545"/>
      <c r="AQ532" s="544"/>
      <c r="AR532" s="1324"/>
      <c r="AS532" s="545"/>
      <c r="AT532" s="545"/>
      <c r="AU532" s="545"/>
      <c r="AV532" s="544"/>
      <c r="AW532" s="545"/>
      <c r="AX532" s="545"/>
      <c r="AY532" s="545"/>
      <c r="AZ532" s="545"/>
      <c r="BA532" s="544"/>
      <c r="BB532" s="545"/>
      <c r="BC532" s="545"/>
      <c r="BD532" s="545"/>
      <c r="BE532" s="545"/>
      <c r="BF532" s="544"/>
      <c r="BG532" s="545"/>
      <c r="BH532" s="545"/>
      <c r="BI532" s="545"/>
      <c r="BJ532" s="545"/>
      <c r="BK532" s="544"/>
      <c r="BL532" s="545"/>
      <c r="BM532" s="545"/>
      <c r="BN532" s="545"/>
      <c r="BO532" s="545"/>
    </row>
    <row r="533" spans="3:67">
      <c r="C533" s="544"/>
      <c r="D533" s="545"/>
      <c r="E533" s="545"/>
      <c r="F533" s="545"/>
      <c r="G533" s="545"/>
      <c r="H533" s="544"/>
      <c r="I533" s="545"/>
      <c r="J533" s="545"/>
      <c r="K533" s="545"/>
      <c r="L533" s="545"/>
      <c r="M533" s="544"/>
      <c r="N533" s="545"/>
      <c r="O533" s="545"/>
      <c r="P533" s="545"/>
      <c r="Q533" s="545"/>
      <c r="R533" s="544"/>
      <c r="S533" s="545"/>
      <c r="T533" s="545"/>
      <c r="U533" s="545"/>
      <c r="V533" s="545"/>
      <c r="W533" s="544"/>
      <c r="X533" s="545"/>
      <c r="Y533" s="545"/>
      <c r="Z533" s="545"/>
      <c r="AA533" s="545"/>
      <c r="AB533" s="544"/>
      <c r="AC533" s="545"/>
      <c r="AD533" s="545"/>
      <c r="AE533" s="545"/>
      <c r="AF533" s="545"/>
      <c r="AG533" s="544"/>
      <c r="AH533" s="545"/>
      <c r="AI533" s="545"/>
      <c r="AJ533" s="545"/>
      <c r="AK533" s="545"/>
      <c r="AL533" s="544"/>
      <c r="AM533" s="545"/>
      <c r="AN533" s="1324"/>
      <c r="AO533" s="545"/>
      <c r="AP533" s="545"/>
      <c r="AQ533" s="544"/>
      <c r="AR533" s="1324"/>
      <c r="AS533" s="545"/>
      <c r="AT533" s="545"/>
      <c r="AU533" s="545"/>
      <c r="AV533" s="544"/>
      <c r="AW533" s="545"/>
      <c r="AX533" s="545"/>
      <c r="AY533" s="545"/>
      <c r="AZ533" s="545"/>
      <c r="BA533" s="544"/>
      <c r="BB533" s="545"/>
      <c r="BC533" s="545"/>
      <c r="BD533" s="545"/>
      <c r="BE533" s="545"/>
      <c r="BF533" s="544"/>
      <c r="BG533" s="545"/>
      <c r="BH533" s="545"/>
      <c r="BI533" s="545"/>
      <c r="BJ533" s="545"/>
      <c r="BK533" s="544"/>
      <c r="BL533" s="545"/>
      <c r="BM533" s="545"/>
      <c r="BN533" s="545"/>
      <c r="BO533" s="545"/>
    </row>
    <row r="534" spans="3:67">
      <c r="C534" s="490"/>
      <c r="D534" s="490"/>
      <c r="E534" s="490"/>
      <c r="F534" s="490"/>
      <c r="G534" s="490"/>
      <c r="H534" s="490"/>
      <c r="I534" s="490"/>
      <c r="J534" s="490"/>
      <c r="K534" s="490"/>
      <c r="L534" s="490"/>
      <c r="M534" s="490"/>
      <c r="N534" s="490"/>
      <c r="O534" s="490"/>
      <c r="P534" s="490"/>
      <c r="Q534" s="490"/>
      <c r="R534" s="490"/>
      <c r="S534" s="490"/>
      <c r="T534" s="490"/>
      <c r="U534" s="490"/>
      <c r="V534" s="490"/>
      <c r="W534" s="490"/>
      <c r="X534" s="490"/>
      <c r="Y534" s="490"/>
      <c r="Z534" s="490"/>
      <c r="AA534" s="490"/>
      <c r="AB534" s="490"/>
      <c r="AC534" s="490"/>
      <c r="AD534" s="490"/>
      <c r="AE534" s="490"/>
      <c r="AF534" s="490"/>
      <c r="AG534" s="490"/>
      <c r="AH534" s="490"/>
      <c r="AI534" s="490"/>
      <c r="AJ534" s="490"/>
      <c r="AK534" s="490"/>
      <c r="AL534" s="490"/>
      <c r="AM534" s="490"/>
      <c r="AN534" s="1298"/>
      <c r="AO534" s="490"/>
      <c r="AP534" s="490"/>
      <c r="AQ534" s="490"/>
      <c r="AR534" s="1298"/>
      <c r="AS534" s="490"/>
      <c r="AT534" s="490"/>
      <c r="AU534" s="490"/>
      <c r="AV534" s="490"/>
      <c r="AW534" s="490"/>
      <c r="AX534" s="490"/>
      <c r="AY534" s="490"/>
      <c r="AZ534" s="490"/>
      <c r="BA534" s="490"/>
      <c r="BB534" s="490"/>
      <c r="BC534" s="490"/>
      <c r="BD534" s="490"/>
      <c r="BE534" s="490"/>
      <c r="BF534" s="490"/>
      <c r="BG534" s="490"/>
      <c r="BH534" s="490"/>
      <c r="BI534" s="490"/>
      <c r="BJ534" s="490"/>
      <c r="BK534" s="490"/>
      <c r="BL534" s="490"/>
      <c r="BM534" s="490"/>
      <c r="BN534" s="490"/>
      <c r="BO534" s="490"/>
    </row>
    <row r="535" spans="3:67">
      <c r="C535" s="549"/>
      <c r="D535" s="549"/>
      <c r="E535" s="549"/>
      <c r="F535" s="549"/>
      <c r="G535" s="549"/>
      <c r="H535" s="549"/>
      <c r="I535" s="549"/>
      <c r="J535" s="549"/>
      <c r="K535" s="549"/>
      <c r="L535" s="549"/>
      <c r="M535" s="549"/>
      <c r="N535" s="549"/>
      <c r="O535" s="549"/>
      <c r="P535" s="549"/>
      <c r="Q535" s="549"/>
      <c r="R535" s="549"/>
      <c r="S535" s="549"/>
      <c r="T535" s="549"/>
      <c r="U535" s="549"/>
      <c r="V535" s="549"/>
      <c r="W535" s="549"/>
      <c r="X535" s="549"/>
      <c r="Y535" s="549"/>
      <c r="Z535" s="549"/>
      <c r="AA535" s="549"/>
      <c r="AB535" s="549"/>
      <c r="AC535" s="549"/>
      <c r="AD535" s="549"/>
      <c r="AE535" s="549"/>
      <c r="AF535" s="549"/>
      <c r="AG535" s="549"/>
      <c r="AH535" s="549"/>
      <c r="AI535" s="549"/>
      <c r="AJ535" s="549"/>
      <c r="AK535" s="549"/>
      <c r="AL535" s="549"/>
      <c r="AM535" s="549"/>
      <c r="AN535" s="1328"/>
      <c r="AO535" s="549"/>
      <c r="AP535" s="549"/>
      <c r="AQ535" s="549"/>
      <c r="AR535" s="1328"/>
      <c r="AS535" s="549"/>
      <c r="AT535" s="549"/>
      <c r="AU535" s="549"/>
      <c r="AV535" s="549"/>
      <c r="AW535" s="549"/>
      <c r="AX535" s="549"/>
      <c r="AY535" s="549"/>
      <c r="AZ535" s="549"/>
      <c r="BA535" s="549"/>
      <c r="BB535" s="549"/>
      <c r="BC535" s="549"/>
      <c r="BD535" s="549"/>
      <c r="BE535" s="549"/>
      <c r="BF535" s="549"/>
      <c r="BG535" s="549"/>
      <c r="BH535" s="549"/>
      <c r="BI535" s="549"/>
      <c r="BJ535" s="549"/>
      <c r="BK535" s="549"/>
      <c r="BL535" s="549"/>
      <c r="BM535" s="549"/>
      <c r="BN535" s="549"/>
      <c r="BO535" s="549"/>
    </row>
    <row r="536" spans="3:67">
      <c r="C536" s="490"/>
      <c r="D536" s="490"/>
      <c r="E536" s="490"/>
      <c r="F536" s="490"/>
      <c r="G536" s="490"/>
      <c r="H536" s="490"/>
      <c r="I536" s="490"/>
      <c r="J536" s="490"/>
      <c r="K536" s="490"/>
      <c r="L536" s="490"/>
      <c r="M536" s="490"/>
      <c r="N536" s="490"/>
      <c r="O536" s="490"/>
      <c r="P536" s="490"/>
      <c r="Q536" s="490"/>
      <c r="R536" s="490"/>
      <c r="S536" s="490"/>
      <c r="T536" s="490"/>
      <c r="U536" s="490"/>
      <c r="V536" s="490"/>
      <c r="W536" s="490"/>
      <c r="X536" s="490"/>
      <c r="Y536" s="490"/>
      <c r="Z536" s="490"/>
      <c r="AA536" s="490"/>
      <c r="AB536" s="490"/>
      <c r="AC536" s="490"/>
      <c r="AD536" s="490"/>
      <c r="AE536" s="490"/>
      <c r="AF536" s="490"/>
      <c r="AG536" s="490"/>
      <c r="AH536" s="490"/>
      <c r="AI536" s="490"/>
      <c r="AJ536" s="490"/>
      <c r="AK536" s="490"/>
      <c r="AL536" s="490"/>
      <c r="AM536" s="490"/>
      <c r="AN536" s="1298"/>
      <c r="AO536" s="490"/>
      <c r="AP536" s="490"/>
      <c r="AQ536" s="490"/>
      <c r="AR536" s="1298"/>
      <c r="AS536" s="490"/>
      <c r="AT536" s="490"/>
      <c r="AU536" s="490"/>
      <c r="AV536" s="490"/>
      <c r="AW536" s="490"/>
      <c r="AX536" s="490"/>
      <c r="AY536" s="490"/>
      <c r="AZ536" s="490"/>
      <c r="BA536" s="490"/>
      <c r="BB536" s="490"/>
      <c r="BC536" s="490"/>
      <c r="BD536" s="490"/>
      <c r="BE536" s="490"/>
      <c r="BF536" s="490"/>
      <c r="BG536" s="490"/>
      <c r="BH536" s="490"/>
      <c r="BI536" s="490"/>
      <c r="BJ536" s="490"/>
      <c r="BK536" s="490"/>
      <c r="BL536" s="490"/>
      <c r="BM536" s="490"/>
      <c r="BN536" s="490"/>
      <c r="BO536" s="490"/>
    </row>
    <row r="537" spans="3:67">
      <c r="C537" s="394"/>
      <c r="D537" s="394"/>
      <c r="E537" s="394"/>
      <c r="F537" s="394"/>
      <c r="G537" s="394"/>
      <c r="H537" s="394"/>
      <c r="I537" s="394"/>
      <c r="J537" s="394"/>
      <c r="K537" s="394"/>
      <c r="L537" s="394"/>
      <c r="M537" s="394"/>
      <c r="N537" s="394"/>
      <c r="O537" s="394"/>
      <c r="P537" s="394"/>
      <c r="Q537" s="394"/>
      <c r="R537" s="394"/>
      <c r="S537" s="394"/>
      <c r="T537" s="394"/>
      <c r="U537" s="394"/>
      <c r="V537" s="394"/>
      <c r="W537" s="394"/>
      <c r="X537" s="394"/>
      <c r="Y537" s="394"/>
      <c r="Z537" s="394"/>
      <c r="AA537" s="394"/>
      <c r="AB537" s="394"/>
      <c r="AC537" s="394"/>
      <c r="AD537" s="394"/>
      <c r="AE537" s="394"/>
      <c r="AF537" s="394"/>
      <c r="AG537" s="394"/>
      <c r="AH537" s="394"/>
      <c r="AI537" s="394"/>
      <c r="AJ537" s="394"/>
      <c r="AK537" s="394"/>
      <c r="AL537" s="394"/>
      <c r="AM537" s="394"/>
      <c r="AN537" s="1317"/>
      <c r="AO537" s="394"/>
      <c r="AP537" s="394"/>
      <c r="AQ537" s="394"/>
      <c r="AR537" s="1317"/>
      <c r="AS537" s="394"/>
      <c r="AT537" s="394"/>
      <c r="AU537" s="394"/>
      <c r="AV537" s="394"/>
      <c r="AW537" s="394"/>
      <c r="AX537" s="394"/>
      <c r="AY537" s="394"/>
      <c r="AZ537" s="394"/>
      <c r="BA537" s="394"/>
      <c r="BB537" s="394"/>
      <c r="BC537" s="394"/>
      <c r="BD537" s="394"/>
      <c r="BE537" s="394"/>
      <c r="BF537" s="394"/>
      <c r="BG537" s="394"/>
      <c r="BH537" s="394"/>
      <c r="BI537" s="394"/>
      <c r="BJ537" s="394"/>
      <c r="BK537" s="394"/>
      <c r="BL537" s="394"/>
      <c r="BM537" s="394"/>
      <c r="BN537" s="394"/>
      <c r="BO537" s="394"/>
    </row>
    <row r="538" spans="3:67">
      <c r="C538" s="490"/>
      <c r="D538" s="490"/>
      <c r="E538" s="490"/>
      <c r="F538" s="490"/>
      <c r="G538" s="490"/>
      <c r="H538" s="490"/>
      <c r="I538" s="490"/>
      <c r="J538" s="490"/>
      <c r="K538" s="490"/>
      <c r="L538" s="490"/>
      <c r="M538" s="490"/>
      <c r="N538" s="490"/>
      <c r="O538" s="490"/>
      <c r="P538" s="490"/>
      <c r="Q538" s="490"/>
      <c r="R538" s="490"/>
      <c r="S538" s="490"/>
      <c r="T538" s="490"/>
      <c r="U538" s="490"/>
      <c r="V538" s="490"/>
      <c r="W538" s="490"/>
      <c r="X538" s="490"/>
      <c r="Y538" s="490"/>
      <c r="Z538" s="490"/>
      <c r="AA538" s="490"/>
      <c r="AB538" s="490"/>
      <c r="AC538" s="490"/>
      <c r="AD538" s="490"/>
      <c r="AE538" s="490"/>
      <c r="AF538" s="490"/>
      <c r="AG538" s="490"/>
      <c r="AH538" s="490"/>
      <c r="AI538" s="490"/>
      <c r="AJ538" s="490"/>
      <c r="AK538" s="490"/>
      <c r="AL538" s="490"/>
      <c r="AM538" s="490"/>
      <c r="AN538" s="1298"/>
      <c r="AO538" s="490"/>
      <c r="AP538" s="490"/>
      <c r="AQ538" s="490"/>
      <c r="AR538" s="1298"/>
      <c r="AS538" s="490"/>
      <c r="AT538" s="490"/>
      <c r="AU538" s="490"/>
      <c r="AV538" s="490"/>
      <c r="AW538" s="490"/>
      <c r="AX538" s="490"/>
      <c r="AY538" s="490"/>
      <c r="AZ538" s="490"/>
      <c r="BA538" s="490"/>
      <c r="BB538" s="490"/>
      <c r="BC538" s="490"/>
      <c r="BD538" s="490"/>
      <c r="BE538" s="490"/>
      <c r="BF538" s="490"/>
      <c r="BG538" s="490"/>
      <c r="BH538" s="490"/>
      <c r="BI538" s="490"/>
      <c r="BJ538" s="490"/>
      <c r="BK538" s="490"/>
      <c r="BL538" s="490"/>
      <c r="BM538" s="490"/>
      <c r="BN538" s="490"/>
      <c r="BO538" s="490"/>
    </row>
    <row r="539" spans="3:67">
      <c r="C539" s="490"/>
      <c r="D539" s="490"/>
      <c r="E539" s="490"/>
      <c r="F539" s="490"/>
      <c r="G539" s="490"/>
      <c r="H539" s="490"/>
      <c r="I539" s="490"/>
      <c r="J539" s="490"/>
      <c r="K539" s="490"/>
      <c r="L539" s="490"/>
      <c r="M539" s="490"/>
      <c r="N539" s="490"/>
      <c r="O539" s="490"/>
      <c r="P539" s="490"/>
      <c r="Q539" s="490"/>
      <c r="R539" s="490"/>
      <c r="S539" s="490"/>
      <c r="T539" s="490"/>
      <c r="U539" s="490"/>
      <c r="V539" s="490"/>
      <c r="W539" s="490"/>
      <c r="X539" s="490"/>
      <c r="Y539" s="490"/>
      <c r="Z539" s="490"/>
      <c r="AA539" s="490"/>
      <c r="AB539" s="490"/>
      <c r="AC539" s="490"/>
      <c r="AD539" s="490"/>
      <c r="AE539" s="490"/>
      <c r="AF539" s="490"/>
      <c r="AG539" s="490"/>
      <c r="AH539" s="490"/>
      <c r="AI539" s="490"/>
      <c r="AJ539" s="490"/>
      <c r="AK539" s="490"/>
      <c r="AL539" s="490"/>
      <c r="AM539" s="490"/>
      <c r="AN539" s="1298"/>
      <c r="AO539" s="490"/>
      <c r="AP539" s="490"/>
      <c r="AQ539" s="490"/>
      <c r="AR539" s="1298"/>
      <c r="AS539" s="490"/>
      <c r="AT539" s="490"/>
      <c r="AU539" s="490"/>
      <c r="AV539" s="490"/>
      <c r="AW539" s="490"/>
      <c r="AX539" s="490"/>
      <c r="AY539" s="490"/>
      <c r="AZ539" s="490"/>
      <c r="BA539" s="490"/>
      <c r="BB539" s="490"/>
      <c r="BC539" s="490"/>
      <c r="BD539" s="490"/>
      <c r="BE539" s="490"/>
      <c r="BF539" s="490"/>
      <c r="BG539" s="490"/>
      <c r="BH539" s="490"/>
      <c r="BI539" s="490"/>
      <c r="BJ539" s="490"/>
      <c r="BK539" s="490"/>
      <c r="BL539" s="490"/>
      <c r="BM539" s="490"/>
      <c r="BN539" s="490"/>
      <c r="BO539" s="490"/>
    </row>
    <row r="540" spans="3:67">
      <c r="C540" s="519"/>
      <c r="D540" s="519"/>
      <c r="E540" s="519"/>
      <c r="F540" s="519"/>
      <c r="G540" s="519"/>
      <c r="H540" s="519"/>
      <c r="I540" s="519"/>
      <c r="J540" s="519"/>
      <c r="K540" s="519"/>
      <c r="L540" s="519"/>
      <c r="M540" s="519"/>
      <c r="N540" s="519"/>
      <c r="O540" s="519"/>
      <c r="P540" s="519"/>
      <c r="Q540" s="519"/>
      <c r="R540" s="519"/>
      <c r="S540" s="519"/>
      <c r="T540" s="519"/>
      <c r="U540" s="519"/>
      <c r="V540" s="519"/>
      <c r="W540" s="519"/>
      <c r="X540" s="519"/>
      <c r="Y540" s="519"/>
      <c r="Z540" s="519"/>
      <c r="AA540" s="519"/>
      <c r="AB540" s="519"/>
      <c r="AC540" s="519"/>
      <c r="AD540" s="519"/>
      <c r="AE540" s="519"/>
      <c r="AF540" s="519"/>
      <c r="AG540" s="519"/>
      <c r="AH540" s="519"/>
      <c r="AI540" s="519"/>
      <c r="AJ540" s="519"/>
      <c r="AK540" s="519"/>
      <c r="AL540" s="519"/>
      <c r="AM540" s="519"/>
      <c r="AN540" s="1329"/>
      <c r="AO540" s="519"/>
      <c r="AP540" s="519"/>
      <c r="AQ540" s="519"/>
      <c r="AR540" s="1329"/>
      <c r="AS540" s="519"/>
      <c r="AT540" s="519"/>
      <c r="AU540" s="519"/>
      <c r="AV540" s="519"/>
      <c r="AW540" s="519"/>
      <c r="AX540" s="519"/>
      <c r="AY540" s="519"/>
      <c r="AZ540" s="519"/>
      <c r="BA540" s="519"/>
      <c r="BB540" s="519"/>
      <c r="BC540" s="519"/>
      <c r="BD540" s="519"/>
      <c r="BE540" s="519"/>
      <c r="BF540" s="519"/>
      <c r="BG540" s="519"/>
      <c r="BH540" s="519"/>
      <c r="BI540" s="519"/>
      <c r="BJ540" s="519"/>
      <c r="BK540" s="519"/>
      <c r="BL540" s="519"/>
      <c r="BM540" s="519"/>
      <c r="BN540" s="519"/>
      <c r="BO540" s="519"/>
    </row>
    <row r="541" spans="3:67">
      <c r="C541" s="541"/>
      <c r="D541" s="490"/>
      <c r="E541" s="490"/>
      <c r="F541" s="490"/>
      <c r="G541" s="490"/>
      <c r="H541" s="541"/>
      <c r="I541" s="490"/>
      <c r="J541" s="490"/>
      <c r="K541" s="490"/>
      <c r="L541" s="490"/>
      <c r="M541" s="541"/>
      <c r="N541" s="490"/>
      <c r="O541" s="490"/>
      <c r="P541" s="490"/>
      <c r="Q541" s="490"/>
      <c r="R541" s="541"/>
      <c r="S541" s="490"/>
      <c r="T541" s="490"/>
      <c r="U541" s="490"/>
      <c r="V541" s="490"/>
      <c r="W541" s="541"/>
      <c r="X541" s="490"/>
      <c r="Y541" s="490"/>
      <c r="Z541" s="490"/>
      <c r="AA541" s="490"/>
      <c r="AB541" s="541"/>
      <c r="AC541" s="490"/>
      <c r="AD541" s="490"/>
      <c r="AE541" s="490"/>
      <c r="AF541" s="490"/>
      <c r="AG541" s="541"/>
      <c r="AH541" s="490"/>
      <c r="AI541" s="490"/>
      <c r="AJ541" s="490"/>
      <c r="AK541" s="490"/>
      <c r="AL541" s="541"/>
      <c r="AM541" s="490"/>
      <c r="AN541" s="1298"/>
      <c r="AO541" s="490"/>
      <c r="AP541" s="490"/>
      <c r="AQ541" s="541"/>
      <c r="AR541" s="1298"/>
      <c r="AS541" s="490"/>
      <c r="AT541" s="490"/>
      <c r="AU541" s="490"/>
      <c r="AV541" s="541"/>
      <c r="AW541" s="490"/>
      <c r="AX541" s="490"/>
      <c r="AY541" s="490"/>
      <c r="AZ541" s="490"/>
      <c r="BA541" s="541"/>
      <c r="BB541" s="490"/>
      <c r="BC541" s="490"/>
      <c r="BD541" s="490"/>
      <c r="BE541" s="490"/>
      <c r="BF541" s="541"/>
      <c r="BG541" s="490"/>
      <c r="BH541" s="490"/>
      <c r="BI541" s="490"/>
      <c r="BJ541" s="490"/>
      <c r="BK541" s="541"/>
      <c r="BL541" s="490"/>
      <c r="BM541" s="490"/>
      <c r="BN541" s="490"/>
      <c r="BO541" s="490"/>
    </row>
    <row r="542" spans="3:67">
      <c r="C542" s="541"/>
      <c r="D542" s="490"/>
      <c r="E542" s="490"/>
      <c r="F542" s="490"/>
      <c r="G542" s="490"/>
      <c r="H542" s="541"/>
      <c r="I542" s="490"/>
      <c r="J542" s="490"/>
      <c r="K542" s="490"/>
      <c r="L542" s="490"/>
      <c r="M542" s="541"/>
      <c r="N542" s="490"/>
      <c r="O542" s="490"/>
      <c r="P542" s="490"/>
      <c r="Q542" s="490"/>
      <c r="R542" s="541"/>
      <c r="S542" s="490"/>
      <c r="T542" s="490"/>
      <c r="U542" s="490"/>
      <c r="V542" s="490"/>
      <c r="W542" s="541"/>
      <c r="X542" s="490"/>
      <c r="Y542" s="490"/>
      <c r="Z542" s="490"/>
      <c r="AA542" s="490"/>
      <c r="AB542" s="541"/>
      <c r="AC542" s="490"/>
      <c r="AD542" s="490"/>
      <c r="AE542" s="490"/>
      <c r="AF542" s="490"/>
      <c r="AG542" s="541"/>
      <c r="AH542" s="490"/>
      <c r="AI542" s="490"/>
      <c r="AJ542" s="490"/>
      <c r="AK542" s="490"/>
      <c r="AL542" s="541"/>
      <c r="AM542" s="490"/>
      <c r="AN542" s="1298"/>
      <c r="AO542" s="490"/>
      <c r="AP542" s="490"/>
      <c r="AQ542" s="541"/>
      <c r="AR542" s="1298"/>
      <c r="AS542" s="490"/>
      <c r="AT542" s="490"/>
      <c r="AU542" s="490"/>
      <c r="AV542" s="541"/>
      <c r="AW542" s="490"/>
      <c r="AX542" s="490"/>
      <c r="AY542" s="490"/>
      <c r="AZ542" s="490"/>
      <c r="BA542" s="541"/>
      <c r="BB542" s="490"/>
      <c r="BC542" s="490"/>
      <c r="BD542" s="490"/>
      <c r="BE542" s="490"/>
      <c r="BF542" s="541"/>
      <c r="BG542" s="490"/>
      <c r="BH542" s="490"/>
      <c r="BI542" s="490"/>
      <c r="BJ542" s="490"/>
      <c r="BK542" s="541"/>
      <c r="BL542" s="490"/>
      <c r="BM542" s="490"/>
      <c r="BN542" s="490"/>
      <c r="BO542" s="490"/>
    </row>
    <row r="543" spans="3:67">
      <c r="C543" s="542"/>
      <c r="D543" s="542"/>
      <c r="E543" s="542"/>
      <c r="F543" s="542"/>
      <c r="G543" s="542"/>
      <c r="H543" s="542"/>
      <c r="I543" s="542"/>
      <c r="J543" s="542"/>
      <c r="K543" s="542"/>
      <c r="L543" s="542"/>
      <c r="M543" s="542"/>
      <c r="N543" s="542"/>
      <c r="O543" s="542"/>
      <c r="P543" s="542"/>
      <c r="Q543" s="542"/>
      <c r="R543" s="542"/>
      <c r="S543" s="542"/>
      <c r="T543" s="542"/>
      <c r="U543" s="542"/>
      <c r="V543" s="542"/>
      <c r="W543" s="542"/>
      <c r="X543" s="542"/>
      <c r="Y543" s="542"/>
      <c r="Z543" s="542"/>
      <c r="AA543" s="542"/>
      <c r="AB543" s="542"/>
      <c r="AC543" s="542"/>
      <c r="AD543" s="542"/>
      <c r="AE543" s="542"/>
      <c r="AF543" s="542"/>
      <c r="AG543" s="542"/>
      <c r="AH543" s="542"/>
      <c r="AI543" s="542"/>
      <c r="AJ543" s="542"/>
      <c r="AK543" s="542"/>
      <c r="AL543" s="542"/>
      <c r="AM543" s="542"/>
      <c r="AN543" s="1322"/>
      <c r="AO543" s="542"/>
      <c r="AP543" s="542"/>
      <c r="AQ543" s="542"/>
      <c r="AR543" s="1322"/>
      <c r="AS543" s="542"/>
      <c r="AT543" s="542"/>
      <c r="AU543" s="542"/>
      <c r="AV543" s="542"/>
      <c r="AW543" s="542"/>
      <c r="AX543" s="542"/>
      <c r="AY543" s="542"/>
      <c r="AZ543" s="542"/>
      <c r="BA543" s="542"/>
      <c r="BB543" s="542"/>
      <c r="BC543" s="542"/>
      <c r="BD543" s="542"/>
      <c r="BE543" s="542"/>
      <c r="BF543" s="542"/>
      <c r="BG543" s="542"/>
      <c r="BH543" s="542"/>
      <c r="BI543" s="542"/>
      <c r="BJ543" s="542"/>
      <c r="BK543" s="542"/>
      <c r="BL543" s="542"/>
      <c r="BM543" s="542"/>
      <c r="BN543" s="542"/>
      <c r="BO543" s="542"/>
    </row>
    <row r="544" spans="3:67">
      <c r="C544" s="490"/>
      <c r="D544" s="490"/>
      <c r="E544" s="490"/>
      <c r="F544" s="490"/>
      <c r="G544" s="490"/>
      <c r="H544" s="490"/>
      <c r="I544" s="490"/>
      <c r="J544" s="490"/>
      <c r="K544" s="490"/>
      <c r="L544" s="490"/>
      <c r="M544" s="490"/>
      <c r="N544" s="490"/>
      <c r="O544" s="490"/>
      <c r="P544" s="490"/>
      <c r="Q544" s="490"/>
      <c r="R544" s="490"/>
      <c r="S544" s="490"/>
      <c r="T544" s="490"/>
      <c r="U544" s="490"/>
      <c r="V544" s="490"/>
      <c r="W544" s="490"/>
      <c r="X544" s="490"/>
      <c r="Y544" s="490"/>
      <c r="Z544" s="490"/>
      <c r="AA544" s="490"/>
      <c r="AB544" s="490"/>
      <c r="AC544" s="490"/>
      <c r="AD544" s="490"/>
      <c r="AE544" s="490"/>
      <c r="AF544" s="490"/>
      <c r="AG544" s="490"/>
      <c r="AH544" s="490"/>
      <c r="AI544" s="490"/>
      <c r="AJ544" s="490"/>
      <c r="AK544" s="490"/>
      <c r="AL544" s="490"/>
      <c r="AM544" s="490"/>
      <c r="AN544" s="1298"/>
      <c r="AO544" s="490"/>
      <c r="AP544" s="490"/>
      <c r="AQ544" s="490"/>
      <c r="AR544" s="1298"/>
      <c r="AS544" s="490"/>
      <c r="AT544" s="490"/>
      <c r="AU544" s="490"/>
      <c r="AV544" s="490"/>
      <c r="AW544" s="490"/>
      <c r="AX544" s="490"/>
      <c r="AY544" s="490"/>
      <c r="AZ544" s="490"/>
      <c r="BA544" s="490"/>
      <c r="BB544" s="490"/>
      <c r="BC544" s="490"/>
      <c r="BD544" s="490"/>
      <c r="BE544" s="490"/>
      <c r="BF544" s="490"/>
      <c r="BG544" s="490"/>
      <c r="BH544" s="490"/>
      <c r="BI544" s="490"/>
      <c r="BJ544" s="490"/>
      <c r="BK544" s="490"/>
      <c r="BL544" s="490"/>
      <c r="BM544" s="490"/>
      <c r="BN544" s="490"/>
      <c r="BO544" s="490"/>
    </row>
    <row r="545" spans="3:67">
      <c r="C545" s="541"/>
      <c r="D545" s="490"/>
      <c r="E545" s="490"/>
      <c r="F545" s="490"/>
      <c r="G545" s="490"/>
      <c r="H545" s="541"/>
      <c r="I545" s="490"/>
      <c r="J545" s="490"/>
      <c r="K545" s="490"/>
      <c r="L545" s="490"/>
      <c r="M545" s="541"/>
      <c r="N545" s="490"/>
      <c r="O545" s="490"/>
      <c r="P545" s="490"/>
      <c r="Q545" s="490"/>
      <c r="R545" s="541"/>
      <c r="S545" s="490"/>
      <c r="T545" s="490"/>
      <c r="U545" s="490"/>
      <c r="V545" s="490"/>
      <c r="W545" s="541"/>
      <c r="X545" s="490"/>
      <c r="Y545" s="490"/>
      <c r="Z545" s="490"/>
      <c r="AA545" s="490"/>
      <c r="AB545" s="541"/>
      <c r="AC545" s="490"/>
      <c r="AD545" s="490"/>
      <c r="AE545" s="490"/>
      <c r="AF545" s="490"/>
      <c r="AG545" s="541"/>
      <c r="AH545" s="490"/>
      <c r="AI545" s="490"/>
      <c r="AJ545" s="490"/>
      <c r="AK545" s="490"/>
      <c r="AL545" s="541"/>
      <c r="AM545" s="490"/>
      <c r="AN545" s="1298"/>
      <c r="AO545" s="490"/>
      <c r="AP545" s="490"/>
      <c r="AQ545" s="541"/>
      <c r="AR545" s="1298"/>
      <c r="AS545" s="490"/>
      <c r="AT545" s="490"/>
      <c r="AU545" s="490"/>
      <c r="AV545" s="541"/>
      <c r="AW545" s="490"/>
      <c r="AX545" s="490"/>
      <c r="AY545" s="490"/>
      <c r="AZ545" s="490"/>
      <c r="BA545" s="541"/>
      <c r="BB545" s="490"/>
      <c r="BC545" s="490"/>
      <c r="BD545" s="490"/>
      <c r="BE545" s="490"/>
      <c r="BF545" s="541"/>
      <c r="BG545" s="490"/>
      <c r="BH545" s="490"/>
      <c r="BI545" s="490"/>
      <c r="BJ545" s="490"/>
      <c r="BK545" s="541"/>
      <c r="BL545" s="490"/>
      <c r="BM545" s="490"/>
      <c r="BN545" s="490"/>
      <c r="BO545" s="490"/>
    </row>
    <row r="546" spans="3:67">
      <c r="C546" s="541"/>
      <c r="D546" s="490"/>
      <c r="E546" s="490"/>
      <c r="F546" s="490"/>
      <c r="G546" s="490"/>
      <c r="H546" s="541"/>
      <c r="I546" s="490"/>
      <c r="J546" s="490"/>
      <c r="K546" s="490"/>
      <c r="L546" s="490"/>
      <c r="M546" s="541"/>
      <c r="N546" s="490"/>
      <c r="O546" s="490"/>
      <c r="P546" s="490"/>
      <c r="Q546" s="490"/>
      <c r="R546" s="541"/>
      <c r="S546" s="490"/>
      <c r="T546" s="490"/>
      <c r="U546" s="490"/>
      <c r="V546" s="490"/>
      <c r="W546" s="541"/>
      <c r="X546" s="490"/>
      <c r="Y546" s="490"/>
      <c r="Z546" s="490"/>
      <c r="AA546" s="490"/>
      <c r="AB546" s="541"/>
      <c r="AC546" s="490"/>
      <c r="AD546" s="490"/>
      <c r="AE546" s="490"/>
      <c r="AF546" s="490"/>
      <c r="AG546" s="541"/>
      <c r="AH546" s="490"/>
      <c r="AI546" s="490"/>
      <c r="AJ546" s="490"/>
      <c r="AK546" s="490"/>
      <c r="AL546" s="541"/>
      <c r="AM546" s="490"/>
      <c r="AN546" s="1298"/>
      <c r="AO546" s="490"/>
      <c r="AP546" s="490"/>
      <c r="AQ546" s="541"/>
      <c r="AR546" s="1298"/>
      <c r="AS546" s="490"/>
      <c r="AT546" s="490"/>
      <c r="AU546" s="490"/>
      <c r="AV546" s="541"/>
      <c r="AW546" s="490"/>
      <c r="AX546" s="490"/>
      <c r="AY546" s="490"/>
      <c r="AZ546" s="490"/>
      <c r="BA546" s="541"/>
      <c r="BB546" s="490"/>
      <c r="BC546" s="490"/>
      <c r="BD546" s="490"/>
      <c r="BE546" s="490"/>
      <c r="BF546" s="541"/>
      <c r="BG546" s="490"/>
      <c r="BH546" s="490"/>
      <c r="BI546" s="490"/>
      <c r="BJ546" s="490"/>
      <c r="BK546" s="541"/>
      <c r="BL546" s="490"/>
      <c r="BM546" s="490"/>
      <c r="BN546" s="490"/>
      <c r="BO546" s="490"/>
    </row>
    <row r="547" spans="3:67">
      <c r="C547" s="541"/>
      <c r="D547" s="490"/>
      <c r="E547" s="490"/>
      <c r="F547" s="490"/>
      <c r="G547" s="490"/>
      <c r="H547" s="541"/>
      <c r="I547" s="490"/>
      <c r="J547" s="490"/>
      <c r="K547" s="490"/>
      <c r="L547" s="490"/>
      <c r="M547" s="541"/>
      <c r="N547" s="490"/>
      <c r="O547" s="490"/>
      <c r="P547" s="490"/>
      <c r="Q547" s="490"/>
      <c r="R547" s="541"/>
      <c r="S547" s="490"/>
      <c r="T547" s="490"/>
      <c r="U547" s="490"/>
      <c r="V547" s="490"/>
      <c r="W547" s="541"/>
      <c r="X547" s="490"/>
      <c r="Y547" s="490"/>
      <c r="Z547" s="490"/>
      <c r="AA547" s="490"/>
      <c r="AB547" s="541"/>
      <c r="AC547" s="490"/>
      <c r="AD547" s="490"/>
      <c r="AE547" s="490"/>
      <c r="AF547" s="490"/>
      <c r="AG547" s="541"/>
      <c r="AH547" s="490"/>
      <c r="AI547" s="490"/>
      <c r="AJ547" s="490"/>
      <c r="AK547" s="490"/>
      <c r="AL547" s="541"/>
      <c r="AM547" s="490"/>
      <c r="AN547" s="1298"/>
      <c r="AO547" s="490"/>
      <c r="AP547" s="490"/>
      <c r="AQ547" s="541"/>
      <c r="AR547" s="1298"/>
      <c r="AS547" s="490"/>
      <c r="AT547" s="490"/>
      <c r="AU547" s="490"/>
      <c r="AV547" s="541"/>
      <c r="AW547" s="490"/>
      <c r="AX547" s="490"/>
      <c r="AY547" s="490"/>
      <c r="AZ547" s="490"/>
      <c r="BA547" s="541"/>
      <c r="BB547" s="490"/>
      <c r="BC547" s="490"/>
      <c r="BD547" s="490"/>
      <c r="BE547" s="490"/>
      <c r="BF547" s="541"/>
      <c r="BG547" s="490"/>
      <c r="BH547" s="490"/>
      <c r="BI547" s="490"/>
      <c r="BJ547" s="490"/>
      <c r="BK547" s="541"/>
      <c r="BL547" s="490"/>
      <c r="BM547" s="490"/>
      <c r="BN547" s="490"/>
      <c r="BO547" s="490"/>
    </row>
    <row r="548" spans="3:67">
      <c r="C548" s="541"/>
      <c r="D548" s="490"/>
      <c r="E548" s="490"/>
      <c r="F548" s="490"/>
      <c r="G548" s="490"/>
      <c r="H548" s="541"/>
      <c r="I548" s="490"/>
      <c r="J548" s="490"/>
      <c r="K548" s="490"/>
      <c r="L548" s="490"/>
      <c r="M548" s="541"/>
      <c r="N548" s="490"/>
      <c r="O548" s="490"/>
      <c r="P548" s="490"/>
      <c r="Q548" s="490"/>
      <c r="R548" s="541"/>
      <c r="S548" s="490"/>
      <c r="T548" s="490"/>
      <c r="U548" s="490"/>
      <c r="V548" s="490"/>
      <c r="W548" s="541"/>
      <c r="X548" s="490"/>
      <c r="Y548" s="490"/>
      <c r="Z548" s="490"/>
      <c r="AA548" s="490"/>
      <c r="AB548" s="541"/>
      <c r="AC548" s="490"/>
      <c r="AD548" s="490"/>
      <c r="AE548" s="490"/>
      <c r="AF548" s="490"/>
      <c r="AG548" s="541"/>
      <c r="AH548" s="490"/>
      <c r="AI548" s="490"/>
      <c r="AJ548" s="490"/>
      <c r="AK548" s="490"/>
      <c r="AL548" s="541"/>
      <c r="AM548" s="490"/>
      <c r="AN548" s="1298"/>
      <c r="AO548" s="490"/>
      <c r="AP548" s="490"/>
      <c r="AQ548" s="541"/>
      <c r="AR548" s="1298"/>
      <c r="AS548" s="490"/>
      <c r="AT548" s="490"/>
      <c r="AU548" s="490"/>
      <c r="AV548" s="541"/>
      <c r="AW548" s="490"/>
      <c r="AX548" s="490"/>
      <c r="AY548" s="490"/>
      <c r="AZ548" s="490"/>
      <c r="BA548" s="541"/>
      <c r="BB548" s="490"/>
      <c r="BC548" s="490"/>
      <c r="BD548" s="490"/>
      <c r="BE548" s="490"/>
      <c r="BF548" s="541"/>
      <c r="BG548" s="490"/>
      <c r="BH548" s="490"/>
      <c r="BI548" s="490"/>
      <c r="BJ548" s="490"/>
      <c r="BK548" s="541"/>
      <c r="BL548" s="490"/>
      <c r="BM548" s="490"/>
      <c r="BN548" s="490"/>
      <c r="BO548" s="490"/>
    </row>
    <row r="549" spans="3:67">
      <c r="C549" s="541"/>
      <c r="D549" s="490"/>
      <c r="E549" s="490"/>
      <c r="F549" s="490"/>
      <c r="G549" s="490"/>
      <c r="H549" s="541"/>
      <c r="I549" s="490"/>
      <c r="J549" s="490"/>
      <c r="K549" s="490"/>
      <c r="L549" s="490"/>
      <c r="M549" s="541"/>
      <c r="N549" s="490"/>
      <c r="O549" s="490"/>
      <c r="P549" s="490"/>
      <c r="Q549" s="490"/>
      <c r="R549" s="541"/>
      <c r="S549" s="490"/>
      <c r="T549" s="490"/>
      <c r="U549" s="490"/>
      <c r="V549" s="490"/>
      <c r="W549" s="541"/>
      <c r="X549" s="490"/>
      <c r="Y549" s="490"/>
      <c r="Z549" s="490"/>
      <c r="AA549" s="490"/>
      <c r="AB549" s="541"/>
      <c r="AC549" s="490"/>
      <c r="AD549" s="490"/>
      <c r="AE549" s="490"/>
      <c r="AF549" s="490"/>
      <c r="AG549" s="541"/>
      <c r="AH549" s="490"/>
      <c r="AI549" s="490"/>
      <c r="AJ549" s="490"/>
      <c r="AK549" s="490"/>
      <c r="AL549" s="541"/>
      <c r="AM549" s="490"/>
      <c r="AN549" s="1298"/>
      <c r="AO549" s="490"/>
      <c r="AP549" s="490"/>
      <c r="AQ549" s="541"/>
      <c r="AR549" s="1298"/>
      <c r="AS549" s="490"/>
      <c r="AT549" s="490"/>
      <c r="AU549" s="490"/>
      <c r="AV549" s="541"/>
      <c r="AW549" s="490"/>
      <c r="AX549" s="490"/>
      <c r="AY549" s="490"/>
      <c r="AZ549" s="490"/>
      <c r="BA549" s="541"/>
      <c r="BB549" s="490"/>
      <c r="BC549" s="490"/>
      <c r="BD549" s="490"/>
      <c r="BE549" s="490"/>
      <c r="BF549" s="541"/>
      <c r="BG549" s="490"/>
      <c r="BH549" s="490"/>
      <c r="BI549" s="490"/>
      <c r="BJ549" s="490"/>
      <c r="BK549" s="541"/>
      <c r="BL549" s="490"/>
      <c r="BM549" s="490"/>
      <c r="BN549" s="490"/>
      <c r="BO549" s="490"/>
    </row>
    <row r="550" spans="3:67">
      <c r="C550" s="541"/>
      <c r="D550" s="490"/>
      <c r="E550" s="490"/>
      <c r="F550" s="490"/>
      <c r="G550" s="490"/>
      <c r="H550" s="541"/>
      <c r="I550" s="490"/>
      <c r="J550" s="490"/>
      <c r="K550" s="490"/>
      <c r="L550" s="490"/>
      <c r="M550" s="541"/>
      <c r="N550" s="490"/>
      <c r="O550" s="490"/>
      <c r="P550" s="490"/>
      <c r="Q550" s="490"/>
      <c r="R550" s="541"/>
      <c r="S550" s="490"/>
      <c r="T550" s="490"/>
      <c r="U550" s="490"/>
      <c r="V550" s="490"/>
      <c r="W550" s="541"/>
      <c r="X550" s="490"/>
      <c r="Y550" s="490"/>
      <c r="Z550" s="490"/>
      <c r="AA550" s="490"/>
      <c r="AB550" s="541"/>
      <c r="AC550" s="490"/>
      <c r="AD550" s="490"/>
      <c r="AE550" s="490"/>
      <c r="AF550" s="490"/>
      <c r="AG550" s="541"/>
      <c r="AH550" s="490"/>
      <c r="AI550" s="490"/>
      <c r="AJ550" s="490"/>
      <c r="AK550" s="490"/>
      <c r="AL550" s="541"/>
      <c r="AM550" s="490"/>
      <c r="AN550" s="1298"/>
      <c r="AO550" s="490"/>
      <c r="AP550" s="490"/>
      <c r="AQ550" s="541"/>
      <c r="AR550" s="1298"/>
      <c r="AS550" s="490"/>
      <c r="AT550" s="490"/>
      <c r="AU550" s="490"/>
      <c r="AV550" s="541"/>
      <c r="AW550" s="490"/>
      <c r="AX550" s="490"/>
      <c r="AY550" s="490"/>
      <c r="AZ550" s="490"/>
      <c r="BA550" s="541"/>
      <c r="BB550" s="490"/>
      <c r="BC550" s="490"/>
      <c r="BD550" s="490"/>
      <c r="BE550" s="490"/>
      <c r="BF550" s="541"/>
      <c r="BG550" s="490"/>
      <c r="BH550" s="490"/>
      <c r="BI550" s="490"/>
      <c r="BJ550" s="490"/>
      <c r="BK550" s="541"/>
      <c r="BL550" s="490"/>
      <c r="BM550" s="490"/>
      <c r="BN550" s="490"/>
      <c r="BO550" s="490"/>
    </row>
    <row r="551" spans="3:67">
      <c r="C551" s="490"/>
      <c r="D551" s="490"/>
      <c r="E551" s="490"/>
      <c r="F551" s="490"/>
      <c r="G551" s="490"/>
      <c r="H551" s="490"/>
      <c r="I551" s="490"/>
      <c r="J551" s="490"/>
      <c r="K551" s="490"/>
      <c r="L551" s="490"/>
      <c r="M551" s="490"/>
      <c r="N551" s="490"/>
      <c r="O551" s="490"/>
      <c r="P551" s="490"/>
      <c r="Q551" s="490"/>
      <c r="R551" s="490"/>
      <c r="S551" s="490"/>
      <c r="T551" s="490"/>
      <c r="U551" s="490"/>
      <c r="V551" s="490"/>
      <c r="W551" s="490"/>
      <c r="X551" s="490"/>
      <c r="Y551" s="490"/>
      <c r="Z551" s="490"/>
      <c r="AA551" s="490"/>
      <c r="AB551" s="490"/>
      <c r="AC551" s="490"/>
      <c r="AD551" s="490"/>
      <c r="AE551" s="490"/>
      <c r="AF551" s="490"/>
      <c r="AG551" s="490"/>
      <c r="AH551" s="490"/>
      <c r="AI551" s="490"/>
      <c r="AJ551" s="490"/>
      <c r="AK551" s="490"/>
      <c r="AL551" s="490"/>
      <c r="AM551" s="490"/>
      <c r="AN551" s="1298"/>
      <c r="AO551" s="490"/>
      <c r="AP551" s="490"/>
      <c r="AQ551" s="490"/>
      <c r="AR551" s="1298"/>
      <c r="AS551" s="490"/>
      <c r="AT551" s="490"/>
      <c r="AU551" s="490"/>
      <c r="AV551" s="490"/>
      <c r="AW551" s="490"/>
      <c r="AX551" s="490"/>
      <c r="AY551" s="490"/>
      <c r="AZ551" s="490"/>
      <c r="BA551" s="490"/>
      <c r="BB551" s="490"/>
      <c r="BC551" s="490"/>
      <c r="BD551" s="490"/>
      <c r="BE551" s="490"/>
      <c r="BF551" s="490"/>
      <c r="BG551" s="490"/>
      <c r="BH551" s="490"/>
      <c r="BI551" s="490"/>
      <c r="BJ551" s="490"/>
      <c r="BK551" s="490"/>
      <c r="BL551" s="490"/>
      <c r="BM551" s="490"/>
      <c r="BN551" s="490"/>
      <c r="BO551" s="490"/>
    </row>
    <row r="552" spans="3:67">
      <c r="C552" s="490"/>
      <c r="D552" s="490"/>
      <c r="E552" s="490"/>
      <c r="F552" s="490"/>
      <c r="G552" s="490"/>
      <c r="H552" s="490"/>
      <c r="I552" s="490"/>
      <c r="J552" s="490"/>
      <c r="K552" s="490"/>
      <c r="L552" s="490"/>
      <c r="M552" s="490"/>
      <c r="N552" s="490"/>
      <c r="O552" s="490"/>
      <c r="P552" s="490"/>
      <c r="Q552" s="490"/>
      <c r="R552" s="490"/>
      <c r="S552" s="490"/>
      <c r="T552" s="490"/>
      <c r="U552" s="490"/>
      <c r="V552" s="490"/>
      <c r="W552" s="490"/>
      <c r="X552" s="490"/>
      <c r="Y552" s="490"/>
      <c r="Z552" s="490"/>
      <c r="AA552" s="490"/>
      <c r="AB552" s="490"/>
      <c r="AC552" s="490"/>
      <c r="AD552" s="490"/>
      <c r="AE552" s="490"/>
      <c r="AF552" s="490"/>
      <c r="AG552" s="490"/>
      <c r="AH552" s="490"/>
      <c r="AI552" s="490"/>
      <c r="AJ552" s="490"/>
      <c r="AK552" s="490"/>
      <c r="AL552" s="490"/>
      <c r="AM552" s="490"/>
      <c r="AN552" s="1298"/>
      <c r="AO552" s="490"/>
      <c r="AP552" s="490"/>
      <c r="AQ552" s="490"/>
      <c r="AR552" s="1298"/>
      <c r="AS552" s="490"/>
      <c r="AT552" s="490"/>
      <c r="AU552" s="490"/>
      <c r="AV552" s="490"/>
      <c r="AW552" s="490"/>
      <c r="AX552" s="490"/>
      <c r="AY552" s="490"/>
      <c r="AZ552" s="490"/>
      <c r="BA552" s="490"/>
      <c r="BB552" s="490"/>
      <c r="BC552" s="490"/>
      <c r="BD552" s="490"/>
      <c r="BE552" s="490"/>
      <c r="BF552" s="490"/>
      <c r="BG552" s="490"/>
      <c r="BH552" s="490"/>
      <c r="BI552" s="490"/>
      <c r="BJ552" s="490"/>
      <c r="BK552" s="490"/>
      <c r="BL552" s="490"/>
      <c r="BM552" s="490"/>
      <c r="BN552" s="490"/>
      <c r="BO552" s="490"/>
    </row>
    <row r="553" spans="3:67">
      <c r="C553" s="394"/>
      <c r="D553" s="394"/>
      <c r="E553" s="394"/>
      <c r="F553" s="394"/>
      <c r="G553" s="394"/>
      <c r="H553" s="394"/>
      <c r="I553" s="394"/>
      <c r="J553" s="394"/>
      <c r="K553" s="394"/>
      <c r="L553" s="394"/>
      <c r="M553" s="394"/>
      <c r="N553" s="394"/>
      <c r="O553" s="394"/>
      <c r="P553" s="394"/>
      <c r="Q553" s="394"/>
      <c r="R553" s="394"/>
      <c r="S553" s="394"/>
      <c r="T553" s="394"/>
      <c r="U553" s="394"/>
      <c r="V553" s="394"/>
      <c r="W553" s="394"/>
      <c r="X553" s="394"/>
      <c r="Y553" s="394"/>
      <c r="Z553" s="394"/>
      <c r="AA553" s="394"/>
      <c r="AB553" s="394"/>
      <c r="AC553" s="394"/>
      <c r="AD553" s="394"/>
      <c r="AE553" s="394"/>
      <c r="AF553" s="394"/>
      <c r="AG553" s="394"/>
      <c r="AH553" s="394"/>
      <c r="AI553" s="394"/>
      <c r="AJ553" s="394"/>
      <c r="AK553" s="394"/>
      <c r="AL553" s="394"/>
      <c r="AM553" s="394"/>
      <c r="AN553" s="1317"/>
      <c r="AO553" s="394"/>
      <c r="AP553" s="394"/>
      <c r="AQ553" s="394"/>
      <c r="AR553" s="1317"/>
      <c r="AS553" s="394"/>
      <c r="AT553" s="394"/>
      <c r="AU553" s="394"/>
      <c r="AV553" s="394"/>
      <c r="AW553" s="394"/>
      <c r="AX553" s="394"/>
      <c r="AY553" s="394"/>
      <c r="AZ553" s="394"/>
      <c r="BA553" s="394"/>
      <c r="BB553" s="394"/>
      <c r="BC553" s="394"/>
      <c r="BD553" s="394"/>
      <c r="BE553" s="394"/>
      <c r="BF553" s="394"/>
      <c r="BG553" s="394"/>
      <c r="BH553" s="394"/>
      <c r="BI553" s="394"/>
      <c r="BJ553" s="394"/>
      <c r="BK553" s="394"/>
      <c r="BL553" s="394"/>
      <c r="BM553" s="394"/>
      <c r="BN553" s="394"/>
      <c r="BO553" s="394"/>
    </row>
    <row r="554" spans="3:67">
      <c r="C554" s="470"/>
      <c r="D554" s="470"/>
      <c r="E554" s="470"/>
      <c r="F554" s="470"/>
      <c r="G554" s="470"/>
      <c r="H554" s="470"/>
      <c r="I554" s="470"/>
      <c r="J554" s="470"/>
      <c r="K554" s="470"/>
      <c r="L554" s="470"/>
      <c r="M554" s="470"/>
      <c r="N554" s="470"/>
      <c r="O554" s="470"/>
      <c r="P554" s="470"/>
      <c r="Q554" s="470"/>
      <c r="R554" s="470"/>
      <c r="S554" s="470"/>
      <c r="T554" s="470"/>
      <c r="U554" s="470"/>
      <c r="V554" s="470"/>
      <c r="W554" s="470"/>
      <c r="X554" s="470"/>
      <c r="Y554" s="470"/>
      <c r="Z554" s="470"/>
      <c r="AA554" s="470"/>
      <c r="AB554" s="470"/>
      <c r="AC554" s="470"/>
      <c r="AD554" s="470"/>
      <c r="AE554" s="470"/>
      <c r="AF554" s="470"/>
      <c r="AG554" s="470"/>
      <c r="AH554" s="470"/>
      <c r="AI554" s="470"/>
      <c r="AJ554" s="470"/>
      <c r="AK554" s="470"/>
      <c r="AL554" s="470"/>
      <c r="AM554" s="470"/>
      <c r="AN554" s="1330"/>
      <c r="AO554" s="470"/>
      <c r="AP554" s="470"/>
      <c r="AQ554" s="470"/>
      <c r="AR554" s="1330"/>
      <c r="AS554" s="470"/>
      <c r="AT554" s="470"/>
      <c r="AU554" s="470"/>
      <c r="AV554" s="470"/>
      <c r="AW554" s="470"/>
      <c r="AX554" s="470"/>
      <c r="AY554" s="470"/>
      <c r="AZ554" s="470"/>
      <c r="BA554" s="470"/>
      <c r="BB554" s="470"/>
      <c r="BC554" s="470"/>
      <c r="BD554" s="470"/>
      <c r="BE554" s="470"/>
      <c r="BF554" s="470"/>
      <c r="BG554" s="470"/>
      <c r="BH554" s="470"/>
      <c r="BI554" s="470"/>
      <c r="BJ554" s="470"/>
      <c r="BK554" s="470"/>
      <c r="BL554" s="470"/>
      <c r="BM554" s="470"/>
      <c r="BN554" s="470"/>
      <c r="BO554" s="470"/>
    </row>
    <row r="555" spans="3:67">
      <c r="C555" s="550"/>
      <c r="D555" s="550"/>
      <c r="E555" s="550"/>
      <c r="F555" s="550"/>
      <c r="G555" s="550"/>
      <c r="H555" s="550"/>
      <c r="I555" s="550"/>
      <c r="J555" s="550"/>
      <c r="K555" s="550"/>
      <c r="L555" s="550"/>
      <c r="M555" s="550"/>
      <c r="N555" s="550"/>
      <c r="O555" s="550"/>
      <c r="P555" s="550"/>
      <c r="Q555" s="550"/>
      <c r="R555" s="550"/>
      <c r="S555" s="550"/>
      <c r="T555" s="550"/>
      <c r="U555" s="550"/>
      <c r="V555" s="550"/>
      <c r="W555" s="550"/>
      <c r="X555" s="550"/>
      <c r="Y555" s="550"/>
      <c r="Z555" s="550"/>
      <c r="AA555" s="550"/>
      <c r="AB555" s="550"/>
      <c r="AC555" s="550"/>
      <c r="AD555" s="550"/>
      <c r="AE555" s="550"/>
      <c r="AF555" s="550"/>
      <c r="AG555" s="550"/>
      <c r="AH555" s="550"/>
      <c r="AI555" s="550"/>
      <c r="AJ555" s="550"/>
      <c r="AK555" s="550"/>
      <c r="AL555" s="550"/>
      <c r="AM555" s="550"/>
      <c r="AN555" s="1331"/>
      <c r="AO555" s="550"/>
      <c r="AP555" s="550"/>
      <c r="AQ555" s="550"/>
      <c r="AR555" s="1331"/>
      <c r="AS555" s="550"/>
      <c r="AT555" s="550"/>
      <c r="AU555" s="550"/>
      <c r="AV555" s="550"/>
      <c r="AW555" s="550"/>
      <c r="AX555" s="550"/>
      <c r="AY555" s="550"/>
      <c r="AZ555" s="550"/>
      <c r="BA555" s="550"/>
      <c r="BB555" s="550"/>
      <c r="BC555" s="550"/>
      <c r="BD555" s="550"/>
      <c r="BE555" s="550"/>
      <c r="BF555" s="550"/>
      <c r="BG555" s="550"/>
      <c r="BH555" s="550"/>
      <c r="BI555" s="550"/>
      <c r="BJ555" s="550"/>
      <c r="BK555" s="550"/>
      <c r="BL555" s="550"/>
      <c r="BM555" s="550"/>
      <c r="BN555" s="550"/>
      <c r="BO555" s="550"/>
    </row>
    <row r="556" spans="3:67">
      <c r="C556" s="550"/>
      <c r="D556" s="550"/>
      <c r="E556" s="550"/>
      <c r="F556" s="550"/>
      <c r="G556" s="550"/>
      <c r="H556" s="550"/>
      <c r="I556" s="550"/>
      <c r="J556" s="550"/>
      <c r="K556" s="550"/>
      <c r="L556" s="550"/>
      <c r="M556" s="550"/>
      <c r="N556" s="550"/>
      <c r="O556" s="550"/>
      <c r="P556" s="550"/>
      <c r="Q556" s="550"/>
      <c r="R556" s="550"/>
      <c r="S556" s="550"/>
      <c r="T556" s="550"/>
      <c r="U556" s="550"/>
      <c r="V556" s="550"/>
      <c r="W556" s="550"/>
      <c r="X556" s="550"/>
      <c r="Y556" s="550"/>
      <c r="Z556" s="550"/>
      <c r="AA556" s="550"/>
      <c r="AB556" s="550"/>
      <c r="AC556" s="550"/>
      <c r="AD556" s="550"/>
      <c r="AE556" s="550"/>
      <c r="AF556" s="550"/>
      <c r="AG556" s="550"/>
      <c r="AH556" s="550"/>
      <c r="AI556" s="550"/>
      <c r="AJ556" s="550"/>
      <c r="AK556" s="550"/>
      <c r="AL556" s="550"/>
      <c r="AM556" s="550"/>
      <c r="AN556" s="1331"/>
      <c r="AO556" s="550"/>
      <c r="AP556" s="550"/>
      <c r="AQ556" s="550"/>
      <c r="AR556" s="1331"/>
      <c r="AS556" s="550"/>
      <c r="AT556" s="550"/>
      <c r="AU556" s="550"/>
      <c r="AV556" s="550"/>
      <c r="AW556" s="550"/>
      <c r="AX556" s="550"/>
      <c r="AY556" s="550"/>
      <c r="AZ556" s="550"/>
      <c r="BA556" s="550"/>
      <c r="BB556" s="550"/>
      <c r="BC556" s="550"/>
      <c r="BD556" s="550"/>
      <c r="BE556" s="550"/>
      <c r="BF556" s="550"/>
      <c r="BG556" s="550"/>
      <c r="BH556" s="550"/>
      <c r="BI556" s="550"/>
      <c r="BJ556" s="550"/>
      <c r="BK556" s="550"/>
      <c r="BL556" s="550"/>
      <c r="BM556" s="550"/>
      <c r="BN556" s="550"/>
      <c r="BO556" s="550"/>
    </row>
    <row r="557" spans="3:67">
      <c r="C557" s="551"/>
      <c r="D557" s="545"/>
      <c r="E557" s="545"/>
      <c r="F557" s="545"/>
      <c r="G557" s="545"/>
      <c r="H557" s="551"/>
      <c r="I557" s="545"/>
      <c r="J557" s="545"/>
      <c r="K557" s="545"/>
      <c r="L557" s="545"/>
      <c r="M557" s="551"/>
      <c r="N557" s="545"/>
      <c r="O557" s="545"/>
      <c r="P557" s="545"/>
      <c r="Q557" s="545"/>
      <c r="R557" s="551"/>
      <c r="S557" s="545"/>
      <c r="T557" s="545"/>
      <c r="U557" s="545"/>
      <c r="V557" s="545"/>
      <c r="W557" s="551"/>
      <c r="X557" s="545"/>
      <c r="Y557" s="545"/>
      <c r="Z557" s="545"/>
      <c r="AA557" s="545"/>
      <c r="AB557" s="551"/>
      <c r="AC557" s="545"/>
      <c r="AD557" s="545"/>
      <c r="AE557" s="545"/>
      <c r="AF557" s="545"/>
      <c r="AG557" s="551"/>
      <c r="AH557" s="545"/>
      <c r="AI557" s="545"/>
      <c r="AJ557" s="545"/>
      <c r="AK557" s="545"/>
      <c r="AL557" s="551"/>
      <c r="AM557" s="545"/>
      <c r="AN557" s="1324"/>
      <c r="AO557" s="545"/>
      <c r="AP557" s="545"/>
      <c r="AQ557" s="551"/>
      <c r="AR557" s="1324"/>
      <c r="AS557" s="545"/>
      <c r="AT557" s="545"/>
      <c r="AU557" s="545"/>
      <c r="AV557" s="551"/>
      <c r="AW557" s="545"/>
      <c r="AX557" s="545"/>
      <c r="AY557" s="545"/>
      <c r="AZ557" s="545"/>
      <c r="BA557" s="551"/>
      <c r="BB557" s="545"/>
      <c r="BC557" s="545"/>
      <c r="BD557" s="545"/>
      <c r="BE557" s="545"/>
      <c r="BF557" s="551"/>
      <c r="BG557" s="545"/>
      <c r="BH557" s="545"/>
      <c r="BI557" s="545"/>
      <c r="BJ557" s="545"/>
      <c r="BK557" s="551"/>
      <c r="BL557" s="545"/>
      <c r="BM557" s="545"/>
      <c r="BN557" s="545"/>
      <c r="BO557" s="545"/>
    </row>
    <row r="558" spans="3:67">
      <c r="C558" s="552"/>
      <c r="D558" s="552"/>
      <c r="E558" s="552"/>
      <c r="F558" s="552"/>
      <c r="G558" s="552"/>
      <c r="H558" s="552"/>
      <c r="I558" s="552"/>
      <c r="J558" s="552"/>
      <c r="K558" s="552"/>
      <c r="L558" s="552"/>
      <c r="M558" s="552"/>
      <c r="N558" s="552"/>
      <c r="O558" s="552"/>
      <c r="P558" s="552"/>
      <c r="Q558" s="552"/>
      <c r="R558" s="552"/>
      <c r="S558" s="552"/>
      <c r="T558" s="552"/>
      <c r="U558" s="552"/>
      <c r="V558" s="552"/>
      <c r="W558" s="552"/>
      <c r="X558" s="552"/>
      <c r="Y558" s="552"/>
      <c r="Z558" s="552"/>
      <c r="AA558" s="552"/>
      <c r="AB558" s="552"/>
      <c r="AC558" s="552"/>
      <c r="AD558" s="552"/>
      <c r="AE558" s="552"/>
      <c r="AF558" s="552"/>
      <c r="AG558" s="552"/>
      <c r="AH558" s="552"/>
      <c r="AI558" s="552"/>
      <c r="AJ558" s="552"/>
      <c r="AK558" s="552"/>
      <c r="AL558" s="552"/>
      <c r="AM558" s="552"/>
      <c r="AN558" s="1332"/>
      <c r="AO558" s="552"/>
      <c r="AP558" s="552"/>
      <c r="AQ558" s="552"/>
      <c r="AR558" s="1332"/>
      <c r="AS558" s="552"/>
      <c r="AT558" s="552"/>
      <c r="AU558" s="552"/>
      <c r="AV558" s="552"/>
      <c r="AW558" s="552"/>
      <c r="AX558" s="552"/>
      <c r="AY558" s="552"/>
      <c r="AZ558" s="552"/>
      <c r="BA558" s="552"/>
      <c r="BB558" s="552"/>
      <c r="BC558" s="552"/>
      <c r="BD558" s="552"/>
      <c r="BE558" s="552"/>
      <c r="BF558" s="552"/>
      <c r="BG558" s="552"/>
      <c r="BH558" s="552"/>
      <c r="BI558" s="552"/>
      <c r="BJ558" s="552"/>
      <c r="BK558" s="552"/>
      <c r="BL558" s="552"/>
      <c r="BM558" s="552"/>
      <c r="BN558" s="552"/>
      <c r="BO558" s="552"/>
    </row>
    <row r="559" spans="3:67">
      <c r="C559" s="541"/>
      <c r="D559" s="490"/>
      <c r="E559" s="490"/>
      <c r="F559" s="490"/>
      <c r="G559" s="490"/>
      <c r="H559" s="541"/>
      <c r="I559" s="490"/>
      <c r="J559" s="490"/>
      <c r="K559" s="490"/>
      <c r="L559" s="490"/>
      <c r="M559" s="541"/>
      <c r="N559" s="490"/>
      <c r="O559" s="490"/>
      <c r="P559" s="490"/>
      <c r="Q559" s="490"/>
      <c r="R559" s="541"/>
      <c r="S559" s="490"/>
      <c r="T559" s="490"/>
      <c r="U559" s="490"/>
      <c r="V559" s="490"/>
      <c r="W559" s="541"/>
      <c r="X559" s="490"/>
      <c r="Y559" s="490"/>
      <c r="Z559" s="490"/>
      <c r="AA559" s="490"/>
      <c r="AB559" s="541"/>
      <c r="AC559" s="490"/>
      <c r="AD559" s="490"/>
      <c r="AE559" s="490"/>
      <c r="AF559" s="490"/>
      <c r="AG559" s="541"/>
      <c r="AH559" s="490"/>
      <c r="AI559" s="490"/>
      <c r="AJ559" s="490"/>
      <c r="AK559" s="490"/>
      <c r="AL559" s="541"/>
      <c r="AM559" s="490"/>
      <c r="AN559" s="1298"/>
      <c r="AO559" s="490"/>
      <c r="AP559" s="490"/>
      <c r="AQ559" s="541"/>
      <c r="AR559" s="1298"/>
      <c r="AS559" s="490"/>
      <c r="AT559" s="490"/>
      <c r="AU559" s="490"/>
      <c r="AV559" s="541"/>
      <c r="AW559" s="490"/>
      <c r="AX559" s="490"/>
      <c r="AY559" s="490"/>
      <c r="AZ559" s="490"/>
      <c r="BA559" s="541"/>
      <c r="BB559" s="490"/>
      <c r="BC559" s="490"/>
      <c r="BD559" s="490"/>
      <c r="BE559" s="490"/>
      <c r="BF559" s="541"/>
      <c r="BG559" s="490"/>
      <c r="BH559" s="490"/>
      <c r="BI559" s="490"/>
      <c r="BJ559" s="490"/>
      <c r="BK559" s="541"/>
      <c r="BL559" s="490"/>
      <c r="BM559" s="490"/>
      <c r="BN559" s="490"/>
      <c r="BO559" s="490"/>
    </row>
    <row r="560" spans="3:67">
      <c r="C560" s="490"/>
      <c r="D560" s="490"/>
      <c r="E560" s="490"/>
      <c r="F560" s="490"/>
      <c r="G560" s="490"/>
      <c r="H560" s="490"/>
      <c r="I560" s="490"/>
      <c r="J560" s="490"/>
      <c r="K560" s="490"/>
      <c r="L560" s="490"/>
      <c r="M560" s="490"/>
      <c r="N560" s="490"/>
      <c r="O560" s="490"/>
      <c r="P560" s="490"/>
      <c r="Q560" s="490"/>
      <c r="R560" s="490"/>
      <c r="S560" s="490"/>
      <c r="T560" s="490"/>
      <c r="U560" s="490"/>
      <c r="V560" s="490"/>
      <c r="W560" s="490"/>
      <c r="X560" s="490"/>
      <c r="Y560" s="490"/>
      <c r="Z560" s="490"/>
      <c r="AA560" s="490"/>
      <c r="AB560" s="490"/>
      <c r="AC560" s="490"/>
      <c r="AD560" s="490"/>
      <c r="AE560" s="490"/>
      <c r="AF560" s="490"/>
      <c r="AG560" s="490"/>
      <c r="AH560" s="490"/>
      <c r="AI560" s="490"/>
      <c r="AJ560" s="490"/>
      <c r="AK560" s="490"/>
      <c r="AL560" s="490"/>
      <c r="AM560" s="490"/>
      <c r="AN560" s="1298"/>
      <c r="AO560" s="490"/>
      <c r="AP560" s="490"/>
      <c r="AQ560" s="490"/>
      <c r="AR560" s="1298"/>
      <c r="AS560" s="490"/>
      <c r="AT560" s="490"/>
      <c r="AU560" s="490"/>
      <c r="AV560" s="490"/>
      <c r="AW560" s="490"/>
      <c r="AX560" s="490"/>
      <c r="AY560" s="490"/>
      <c r="AZ560" s="490"/>
      <c r="BA560" s="490"/>
      <c r="BB560" s="490"/>
      <c r="BC560" s="490"/>
      <c r="BD560" s="490"/>
      <c r="BE560" s="490"/>
      <c r="BF560" s="490"/>
      <c r="BG560" s="490"/>
      <c r="BH560" s="490"/>
      <c r="BI560" s="490"/>
      <c r="BJ560" s="490"/>
      <c r="BK560" s="490"/>
      <c r="BL560" s="490"/>
      <c r="BM560" s="490"/>
      <c r="BN560" s="490"/>
      <c r="BO560" s="490"/>
    </row>
    <row r="561" spans="3:67">
      <c r="C561" s="490"/>
      <c r="D561" s="490"/>
      <c r="E561" s="490"/>
      <c r="F561" s="490"/>
      <c r="G561" s="490"/>
      <c r="H561" s="490"/>
      <c r="I561" s="490"/>
      <c r="J561" s="490"/>
      <c r="K561" s="490"/>
      <c r="L561" s="490"/>
      <c r="M561" s="490"/>
      <c r="N561" s="490"/>
      <c r="O561" s="490"/>
      <c r="P561" s="490"/>
      <c r="Q561" s="490"/>
      <c r="R561" s="490"/>
      <c r="S561" s="490"/>
      <c r="T561" s="490"/>
      <c r="U561" s="490"/>
      <c r="V561" s="490"/>
      <c r="W561" s="490"/>
      <c r="X561" s="490"/>
      <c r="Y561" s="490"/>
      <c r="Z561" s="490"/>
      <c r="AA561" s="490"/>
      <c r="AB561" s="490"/>
      <c r="AC561" s="490"/>
      <c r="AD561" s="490"/>
      <c r="AE561" s="490"/>
      <c r="AF561" s="490"/>
      <c r="AG561" s="490"/>
      <c r="AH561" s="490"/>
      <c r="AI561" s="490"/>
      <c r="AJ561" s="490"/>
      <c r="AK561" s="490"/>
      <c r="AL561" s="490"/>
      <c r="AM561" s="490"/>
      <c r="AN561" s="1298"/>
      <c r="AO561" s="490"/>
      <c r="AP561" s="490"/>
      <c r="AQ561" s="490"/>
      <c r="AR561" s="1298"/>
      <c r="AS561" s="490"/>
      <c r="AT561" s="490"/>
      <c r="AU561" s="490"/>
      <c r="AV561" s="490"/>
      <c r="AW561" s="490"/>
      <c r="AX561" s="490"/>
      <c r="AY561" s="490"/>
      <c r="AZ561" s="490"/>
      <c r="BA561" s="490"/>
      <c r="BB561" s="490"/>
      <c r="BC561" s="490"/>
      <c r="BD561" s="490"/>
      <c r="BE561" s="490"/>
      <c r="BF561" s="490"/>
      <c r="BG561" s="490"/>
      <c r="BH561" s="490"/>
      <c r="BI561" s="490"/>
      <c r="BJ561" s="490"/>
      <c r="BK561" s="490"/>
      <c r="BL561" s="490"/>
      <c r="BM561" s="490"/>
      <c r="BN561" s="490"/>
      <c r="BO561" s="490"/>
    </row>
    <row r="562" spans="3:67">
      <c r="C562" s="490"/>
      <c r="D562" s="490"/>
      <c r="E562" s="490"/>
      <c r="F562" s="490"/>
      <c r="G562" s="490"/>
      <c r="H562" s="490"/>
      <c r="I562" s="490"/>
      <c r="J562" s="490"/>
      <c r="K562" s="490"/>
      <c r="L562" s="490"/>
      <c r="M562" s="490"/>
      <c r="N562" s="490"/>
      <c r="O562" s="490"/>
      <c r="P562" s="490"/>
      <c r="Q562" s="490"/>
      <c r="R562" s="490"/>
      <c r="S562" s="490"/>
      <c r="T562" s="490"/>
      <c r="U562" s="490"/>
      <c r="V562" s="490"/>
      <c r="W562" s="490"/>
      <c r="X562" s="490"/>
      <c r="Y562" s="490"/>
      <c r="Z562" s="490"/>
      <c r="AA562" s="490"/>
      <c r="AB562" s="490"/>
      <c r="AC562" s="490"/>
      <c r="AD562" s="490"/>
      <c r="AE562" s="490"/>
      <c r="AF562" s="490"/>
      <c r="AG562" s="490"/>
      <c r="AH562" s="490"/>
      <c r="AI562" s="490"/>
      <c r="AJ562" s="490"/>
      <c r="AK562" s="490"/>
      <c r="AL562" s="490"/>
      <c r="AM562" s="490"/>
      <c r="AN562" s="1298"/>
      <c r="AO562" s="490"/>
      <c r="AP562" s="490"/>
      <c r="AQ562" s="490"/>
      <c r="AR562" s="1298"/>
      <c r="AS562" s="490"/>
      <c r="AT562" s="490"/>
      <c r="AU562" s="490"/>
      <c r="AV562" s="490"/>
      <c r="AW562" s="490"/>
      <c r="AX562" s="490"/>
      <c r="AY562" s="490"/>
      <c r="AZ562" s="490"/>
      <c r="BA562" s="490"/>
      <c r="BB562" s="490"/>
      <c r="BC562" s="490"/>
      <c r="BD562" s="490"/>
      <c r="BE562" s="490"/>
      <c r="BF562" s="490"/>
      <c r="BG562" s="490"/>
      <c r="BH562" s="490"/>
      <c r="BI562" s="490"/>
      <c r="BJ562" s="490"/>
      <c r="BK562" s="490"/>
      <c r="BL562" s="490"/>
      <c r="BM562" s="490"/>
      <c r="BN562" s="490"/>
      <c r="BO562" s="490"/>
    </row>
    <row r="563" spans="3:67">
      <c r="C563" s="490"/>
      <c r="D563" s="490"/>
      <c r="E563" s="490"/>
      <c r="F563" s="490"/>
      <c r="G563" s="490"/>
      <c r="H563" s="490"/>
      <c r="I563" s="490"/>
      <c r="J563" s="490"/>
      <c r="K563" s="490"/>
      <c r="L563" s="490"/>
      <c r="M563" s="490"/>
      <c r="N563" s="490"/>
      <c r="O563" s="490"/>
      <c r="P563" s="490"/>
      <c r="Q563" s="490"/>
      <c r="R563" s="490"/>
      <c r="S563" s="490"/>
      <c r="T563" s="490"/>
      <c r="U563" s="490"/>
      <c r="V563" s="490"/>
      <c r="W563" s="490"/>
      <c r="X563" s="490"/>
      <c r="Y563" s="490"/>
      <c r="Z563" s="490"/>
      <c r="AA563" s="490"/>
      <c r="AB563" s="490"/>
      <c r="AC563" s="490"/>
      <c r="AD563" s="490"/>
      <c r="AE563" s="490"/>
      <c r="AF563" s="490"/>
      <c r="AG563" s="490"/>
      <c r="AH563" s="490"/>
      <c r="AI563" s="490"/>
      <c r="AJ563" s="490"/>
      <c r="AK563" s="490"/>
      <c r="AL563" s="490"/>
      <c r="AM563" s="490"/>
      <c r="AN563" s="1298"/>
      <c r="AO563" s="490"/>
      <c r="AP563" s="490"/>
      <c r="AQ563" s="490"/>
      <c r="AR563" s="1298"/>
      <c r="AS563" s="490"/>
      <c r="AT563" s="490"/>
      <c r="AU563" s="490"/>
      <c r="AV563" s="490"/>
      <c r="AW563" s="490"/>
      <c r="AX563" s="490"/>
      <c r="AY563" s="490"/>
      <c r="AZ563" s="490"/>
      <c r="BA563" s="490"/>
      <c r="BB563" s="490"/>
      <c r="BC563" s="490"/>
      <c r="BD563" s="490"/>
      <c r="BE563" s="490"/>
      <c r="BF563" s="490"/>
      <c r="BG563" s="490"/>
      <c r="BH563" s="490"/>
      <c r="BI563" s="490"/>
      <c r="BJ563" s="490"/>
      <c r="BK563" s="490"/>
      <c r="BL563" s="490"/>
      <c r="BM563" s="490"/>
      <c r="BN563" s="490"/>
      <c r="BO563" s="490"/>
    </row>
    <row r="564" spans="3:67">
      <c r="C564" s="490"/>
      <c r="D564" s="490"/>
      <c r="E564" s="490"/>
      <c r="F564" s="490"/>
      <c r="G564" s="490"/>
      <c r="H564" s="490"/>
      <c r="I564" s="490"/>
      <c r="J564" s="490"/>
      <c r="K564" s="490"/>
      <c r="L564" s="490"/>
      <c r="M564" s="490"/>
      <c r="N564" s="490"/>
      <c r="O564" s="490"/>
      <c r="P564" s="490"/>
      <c r="Q564" s="490"/>
      <c r="R564" s="490"/>
      <c r="S564" s="490"/>
      <c r="T564" s="490"/>
      <c r="U564" s="490"/>
      <c r="V564" s="490"/>
      <c r="W564" s="490"/>
      <c r="X564" s="490"/>
      <c r="Y564" s="490"/>
      <c r="Z564" s="490"/>
      <c r="AA564" s="490"/>
      <c r="AB564" s="490"/>
      <c r="AC564" s="490"/>
      <c r="AD564" s="490"/>
      <c r="AE564" s="490"/>
      <c r="AF564" s="490"/>
      <c r="AG564" s="490"/>
      <c r="AH564" s="490"/>
      <c r="AI564" s="490"/>
      <c r="AJ564" s="490"/>
      <c r="AK564" s="490"/>
      <c r="AL564" s="490"/>
      <c r="AM564" s="490"/>
      <c r="AN564" s="1298"/>
      <c r="AO564" s="490"/>
      <c r="AP564" s="490"/>
      <c r="AQ564" s="490"/>
      <c r="AR564" s="1298"/>
      <c r="AS564" s="490"/>
      <c r="AT564" s="490"/>
      <c r="AU564" s="490"/>
      <c r="AV564" s="490"/>
      <c r="AW564" s="490"/>
      <c r="AX564" s="490"/>
      <c r="AY564" s="490"/>
      <c r="AZ564" s="490"/>
      <c r="BA564" s="490"/>
      <c r="BB564" s="490"/>
      <c r="BC564" s="490"/>
      <c r="BD564" s="490"/>
      <c r="BE564" s="490"/>
      <c r="BF564" s="490"/>
      <c r="BG564" s="490"/>
      <c r="BH564" s="490"/>
      <c r="BI564" s="490"/>
      <c r="BJ564" s="490"/>
      <c r="BK564" s="490"/>
      <c r="BL564" s="490"/>
      <c r="BM564" s="490"/>
      <c r="BN564" s="490"/>
      <c r="BO564" s="490"/>
    </row>
    <row r="565" spans="3:67">
      <c r="C565" s="541"/>
      <c r="D565" s="490"/>
      <c r="E565" s="490"/>
      <c r="F565" s="490"/>
      <c r="G565" s="490"/>
      <c r="H565" s="541"/>
      <c r="I565" s="490"/>
      <c r="J565" s="490"/>
      <c r="K565" s="490"/>
      <c r="L565" s="490"/>
      <c r="M565" s="541"/>
      <c r="N565" s="490"/>
      <c r="O565" s="490"/>
      <c r="P565" s="490"/>
      <c r="Q565" s="490"/>
      <c r="R565" s="541"/>
      <c r="S565" s="490"/>
      <c r="T565" s="490"/>
      <c r="U565" s="490"/>
      <c r="V565" s="490"/>
      <c r="W565" s="541"/>
      <c r="X565" s="490"/>
      <c r="Y565" s="490"/>
      <c r="Z565" s="490"/>
      <c r="AA565" s="490"/>
      <c r="AB565" s="541"/>
      <c r="AC565" s="490"/>
      <c r="AD565" s="490"/>
      <c r="AE565" s="490"/>
      <c r="AF565" s="490"/>
      <c r="AG565" s="541"/>
      <c r="AH565" s="490"/>
      <c r="AI565" s="490"/>
      <c r="AJ565" s="490"/>
      <c r="AK565" s="490"/>
      <c r="AL565" s="541"/>
      <c r="AM565" s="490"/>
      <c r="AN565" s="1298"/>
      <c r="AO565" s="490"/>
      <c r="AP565" s="490"/>
      <c r="AQ565" s="541"/>
      <c r="AR565" s="1298"/>
      <c r="AS565" s="490"/>
      <c r="AT565" s="490"/>
      <c r="AU565" s="490"/>
      <c r="AV565" s="541"/>
      <c r="AW565" s="490"/>
      <c r="AX565" s="490"/>
      <c r="AY565" s="490"/>
      <c r="AZ565" s="490"/>
      <c r="BA565" s="541"/>
      <c r="BB565" s="490"/>
      <c r="BC565" s="490"/>
      <c r="BD565" s="490"/>
      <c r="BE565" s="490"/>
      <c r="BF565" s="541"/>
      <c r="BG565" s="490"/>
      <c r="BH565" s="490"/>
      <c r="BI565" s="490"/>
      <c r="BJ565" s="490"/>
      <c r="BK565" s="541"/>
      <c r="BL565" s="490"/>
      <c r="BM565" s="490"/>
      <c r="BN565" s="490"/>
      <c r="BO565" s="490"/>
    </row>
    <row r="566" spans="3:67">
      <c r="C566" s="551"/>
      <c r="D566" s="545"/>
      <c r="E566" s="545"/>
      <c r="F566" s="545"/>
      <c r="G566" s="545"/>
      <c r="H566" s="551"/>
      <c r="I566" s="545"/>
      <c r="J566" s="545"/>
      <c r="K566" s="545"/>
      <c r="L566" s="545"/>
      <c r="M566" s="551"/>
      <c r="N566" s="545"/>
      <c r="O566" s="545"/>
      <c r="P566" s="545"/>
      <c r="Q566" s="545"/>
      <c r="R566" s="551"/>
      <c r="S566" s="545"/>
      <c r="T566" s="545"/>
      <c r="U566" s="545"/>
      <c r="V566" s="545"/>
      <c r="W566" s="551"/>
      <c r="X566" s="545"/>
      <c r="Y566" s="545"/>
      <c r="Z566" s="545"/>
      <c r="AA566" s="545"/>
      <c r="AB566" s="551"/>
      <c r="AC566" s="545"/>
      <c r="AD566" s="545"/>
      <c r="AE566" s="545"/>
      <c r="AF566" s="545"/>
      <c r="AG566" s="551"/>
      <c r="AH566" s="545"/>
      <c r="AI566" s="545"/>
      <c r="AJ566" s="545"/>
      <c r="AK566" s="545"/>
      <c r="AL566" s="551"/>
      <c r="AM566" s="545"/>
      <c r="AN566" s="1324"/>
      <c r="AO566" s="545"/>
      <c r="AP566" s="545"/>
      <c r="AQ566" s="551"/>
      <c r="AR566" s="1324"/>
      <c r="AS566" s="545"/>
      <c r="AT566" s="545"/>
      <c r="AU566" s="545"/>
      <c r="AV566" s="551"/>
      <c r="AW566" s="545"/>
      <c r="AX566" s="545"/>
      <c r="AY566" s="545"/>
      <c r="AZ566" s="545"/>
      <c r="BA566" s="551"/>
      <c r="BB566" s="545"/>
      <c r="BC566" s="545"/>
      <c r="BD566" s="545"/>
      <c r="BE566" s="545"/>
      <c r="BF566" s="551"/>
      <c r="BG566" s="545"/>
      <c r="BH566" s="545"/>
      <c r="BI566" s="545"/>
      <c r="BJ566" s="545"/>
      <c r="BK566" s="551"/>
      <c r="BL566" s="545"/>
      <c r="BM566" s="545"/>
      <c r="BN566" s="545"/>
      <c r="BO566" s="545"/>
    </row>
    <row r="567" spans="3:67">
      <c r="C567" s="552"/>
      <c r="D567" s="552"/>
      <c r="E567" s="552"/>
      <c r="F567" s="552"/>
      <c r="G567" s="552"/>
      <c r="H567" s="552"/>
      <c r="I567" s="552"/>
      <c r="J567" s="552"/>
      <c r="K567" s="552"/>
      <c r="L567" s="552"/>
      <c r="M567" s="552"/>
      <c r="N567" s="552"/>
      <c r="O567" s="552"/>
      <c r="P567" s="552"/>
      <c r="Q567" s="552"/>
      <c r="R567" s="552"/>
      <c r="S567" s="552"/>
      <c r="T567" s="552"/>
      <c r="U567" s="552"/>
      <c r="V567" s="552"/>
      <c r="W567" s="552"/>
      <c r="X567" s="552"/>
      <c r="Y567" s="552"/>
      <c r="Z567" s="552"/>
      <c r="AA567" s="552"/>
      <c r="AB567" s="552"/>
      <c r="AC567" s="552"/>
      <c r="AD567" s="552"/>
      <c r="AE567" s="552"/>
      <c r="AF567" s="552"/>
      <c r="AG567" s="552"/>
      <c r="AH567" s="552"/>
      <c r="AI567" s="552"/>
      <c r="AJ567" s="552"/>
      <c r="AK567" s="552"/>
      <c r="AL567" s="552"/>
      <c r="AM567" s="552"/>
      <c r="AN567" s="1332"/>
      <c r="AO567" s="552"/>
      <c r="AP567" s="552"/>
      <c r="AQ567" s="552"/>
      <c r="AR567" s="1332"/>
      <c r="AS567" s="552"/>
      <c r="AT567" s="552"/>
      <c r="AU567" s="552"/>
      <c r="AV567" s="552"/>
      <c r="AW567" s="552"/>
      <c r="AX567" s="552"/>
      <c r="AY567" s="552"/>
      <c r="AZ567" s="552"/>
      <c r="BA567" s="552"/>
      <c r="BB567" s="552"/>
      <c r="BC567" s="552"/>
      <c r="BD567" s="552"/>
      <c r="BE567" s="552"/>
      <c r="BF567" s="552"/>
      <c r="BG567" s="552"/>
      <c r="BH567" s="552"/>
      <c r="BI567" s="552"/>
      <c r="BJ567" s="552"/>
      <c r="BK567" s="552"/>
      <c r="BL567" s="552"/>
      <c r="BM567" s="552"/>
      <c r="BN567" s="552"/>
      <c r="BO567" s="552"/>
    </row>
    <row r="568" spans="3:67">
      <c r="C568" s="552"/>
      <c r="D568" s="552"/>
      <c r="E568" s="552"/>
      <c r="F568" s="552"/>
      <c r="G568" s="552"/>
      <c r="H568" s="552"/>
      <c r="I568" s="552"/>
      <c r="J568" s="552"/>
      <c r="K568" s="552"/>
      <c r="L568" s="552"/>
      <c r="M568" s="552"/>
      <c r="N568" s="552"/>
      <c r="O568" s="552"/>
      <c r="P568" s="552"/>
      <c r="Q568" s="552"/>
      <c r="R568" s="552"/>
      <c r="S568" s="552"/>
      <c r="T568" s="552"/>
      <c r="U568" s="552"/>
      <c r="V568" s="552"/>
      <c r="W568" s="552"/>
      <c r="X568" s="552"/>
      <c r="Y568" s="552"/>
      <c r="Z568" s="552"/>
      <c r="AA568" s="552"/>
      <c r="AB568" s="552"/>
      <c r="AC568" s="552"/>
      <c r="AD568" s="552"/>
      <c r="AE568" s="552"/>
      <c r="AF568" s="552"/>
      <c r="AG568" s="552"/>
      <c r="AH568" s="552"/>
      <c r="AI568" s="552"/>
      <c r="AJ568" s="552"/>
      <c r="AK568" s="552"/>
      <c r="AL568" s="552"/>
      <c r="AM568" s="552"/>
      <c r="AN568" s="1332"/>
      <c r="AO568" s="552"/>
      <c r="AP568" s="552"/>
      <c r="AQ568" s="552"/>
      <c r="AR568" s="1332"/>
      <c r="AS568" s="552"/>
      <c r="AT568" s="552"/>
      <c r="AU568" s="552"/>
      <c r="AV568" s="552"/>
      <c r="AW568" s="552"/>
      <c r="AX568" s="552"/>
      <c r="AY568" s="552"/>
      <c r="AZ568" s="552"/>
      <c r="BA568" s="552"/>
      <c r="BB568" s="552"/>
      <c r="BC568" s="552"/>
      <c r="BD568" s="552"/>
      <c r="BE568" s="552"/>
      <c r="BF568" s="552"/>
      <c r="BG568" s="552"/>
      <c r="BH568" s="552"/>
      <c r="BI568" s="552"/>
      <c r="BJ568" s="552"/>
      <c r="BK568" s="552"/>
      <c r="BL568" s="552"/>
      <c r="BM568" s="552"/>
      <c r="BN568" s="552"/>
      <c r="BO568" s="552"/>
    </row>
    <row r="569" spans="3:67">
      <c r="C569" s="553"/>
      <c r="D569" s="553"/>
      <c r="E569" s="553"/>
      <c r="F569" s="553"/>
      <c r="G569" s="553"/>
      <c r="H569" s="553"/>
      <c r="I569" s="553"/>
      <c r="J569" s="553"/>
      <c r="K569" s="553"/>
      <c r="L569" s="553"/>
      <c r="M569" s="553"/>
      <c r="N569" s="553"/>
      <c r="O569" s="553"/>
      <c r="P569" s="553"/>
      <c r="Q569" s="553"/>
      <c r="R569" s="553"/>
      <c r="S569" s="553"/>
      <c r="T569" s="553"/>
      <c r="U569" s="553"/>
      <c r="V569" s="553"/>
      <c r="W569" s="553"/>
      <c r="X569" s="553"/>
      <c r="Y569" s="553"/>
      <c r="Z569" s="553"/>
      <c r="AA569" s="553"/>
      <c r="AB569" s="553"/>
      <c r="AC569" s="553"/>
      <c r="AD569" s="553"/>
      <c r="AE569" s="553"/>
      <c r="AF569" s="553"/>
      <c r="AG569" s="553"/>
      <c r="AH569" s="553"/>
      <c r="AI569" s="553"/>
      <c r="AJ569" s="553"/>
      <c r="AK569" s="553"/>
      <c r="AL569" s="553"/>
      <c r="AM569" s="553"/>
      <c r="AN569" s="1333"/>
      <c r="AO569" s="553"/>
      <c r="AP569" s="553"/>
      <c r="AQ569" s="553"/>
      <c r="AR569" s="1333"/>
      <c r="AS569" s="553"/>
      <c r="AT569" s="553"/>
      <c r="AU569" s="553"/>
      <c r="AV569" s="553"/>
      <c r="AW569" s="553"/>
      <c r="AX569" s="553"/>
      <c r="AY569" s="553"/>
      <c r="AZ569" s="553"/>
      <c r="BA569" s="553"/>
      <c r="BB569" s="553"/>
      <c r="BC569" s="553"/>
      <c r="BD569" s="553"/>
      <c r="BE569" s="553"/>
      <c r="BF569" s="553"/>
      <c r="BG569" s="553"/>
      <c r="BH569" s="553"/>
      <c r="BI569" s="553"/>
      <c r="BJ569" s="553"/>
      <c r="BK569" s="553"/>
      <c r="BL569" s="553"/>
      <c r="BM569" s="553"/>
      <c r="BN569" s="553"/>
      <c r="BO569" s="553"/>
    </row>
    <row r="570" spans="3:67">
      <c r="C570" s="553"/>
      <c r="D570" s="553"/>
      <c r="E570" s="553"/>
      <c r="F570" s="553"/>
      <c r="G570" s="553"/>
      <c r="H570" s="553"/>
      <c r="I570" s="553"/>
      <c r="J570" s="553"/>
      <c r="K570" s="553"/>
      <c r="L570" s="553"/>
      <c r="M570" s="553"/>
      <c r="N570" s="553"/>
      <c r="O570" s="553"/>
      <c r="P570" s="553"/>
      <c r="Q570" s="553"/>
      <c r="R570" s="553"/>
      <c r="S570" s="553"/>
      <c r="T570" s="553"/>
      <c r="U570" s="553"/>
      <c r="V570" s="553"/>
      <c r="W570" s="553"/>
      <c r="X570" s="553"/>
      <c r="Y570" s="553"/>
      <c r="Z570" s="553"/>
      <c r="AA570" s="553"/>
      <c r="AB570" s="553"/>
      <c r="AC570" s="553"/>
      <c r="AD570" s="553"/>
      <c r="AE570" s="553"/>
      <c r="AF570" s="553"/>
      <c r="AG570" s="553"/>
      <c r="AH570" s="553"/>
      <c r="AI570" s="553"/>
      <c r="AJ570" s="553"/>
      <c r="AK570" s="553"/>
      <c r="AL570" s="553"/>
      <c r="AM570" s="553"/>
      <c r="AN570" s="1333"/>
      <c r="AO570" s="553"/>
      <c r="AP570" s="553"/>
      <c r="AQ570" s="553"/>
      <c r="AR570" s="1333"/>
      <c r="AS570" s="553"/>
      <c r="AT570" s="553"/>
      <c r="AU570" s="553"/>
      <c r="AV570" s="553"/>
      <c r="AW570" s="553"/>
      <c r="AX570" s="553"/>
      <c r="AY570" s="553"/>
      <c r="AZ570" s="553"/>
      <c r="BA570" s="553"/>
      <c r="BB570" s="553"/>
      <c r="BC570" s="553"/>
      <c r="BD570" s="553"/>
      <c r="BE570" s="553"/>
      <c r="BF570" s="553"/>
      <c r="BG570" s="553"/>
      <c r="BH570" s="553"/>
      <c r="BI570" s="553"/>
      <c r="BJ570" s="553"/>
      <c r="BK570" s="553"/>
      <c r="BL570" s="553"/>
      <c r="BM570" s="553"/>
      <c r="BN570" s="553"/>
      <c r="BO570" s="553"/>
    </row>
    <row r="571" spans="3:67">
      <c r="C571" s="552"/>
      <c r="D571" s="552"/>
      <c r="E571" s="552"/>
      <c r="F571" s="552"/>
      <c r="G571" s="552"/>
      <c r="H571" s="552"/>
      <c r="I571" s="552"/>
      <c r="J571" s="552"/>
      <c r="K571" s="552"/>
      <c r="L571" s="552"/>
      <c r="M571" s="552"/>
      <c r="N571" s="552"/>
      <c r="O571" s="552"/>
      <c r="P571" s="552"/>
      <c r="Q571" s="552"/>
      <c r="R571" s="552"/>
      <c r="S571" s="552"/>
      <c r="T571" s="552"/>
      <c r="U571" s="552"/>
      <c r="V571" s="552"/>
      <c r="W571" s="552"/>
      <c r="X571" s="552"/>
      <c r="Y571" s="552"/>
      <c r="Z571" s="552"/>
      <c r="AA571" s="552"/>
      <c r="AB571" s="552"/>
      <c r="AC571" s="552"/>
      <c r="AD571" s="552"/>
      <c r="AE571" s="552"/>
      <c r="AF571" s="552"/>
      <c r="AG571" s="552"/>
      <c r="AH571" s="552"/>
      <c r="AI571" s="552"/>
      <c r="AJ571" s="552"/>
      <c r="AK571" s="552"/>
      <c r="AL571" s="552"/>
      <c r="AM571" s="552"/>
      <c r="AN571" s="1332"/>
      <c r="AO571" s="552"/>
      <c r="AP571" s="552"/>
      <c r="AQ571" s="552"/>
      <c r="AR571" s="1332"/>
      <c r="AS571" s="552"/>
      <c r="AT571" s="552"/>
      <c r="AU571" s="552"/>
      <c r="AV571" s="552"/>
      <c r="AW571" s="552"/>
      <c r="AX571" s="552"/>
      <c r="AY571" s="552"/>
      <c r="AZ571" s="552"/>
      <c r="BA571" s="552"/>
      <c r="BB571" s="552"/>
      <c r="BC571" s="552"/>
      <c r="BD571" s="552"/>
      <c r="BE571" s="552"/>
      <c r="BF571" s="552"/>
      <c r="BG571" s="552"/>
      <c r="BH571" s="552"/>
      <c r="BI571" s="552"/>
      <c r="BJ571" s="552"/>
      <c r="BK571" s="552"/>
      <c r="BL571" s="552"/>
      <c r="BM571" s="552"/>
      <c r="BN571" s="552"/>
      <c r="BO571" s="552"/>
    </row>
    <row r="572" spans="3:67">
      <c r="C572" s="553"/>
      <c r="D572" s="553"/>
      <c r="E572" s="553"/>
      <c r="F572" s="553"/>
      <c r="G572" s="553"/>
      <c r="H572" s="553"/>
      <c r="I572" s="553"/>
      <c r="J572" s="553"/>
      <c r="K572" s="553"/>
      <c r="L572" s="553"/>
      <c r="M572" s="553"/>
      <c r="N572" s="553"/>
      <c r="O572" s="553"/>
      <c r="P572" s="553"/>
      <c r="Q572" s="553"/>
      <c r="R572" s="553"/>
      <c r="S572" s="553"/>
      <c r="T572" s="553"/>
      <c r="U572" s="553"/>
      <c r="V572" s="553"/>
      <c r="W572" s="553"/>
      <c r="X572" s="553"/>
      <c r="Y572" s="553"/>
      <c r="Z572" s="553"/>
      <c r="AA572" s="553"/>
      <c r="AB572" s="553"/>
      <c r="AC572" s="553"/>
      <c r="AD572" s="553"/>
      <c r="AE572" s="553"/>
      <c r="AF572" s="553"/>
      <c r="AG572" s="553"/>
      <c r="AH572" s="553"/>
      <c r="AI572" s="553"/>
      <c r="AJ572" s="553"/>
      <c r="AK572" s="553"/>
      <c r="AL572" s="553"/>
      <c r="AM572" s="553"/>
      <c r="AN572" s="1333"/>
      <c r="AO572" s="553"/>
      <c r="AP572" s="553"/>
      <c r="AQ572" s="553"/>
      <c r="AR572" s="1333"/>
      <c r="AS572" s="553"/>
      <c r="AT572" s="553"/>
      <c r="AU572" s="553"/>
      <c r="AV572" s="553"/>
      <c r="AW572" s="553"/>
      <c r="AX572" s="553"/>
      <c r="AY572" s="553"/>
      <c r="AZ572" s="553"/>
      <c r="BA572" s="553"/>
      <c r="BB572" s="553"/>
      <c r="BC572" s="553"/>
      <c r="BD572" s="553"/>
      <c r="BE572" s="553"/>
      <c r="BF572" s="553"/>
      <c r="BG572" s="553"/>
      <c r="BH572" s="553"/>
      <c r="BI572" s="553"/>
      <c r="BJ572" s="553"/>
      <c r="BK572" s="553"/>
      <c r="BL572" s="553"/>
      <c r="BM572" s="553"/>
      <c r="BN572" s="553"/>
      <c r="BO572" s="553"/>
    </row>
    <row r="573" spans="3:67">
      <c r="C573" s="553"/>
      <c r="D573" s="553"/>
      <c r="E573" s="553"/>
      <c r="F573" s="553"/>
      <c r="G573" s="553"/>
      <c r="H573" s="553"/>
      <c r="I573" s="553"/>
      <c r="J573" s="553"/>
      <c r="K573" s="553"/>
      <c r="L573" s="553"/>
      <c r="M573" s="553"/>
      <c r="N573" s="553"/>
      <c r="O573" s="553"/>
      <c r="P573" s="553"/>
      <c r="Q573" s="553"/>
      <c r="R573" s="553"/>
      <c r="S573" s="553"/>
      <c r="T573" s="553"/>
      <c r="U573" s="553"/>
      <c r="V573" s="553"/>
      <c r="W573" s="553"/>
      <c r="X573" s="553"/>
      <c r="Y573" s="553"/>
      <c r="Z573" s="553"/>
      <c r="AA573" s="553"/>
      <c r="AB573" s="553"/>
      <c r="AC573" s="553"/>
      <c r="AD573" s="553"/>
      <c r="AE573" s="553"/>
      <c r="AF573" s="553"/>
      <c r="AG573" s="553"/>
      <c r="AH573" s="553"/>
      <c r="AI573" s="553"/>
      <c r="AJ573" s="553"/>
      <c r="AK573" s="553"/>
      <c r="AL573" s="553"/>
      <c r="AM573" s="553"/>
      <c r="AN573" s="1333"/>
      <c r="AO573" s="553"/>
      <c r="AP573" s="553"/>
      <c r="AQ573" s="553"/>
      <c r="AR573" s="1333"/>
      <c r="AS573" s="553"/>
      <c r="AT573" s="553"/>
      <c r="AU573" s="553"/>
      <c r="AV573" s="553"/>
      <c r="AW573" s="553"/>
      <c r="AX573" s="553"/>
      <c r="AY573" s="553"/>
      <c r="AZ573" s="553"/>
      <c r="BA573" s="553"/>
      <c r="BB573" s="553"/>
      <c r="BC573" s="553"/>
      <c r="BD573" s="553"/>
      <c r="BE573" s="553"/>
      <c r="BF573" s="553"/>
      <c r="BG573" s="553"/>
      <c r="BH573" s="553"/>
      <c r="BI573" s="553"/>
      <c r="BJ573" s="553"/>
      <c r="BK573" s="553"/>
      <c r="BL573" s="553"/>
      <c r="BM573" s="553"/>
      <c r="BN573" s="553"/>
      <c r="BO573" s="553"/>
    </row>
    <row r="574" spans="3:67">
      <c r="C574" s="552"/>
      <c r="D574" s="552"/>
      <c r="E574" s="552"/>
      <c r="F574" s="552"/>
      <c r="G574" s="552"/>
      <c r="H574" s="552"/>
      <c r="I574" s="552"/>
      <c r="J574" s="552"/>
      <c r="K574" s="552"/>
      <c r="L574" s="552"/>
      <c r="M574" s="552"/>
      <c r="N574" s="552"/>
      <c r="O574" s="552"/>
      <c r="P574" s="552"/>
      <c r="Q574" s="552"/>
      <c r="R574" s="552"/>
      <c r="S574" s="552"/>
      <c r="T574" s="552"/>
      <c r="U574" s="552"/>
      <c r="V574" s="552"/>
      <c r="W574" s="552"/>
      <c r="X574" s="552"/>
      <c r="Y574" s="552"/>
      <c r="Z574" s="552"/>
      <c r="AA574" s="552"/>
      <c r="AB574" s="552"/>
      <c r="AC574" s="552"/>
      <c r="AD574" s="552"/>
      <c r="AE574" s="552"/>
      <c r="AF574" s="552"/>
      <c r="AG574" s="552"/>
      <c r="AH574" s="552"/>
      <c r="AI574" s="552"/>
      <c r="AJ574" s="552"/>
      <c r="AK574" s="552"/>
      <c r="AL574" s="552"/>
      <c r="AM574" s="552"/>
      <c r="AN574" s="1332"/>
      <c r="AO574" s="552"/>
      <c r="AP574" s="552"/>
      <c r="AQ574" s="552"/>
      <c r="AR574" s="1332"/>
      <c r="AS574" s="552"/>
      <c r="AT574" s="552"/>
      <c r="AU574" s="552"/>
      <c r="AV574" s="552"/>
      <c r="AW574" s="552"/>
      <c r="AX574" s="552"/>
      <c r="AY574" s="552"/>
      <c r="AZ574" s="552"/>
      <c r="BA574" s="552"/>
      <c r="BB574" s="552"/>
      <c r="BC574" s="552"/>
      <c r="BD574" s="552"/>
      <c r="BE574" s="552"/>
      <c r="BF574" s="552"/>
      <c r="BG574" s="552"/>
      <c r="BH574" s="552"/>
      <c r="BI574" s="552"/>
      <c r="BJ574" s="552"/>
      <c r="BK574" s="552"/>
      <c r="BL574" s="552"/>
      <c r="BM574" s="552"/>
      <c r="BN574" s="552"/>
      <c r="BO574" s="552"/>
    </row>
    <row r="575" spans="3:67">
      <c r="C575" s="541"/>
      <c r="D575" s="490"/>
      <c r="E575" s="490"/>
      <c r="F575" s="490"/>
      <c r="G575" s="490"/>
      <c r="H575" s="541"/>
      <c r="I575" s="490"/>
      <c r="J575" s="490"/>
      <c r="K575" s="490"/>
      <c r="L575" s="490"/>
      <c r="M575" s="541"/>
      <c r="N575" s="490"/>
      <c r="O575" s="490"/>
      <c r="P575" s="490"/>
      <c r="Q575" s="490"/>
      <c r="R575" s="541"/>
      <c r="S575" s="490"/>
      <c r="T575" s="490"/>
      <c r="U575" s="490"/>
      <c r="V575" s="490"/>
      <c r="W575" s="541"/>
      <c r="X575" s="490"/>
      <c r="Y575" s="490"/>
      <c r="Z575" s="490"/>
      <c r="AA575" s="490"/>
      <c r="AB575" s="541"/>
      <c r="AC575" s="490"/>
      <c r="AD575" s="490"/>
      <c r="AE575" s="490"/>
      <c r="AF575" s="490"/>
      <c r="AG575" s="541"/>
      <c r="AH575" s="490"/>
      <c r="AI575" s="490"/>
      <c r="AJ575" s="490"/>
      <c r="AK575" s="490"/>
      <c r="AL575" s="541"/>
      <c r="AM575" s="490"/>
      <c r="AN575" s="1298"/>
      <c r="AO575" s="490"/>
      <c r="AP575" s="490"/>
      <c r="AQ575" s="541"/>
      <c r="AR575" s="1298"/>
      <c r="AS575" s="490"/>
      <c r="AT575" s="490"/>
      <c r="AU575" s="490"/>
      <c r="AV575" s="541"/>
      <c r="AW575" s="490"/>
      <c r="AX575" s="490"/>
      <c r="AY575" s="490"/>
      <c r="AZ575" s="490"/>
      <c r="BA575" s="541"/>
      <c r="BB575" s="490"/>
      <c r="BC575" s="490"/>
      <c r="BD575" s="490"/>
      <c r="BE575" s="490"/>
      <c r="BF575" s="541"/>
      <c r="BG575" s="490"/>
      <c r="BH575" s="490"/>
      <c r="BI575" s="490"/>
      <c r="BJ575" s="490"/>
      <c r="BK575" s="541"/>
      <c r="BL575" s="490"/>
      <c r="BM575" s="490"/>
      <c r="BN575" s="490"/>
      <c r="BO575" s="490"/>
    </row>
    <row r="576" spans="3:67">
      <c r="C576" s="519"/>
      <c r="D576" s="519"/>
      <c r="E576" s="519"/>
      <c r="F576" s="519"/>
      <c r="G576" s="519"/>
      <c r="H576" s="519"/>
      <c r="I576" s="519"/>
      <c r="J576" s="519"/>
      <c r="K576" s="519"/>
      <c r="L576" s="519"/>
      <c r="M576" s="519"/>
      <c r="N576" s="519"/>
      <c r="O576" s="519"/>
      <c r="P576" s="519"/>
      <c r="Q576" s="519"/>
      <c r="R576" s="519"/>
      <c r="S576" s="519"/>
      <c r="T576" s="519"/>
      <c r="U576" s="519"/>
      <c r="V576" s="519"/>
      <c r="W576" s="519"/>
      <c r="X576" s="519"/>
      <c r="Y576" s="519"/>
      <c r="Z576" s="519"/>
      <c r="AA576" s="519"/>
      <c r="AB576" s="519"/>
      <c r="AC576" s="519"/>
      <c r="AD576" s="519"/>
      <c r="AE576" s="519"/>
      <c r="AF576" s="519"/>
      <c r="AG576" s="519"/>
      <c r="AH576" s="519"/>
      <c r="AI576" s="519"/>
      <c r="AJ576" s="519"/>
      <c r="AK576" s="519"/>
      <c r="AL576" s="519"/>
      <c r="AM576" s="519"/>
      <c r="AN576" s="1329"/>
      <c r="AO576" s="519"/>
      <c r="AP576" s="519"/>
      <c r="AQ576" s="519"/>
      <c r="AR576" s="1329"/>
      <c r="AS576" s="519"/>
      <c r="AT576" s="519"/>
      <c r="AU576" s="519"/>
      <c r="AV576" s="519"/>
      <c r="AW576" s="519"/>
      <c r="AX576" s="519"/>
      <c r="AY576" s="519"/>
      <c r="AZ576" s="519"/>
      <c r="BA576" s="519"/>
      <c r="BB576" s="519"/>
      <c r="BC576" s="519"/>
      <c r="BD576" s="519"/>
      <c r="BE576" s="519"/>
      <c r="BF576" s="519"/>
      <c r="BG576" s="519"/>
      <c r="BH576" s="519"/>
      <c r="BI576" s="519"/>
      <c r="BJ576" s="519"/>
      <c r="BK576" s="519"/>
      <c r="BL576" s="519"/>
      <c r="BM576" s="519"/>
      <c r="BN576" s="519"/>
      <c r="BO576" s="519"/>
    </row>
    <row r="577" spans="3:67">
      <c r="C577" s="490"/>
      <c r="D577" s="490"/>
      <c r="E577" s="490"/>
      <c r="F577" s="490"/>
      <c r="G577" s="490"/>
      <c r="H577" s="490"/>
      <c r="I577" s="490"/>
      <c r="J577" s="490"/>
      <c r="K577" s="490"/>
      <c r="L577" s="490"/>
      <c r="M577" s="490"/>
      <c r="N577" s="490"/>
      <c r="O577" s="490"/>
      <c r="P577" s="490"/>
      <c r="Q577" s="490"/>
      <c r="R577" s="490"/>
      <c r="S577" s="490"/>
      <c r="T577" s="490"/>
      <c r="U577" s="490"/>
      <c r="V577" s="490"/>
      <c r="W577" s="490"/>
      <c r="X577" s="490"/>
      <c r="Y577" s="490"/>
      <c r="Z577" s="490"/>
      <c r="AA577" s="490"/>
      <c r="AB577" s="490"/>
      <c r="AC577" s="490"/>
      <c r="AD577" s="490"/>
      <c r="AE577" s="490"/>
      <c r="AF577" s="490"/>
      <c r="AG577" s="490"/>
      <c r="AH577" s="490"/>
      <c r="AI577" s="490"/>
      <c r="AJ577" s="490"/>
      <c r="AK577" s="490"/>
      <c r="AL577" s="490"/>
      <c r="AM577" s="490"/>
      <c r="AN577" s="1298"/>
      <c r="AO577" s="490"/>
      <c r="AP577" s="490"/>
      <c r="AQ577" s="490"/>
      <c r="AR577" s="1298"/>
      <c r="AS577" s="490"/>
      <c r="AT577" s="490"/>
      <c r="AU577" s="490"/>
      <c r="AV577" s="490"/>
      <c r="AW577" s="490"/>
      <c r="AX577" s="490"/>
      <c r="AY577" s="490"/>
      <c r="AZ577" s="490"/>
      <c r="BA577" s="490"/>
      <c r="BB577" s="490"/>
      <c r="BC577" s="490"/>
      <c r="BD577" s="490"/>
      <c r="BE577" s="490"/>
      <c r="BF577" s="490"/>
      <c r="BG577" s="490"/>
      <c r="BH577" s="490"/>
      <c r="BI577" s="490"/>
      <c r="BJ577" s="490"/>
      <c r="BK577" s="490"/>
      <c r="BL577" s="490"/>
      <c r="BM577" s="490"/>
      <c r="BN577" s="490"/>
      <c r="BO577" s="490"/>
    </row>
    <row r="578" spans="3:67">
      <c r="C578" s="490"/>
      <c r="D578" s="490"/>
      <c r="E578" s="490"/>
      <c r="F578" s="490"/>
      <c r="G578" s="490"/>
      <c r="H578" s="490"/>
      <c r="I578" s="490"/>
      <c r="J578" s="490"/>
      <c r="K578" s="490"/>
      <c r="L578" s="490"/>
      <c r="M578" s="490"/>
      <c r="N578" s="490"/>
      <c r="O578" s="490"/>
      <c r="P578" s="490"/>
      <c r="Q578" s="490"/>
      <c r="R578" s="490"/>
      <c r="S578" s="490"/>
      <c r="T578" s="490"/>
      <c r="U578" s="490"/>
      <c r="V578" s="490"/>
      <c r="W578" s="490"/>
      <c r="X578" s="490"/>
      <c r="Y578" s="490"/>
      <c r="Z578" s="490"/>
      <c r="AA578" s="490"/>
      <c r="AB578" s="490"/>
      <c r="AC578" s="490"/>
      <c r="AD578" s="490"/>
      <c r="AE578" s="490"/>
      <c r="AF578" s="490"/>
      <c r="AG578" s="490"/>
      <c r="AH578" s="490"/>
      <c r="AI578" s="490"/>
      <c r="AJ578" s="490"/>
      <c r="AK578" s="490"/>
      <c r="AL578" s="490"/>
      <c r="AM578" s="490"/>
      <c r="AN578" s="1298"/>
      <c r="AO578" s="490"/>
      <c r="AP578" s="490"/>
      <c r="AQ578" s="490"/>
      <c r="AR578" s="1298"/>
      <c r="AS578" s="490"/>
      <c r="AT578" s="490"/>
      <c r="AU578" s="490"/>
      <c r="AV578" s="490"/>
      <c r="AW578" s="490"/>
      <c r="AX578" s="490"/>
      <c r="AY578" s="490"/>
      <c r="AZ578" s="490"/>
      <c r="BA578" s="490"/>
      <c r="BB578" s="490"/>
      <c r="BC578" s="490"/>
      <c r="BD578" s="490"/>
      <c r="BE578" s="490"/>
      <c r="BF578" s="490"/>
      <c r="BG578" s="490"/>
      <c r="BH578" s="490"/>
      <c r="BI578" s="490"/>
      <c r="BJ578" s="490"/>
      <c r="BK578" s="490"/>
      <c r="BL578" s="490"/>
      <c r="BM578" s="490"/>
      <c r="BN578" s="490"/>
      <c r="BO578" s="490"/>
    </row>
    <row r="579" spans="3:67">
      <c r="C579" s="490"/>
      <c r="D579" s="490"/>
      <c r="E579" s="490"/>
      <c r="F579" s="490"/>
      <c r="G579" s="490"/>
      <c r="H579" s="490"/>
      <c r="I579" s="490"/>
      <c r="J579" s="490"/>
      <c r="K579" s="490"/>
      <c r="L579" s="490"/>
      <c r="M579" s="490"/>
      <c r="N579" s="490"/>
      <c r="O579" s="490"/>
      <c r="P579" s="490"/>
      <c r="Q579" s="490"/>
      <c r="R579" s="490"/>
      <c r="S579" s="490"/>
      <c r="T579" s="490"/>
      <c r="U579" s="490"/>
      <c r="V579" s="490"/>
      <c r="W579" s="490"/>
      <c r="X579" s="490"/>
      <c r="Y579" s="490"/>
      <c r="Z579" s="490"/>
      <c r="AA579" s="490"/>
      <c r="AB579" s="490"/>
      <c r="AC579" s="490"/>
      <c r="AD579" s="490"/>
      <c r="AE579" s="490"/>
      <c r="AF579" s="490"/>
      <c r="AG579" s="490"/>
      <c r="AH579" s="490"/>
      <c r="AI579" s="490"/>
      <c r="AJ579" s="490"/>
      <c r="AK579" s="490"/>
      <c r="AL579" s="490"/>
      <c r="AM579" s="490"/>
      <c r="AN579" s="1298"/>
      <c r="AO579" s="490"/>
      <c r="AP579" s="490"/>
      <c r="AQ579" s="490"/>
      <c r="AR579" s="1298"/>
      <c r="AS579" s="490"/>
      <c r="AT579" s="490"/>
      <c r="AU579" s="490"/>
      <c r="AV579" s="490"/>
      <c r="AW579" s="490"/>
      <c r="AX579" s="490"/>
      <c r="AY579" s="490"/>
      <c r="AZ579" s="490"/>
      <c r="BA579" s="490"/>
      <c r="BB579" s="490"/>
      <c r="BC579" s="490"/>
      <c r="BD579" s="490"/>
      <c r="BE579" s="490"/>
      <c r="BF579" s="490"/>
      <c r="BG579" s="490"/>
      <c r="BH579" s="490"/>
      <c r="BI579" s="490"/>
      <c r="BJ579" s="490"/>
      <c r="BK579" s="490"/>
      <c r="BL579" s="490"/>
      <c r="BM579" s="490"/>
      <c r="BN579" s="490"/>
      <c r="BO579" s="490"/>
    </row>
    <row r="580" spans="3:67">
      <c r="C580" s="490"/>
      <c r="D580" s="490"/>
      <c r="E580" s="490"/>
      <c r="F580" s="490"/>
      <c r="G580" s="490"/>
      <c r="H580" s="490"/>
      <c r="I580" s="490"/>
      <c r="J580" s="490"/>
      <c r="K580" s="490"/>
      <c r="L580" s="490"/>
      <c r="M580" s="490"/>
      <c r="N580" s="490"/>
      <c r="O580" s="490"/>
      <c r="P580" s="490"/>
      <c r="Q580" s="490"/>
      <c r="R580" s="490"/>
      <c r="S580" s="490"/>
      <c r="T580" s="490"/>
      <c r="U580" s="490"/>
      <c r="V580" s="490"/>
      <c r="W580" s="490"/>
      <c r="X580" s="490"/>
      <c r="Y580" s="490"/>
      <c r="Z580" s="490"/>
      <c r="AA580" s="490"/>
      <c r="AB580" s="490"/>
      <c r="AC580" s="490"/>
      <c r="AD580" s="490"/>
      <c r="AE580" s="490"/>
      <c r="AF580" s="490"/>
      <c r="AG580" s="490"/>
      <c r="AH580" s="490"/>
      <c r="AI580" s="490"/>
      <c r="AJ580" s="490"/>
      <c r="AK580" s="490"/>
      <c r="AL580" s="490"/>
      <c r="AM580" s="490"/>
      <c r="AN580" s="1298"/>
      <c r="AO580" s="490"/>
      <c r="AP580" s="490"/>
      <c r="AQ580" s="490"/>
      <c r="AR580" s="1298"/>
      <c r="AS580" s="490"/>
      <c r="AT580" s="490"/>
      <c r="AU580" s="490"/>
      <c r="AV580" s="490"/>
      <c r="AW580" s="490"/>
      <c r="AX580" s="490"/>
      <c r="AY580" s="490"/>
      <c r="AZ580" s="490"/>
      <c r="BA580" s="490"/>
      <c r="BB580" s="490"/>
      <c r="BC580" s="490"/>
      <c r="BD580" s="490"/>
      <c r="BE580" s="490"/>
      <c r="BF580" s="490"/>
      <c r="BG580" s="490"/>
      <c r="BH580" s="490"/>
      <c r="BI580" s="490"/>
      <c r="BJ580" s="490"/>
      <c r="BK580" s="490"/>
      <c r="BL580" s="490"/>
      <c r="BM580" s="490"/>
      <c r="BN580" s="490"/>
      <c r="BO580" s="490"/>
    </row>
    <row r="581" spans="3:67">
      <c r="C581" s="541"/>
      <c r="D581" s="490"/>
      <c r="E581" s="490"/>
      <c r="F581" s="490"/>
      <c r="G581" s="490"/>
      <c r="H581" s="541"/>
      <c r="I581" s="490"/>
      <c r="J581" s="490"/>
      <c r="K581" s="490"/>
      <c r="L581" s="490"/>
      <c r="M581" s="541"/>
      <c r="N581" s="490"/>
      <c r="O581" s="490"/>
      <c r="P581" s="490"/>
      <c r="Q581" s="490"/>
      <c r="R581" s="541"/>
      <c r="S581" s="490"/>
      <c r="T581" s="490"/>
      <c r="U581" s="490"/>
      <c r="V581" s="490"/>
      <c r="W581" s="541"/>
      <c r="X581" s="490"/>
      <c r="Y581" s="490"/>
      <c r="Z581" s="490"/>
      <c r="AA581" s="490"/>
      <c r="AB581" s="541"/>
      <c r="AC581" s="490"/>
      <c r="AD581" s="490"/>
      <c r="AE581" s="490"/>
      <c r="AF581" s="490"/>
      <c r="AG581" s="541"/>
      <c r="AH581" s="490"/>
      <c r="AI581" s="490"/>
      <c r="AJ581" s="490"/>
      <c r="AK581" s="490"/>
      <c r="AL581" s="541"/>
      <c r="AM581" s="490"/>
      <c r="AN581" s="1298"/>
      <c r="AO581" s="490"/>
      <c r="AP581" s="490"/>
      <c r="AQ581" s="541"/>
      <c r="AR581" s="1298"/>
      <c r="AS581" s="490"/>
      <c r="AT581" s="490"/>
      <c r="AU581" s="490"/>
      <c r="AV581" s="541"/>
      <c r="AW581" s="490"/>
      <c r="AX581" s="490"/>
      <c r="AY581" s="490"/>
      <c r="AZ581" s="490"/>
      <c r="BA581" s="541"/>
      <c r="BB581" s="490"/>
      <c r="BC581" s="490"/>
      <c r="BD581" s="490"/>
      <c r="BE581" s="490"/>
      <c r="BF581" s="541"/>
      <c r="BG581" s="490"/>
      <c r="BH581" s="490"/>
      <c r="BI581" s="490"/>
      <c r="BJ581" s="490"/>
      <c r="BK581" s="541"/>
      <c r="BL581" s="490"/>
      <c r="BM581" s="490"/>
      <c r="BN581" s="490"/>
      <c r="BO581" s="490"/>
    </row>
    <row r="582" spans="3:67">
      <c r="C582" s="541"/>
      <c r="D582" s="490"/>
      <c r="E582" s="490"/>
      <c r="F582" s="490"/>
      <c r="G582" s="490"/>
      <c r="H582" s="541"/>
      <c r="I582" s="490"/>
      <c r="J582" s="490"/>
      <c r="K582" s="490"/>
      <c r="L582" s="490"/>
      <c r="M582" s="541"/>
      <c r="N582" s="490"/>
      <c r="O582" s="490"/>
      <c r="P582" s="490"/>
      <c r="Q582" s="490"/>
      <c r="R582" s="541"/>
      <c r="S582" s="490"/>
      <c r="T582" s="490"/>
      <c r="U582" s="490"/>
      <c r="V582" s="490"/>
      <c r="W582" s="541"/>
      <c r="X582" s="490"/>
      <c r="Y582" s="490"/>
      <c r="Z582" s="490"/>
      <c r="AA582" s="490"/>
      <c r="AB582" s="541"/>
      <c r="AC582" s="490"/>
      <c r="AD582" s="490"/>
      <c r="AE582" s="490"/>
      <c r="AF582" s="490"/>
      <c r="AG582" s="541"/>
      <c r="AH582" s="490"/>
      <c r="AI582" s="490"/>
      <c r="AJ582" s="490"/>
      <c r="AK582" s="490"/>
      <c r="AL582" s="541"/>
      <c r="AM582" s="490"/>
      <c r="AN582" s="1298"/>
      <c r="AO582" s="490"/>
      <c r="AP582" s="490"/>
      <c r="AQ582" s="541"/>
      <c r="AR582" s="1298"/>
      <c r="AS582" s="490"/>
      <c r="AT582" s="490"/>
      <c r="AU582" s="490"/>
      <c r="AV582" s="541"/>
      <c r="AW582" s="490"/>
      <c r="AX582" s="490"/>
      <c r="AY582" s="490"/>
      <c r="AZ582" s="490"/>
      <c r="BA582" s="541"/>
      <c r="BB582" s="490"/>
      <c r="BC582" s="490"/>
      <c r="BD582" s="490"/>
      <c r="BE582" s="490"/>
      <c r="BF582" s="541"/>
      <c r="BG582" s="490"/>
      <c r="BH582" s="490"/>
      <c r="BI582" s="490"/>
      <c r="BJ582" s="490"/>
      <c r="BK582" s="541"/>
      <c r="BL582" s="490"/>
      <c r="BM582" s="490"/>
      <c r="BN582" s="490"/>
      <c r="BO582" s="490"/>
    </row>
    <row r="583" spans="3:67">
      <c r="C583" s="541"/>
      <c r="D583" s="490"/>
      <c r="E583" s="490"/>
      <c r="F583" s="490"/>
      <c r="G583" s="490"/>
      <c r="H583" s="541"/>
      <c r="I583" s="490"/>
      <c r="J583" s="490"/>
      <c r="K583" s="490"/>
      <c r="L583" s="490"/>
      <c r="M583" s="541"/>
      <c r="N583" s="490"/>
      <c r="O583" s="490"/>
      <c r="P583" s="490"/>
      <c r="Q583" s="490"/>
      <c r="R583" s="541"/>
      <c r="S583" s="490"/>
      <c r="T583" s="490"/>
      <c r="U583" s="490"/>
      <c r="V583" s="490"/>
      <c r="W583" s="541"/>
      <c r="X583" s="490"/>
      <c r="Y583" s="490"/>
      <c r="Z583" s="490"/>
      <c r="AA583" s="490"/>
      <c r="AB583" s="541"/>
      <c r="AC583" s="490"/>
      <c r="AD583" s="490"/>
      <c r="AE583" s="490"/>
      <c r="AF583" s="490"/>
      <c r="AG583" s="541"/>
      <c r="AH583" s="490"/>
      <c r="AI583" s="490"/>
      <c r="AJ583" s="490"/>
      <c r="AK583" s="490"/>
      <c r="AL583" s="541"/>
      <c r="AM583" s="490"/>
      <c r="AN583" s="1298"/>
      <c r="AO583" s="490"/>
      <c r="AP583" s="490"/>
      <c r="AQ583" s="541"/>
      <c r="AR583" s="1298"/>
      <c r="AS583" s="490"/>
      <c r="AT583" s="490"/>
      <c r="AU583" s="490"/>
      <c r="AV583" s="541"/>
      <c r="AW583" s="490"/>
      <c r="AX583" s="490"/>
      <c r="AY583" s="490"/>
      <c r="AZ583" s="490"/>
      <c r="BA583" s="541"/>
      <c r="BB583" s="490"/>
      <c r="BC583" s="490"/>
      <c r="BD583" s="490"/>
      <c r="BE583" s="490"/>
      <c r="BF583" s="541"/>
      <c r="BG583" s="490"/>
      <c r="BH583" s="490"/>
      <c r="BI583" s="490"/>
      <c r="BJ583" s="490"/>
      <c r="BK583" s="541"/>
      <c r="BL583" s="490"/>
      <c r="BM583" s="490"/>
      <c r="BN583" s="490"/>
      <c r="BO583" s="490"/>
    </row>
    <row r="584" spans="3:67">
      <c r="C584" s="541"/>
      <c r="D584" s="490"/>
      <c r="E584" s="490"/>
      <c r="F584" s="490"/>
      <c r="G584" s="490"/>
      <c r="H584" s="541"/>
      <c r="I584" s="490"/>
      <c r="J584" s="490"/>
      <c r="K584" s="490"/>
      <c r="L584" s="490"/>
      <c r="M584" s="541"/>
      <c r="N584" s="490"/>
      <c r="O584" s="490"/>
      <c r="P584" s="490"/>
      <c r="Q584" s="490"/>
      <c r="R584" s="541"/>
      <c r="S584" s="490"/>
      <c r="T584" s="490"/>
      <c r="U584" s="490"/>
      <c r="V584" s="490"/>
      <c r="W584" s="541"/>
      <c r="X584" s="490"/>
      <c r="Y584" s="490"/>
      <c r="Z584" s="490"/>
      <c r="AA584" s="490"/>
      <c r="AB584" s="541"/>
      <c r="AC584" s="490"/>
      <c r="AD584" s="490"/>
      <c r="AE584" s="490"/>
      <c r="AF584" s="490"/>
      <c r="AG584" s="541"/>
      <c r="AH584" s="490"/>
      <c r="AI584" s="490"/>
      <c r="AJ584" s="490"/>
      <c r="AK584" s="490"/>
      <c r="AL584" s="541"/>
      <c r="AM584" s="490"/>
      <c r="AN584" s="1298"/>
      <c r="AO584" s="490"/>
      <c r="AP584" s="490"/>
      <c r="AQ584" s="541"/>
      <c r="AR584" s="1298"/>
      <c r="AS584" s="490"/>
      <c r="AT584" s="490"/>
      <c r="AU584" s="490"/>
      <c r="AV584" s="541"/>
      <c r="AW584" s="490"/>
      <c r="AX584" s="490"/>
      <c r="AY584" s="490"/>
      <c r="AZ584" s="490"/>
      <c r="BA584" s="541"/>
      <c r="BB584" s="490"/>
      <c r="BC584" s="490"/>
      <c r="BD584" s="490"/>
      <c r="BE584" s="490"/>
      <c r="BF584" s="541"/>
      <c r="BG584" s="490"/>
      <c r="BH584" s="490"/>
      <c r="BI584" s="490"/>
      <c r="BJ584" s="490"/>
      <c r="BK584" s="541"/>
      <c r="BL584" s="490"/>
      <c r="BM584" s="490"/>
      <c r="BN584" s="490"/>
      <c r="BO584" s="490"/>
    </row>
    <row r="585" spans="3:67">
      <c r="C585" s="541"/>
      <c r="D585" s="490"/>
      <c r="E585" s="490"/>
      <c r="F585" s="490"/>
      <c r="G585" s="490"/>
      <c r="H585" s="541"/>
      <c r="I585" s="490"/>
      <c r="J585" s="490"/>
      <c r="K585" s="490"/>
      <c r="L585" s="490"/>
      <c r="M585" s="541"/>
      <c r="N585" s="490"/>
      <c r="O585" s="490"/>
      <c r="P585" s="490"/>
      <c r="Q585" s="490"/>
      <c r="R585" s="541"/>
      <c r="S585" s="490"/>
      <c r="T585" s="490"/>
      <c r="U585" s="490"/>
      <c r="V585" s="490"/>
      <c r="W585" s="541"/>
      <c r="X585" s="490"/>
      <c r="Y585" s="490"/>
      <c r="Z585" s="490"/>
      <c r="AA585" s="490"/>
      <c r="AB585" s="541"/>
      <c r="AC585" s="490"/>
      <c r="AD585" s="490"/>
      <c r="AE585" s="490"/>
      <c r="AF585" s="490"/>
      <c r="AG585" s="541"/>
      <c r="AH585" s="490"/>
      <c r="AI585" s="490"/>
      <c r="AJ585" s="490"/>
      <c r="AK585" s="490"/>
      <c r="AL585" s="541"/>
      <c r="AM585" s="490"/>
      <c r="AN585" s="1298"/>
      <c r="AO585" s="490"/>
      <c r="AP585" s="490"/>
      <c r="AQ585" s="541"/>
      <c r="AR585" s="1298"/>
      <c r="AS585" s="490"/>
      <c r="AT585" s="490"/>
      <c r="AU585" s="490"/>
      <c r="AV585" s="541"/>
      <c r="AW585" s="490"/>
      <c r="AX585" s="490"/>
      <c r="AY585" s="490"/>
      <c r="AZ585" s="490"/>
      <c r="BA585" s="541"/>
      <c r="BB585" s="490"/>
      <c r="BC585" s="490"/>
      <c r="BD585" s="490"/>
      <c r="BE585" s="490"/>
      <c r="BF585" s="541"/>
      <c r="BG585" s="490"/>
      <c r="BH585" s="490"/>
      <c r="BI585" s="490"/>
      <c r="BJ585" s="490"/>
      <c r="BK585" s="541"/>
      <c r="BL585" s="490"/>
      <c r="BM585" s="490"/>
      <c r="BN585" s="490"/>
      <c r="BO585" s="490"/>
    </row>
    <row r="586" spans="3:67">
      <c r="C586" s="541"/>
      <c r="D586" s="490"/>
      <c r="E586" s="490"/>
      <c r="F586" s="490"/>
      <c r="G586" s="490"/>
      <c r="H586" s="541"/>
      <c r="I586" s="490"/>
      <c r="J586" s="490"/>
      <c r="K586" s="490"/>
      <c r="L586" s="490"/>
      <c r="M586" s="541"/>
      <c r="N586" s="490"/>
      <c r="O586" s="490"/>
      <c r="P586" s="490"/>
      <c r="Q586" s="490"/>
      <c r="R586" s="541"/>
      <c r="S586" s="490"/>
      <c r="T586" s="490"/>
      <c r="U586" s="490"/>
      <c r="V586" s="490"/>
      <c r="W586" s="541"/>
      <c r="X586" s="490"/>
      <c r="Y586" s="490"/>
      <c r="Z586" s="490"/>
      <c r="AA586" s="490"/>
      <c r="AB586" s="541"/>
      <c r="AC586" s="490"/>
      <c r="AD586" s="490"/>
      <c r="AE586" s="490"/>
      <c r="AF586" s="490"/>
      <c r="AG586" s="541"/>
      <c r="AH586" s="490"/>
      <c r="AI586" s="490"/>
      <c r="AJ586" s="490"/>
      <c r="AK586" s="490"/>
      <c r="AL586" s="541"/>
      <c r="AM586" s="490"/>
      <c r="AN586" s="1298"/>
      <c r="AO586" s="490"/>
      <c r="AP586" s="490"/>
      <c r="AQ586" s="541"/>
      <c r="AR586" s="1298"/>
      <c r="AS586" s="490"/>
      <c r="AT586" s="490"/>
      <c r="AU586" s="490"/>
      <c r="AV586" s="541"/>
      <c r="AW586" s="490"/>
      <c r="AX586" s="490"/>
      <c r="AY586" s="490"/>
      <c r="AZ586" s="490"/>
      <c r="BA586" s="541"/>
      <c r="BB586" s="490"/>
      <c r="BC586" s="490"/>
      <c r="BD586" s="490"/>
      <c r="BE586" s="490"/>
      <c r="BF586" s="541"/>
      <c r="BG586" s="490"/>
      <c r="BH586" s="490"/>
      <c r="BI586" s="490"/>
      <c r="BJ586" s="490"/>
      <c r="BK586" s="541"/>
      <c r="BL586" s="490"/>
      <c r="BM586" s="490"/>
      <c r="BN586" s="490"/>
      <c r="BO586" s="490"/>
    </row>
    <row r="587" spans="3:67">
      <c r="C587" s="554"/>
      <c r="D587" s="554"/>
      <c r="E587" s="554"/>
      <c r="F587" s="554"/>
      <c r="G587" s="554"/>
      <c r="H587" s="554"/>
      <c r="I587" s="554"/>
      <c r="J587" s="554"/>
      <c r="K587" s="554"/>
      <c r="L587" s="554"/>
      <c r="M587" s="554"/>
      <c r="N587" s="554"/>
      <c r="O587" s="554"/>
      <c r="P587" s="554"/>
      <c r="Q587" s="554"/>
      <c r="R587" s="554"/>
      <c r="S587" s="554"/>
      <c r="T587" s="554"/>
      <c r="U587" s="554"/>
      <c r="V587" s="554"/>
      <c r="W587" s="554"/>
      <c r="X587" s="554"/>
      <c r="Y587" s="554"/>
      <c r="Z587" s="554"/>
      <c r="AA587" s="554"/>
      <c r="AB587" s="554"/>
      <c r="AC587" s="554"/>
      <c r="AD587" s="554"/>
      <c r="AE587" s="554"/>
      <c r="AF587" s="554"/>
      <c r="AG587" s="554"/>
      <c r="AH587" s="554"/>
      <c r="AI587" s="554"/>
      <c r="AJ587" s="554"/>
      <c r="AK587" s="554"/>
      <c r="AL587" s="554"/>
      <c r="AM587" s="554"/>
      <c r="AN587" s="1334"/>
      <c r="AO587" s="554"/>
      <c r="AP587" s="554"/>
      <c r="AQ587" s="554"/>
      <c r="AR587" s="1334"/>
      <c r="AS587" s="554"/>
      <c r="AT587" s="554"/>
      <c r="AU587" s="554"/>
      <c r="AV587" s="554"/>
      <c r="AW587" s="554"/>
      <c r="AX587" s="554"/>
      <c r="AY587" s="554"/>
      <c r="AZ587" s="554"/>
      <c r="BA587" s="554"/>
      <c r="BB587" s="554"/>
      <c r="BC587" s="554"/>
      <c r="BD587" s="554"/>
      <c r="BE587" s="554"/>
      <c r="BF587" s="554"/>
      <c r="BG587" s="554"/>
      <c r="BH587" s="554"/>
      <c r="BI587" s="554"/>
      <c r="BJ587" s="554"/>
      <c r="BK587" s="554"/>
      <c r="BL587" s="554"/>
      <c r="BM587" s="554"/>
      <c r="BN587" s="554"/>
      <c r="BO587" s="554"/>
    </row>
    <row r="588" spans="3:67">
      <c r="C588" s="541"/>
      <c r="D588" s="490"/>
      <c r="E588" s="490"/>
      <c r="F588" s="490"/>
      <c r="G588" s="490"/>
      <c r="H588" s="541"/>
      <c r="I588" s="490"/>
      <c r="J588" s="490"/>
      <c r="K588" s="490"/>
      <c r="L588" s="490"/>
      <c r="M588" s="541"/>
      <c r="N588" s="490"/>
      <c r="O588" s="490"/>
      <c r="P588" s="490"/>
      <c r="Q588" s="490"/>
      <c r="R588" s="541"/>
      <c r="S588" s="490"/>
      <c r="T588" s="490"/>
      <c r="U588" s="490"/>
      <c r="V588" s="490"/>
      <c r="W588" s="541"/>
      <c r="X588" s="490"/>
      <c r="Y588" s="490"/>
      <c r="Z588" s="490"/>
      <c r="AA588" s="490"/>
      <c r="AB588" s="541"/>
      <c r="AC588" s="490"/>
      <c r="AD588" s="490"/>
      <c r="AE588" s="490"/>
      <c r="AF588" s="490"/>
      <c r="AG588" s="541"/>
      <c r="AH588" s="490"/>
      <c r="AI588" s="490"/>
      <c r="AJ588" s="490"/>
      <c r="AK588" s="490"/>
      <c r="AL588" s="541"/>
      <c r="AM588" s="490"/>
      <c r="AN588" s="1298"/>
      <c r="AO588" s="490"/>
      <c r="AP588" s="490"/>
      <c r="AQ588" s="541"/>
      <c r="AR588" s="1298"/>
      <c r="AS588" s="490"/>
      <c r="AT588" s="490"/>
      <c r="AU588" s="490"/>
      <c r="AV588" s="541"/>
      <c r="AW588" s="490"/>
      <c r="AX588" s="490"/>
      <c r="AY588" s="490"/>
      <c r="AZ588" s="490"/>
      <c r="BA588" s="541"/>
      <c r="BB588" s="490"/>
      <c r="BC588" s="490"/>
      <c r="BD588" s="490"/>
      <c r="BE588" s="490"/>
      <c r="BF588" s="541"/>
      <c r="BG588" s="490"/>
      <c r="BH588" s="490"/>
      <c r="BI588" s="490"/>
      <c r="BJ588" s="490"/>
      <c r="BK588" s="541"/>
      <c r="BL588" s="490"/>
      <c r="BM588" s="490"/>
      <c r="BN588" s="490"/>
      <c r="BO588" s="490"/>
    </row>
    <row r="589" spans="3:67">
      <c r="C589" s="541"/>
      <c r="D589" s="490"/>
      <c r="E589" s="490"/>
      <c r="F589" s="490"/>
      <c r="G589" s="490"/>
      <c r="H589" s="541"/>
      <c r="I589" s="490"/>
      <c r="J589" s="490"/>
      <c r="K589" s="490"/>
      <c r="L589" s="490"/>
      <c r="M589" s="541"/>
      <c r="N589" s="490"/>
      <c r="O589" s="490"/>
      <c r="P589" s="490"/>
      <c r="Q589" s="490"/>
      <c r="R589" s="541"/>
      <c r="S589" s="490"/>
      <c r="T589" s="490"/>
      <c r="U589" s="490"/>
      <c r="V589" s="490"/>
      <c r="W589" s="541"/>
      <c r="X589" s="490"/>
      <c r="Y589" s="490"/>
      <c r="Z589" s="490"/>
      <c r="AA589" s="490"/>
      <c r="AB589" s="541"/>
      <c r="AC589" s="490"/>
      <c r="AD589" s="490"/>
      <c r="AE589" s="490"/>
      <c r="AF589" s="490"/>
      <c r="AG589" s="541"/>
      <c r="AH589" s="490"/>
      <c r="AI589" s="490"/>
      <c r="AJ589" s="490"/>
      <c r="AK589" s="490"/>
      <c r="AL589" s="541"/>
      <c r="AM589" s="490"/>
      <c r="AN589" s="1298"/>
      <c r="AO589" s="490"/>
      <c r="AP589" s="490"/>
      <c r="AQ589" s="541"/>
      <c r="AR589" s="1298"/>
      <c r="AS589" s="490"/>
      <c r="AT589" s="490"/>
      <c r="AU589" s="490"/>
      <c r="AV589" s="541"/>
      <c r="AW589" s="490"/>
      <c r="AX589" s="490"/>
      <c r="AY589" s="490"/>
      <c r="AZ589" s="490"/>
      <c r="BA589" s="541"/>
      <c r="BB589" s="490"/>
      <c r="BC589" s="490"/>
      <c r="BD589" s="490"/>
      <c r="BE589" s="490"/>
      <c r="BF589" s="541"/>
      <c r="BG589" s="490"/>
      <c r="BH589" s="490"/>
      <c r="BI589" s="490"/>
      <c r="BJ589" s="490"/>
      <c r="BK589" s="541"/>
      <c r="BL589" s="490"/>
      <c r="BM589" s="490"/>
      <c r="BN589" s="490"/>
      <c r="BO589" s="490"/>
    </row>
    <row r="591" spans="3:67">
      <c r="C591" s="541"/>
      <c r="D591" s="490"/>
      <c r="E591" s="490"/>
      <c r="F591" s="490"/>
      <c r="G591" s="490"/>
      <c r="H591" s="541"/>
      <c r="I591" s="490"/>
      <c r="J591" s="490"/>
      <c r="K591" s="490"/>
      <c r="L591" s="490"/>
      <c r="M591" s="541"/>
      <c r="N591" s="490"/>
      <c r="O591" s="490"/>
      <c r="P591" s="490"/>
      <c r="Q591" s="490"/>
      <c r="R591" s="541"/>
      <c r="S591" s="490"/>
      <c r="T591" s="490"/>
      <c r="U591" s="490"/>
      <c r="V591" s="490"/>
      <c r="W591" s="541"/>
      <c r="X591" s="490"/>
      <c r="Y591" s="490"/>
      <c r="Z591" s="490"/>
      <c r="AA591" s="490"/>
      <c r="AB591" s="541"/>
      <c r="AC591" s="490"/>
      <c r="AD591" s="490"/>
      <c r="AE591" s="490"/>
      <c r="AF591" s="490"/>
      <c r="AG591" s="541"/>
      <c r="AH591" s="490"/>
      <c r="AI591" s="490"/>
      <c r="AJ591" s="490"/>
      <c r="AK591" s="490"/>
      <c r="AL591" s="541"/>
      <c r="AM591" s="490"/>
      <c r="AN591" s="1298"/>
      <c r="AO591" s="490"/>
      <c r="AP591" s="490"/>
      <c r="AQ591" s="541"/>
      <c r="AR591" s="1298"/>
      <c r="AS591" s="490"/>
      <c r="AT591" s="490"/>
      <c r="AU591" s="490"/>
      <c r="AV591" s="541"/>
      <c r="AW591" s="490"/>
      <c r="AX591" s="490"/>
      <c r="AY591" s="490"/>
      <c r="AZ591" s="490"/>
      <c r="BA591" s="541"/>
      <c r="BB591" s="490"/>
      <c r="BC591" s="490"/>
      <c r="BD591" s="490"/>
      <c r="BE591" s="490"/>
      <c r="BF591" s="541"/>
      <c r="BG591" s="490"/>
      <c r="BH591" s="490"/>
      <c r="BI591" s="490"/>
      <c r="BJ591" s="490"/>
      <c r="BK591" s="541"/>
      <c r="BL591" s="490"/>
      <c r="BM591" s="490"/>
      <c r="BN591" s="490"/>
      <c r="BO591" s="490"/>
    </row>
    <row r="592" spans="3:67">
      <c r="C592" s="541"/>
      <c r="D592" s="490"/>
      <c r="E592" s="490"/>
      <c r="F592" s="490"/>
      <c r="G592" s="490"/>
      <c r="H592" s="541"/>
      <c r="I592" s="490"/>
      <c r="J592" s="490"/>
      <c r="K592" s="490"/>
      <c r="L592" s="490"/>
      <c r="M592" s="541"/>
      <c r="N592" s="490"/>
      <c r="O592" s="490"/>
      <c r="P592" s="490"/>
      <c r="Q592" s="490"/>
      <c r="R592" s="541"/>
      <c r="S592" s="490"/>
      <c r="T592" s="490"/>
      <c r="U592" s="490"/>
      <c r="V592" s="490"/>
      <c r="W592" s="541"/>
      <c r="X592" s="490"/>
      <c r="Y592" s="490"/>
      <c r="Z592" s="490"/>
      <c r="AA592" s="490"/>
      <c r="AB592" s="541"/>
      <c r="AC592" s="490"/>
      <c r="AD592" s="490"/>
      <c r="AE592" s="490"/>
      <c r="AF592" s="490"/>
      <c r="AG592" s="541"/>
      <c r="AH592" s="490"/>
      <c r="AI592" s="490"/>
      <c r="AJ592" s="490"/>
      <c r="AK592" s="490"/>
      <c r="AL592" s="541"/>
      <c r="AM592" s="490"/>
      <c r="AN592" s="1298"/>
      <c r="AO592" s="490"/>
      <c r="AP592" s="490"/>
      <c r="AQ592" s="541"/>
      <c r="AR592" s="1298"/>
      <c r="AS592" s="490"/>
      <c r="AT592" s="490"/>
      <c r="AU592" s="490"/>
      <c r="AV592" s="541"/>
      <c r="AW592" s="490"/>
      <c r="AX592" s="490"/>
      <c r="AY592" s="490"/>
      <c r="AZ592" s="490"/>
      <c r="BA592" s="541"/>
      <c r="BB592" s="490"/>
      <c r="BC592" s="490"/>
      <c r="BD592" s="490"/>
      <c r="BE592" s="490"/>
      <c r="BF592" s="541"/>
      <c r="BG592" s="490"/>
      <c r="BH592" s="490"/>
      <c r="BI592" s="490"/>
      <c r="BJ592" s="490"/>
      <c r="BK592" s="541"/>
      <c r="BL592" s="490"/>
      <c r="BM592" s="490"/>
      <c r="BN592" s="490"/>
      <c r="BO592" s="490"/>
    </row>
    <row r="593" spans="3:67">
      <c r="C593" s="541"/>
      <c r="D593" s="490"/>
      <c r="E593" s="490"/>
      <c r="F593" s="490"/>
      <c r="G593" s="490"/>
      <c r="H593" s="541"/>
      <c r="I593" s="490"/>
      <c r="J593" s="490"/>
      <c r="K593" s="490"/>
      <c r="L593" s="490"/>
      <c r="M593" s="541"/>
      <c r="N593" s="490"/>
      <c r="O593" s="490"/>
      <c r="P593" s="490"/>
      <c r="Q593" s="490"/>
      <c r="R593" s="541"/>
      <c r="S593" s="490"/>
      <c r="T593" s="490"/>
      <c r="U593" s="490"/>
      <c r="V593" s="490"/>
      <c r="W593" s="541"/>
      <c r="X593" s="490"/>
      <c r="Y593" s="490"/>
      <c r="Z593" s="490"/>
      <c r="AA593" s="490"/>
      <c r="AB593" s="541"/>
      <c r="AC593" s="490"/>
      <c r="AD593" s="490"/>
      <c r="AE593" s="490"/>
      <c r="AF593" s="490"/>
      <c r="AG593" s="541"/>
      <c r="AH593" s="490"/>
      <c r="AI593" s="490"/>
      <c r="AJ593" s="490"/>
      <c r="AK593" s="490"/>
      <c r="AL593" s="541"/>
      <c r="AM593" s="490"/>
      <c r="AN593" s="1298"/>
      <c r="AO593" s="490"/>
      <c r="AP593" s="490"/>
      <c r="AQ593" s="541"/>
      <c r="AR593" s="1298"/>
      <c r="AS593" s="490"/>
      <c r="AT593" s="490"/>
      <c r="AU593" s="490"/>
      <c r="AV593" s="541"/>
      <c r="AW593" s="490"/>
      <c r="AX593" s="490"/>
      <c r="AY593" s="490"/>
      <c r="AZ593" s="490"/>
      <c r="BA593" s="541"/>
      <c r="BB593" s="490"/>
      <c r="BC593" s="490"/>
      <c r="BD593" s="490"/>
      <c r="BE593" s="490"/>
      <c r="BF593" s="541"/>
      <c r="BG593" s="490"/>
      <c r="BH593" s="490"/>
      <c r="BI593" s="490"/>
      <c r="BJ593" s="490"/>
      <c r="BK593" s="541"/>
      <c r="BL593" s="490"/>
      <c r="BM593" s="490"/>
      <c r="BN593" s="490"/>
      <c r="BO593" s="490"/>
    </row>
    <row r="594" spans="3:67">
      <c r="C594" s="541"/>
      <c r="D594" s="490"/>
      <c r="E594" s="490"/>
      <c r="F594" s="490"/>
      <c r="G594" s="490"/>
      <c r="H594" s="541"/>
      <c r="I594" s="490"/>
      <c r="J594" s="490"/>
      <c r="K594" s="490"/>
      <c r="L594" s="490"/>
      <c r="M594" s="541"/>
      <c r="N594" s="490"/>
      <c r="O594" s="490"/>
      <c r="P594" s="490"/>
      <c r="Q594" s="490"/>
      <c r="R594" s="541"/>
      <c r="S594" s="490"/>
      <c r="T594" s="490"/>
      <c r="U594" s="490"/>
      <c r="V594" s="490"/>
      <c r="W594" s="541"/>
      <c r="X594" s="490"/>
      <c r="Y594" s="490"/>
      <c r="Z594" s="490"/>
      <c r="AA594" s="490"/>
      <c r="AB594" s="541"/>
      <c r="AC594" s="490"/>
      <c r="AD594" s="490"/>
      <c r="AE594" s="490"/>
      <c r="AF594" s="490"/>
      <c r="AG594" s="541"/>
      <c r="AH594" s="490"/>
      <c r="AI594" s="490"/>
      <c r="AJ594" s="490"/>
      <c r="AK594" s="490"/>
      <c r="AL594" s="541"/>
      <c r="AM594" s="490"/>
      <c r="AN594" s="1298"/>
      <c r="AO594" s="490"/>
      <c r="AP594" s="490"/>
      <c r="AQ594" s="541"/>
      <c r="AR594" s="1298"/>
      <c r="AS594" s="490"/>
      <c r="AT594" s="490"/>
      <c r="AU594" s="490"/>
      <c r="AV594" s="541"/>
      <c r="AW594" s="490"/>
      <c r="AX594" s="490"/>
      <c r="AY594" s="490"/>
      <c r="AZ594" s="490"/>
      <c r="BA594" s="541"/>
      <c r="BB594" s="490"/>
      <c r="BC594" s="490"/>
      <c r="BD594" s="490"/>
      <c r="BE594" s="490"/>
      <c r="BF594" s="541"/>
      <c r="BG594" s="490"/>
      <c r="BH594" s="490"/>
      <c r="BI594" s="490"/>
      <c r="BJ594" s="490"/>
      <c r="BK594" s="541"/>
      <c r="BL594" s="490"/>
      <c r="BM594" s="490"/>
      <c r="BN594" s="490"/>
      <c r="BO594" s="490"/>
    </row>
    <row r="595" spans="3:67">
      <c r="C595" s="541"/>
      <c r="D595" s="490"/>
      <c r="E595" s="490"/>
      <c r="F595" s="490"/>
      <c r="G595" s="490"/>
      <c r="H595" s="541"/>
      <c r="I595" s="490"/>
      <c r="J595" s="490"/>
      <c r="K595" s="490"/>
      <c r="L595" s="490"/>
      <c r="M595" s="541"/>
      <c r="N595" s="490"/>
      <c r="O595" s="490"/>
      <c r="P595" s="490"/>
      <c r="Q595" s="490"/>
      <c r="R595" s="541"/>
      <c r="S595" s="490"/>
      <c r="T595" s="490"/>
      <c r="U595" s="490"/>
      <c r="V595" s="490"/>
      <c r="W595" s="541"/>
      <c r="X595" s="490"/>
      <c r="Y595" s="490"/>
      <c r="Z595" s="490"/>
      <c r="AA595" s="490"/>
      <c r="AB595" s="541"/>
      <c r="AC595" s="490"/>
      <c r="AD595" s="490"/>
      <c r="AE595" s="490"/>
      <c r="AF595" s="490"/>
      <c r="AG595" s="541"/>
      <c r="AH595" s="490"/>
      <c r="AI595" s="490"/>
      <c r="AJ595" s="490"/>
      <c r="AK595" s="490"/>
      <c r="AL595" s="541"/>
      <c r="AM595" s="490"/>
      <c r="AN595" s="1298"/>
      <c r="AO595" s="490"/>
      <c r="AP595" s="490"/>
      <c r="AQ595" s="541"/>
      <c r="AR595" s="1298"/>
      <c r="AS595" s="490"/>
      <c r="AT595" s="490"/>
      <c r="AU595" s="490"/>
      <c r="AV595" s="541"/>
      <c r="AW595" s="490"/>
      <c r="AX595" s="490"/>
      <c r="AY595" s="490"/>
      <c r="AZ595" s="490"/>
      <c r="BA595" s="541"/>
      <c r="BB595" s="490"/>
      <c r="BC595" s="490"/>
      <c r="BD595" s="490"/>
      <c r="BE595" s="490"/>
      <c r="BF595" s="541"/>
      <c r="BG595" s="490"/>
      <c r="BH595" s="490"/>
      <c r="BI595" s="490"/>
      <c r="BJ595" s="490"/>
      <c r="BK595" s="541"/>
      <c r="BL595" s="490"/>
      <c r="BM595" s="490"/>
      <c r="BN595" s="490"/>
      <c r="BO595" s="490"/>
    </row>
    <row r="596" spans="3:67">
      <c r="C596" s="541"/>
      <c r="D596" s="490"/>
      <c r="E596" s="490"/>
      <c r="F596" s="490"/>
      <c r="G596" s="490"/>
      <c r="H596" s="541"/>
      <c r="I596" s="490"/>
      <c r="J596" s="490"/>
      <c r="K596" s="490"/>
      <c r="L596" s="490"/>
      <c r="M596" s="541"/>
      <c r="N596" s="490"/>
      <c r="O596" s="490"/>
      <c r="P596" s="490"/>
      <c r="Q596" s="490"/>
      <c r="R596" s="541"/>
      <c r="S596" s="490"/>
      <c r="T596" s="490"/>
      <c r="U596" s="490"/>
      <c r="V596" s="490"/>
      <c r="W596" s="541"/>
      <c r="X596" s="490"/>
      <c r="Y596" s="490"/>
      <c r="Z596" s="490"/>
      <c r="AA596" s="490"/>
      <c r="AB596" s="541"/>
      <c r="AC596" s="490"/>
      <c r="AD596" s="490"/>
      <c r="AE596" s="490"/>
      <c r="AF596" s="490"/>
      <c r="AG596" s="541"/>
      <c r="AH596" s="490"/>
      <c r="AI596" s="490"/>
      <c r="AJ596" s="490"/>
      <c r="AK596" s="490"/>
      <c r="AL596" s="541"/>
      <c r="AM596" s="490"/>
      <c r="AN596" s="1298"/>
      <c r="AO596" s="490"/>
      <c r="AP596" s="490"/>
      <c r="AQ596" s="541"/>
      <c r="AR596" s="1298"/>
      <c r="AS596" s="490"/>
      <c r="AT596" s="490"/>
      <c r="AU596" s="490"/>
      <c r="AV596" s="541"/>
      <c r="AW596" s="490"/>
      <c r="AX596" s="490"/>
      <c r="AY596" s="490"/>
      <c r="AZ596" s="490"/>
      <c r="BA596" s="541"/>
      <c r="BB596" s="490"/>
      <c r="BC596" s="490"/>
      <c r="BD596" s="490"/>
      <c r="BE596" s="490"/>
      <c r="BF596" s="541"/>
      <c r="BG596" s="490"/>
      <c r="BH596" s="490"/>
      <c r="BI596" s="490"/>
      <c r="BJ596" s="490"/>
      <c r="BK596" s="541"/>
      <c r="BL596" s="490"/>
      <c r="BM596" s="490"/>
      <c r="BN596" s="490"/>
      <c r="BO596" s="490"/>
    </row>
    <row r="597" spans="3:67">
      <c r="C597" s="541"/>
      <c r="D597" s="490"/>
      <c r="E597" s="490"/>
      <c r="F597" s="490"/>
      <c r="G597" s="490"/>
      <c r="H597" s="541"/>
      <c r="I597" s="490"/>
      <c r="J597" s="490"/>
      <c r="K597" s="490"/>
      <c r="L597" s="490"/>
      <c r="M597" s="541"/>
      <c r="N597" s="490"/>
      <c r="O597" s="490"/>
      <c r="P597" s="490"/>
      <c r="Q597" s="490"/>
      <c r="R597" s="541"/>
      <c r="S597" s="490"/>
      <c r="T597" s="490"/>
      <c r="U597" s="490"/>
      <c r="V597" s="490"/>
      <c r="W597" s="541"/>
      <c r="X597" s="490"/>
      <c r="Y597" s="490"/>
      <c r="Z597" s="490"/>
      <c r="AA597" s="490"/>
      <c r="AB597" s="541"/>
      <c r="AC597" s="490"/>
      <c r="AD597" s="490"/>
      <c r="AE597" s="490"/>
      <c r="AF597" s="490"/>
      <c r="AG597" s="541"/>
      <c r="AH597" s="490"/>
      <c r="AI597" s="490"/>
      <c r="AJ597" s="490"/>
      <c r="AK597" s="490"/>
      <c r="AL597" s="541"/>
      <c r="AM597" s="490"/>
      <c r="AN597" s="1298"/>
      <c r="AO597" s="490"/>
      <c r="AP597" s="490"/>
      <c r="AQ597" s="541"/>
      <c r="AR597" s="1298"/>
      <c r="AS597" s="490"/>
      <c r="AT597" s="490"/>
      <c r="AU597" s="490"/>
      <c r="AV597" s="541"/>
      <c r="AW597" s="490"/>
      <c r="AX597" s="490"/>
      <c r="AY597" s="490"/>
      <c r="AZ597" s="490"/>
      <c r="BA597" s="541"/>
      <c r="BB597" s="490"/>
      <c r="BC597" s="490"/>
      <c r="BD597" s="490"/>
      <c r="BE597" s="490"/>
      <c r="BF597" s="541"/>
      <c r="BG597" s="490"/>
      <c r="BH597" s="490"/>
      <c r="BI597" s="490"/>
      <c r="BJ597" s="490"/>
      <c r="BK597" s="541"/>
      <c r="BL597" s="490"/>
      <c r="BM597" s="490"/>
      <c r="BN597" s="490"/>
      <c r="BO597" s="490"/>
    </row>
    <row r="598" spans="3:67">
      <c r="C598" s="541"/>
      <c r="D598" s="490"/>
      <c r="E598" s="490"/>
      <c r="F598" s="490"/>
      <c r="G598" s="490"/>
      <c r="H598" s="541"/>
      <c r="I598" s="490"/>
      <c r="J598" s="490"/>
      <c r="K598" s="490"/>
      <c r="L598" s="490"/>
      <c r="M598" s="541"/>
      <c r="N598" s="490"/>
      <c r="O598" s="490"/>
      <c r="P598" s="490"/>
      <c r="Q598" s="490"/>
      <c r="R598" s="541"/>
      <c r="S598" s="490"/>
      <c r="T598" s="490"/>
      <c r="U598" s="490"/>
      <c r="V598" s="490"/>
      <c r="W598" s="541"/>
      <c r="X598" s="490"/>
      <c r="Y598" s="490"/>
      <c r="Z598" s="490"/>
      <c r="AA598" s="490"/>
      <c r="AB598" s="541"/>
      <c r="AC598" s="490"/>
      <c r="AD598" s="490"/>
      <c r="AE598" s="490"/>
      <c r="AF598" s="490"/>
      <c r="AG598" s="541"/>
      <c r="AH598" s="490"/>
      <c r="AI598" s="490"/>
      <c r="AJ598" s="490"/>
      <c r="AK598" s="490"/>
      <c r="AL598" s="541"/>
      <c r="AM598" s="490"/>
      <c r="AN598" s="1298"/>
      <c r="AO598" s="490"/>
      <c r="AP598" s="490"/>
      <c r="AQ598" s="541"/>
      <c r="AR598" s="1298"/>
      <c r="AS598" s="490"/>
      <c r="AT598" s="490"/>
      <c r="AU598" s="490"/>
      <c r="AV598" s="541"/>
      <c r="AW598" s="490"/>
      <c r="AX598" s="490"/>
      <c r="AY598" s="490"/>
      <c r="AZ598" s="490"/>
      <c r="BA598" s="541"/>
      <c r="BB598" s="490"/>
      <c r="BC598" s="490"/>
      <c r="BD598" s="490"/>
      <c r="BE598" s="490"/>
      <c r="BF598" s="541"/>
      <c r="BG598" s="490"/>
      <c r="BH598" s="490"/>
      <c r="BI598" s="490"/>
      <c r="BJ598" s="490"/>
      <c r="BK598" s="541"/>
      <c r="BL598" s="490"/>
      <c r="BM598" s="490"/>
      <c r="BN598" s="490"/>
      <c r="BO598" s="490"/>
    </row>
    <row r="599" spans="3:67">
      <c r="C599" s="541"/>
      <c r="D599" s="490"/>
      <c r="E599" s="490"/>
      <c r="F599" s="490"/>
      <c r="G599" s="490"/>
      <c r="H599" s="541"/>
      <c r="I599" s="490"/>
      <c r="J599" s="490"/>
      <c r="K599" s="490"/>
      <c r="L599" s="490"/>
      <c r="M599" s="541"/>
      <c r="N599" s="490"/>
      <c r="O599" s="490"/>
      <c r="P599" s="490"/>
      <c r="Q599" s="490"/>
      <c r="R599" s="541"/>
      <c r="S599" s="490"/>
      <c r="T599" s="490"/>
      <c r="U599" s="490"/>
      <c r="V599" s="490"/>
      <c r="W599" s="541"/>
      <c r="X599" s="490"/>
      <c r="Y599" s="490"/>
      <c r="Z599" s="490"/>
      <c r="AA599" s="490"/>
      <c r="AB599" s="541"/>
      <c r="AC599" s="490"/>
      <c r="AD599" s="490"/>
      <c r="AE599" s="490"/>
      <c r="AF599" s="490"/>
      <c r="AG599" s="541"/>
      <c r="AH599" s="490"/>
      <c r="AI599" s="490"/>
      <c r="AJ599" s="490"/>
      <c r="AK599" s="490"/>
      <c r="AL599" s="541"/>
      <c r="AM599" s="490"/>
      <c r="AN599" s="1298"/>
      <c r="AO599" s="490"/>
      <c r="AP599" s="490"/>
      <c r="AQ599" s="541"/>
      <c r="AR599" s="1298"/>
      <c r="AS599" s="490"/>
      <c r="AT599" s="490"/>
      <c r="AU599" s="490"/>
      <c r="AV599" s="541"/>
      <c r="AW599" s="490"/>
      <c r="AX599" s="490"/>
      <c r="AY599" s="490"/>
      <c r="AZ599" s="490"/>
      <c r="BA599" s="541"/>
      <c r="BB599" s="490"/>
      <c r="BC599" s="490"/>
      <c r="BD599" s="490"/>
      <c r="BE599" s="490"/>
      <c r="BF599" s="541"/>
      <c r="BG599" s="490"/>
      <c r="BH599" s="490"/>
      <c r="BI599" s="490"/>
      <c r="BJ599" s="490"/>
      <c r="BK599" s="541"/>
      <c r="BL599" s="490"/>
      <c r="BM599" s="490"/>
      <c r="BN599" s="490"/>
      <c r="BO599" s="490"/>
    </row>
    <row r="600" spans="3:67">
      <c r="C600" s="541"/>
      <c r="D600" s="490"/>
      <c r="E600" s="490"/>
      <c r="F600" s="490"/>
      <c r="G600" s="490"/>
      <c r="H600" s="541"/>
      <c r="I600" s="490"/>
      <c r="J600" s="490"/>
      <c r="K600" s="490"/>
      <c r="L600" s="490"/>
      <c r="M600" s="541"/>
      <c r="N600" s="490"/>
      <c r="O600" s="490"/>
      <c r="P600" s="490"/>
      <c r="Q600" s="490"/>
      <c r="R600" s="541"/>
      <c r="S600" s="490"/>
      <c r="T600" s="490"/>
      <c r="U600" s="490"/>
      <c r="V600" s="490"/>
      <c r="W600" s="541"/>
      <c r="X600" s="490"/>
      <c r="Y600" s="490"/>
      <c r="Z600" s="490"/>
      <c r="AA600" s="490"/>
      <c r="AB600" s="541"/>
      <c r="AC600" s="490"/>
      <c r="AD600" s="490"/>
      <c r="AE600" s="490"/>
      <c r="AF600" s="490"/>
      <c r="AG600" s="541"/>
      <c r="AH600" s="490"/>
      <c r="AI600" s="490"/>
      <c r="AJ600" s="490"/>
      <c r="AK600" s="490"/>
      <c r="AL600" s="541"/>
      <c r="AM600" s="490"/>
      <c r="AN600" s="1298"/>
      <c r="AO600" s="490"/>
      <c r="AP600" s="490"/>
      <c r="AQ600" s="541"/>
      <c r="AR600" s="1298"/>
      <c r="AS600" s="490"/>
      <c r="AT600" s="490"/>
      <c r="AU600" s="490"/>
      <c r="AV600" s="541"/>
      <c r="AW600" s="490"/>
      <c r="AX600" s="490"/>
      <c r="AY600" s="490"/>
      <c r="AZ600" s="490"/>
      <c r="BA600" s="541"/>
      <c r="BB600" s="490"/>
      <c r="BC600" s="490"/>
      <c r="BD600" s="490"/>
      <c r="BE600" s="490"/>
      <c r="BF600" s="541"/>
      <c r="BG600" s="490"/>
      <c r="BH600" s="490"/>
      <c r="BI600" s="490"/>
      <c r="BJ600" s="490"/>
      <c r="BK600" s="541"/>
      <c r="BL600" s="490"/>
      <c r="BM600" s="490"/>
      <c r="BN600" s="490"/>
      <c r="BO600" s="490"/>
    </row>
    <row r="601" spans="3:67">
      <c r="C601" s="541"/>
      <c r="D601" s="490"/>
      <c r="E601" s="490"/>
      <c r="F601" s="490"/>
      <c r="G601" s="490"/>
      <c r="H601" s="541"/>
      <c r="I601" s="490"/>
      <c r="J601" s="490"/>
      <c r="K601" s="490"/>
      <c r="L601" s="490"/>
      <c r="M601" s="541"/>
      <c r="N601" s="490"/>
      <c r="O601" s="490"/>
      <c r="P601" s="490"/>
      <c r="Q601" s="490"/>
      <c r="R601" s="541"/>
      <c r="S601" s="490"/>
      <c r="T601" s="490"/>
      <c r="U601" s="490"/>
      <c r="V601" s="490"/>
      <c r="W601" s="541"/>
      <c r="X601" s="490"/>
      <c r="Y601" s="490"/>
      <c r="Z601" s="490"/>
      <c r="AA601" s="490"/>
      <c r="AB601" s="541"/>
      <c r="AC601" s="490"/>
      <c r="AD601" s="490"/>
      <c r="AE601" s="490"/>
      <c r="AF601" s="490"/>
      <c r="AG601" s="541"/>
      <c r="AH601" s="490"/>
      <c r="AI601" s="490"/>
      <c r="AJ601" s="490"/>
      <c r="AK601" s="490"/>
      <c r="AL601" s="541"/>
      <c r="AM601" s="490"/>
      <c r="AN601" s="1298"/>
      <c r="AO601" s="490"/>
      <c r="AP601" s="490"/>
      <c r="AQ601" s="541"/>
      <c r="AR601" s="1298"/>
      <c r="AS601" s="490"/>
      <c r="AT601" s="490"/>
      <c r="AU601" s="490"/>
      <c r="AV601" s="541"/>
      <c r="AW601" s="490"/>
      <c r="AX601" s="490"/>
      <c r="AY601" s="490"/>
      <c r="AZ601" s="490"/>
      <c r="BA601" s="541"/>
      <c r="BB601" s="490"/>
      <c r="BC601" s="490"/>
      <c r="BD601" s="490"/>
      <c r="BE601" s="490"/>
      <c r="BF601" s="541"/>
      <c r="BG601" s="490"/>
      <c r="BH601" s="490"/>
      <c r="BI601" s="490"/>
      <c r="BJ601" s="490"/>
      <c r="BK601" s="541"/>
      <c r="BL601" s="490"/>
      <c r="BM601" s="490"/>
      <c r="BN601" s="490"/>
      <c r="BO601" s="490"/>
    </row>
    <row r="602" spans="3:67">
      <c r="C602" s="541"/>
      <c r="D602" s="490"/>
      <c r="E602" s="490"/>
      <c r="F602" s="490"/>
      <c r="G602" s="490"/>
      <c r="H602" s="541"/>
      <c r="I602" s="490"/>
      <c r="J602" s="490"/>
      <c r="K602" s="490"/>
      <c r="L602" s="490"/>
      <c r="M602" s="541"/>
      <c r="N602" s="490"/>
      <c r="O602" s="490"/>
      <c r="P602" s="490"/>
      <c r="Q602" s="490"/>
      <c r="R602" s="541"/>
      <c r="S602" s="490"/>
      <c r="T602" s="490"/>
      <c r="U602" s="490"/>
      <c r="V602" s="490"/>
      <c r="W602" s="541"/>
      <c r="X602" s="490"/>
      <c r="Y602" s="490"/>
      <c r="Z602" s="490"/>
      <c r="AA602" s="490"/>
      <c r="AB602" s="541"/>
      <c r="AC602" s="490"/>
      <c r="AD602" s="490"/>
      <c r="AE602" s="490"/>
      <c r="AF602" s="490"/>
      <c r="AG602" s="541"/>
      <c r="AH602" s="490"/>
      <c r="AI602" s="490"/>
      <c r="AJ602" s="490"/>
      <c r="AK602" s="490"/>
      <c r="AL602" s="541"/>
      <c r="AM602" s="490"/>
      <c r="AN602" s="1298"/>
      <c r="AO602" s="490"/>
      <c r="AP602" s="490"/>
      <c r="AQ602" s="541"/>
      <c r="AR602" s="1298"/>
      <c r="AS602" s="490"/>
      <c r="AT602" s="490"/>
      <c r="AU602" s="490"/>
      <c r="AV602" s="541"/>
      <c r="AW602" s="490"/>
      <c r="AX602" s="490"/>
      <c r="AY602" s="490"/>
      <c r="AZ602" s="490"/>
      <c r="BA602" s="541"/>
      <c r="BB602" s="490"/>
      <c r="BC602" s="490"/>
      <c r="BD602" s="490"/>
      <c r="BE602" s="490"/>
      <c r="BF602" s="541"/>
      <c r="BG602" s="490"/>
      <c r="BH602" s="490"/>
      <c r="BI602" s="490"/>
      <c r="BJ602" s="490"/>
      <c r="BK602" s="541"/>
      <c r="BL602" s="490"/>
      <c r="BM602" s="490"/>
      <c r="BN602" s="490"/>
      <c r="BO602" s="490"/>
    </row>
    <row r="603" spans="3:67">
      <c r="C603" s="541"/>
      <c r="D603" s="490"/>
      <c r="E603" s="490"/>
      <c r="F603" s="490"/>
      <c r="G603" s="490"/>
      <c r="H603" s="541"/>
      <c r="I603" s="490"/>
      <c r="J603" s="490"/>
      <c r="K603" s="490"/>
      <c r="L603" s="490"/>
      <c r="M603" s="541"/>
      <c r="N603" s="490"/>
      <c r="O603" s="490"/>
      <c r="P603" s="490"/>
      <c r="Q603" s="490"/>
      <c r="R603" s="541"/>
      <c r="S603" s="490"/>
      <c r="T603" s="490"/>
      <c r="U603" s="490"/>
      <c r="V603" s="490"/>
      <c r="W603" s="541"/>
      <c r="X603" s="490"/>
      <c r="Y603" s="490"/>
      <c r="Z603" s="490"/>
      <c r="AA603" s="490"/>
      <c r="AB603" s="541"/>
      <c r="AC603" s="490"/>
      <c r="AD603" s="490"/>
      <c r="AE603" s="490"/>
      <c r="AF603" s="490"/>
      <c r="AG603" s="541"/>
      <c r="AH603" s="490"/>
      <c r="AI603" s="490"/>
      <c r="AJ603" s="490"/>
      <c r="AK603" s="490"/>
      <c r="AL603" s="541"/>
      <c r="AM603" s="490"/>
      <c r="AN603" s="1298"/>
      <c r="AO603" s="490"/>
      <c r="AP603" s="490"/>
      <c r="AQ603" s="541"/>
      <c r="AR603" s="1298"/>
      <c r="AS603" s="490"/>
      <c r="AT603" s="490"/>
      <c r="AU603" s="490"/>
      <c r="AV603" s="541"/>
      <c r="AW603" s="490"/>
      <c r="AX603" s="490"/>
      <c r="AY603" s="490"/>
      <c r="AZ603" s="490"/>
      <c r="BA603" s="541"/>
      <c r="BB603" s="490"/>
      <c r="BC603" s="490"/>
      <c r="BD603" s="490"/>
      <c r="BE603" s="490"/>
      <c r="BF603" s="541"/>
      <c r="BG603" s="490"/>
      <c r="BH603" s="490"/>
      <c r="BI603" s="490"/>
      <c r="BJ603" s="490"/>
      <c r="BK603" s="541"/>
      <c r="BL603" s="490"/>
      <c r="BM603" s="490"/>
      <c r="BN603" s="490"/>
      <c r="BO603" s="490"/>
    </row>
    <row r="604" spans="3:67">
      <c r="C604" s="541"/>
      <c r="D604" s="490"/>
      <c r="E604" s="490"/>
      <c r="F604" s="490"/>
      <c r="G604" s="490"/>
      <c r="H604" s="541"/>
      <c r="I604" s="490"/>
      <c r="J604" s="490"/>
      <c r="K604" s="490"/>
      <c r="L604" s="490"/>
      <c r="M604" s="541"/>
      <c r="N604" s="490"/>
      <c r="O604" s="490"/>
      <c r="P604" s="490"/>
      <c r="Q604" s="490"/>
      <c r="R604" s="541"/>
      <c r="S604" s="490"/>
      <c r="T604" s="490"/>
      <c r="U604" s="490"/>
      <c r="V604" s="490"/>
      <c r="W604" s="541"/>
      <c r="X604" s="490"/>
      <c r="Y604" s="490"/>
      <c r="Z604" s="490"/>
      <c r="AA604" s="490"/>
      <c r="AB604" s="541"/>
      <c r="AC604" s="490"/>
      <c r="AD604" s="490"/>
      <c r="AE604" s="490"/>
      <c r="AF604" s="490"/>
      <c r="AG604" s="541"/>
      <c r="AH604" s="490"/>
      <c r="AI604" s="490"/>
      <c r="AJ604" s="490"/>
      <c r="AK604" s="490"/>
      <c r="AL604" s="541"/>
      <c r="AM604" s="490"/>
      <c r="AN604" s="1298"/>
      <c r="AO604" s="490"/>
      <c r="AP604" s="490"/>
      <c r="AQ604" s="541"/>
      <c r="AR604" s="1298"/>
      <c r="AS604" s="490"/>
      <c r="AT604" s="490"/>
      <c r="AU604" s="490"/>
      <c r="AV604" s="541"/>
      <c r="AW604" s="490"/>
      <c r="AX604" s="490"/>
      <c r="AY604" s="490"/>
      <c r="AZ604" s="490"/>
      <c r="BA604" s="541"/>
      <c r="BB604" s="490"/>
      <c r="BC604" s="490"/>
      <c r="BD604" s="490"/>
      <c r="BE604" s="490"/>
      <c r="BF604" s="541"/>
      <c r="BG604" s="490"/>
      <c r="BH604" s="490"/>
      <c r="BI604" s="490"/>
      <c r="BJ604" s="490"/>
      <c r="BK604" s="541"/>
      <c r="BL604" s="490"/>
      <c r="BM604" s="490"/>
      <c r="BN604" s="490"/>
      <c r="BO604" s="490"/>
    </row>
    <row r="605" spans="3:67">
      <c r="C605" s="555"/>
      <c r="D605" s="555"/>
      <c r="E605" s="555"/>
      <c r="F605" s="555"/>
      <c r="G605" s="555"/>
      <c r="H605" s="555"/>
      <c r="I605" s="555"/>
      <c r="J605" s="555"/>
      <c r="K605" s="555"/>
      <c r="L605" s="555"/>
      <c r="M605" s="555"/>
      <c r="N605" s="555"/>
      <c r="O605" s="555"/>
      <c r="P605" s="555"/>
      <c r="Q605" s="555"/>
      <c r="R605" s="555"/>
      <c r="S605" s="555"/>
      <c r="T605" s="555"/>
      <c r="U605" s="555"/>
      <c r="V605" s="555"/>
      <c r="W605" s="555"/>
      <c r="X605" s="555"/>
      <c r="Y605" s="555"/>
      <c r="Z605" s="555"/>
      <c r="AA605" s="555"/>
      <c r="AB605" s="555"/>
      <c r="AC605" s="555"/>
      <c r="AD605" s="555"/>
      <c r="AE605" s="555"/>
      <c r="AF605" s="555"/>
      <c r="AG605" s="555"/>
      <c r="AH605" s="555"/>
      <c r="AI605" s="555"/>
      <c r="AJ605" s="555"/>
      <c r="AK605" s="555"/>
      <c r="AL605" s="555"/>
      <c r="AM605" s="555"/>
      <c r="AN605" s="1335"/>
      <c r="AO605" s="555"/>
      <c r="AP605" s="555"/>
      <c r="AQ605" s="555"/>
      <c r="AR605" s="1335"/>
      <c r="AS605" s="555"/>
      <c r="AT605" s="555"/>
      <c r="AU605" s="555"/>
      <c r="AV605" s="555"/>
      <c r="AW605" s="555"/>
      <c r="AX605" s="555"/>
      <c r="AY605" s="555"/>
      <c r="AZ605" s="555"/>
      <c r="BA605" s="555"/>
      <c r="BB605" s="555"/>
      <c r="BC605" s="555"/>
      <c r="BD605" s="555"/>
      <c r="BE605" s="555"/>
      <c r="BF605" s="555"/>
      <c r="BG605" s="555"/>
      <c r="BH605" s="555"/>
      <c r="BI605" s="555"/>
      <c r="BJ605" s="555"/>
      <c r="BK605" s="555"/>
      <c r="BL605" s="555"/>
      <c r="BM605" s="555"/>
      <c r="BN605" s="555"/>
      <c r="BO605" s="555"/>
    </row>
    <row r="606" spans="3:67">
      <c r="C606" s="394"/>
      <c r="D606" s="394"/>
      <c r="E606" s="394"/>
      <c r="F606" s="394"/>
      <c r="G606" s="394"/>
      <c r="H606" s="394"/>
      <c r="I606" s="394"/>
      <c r="J606" s="394"/>
      <c r="K606" s="394"/>
      <c r="L606" s="394"/>
      <c r="M606" s="394"/>
      <c r="N606" s="394"/>
      <c r="O606" s="394"/>
      <c r="P606" s="394"/>
      <c r="Q606" s="394"/>
      <c r="R606" s="394"/>
      <c r="S606" s="394"/>
      <c r="T606" s="394"/>
      <c r="U606" s="394"/>
      <c r="V606" s="394"/>
      <c r="W606" s="394"/>
      <c r="X606" s="394"/>
      <c r="Y606" s="394"/>
      <c r="Z606" s="394"/>
      <c r="AA606" s="394"/>
      <c r="AB606" s="394"/>
      <c r="AC606" s="394"/>
      <c r="AD606" s="394"/>
      <c r="AE606" s="394"/>
      <c r="AF606" s="394"/>
      <c r="AG606" s="394"/>
      <c r="AH606" s="394"/>
      <c r="AI606" s="394"/>
      <c r="AJ606" s="394"/>
      <c r="AK606" s="394"/>
      <c r="AL606" s="394"/>
      <c r="AM606" s="394"/>
      <c r="AN606" s="1317"/>
      <c r="AO606" s="394"/>
      <c r="AP606" s="394"/>
      <c r="AQ606" s="394"/>
      <c r="AR606" s="1317"/>
      <c r="AS606" s="394"/>
      <c r="AT606" s="394"/>
      <c r="AU606" s="394"/>
      <c r="AV606" s="394"/>
      <c r="AW606" s="394"/>
      <c r="AX606" s="394"/>
      <c r="AY606" s="394"/>
      <c r="AZ606" s="394"/>
      <c r="BA606" s="394"/>
      <c r="BB606" s="394"/>
      <c r="BC606" s="394"/>
      <c r="BD606" s="394"/>
      <c r="BE606" s="394"/>
      <c r="BF606" s="394"/>
      <c r="BG606" s="394"/>
      <c r="BH606" s="394"/>
      <c r="BI606" s="394"/>
      <c r="BJ606" s="394"/>
      <c r="BK606" s="394"/>
      <c r="BL606" s="394"/>
      <c r="BM606" s="394"/>
      <c r="BN606" s="394"/>
      <c r="BO606" s="394"/>
    </row>
    <row r="607" spans="3:67">
      <c r="C607" s="541"/>
      <c r="D607" s="490"/>
      <c r="E607" s="490"/>
      <c r="F607" s="490"/>
      <c r="G607" s="490"/>
      <c r="H607" s="541"/>
      <c r="I607" s="490"/>
      <c r="J607" s="490"/>
      <c r="K607" s="490"/>
      <c r="L607" s="490"/>
      <c r="M607" s="541"/>
      <c r="N607" s="490"/>
      <c r="O607" s="490"/>
      <c r="P607" s="490"/>
      <c r="Q607" s="490"/>
      <c r="R607" s="541"/>
      <c r="S607" s="490"/>
      <c r="T607" s="490"/>
      <c r="U607" s="490"/>
      <c r="V607" s="490"/>
      <c r="W607" s="541"/>
      <c r="X607" s="490"/>
      <c r="Y607" s="490"/>
      <c r="Z607" s="490"/>
      <c r="AA607" s="490"/>
      <c r="AB607" s="541"/>
      <c r="AC607" s="490"/>
      <c r="AD607" s="490"/>
      <c r="AE607" s="490"/>
      <c r="AF607" s="490"/>
      <c r="AG607" s="541"/>
      <c r="AH607" s="490"/>
      <c r="AI607" s="490"/>
      <c r="AJ607" s="490"/>
      <c r="AK607" s="490"/>
      <c r="AL607" s="541"/>
      <c r="AM607" s="490"/>
      <c r="AN607" s="1298"/>
      <c r="AO607" s="490"/>
      <c r="AP607" s="490"/>
      <c r="AQ607" s="541"/>
      <c r="AR607" s="1298"/>
      <c r="AS607" s="490"/>
      <c r="AT607" s="490"/>
      <c r="AU607" s="490"/>
      <c r="AV607" s="541"/>
      <c r="AW607" s="490"/>
      <c r="AX607" s="490"/>
      <c r="AY607" s="490"/>
      <c r="AZ607" s="490"/>
      <c r="BA607" s="541"/>
      <c r="BB607" s="490"/>
      <c r="BC607" s="490"/>
      <c r="BD607" s="490"/>
      <c r="BE607" s="490"/>
      <c r="BF607" s="541"/>
      <c r="BG607" s="490"/>
      <c r="BH607" s="490"/>
      <c r="BI607" s="490"/>
      <c r="BJ607" s="490"/>
      <c r="BK607" s="541"/>
      <c r="BL607" s="490"/>
      <c r="BM607" s="490"/>
      <c r="BN607" s="490"/>
      <c r="BO607" s="490"/>
    </row>
    <row r="608" spans="3:67">
      <c r="C608" s="555"/>
      <c r="D608" s="555"/>
      <c r="E608" s="555"/>
      <c r="F608" s="555"/>
      <c r="G608" s="555"/>
      <c r="H608" s="555"/>
      <c r="I608" s="555"/>
      <c r="J608" s="555"/>
      <c r="K608" s="555"/>
      <c r="L608" s="555"/>
      <c r="M608" s="555"/>
      <c r="N608" s="555"/>
      <c r="O608" s="555"/>
      <c r="P608" s="555"/>
      <c r="Q608" s="555"/>
      <c r="R608" s="555"/>
      <c r="S608" s="555"/>
      <c r="T608" s="555"/>
      <c r="U608" s="555"/>
      <c r="V608" s="555"/>
      <c r="W608" s="555"/>
      <c r="X608" s="555"/>
      <c r="Y608" s="555"/>
      <c r="Z608" s="555"/>
      <c r="AA608" s="555"/>
      <c r="AB608" s="555"/>
      <c r="AC608" s="555"/>
      <c r="AD608" s="555"/>
      <c r="AE608" s="555"/>
      <c r="AF608" s="555"/>
      <c r="AG608" s="555"/>
      <c r="AH608" s="555"/>
      <c r="AI608" s="555"/>
      <c r="AJ608" s="555"/>
      <c r="AK608" s="555"/>
      <c r="AL608" s="555"/>
      <c r="AM608" s="555"/>
      <c r="AN608" s="1335"/>
      <c r="AO608" s="555"/>
      <c r="AP608" s="555"/>
      <c r="AQ608" s="555"/>
      <c r="AR608" s="1335"/>
      <c r="AS608" s="555"/>
      <c r="AT608" s="555"/>
      <c r="AU608" s="555"/>
      <c r="AV608" s="555"/>
      <c r="AW608" s="555"/>
      <c r="AX608" s="555"/>
      <c r="AY608" s="555"/>
      <c r="AZ608" s="555"/>
      <c r="BA608" s="555"/>
      <c r="BB608" s="555"/>
      <c r="BC608" s="555"/>
      <c r="BD608" s="555"/>
      <c r="BE608" s="555"/>
      <c r="BF608" s="555"/>
      <c r="BG608" s="555"/>
      <c r="BH608" s="555"/>
      <c r="BI608" s="555"/>
      <c r="BJ608" s="555"/>
      <c r="BK608" s="555"/>
      <c r="BL608" s="555"/>
      <c r="BM608" s="555"/>
      <c r="BN608" s="555"/>
      <c r="BO608" s="555"/>
    </row>
    <row r="609" spans="3:67">
      <c r="C609" s="394"/>
      <c r="D609" s="394"/>
      <c r="E609" s="394"/>
      <c r="F609" s="394"/>
      <c r="G609" s="394"/>
      <c r="H609" s="394"/>
      <c r="I609" s="394"/>
      <c r="J609" s="394"/>
      <c r="K609" s="394"/>
      <c r="L609" s="394"/>
      <c r="M609" s="394"/>
      <c r="N609" s="394"/>
      <c r="O609" s="394"/>
      <c r="P609" s="394"/>
      <c r="Q609" s="394"/>
      <c r="R609" s="394"/>
      <c r="S609" s="394"/>
      <c r="T609" s="394"/>
      <c r="U609" s="394"/>
      <c r="V609" s="394"/>
      <c r="W609" s="394"/>
      <c r="X609" s="394"/>
      <c r="Y609" s="394"/>
      <c r="Z609" s="394"/>
      <c r="AA609" s="394"/>
      <c r="AB609" s="394"/>
      <c r="AC609" s="394"/>
      <c r="AD609" s="394"/>
      <c r="AE609" s="394"/>
      <c r="AF609" s="394"/>
      <c r="AG609" s="394"/>
      <c r="AH609" s="394"/>
      <c r="AI609" s="394"/>
      <c r="AJ609" s="394"/>
      <c r="AK609" s="394"/>
      <c r="AL609" s="394"/>
      <c r="AM609" s="394"/>
      <c r="AN609" s="1317"/>
      <c r="AO609" s="394"/>
      <c r="AP609" s="394"/>
      <c r="AQ609" s="394"/>
      <c r="AR609" s="1317"/>
      <c r="AS609" s="394"/>
      <c r="AT609" s="394"/>
      <c r="AU609" s="394"/>
      <c r="AV609" s="394"/>
      <c r="AW609" s="394"/>
      <c r="AX609" s="394"/>
      <c r="AY609" s="394"/>
      <c r="AZ609" s="394"/>
      <c r="BA609" s="394"/>
      <c r="BB609" s="394"/>
      <c r="BC609" s="394"/>
      <c r="BD609" s="394"/>
      <c r="BE609" s="394"/>
      <c r="BF609" s="394"/>
      <c r="BG609" s="394"/>
      <c r="BH609" s="394"/>
      <c r="BI609" s="394"/>
      <c r="BJ609" s="394"/>
      <c r="BK609" s="394"/>
      <c r="BL609" s="394"/>
      <c r="BM609" s="394"/>
      <c r="BN609" s="394"/>
      <c r="BO609" s="394"/>
    </row>
    <row r="610" spans="3:67">
      <c r="C610" s="394"/>
      <c r="D610" s="394"/>
      <c r="E610" s="394"/>
      <c r="F610" s="394"/>
      <c r="G610" s="394"/>
      <c r="H610" s="394"/>
      <c r="I610" s="394"/>
      <c r="J610" s="394"/>
      <c r="K610" s="394"/>
      <c r="L610" s="394"/>
      <c r="M610" s="394"/>
      <c r="N610" s="394"/>
      <c r="O610" s="394"/>
      <c r="P610" s="394"/>
      <c r="Q610" s="394"/>
      <c r="R610" s="394"/>
      <c r="S610" s="394"/>
      <c r="T610" s="394"/>
      <c r="U610" s="394"/>
      <c r="V610" s="394"/>
      <c r="W610" s="394"/>
      <c r="X610" s="394"/>
      <c r="Y610" s="394"/>
      <c r="Z610" s="394"/>
      <c r="AA610" s="394"/>
      <c r="AB610" s="394"/>
      <c r="AC610" s="394"/>
      <c r="AD610" s="394"/>
      <c r="AE610" s="394"/>
      <c r="AF610" s="394"/>
      <c r="AG610" s="394"/>
      <c r="AH610" s="394"/>
      <c r="AI610" s="394"/>
      <c r="AJ610" s="394"/>
      <c r="AK610" s="394"/>
      <c r="AL610" s="394"/>
      <c r="AM610" s="394"/>
      <c r="AN610" s="1317"/>
      <c r="AO610" s="394"/>
      <c r="AP610" s="394"/>
      <c r="AQ610" s="394"/>
      <c r="AR610" s="1317"/>
      <c r="AS610" s="394"/>
      <c r="AT610" s="394"/>
      <c r="AU610" s="394"/>
      <c r="AV610" s="394"/>
      <c r="AW610" s="394"/>
      <c r="AX610" s="394"/>
      <c r="AY610" s="394"/>
      <c r="AZ610" s="394"/>
      <c r="BA610" s="394"/>
      <c r="BB610" s="394"/>
      <c r="BC610" s="394"/>
      <c r="BD610" s="394"/>
      <c r="BE610" s="394"/>
      <c r="BF610" s="394"/>
      <c r="BG610" s="394"/>
      <c r="BH610" s="394"/>
      <c r="BI610" s="394"/>
      <c r="BJ610" s="394"/>
      <c r="BK610" s="394"/>
      <c r="BL610" s="394"/>
      <c r="BM610" s="394"/>
      <c r="BN610" s="394"/>
      <c r="BO610" s="394"/>
    </row>
    <row r="611" spans="3:67">
      <c r="C611" s="499"/>
      <c r="D611" s="499"/>
      <c r="E611" s="499"/>
      <c r="F611" s="499"/>
      <c r="G611" s="499"/>
      <c r="H611" s="499"/>
      <c r="I611" s="499"/>
      <c r="J611" s="499"/>
      <c r="K611" s="499"/>
      <c r="L611" s="499"/>
      <c r="M611" s="499"/>
      <c r="N611" s="499"/>
      <c r="O611" s="499"/>
      <c r="P611" s="499"/>
      <c r="Q611" s="499"/>
      <c r="R611" s="499"/>
      <c r="S611" s="499"/>
      <c r="T611" s="499"/>
      <c r="U611" s="499"/>
      <c r="V611" s="499"/>
      <c r="W611" s="499"/>
      <c r="X611" s="499"/>
      <c r="Y611" s="499"/>
      <c r="Z611" s="499"/>
      <c r="AA611" s="499"/>
      <c r="AB611" s="499"/>
      <c r="AC611" s="499"/>
      <c r="AD611" s="499"/>
      <c r="AE611" s="499"/>
      <c r="AF611" s="499"/>
      <c r="AG611" s="499"/>
      <c r="AH611" s="499"/>
      <c r="AI611" s="499"/>
      <c r="AJ611" s="499"/>
      <c r="AK611" s="499"/>
      <c r="AL611" s="499"/>
      <c r="AM611" s="499"/>
      <c r="AN611" s="1336"/>
      <c r="AO611" s="499"/>
      <c r="AP611" s="499"/>
      <c r="AQ611" s="499"/>
      <c r="AR611" s="1336"/>
      <c r="AS611" s="499"/>
      <c r="AT611" s="499"/>
      <c r="AU611" s="499"/>
      <c r="AV611" s="499"/>
      <c r="AW611" s="499"/>
      <c r="AX611" s="499"/>
      <c r="AY611" s="499"/>
      <c r="AZ611" s="499"/>
      <c r="BA611" s="499"/>
      <c r="BB611" s="499"/>
      <c r="BC611" s="499"/>
      <c r="BD611" s="499"/>
      <c r="BE611" s="499"/>
      <c r="BF611" s="499"/>
      <c r="BG611" s="499"/>
      <c r="BH611" s="499"/>
      <c r="BI611" s="499"/>
      <c r="BJ611" s="499"/>
      <c r="BK611" s="499"/>
      <c r="BL611" s="499"/>
      <c r="BM611" s="499"/>
      <c r="BN611" s="499"/>
      <c r="BO611" s="499"/>
    </row>
    <row r="612" spans="3:67">
      <c r="C612" s="394"/>
      <c r="D612" s="394"/>
      <c r="E612" s="394"/>
      <c r="F612" s="394"/>
      <c r="G612" s="394"/>
      <c r="H612" s="394"/>
      <c r="I612" s="394"/>
      <c r="J612" s="394"/>
      <c r="K612" s="394"/>
      <c r="L612" s="394"/>
      <c r="M612" s="394"/>
      <c r="N612" s="394"/>
      <c r="O612" s="394"/>
      <c r="P612" s="394"/>
      <c r="Q612" s="394"/>
      <c r="R612" s="394"/>
      <c r="S612" s="394"/>
      <c r="T612" s="394"/>
      <c r="U612" s="394"/>
      <c r="V612" s="394"/>
      <c r="W612" s="394"/>
      <c r="X612" s="394"/>
      <c r="Y612" s="394"/>
      <c r="Z612" s="394"/>
      <c r="AA612" s="394"/>
      <c r="AB612" s="394"/>
      <c r="AC612" s="394"/>
      <c r="AD612" s="394"/>
      <c r="AE612" s="394"/>
      <c r="AF612" s="394"/>
      <c r="AG612" s="394"/>
      <c r="AH612" s="394"/>
      <c r="AI612" s="394"/>
      <c r="AJ612" s="394"/>
      <c r="AK612" s="394"/>
      <c r="AL612" s="394"/>
      <c r="AM612" s="394"/>
      <c r="AN612" s="1317"/>
      <c r="AO612" s="394"/>
      <c r="AP612" s="394"/>
      <c r="AQ612" s="394"/>
      <c r="AR612" s="1317"/>
      <c r="AS612" s="394"/>
      <c r="AT612" s="394"/>
      <c r="AU612" s="394"/>
      <c r="AV612" s="394"/>
      <c r="AW612" s="394"/>
      <c r="AX612" s="394"/>
      <c r="AY612" s="394"/>
      <c r="AZ612" s="394"/>
      <c r="BA612" s="394"/>
      <c r="BB612" s="394"/>
      <c r="BC612" s="394"/>
      <c r="BD612" s="394"/>
      <c r="BE612" s="394"/>
      <c r="BF612" s="394"/>
      <c r="BG612" s="394"/>
      <c r="BH612" s="394"/>
      <c r="BI612" s="394"/>
      <c r="BJ612" s="394"/>
      <c r="BK612" s="394"/>
      <c r="BL612" s="394"/>
      <c r="BM612" s="394"/>
      <c r="BN612" s="394"/>
      <c r="BO612" s="394"/>
    </row>
    <row r="613" spans="3:67">
      <c r="C613" s="394"/>
      <c r="D613" s="394"/>
      <c r="E613" s="394"/>
      <c r="F613" s="394"/>
      <c r="G613" s="394"/>
      <c r="H613" s="394"/>
      <c r="I613" s="394"/>
      <c r="J613" s="394"/>
      <c r="K613" s="394"/>
      <c r="L613" s="394"/>
      <c r="M613" s="394"/>
      <c r="N613" s="394"/>
      <c r="O613" s="394"/>
      <c r="P613" s="394"/>
      <c r="Q613" s="394"/>
      <c r="R613" s="394"/>
      <c r="S613" s="394"/>
      <c r="T613" s="394"/>
      <c r="U613" s="394"/>
      <c r="V613" s="394"/>
      <c r="W613" s="394"/>
      <c r="X613" s="394"/>
      <c r="Y613" s="394"/>
      <c r="Z613" s="394"/>
      <c r="AA613" s="394"/>
      <c r="AB613" s="394"/>
      <c r="AC613" s="394"/>
      <c r="AD613" s="394"/>
      <c r="AE613" s="394"/>
      <c r="AF613" s="394"/>
      <c r="AG613" s="394"/>
      <c r="AH613" s="394"/>
      <c r="AI613" s="394"/>
      <c r="AJ613" s="394"/>
      <c r="AK613" s="394"/>
      <c r="AL613" s="394"/>
      <c r="AM613" s="394"/>
      <c r="AN613" s="1317"/>
      <c r="AO613" s="394"/>
      <c r="AP613" s="394"/>
      <c r="AQ613" s="394"/>
      <c r="AR613" s="1317"/>
      <c r="AS613" s="394"/>
      <c r="AT613" s="394"/>
      <c r="AU613" s="394"/>
      <c r="AV613" s="394"/>
      <c r="AW613" s="394"/>
      <c r="AX613" s="394"/>
      <c r="AY613" s="394"/>
      <c r="AZ613" s="394"/>
      <c r="BA613" s="394"/>
      <c r="BB613" s="394"/>
      <c r="BC613" s="394"/>
      <c r="BD613" s="394"/>
      <c r="BE613" s="394"/>
      <c r="BF613" s="394"/>
      <c r="BG613" s="394"/>
      <c r="BH613" s="394"/>
      <c r="BI613" s="394"/>
      <c r="BJ613" s="394"/>
      <c r="BK613" s="394"/>
      <c r="BL613" s="394"/>
      <c r="BM613" s="394"/>
      <c r="BN613" s="394"/>
      <c r="BO613" s="394"/>
    </row>
    <row r="614" spans="3:67">
      <c r="C614" s="541"/>
      <c r="D614" s="490"/>
      <c r="E614" s="490"/>
      <c r="F614" s="490"/>
      <c r="G614" s="490"/>
      <c r="H614" s="541"/>
      <c r="I614" s="490"/>
      <c r="J614" s="490"/>
      <c r="K614" s="490"/>
      <c r="L614" s="490"/>
      <c r="M614" s="541"/>
      <c r="N614" s="490"/>
      <c r="O614" s="490"/>
      <c r="P614" s="490"/>
      <c r="Q614" s="490"/>
      <c r="R614" s="541"/>
      <c r="S614" s="490"/>
      <c r="T614" s="490"/>
      <c r="U614" s="490"/>
      <c r="V614" s="490"/>
      <c r="W614" s="541"/>
      <c r="X614" s="490"/>
      <c r="Y614" s="490"/>
      <c r="Z614" s="490"/>
      <c r="AA614" s="490"/>
      <c r="AB614" s="541"/>
      <c r="AC614" s="490"/>
      <c r="AD614" s="490"/>
      <c r="AE614" s="490"/>
      <c r="AF614" s="490"/>
      <c r="AG614" s="541"/>
      <c r="AH614" s="490"/>
      <c r="AI614" s="490"/>
      <c r="AJ614" s="490"/>
      <c r="AK614" s="490"/>
      <c r="AL614" s="541"/>
      <c r="AM614" s="490"/>
      <c r="AN614" s="1298"/>
      <c r="AO614" s="490"/>
      <c r="AP614" s="490"/>
      <c r="AQ614" s="541"/>
      <c r="AR614" s="1298"/>
      <c r="AS614" s="490"/>
      <c r="AT614" s="490"/>
      <c r="AU614" s="490"/>
      <c r="AV614" s="541"/>
      <c r="AW614" s="490"/>
      <c r="AX614" s="490"/>
      <c r="AY614" s="490"/>
      <c r="AZ614" s="490"/>
      <c r="BA614" s="541"/>
      <c r="BB614" s="490"/>
      <c r="BC614" s="490"/>
      <c r="BD614" s="490"/>
      <c r="BE614" s="490"/>
      <c r="BF614" s="541"/>
      <c r="BG614" s="490"/>
      <c r="BH614" s="490"/>
      <c r="BI614" s="490"/>
      <c r="BJ614" s="490"/>
      <c r="BK614" s="541"/>
      <c r="BL614" s="490"/>
      <c r="BM614" s="490"/>
      <c r="BN614" s="490"/>
      <c r="BO614" s="490"/>
    </row>
  </sheetData>
  <pageMargins left="0.7" right="0.7" top="0.75" bottom="0.75" header="0.3" footer="0.3"/>
  <pageSetup orientation="portrait" r:id="rId1"/>
  <customProperties>
    <customPr name="Qube.Worksheet.Visibility" r:id="rId2"/>
    <customPr name="QXL_SHEET_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FBCB-742A-4545-BAEE-8A6AD08E6C1A}">
  <sheetPr>
    <tabColor theme="4"/>
  </sheetPr>
  <dimension ref="A1:BO62"/>
  <sheetViews>
    <sheetView showGridLines="0" zoomScaleNormal="100" workbookViewId="0">
      <pane xSplit="2" ySplit="8" topLeftCell="AQ9" activePane="bottomRight" state="frozen"/>
      <selection activeCell="A90" sqref="A90"/>
      <selection pane="topRight" activeCell="A90" sqref="A90"/>
      <selection pane="bottomLeft" activeCell="A90" sqref="A90"/>
      <selection pane="bottomRight"/>
    </sheetView>
  </sheetViews>
  <sheetFormatPr defaultColWidth="9.140625" defaultRowHeight="12.75" outlineLevelRow="1" outlineLevelCol="1"/>
  <cols>
    <col min="1" max="1" width="3.7109375" style="58" customWidth="1"/>
    <col min="2" max="2" width="44.28515625" style="983" bestFit="1" customWidth="1"/>
    <col min="3" max="6" width="9.140625" style="58" hidden="1" customWidth="1" outlineLevel="1"/>
    <col min="7" max="7" width="9.140625" style="58" collapsed="1"/>
    <col min="8" max="11" width="0" style="58" hidden="1" customWidth="1" outlineLevel="1"/>
    <col min="12" max="12" width="9.140625" style="58" collapsed="1"/>
    <col min="13" max="16" width="0" style="58" hidden="1" customWidth="1" outlineLevel="1"/>
    <col min="17" max="17" width="9.140625" style="58" collapsed="1"/>
    <col min="18" max="21" width="9.140625" style="58" hidden="1" customWidth="1" outlineLevel="1"/>
    <col min="22" max="22" width="9.140625" style="58" collapsed="1"/>
    <col min="23" max="26" width="9.140625" style="58" hidden="1" customWidth="1" outlineLevel="1"/>
    <col min="27" max="27" width="9.140625" style="58" customWidth="1" collapsed="1"/>
    <col min="28" max="31" width="9.140625" style="58" hidden="1" customWidth="1" outlineLevel="1"/>
    <col min="32" max="32" width="9.140625" style="58" collapsed="1"/>
    <col min="33" max="36" width="9.140625" style="58" hidden="1" customWidth="1" outlineLevel="1"/>
    <col min="37" max="37" width="9.140625" style="58" collapsed="1"/>
    <col min="38" max="41" width="0" style="58" hidden="1" customWidth="1" outlineLevel="1"/>
    <col min="42" max="42" width="9.140625" style="58" collapsed="1"/>
    <col min="43" max="46" width="9.140625" style="58" customWidth="1" outlineLevel="1"/>
    <col min="47" max="47" width="10.28515625" style="58" bestFit="1" customWidth="1"/>
    <col min="48" max="51" width="9.140625" style="58" customWidth="1" outlineLevel="1"/>
    <col min="52" max="52" width="9.140625" style="58"/>
    <col min="53" max="56" width="9.140625" style="58" customWidth="1" outlineLevel="1"/>
    <col min="57" max="57" width="9.140625" style="58"/>
    <col min="58" max="61" width="0" style="58" hidden="1" customWidth="1" outlineLevel="1"/>
    <col min="62" max="62" width="9.140625" style="58" collapsed="1"/>
    <col min="63" max="66" width="0" style="58" hidden="1" customWidth="1" outlineLevel="1"/>
    <col min="67" max="67" width="9.140625" style="58" collapsed="1"/>
    <col min="68" max="16384" width="9.140625" style="58"/>
  </cols>
  <sheetData>
    <row r="1" spans="1:67">
      <c r="A1" s="107"/>
      <c r="C1" s="362"/>
      <c r="D1" s="363"/>
      <c r="E1" s="363"/>
      <c r="F1" s="363"/>
      <c r="G1" s="363"/>
      <c r="H1" s="362"/>
      <c r="I1" s="363"/>
      <c r="J1" s="363"/>
      <c r="K1" s="363"/>
      <c r="L1" s="363"/>
      <c r="M1" s="362"/>
      <c r="N1" s="363"/>
      <c r="O1" s="363"/>
      <c r="P1" s="363"/>
      <c r="Q1" s="363"/>
      <c r="R1" s="362"/>
      <c r="S1" s="363"/>
      <c r="T1" s="363"/>
      <c r="U1" s="363"/>
      <c r="V1" s="363"/>
      <c r="W1" s="362"/>
      <c r="X1" s="363"/>
      <c r="Y1" s="363"/>
      <c r="Z1" s="363"/>
      <c r="AA1" s="363"/>
      <c r="AB1" s="362"/>
      <c r="AC1" s="363"/>
      <c r="AD1" s="363"/>
      <c r="AE1" s="363"/>
      <c r="AF1" s="363"/>
      <c r="AG1" s="362"/>
      <c r="AH1" s="363"/>
      <c r="AI1" s="363"/>
      <c r="AJ1" s="363"/>
      <c r="AK1" s="363"/>
      <c r="AL1" s="362"/>
      <c r="AM1" s="363"/>
      <c r="AN1" s="363"/>
      <c r="AO1" s="363"/>
      <c r="AP1" s="363"/>
      <c r="AQ1" s="362"/>
      <c r="AR1" s="363"/>
      <c r="AS1" s="363"/>
      <c r="AT1" s="363"/>
      <c r="AU1" s="363"/>
      <c r="AV1" s="362"/>
      <c r="AW1" s="363"/>
      <c r="AX1" s="363"/>
      <c r="AY1" s="363"/>
      <c r="AZ1" s="363"/>
      <c r="BA1" s="362"/>
      <c r="BB1" s="363"/>
      <c r="BC1" s="363"/>
      <c r="BD1" s="363"/>
      <c r="BE1" s="363"/>
      <c r="BF1" s="362"/>
      <c r="BG1" s="363"/>
      <c r="BH1" s="363"/>
      <c r="BI1" s="363"/>
      <c r="BJ1" s="363"/>
      <c r="BK1" s="362"/>
      <c r="BL1" s="363"/>
      <c r="BM1" s="363"/>
      <c r="BN1" s="363"/>
      <c r="BO1" s="363"/>
    </row>
    <row r="2" spans="1:67">
      <c r="A2" s="107"/>
      <c r="B2" s="1077" t="s">
        <v>29</v>
      </c>
      <c r="C2" s="362"/>
      <c r="D2" s="363"/>
      <c r="E2" s="363"/>
      <c r="F2" s="363"/>
      <c r="G2" s="363"/>
      <c r="H2" s="362"/>
      <c r="I2" s="363"/>
      <c r="J2" s="363"/>
      <c r="K2" s="363"/>
      <c r="L2" s="363"/>
      <c r="M2" s="362"/>
      <c r="N2" s="363"/>
      <c r="O2" s="363"/>
      <c r="P2" s="363"/>
      <c r="Q2" s="363"/>
      <c r="R2" s="362"/>
      <c r="S2" s="363"/>
      <c r="T2" s="363"/>
      <c r="U2" s="363"/>
      <c r="V2" s="363"/>
      <c r="W2" s="362"/>
      <c r="X2" s="363"/>
      <c r="Y2" s="363"/>
      <c r="Z2" s="363"/>
      <c r="AA2" s="363"/>
      <c r="AB2" s="362"/>
      <c r="AC2" s="363"/>
      <c r="AD2" s="363"/>
      <c r="AE2" s="363"/>
      <c r="AF2" s="363"/>
      <c r="AG2" s="362"/>
      <c r="AH2" s="363"/>
      <c r="AI2" s="363"/>
      <c r="AJ2" s="363"/>
      <c r="AK2" s="363"/>
      <c r="AL2" s="362"/>
      <c r="AM2" s="363"/>
      <c r="AN2" s="363"/>
      <c r="AO2" s="363"/>
      <c r="AP2" s="363"/>
      <c r="AQ2" s="362"/>
      <c r="AR2" s="363"/>
      <c r="AS2" s="363"/>
      <c r="AT2" s="363"/>
      <c r="AU2" s="363"/>
      <c r="AV2" s="362"/>
      <c r="AW2" s="363"/>
      <c r="AX2" s="363"/>
      <c r="AY2" s="363"/>
      <c r="AZ2" s="363"/>
      <c r="BA2" s="362"/>
      <c r="BB2" s="363"/>
      <c r="BC2" s="363"/>
      <c r="BD2" s="363"/>
      <c r="BE2" s="363"/>
      <c r="BF2" s="362"/>
      <c r="BG2" s="363"/>
      <c r="BH2" s="363"/>
      <c r="BI2" s="363"/>
      <c r="BJ2" s="363"/>
      <c r="BK2" s="362"/>
      <c r="BL2" s="363"/>
      <c r="BM2" s="363"/>
      <c r="BN2" s="363"/>
      <c r="BO2" s="363"/>
    </row>
    <row r="3" spans="1:67">
      <c r="A3" s="107"/>
      <c r="B3" s="1077" t="s">
        <v>198</v>
      </c>
      <c r="C3" s="362"/>
      <c r="D3" s="363"/>
      <c r="E3" s="363"/>
      <c r="F3" s="363"/>
      <c r="G3" s="363"/>
      <c r="H3" s="362"/>
      <c r="I3" s="363"/>
      <c r="J3" s="363"/>
      <c r="K3" s="363"/>
      <c r="L3" s="363"/>
      <c r="M3" s="362"/>
      <c r="N3" s="363"/>
      <c r="O3" s="363"/>
      <c r="P3" s="363"/>
      <c r="Q3" s="363"/>
      <c r="R3" s="362"/>
      <c r="S3" s="363"/>
      <c r="T3" s="363"/>
      <c r="U3" s="363"/>
      <c r="V3" s="363"/>
      <c r="W3" s="362"/>
      <c r="X3" s="363"/>
      <c r="Y3" s="363"/>
      <c r="Z3" s="363"/>
      <c r="AA3" s="363"/>
      <c r="AB3" s="362"/>
      <c r="AC3" s="363"/>
      <c r="AD3" s="363"/>
      <c r="AE3" s="363"/>
      <c r="AF3" s="363"/>
      <c r="AG3" s="362"/>
      <c r="AH3" s="363"/>
      <c r="AI3" s="363"/>
      <c r="AJ3" s="363"/>
      <c r="AK3" s="363"/>
      <c r="AL3" s="362"/>
      <c r="AM3" s="363"/>
      <c r="AN3" s="363"/>
      <c r="AO3" s="363"/>
      <c r="AP3" s="363"/>
      <c r="AQ3" s="362"/>
      <c r="AR3" s="363"/>
      <c r="AS3" s="363"/>
      <c r="AT3" s="363"/>
      <c r="AU3" s="363"/>
      <c r="AV3" s="362"/>
      <c r="AW3" s="363"/>
      <c r="AX3" s="363"/>
      <c r="AY3" s="363"/>
      <c r="AZ3" s="363"/>
      <c r="BA3" s="362"/>
      <c r="BB3" s="363"/>
      <c r="BC3" s="363"/>
      <c r="BD3" s="363"/>
      <c r="BE3" s="363"/>
      <c r="BF3" s="362"/>
      <c r="BG3" s="363"/>
      <c r="BH3" s="363"/>
      <c r="BI3" s="363"/>
      <c r="BJ3" s="363"/>
      <c r="BK3" s="362"/>
      <c r="BL3" s="363"/>
      <c r="BM3" s="363"/>
      <c r="BN3" s="363"/>
      <c r="BO3" s="363"/>
    </row>
    <row r="4" spans="1:67">
      <c r="A4" s="107"/>
      <c r="B4" s="1077" t="s">
        <v>28</v>
      </c>
      <c r="C4" s="362"/>
      <c r="D4" s="363"/>
      <c r="E4" s="363"/>
      <c r="F4" s="363"/>
      <c r="G4" s="363"/>
      <c r="H4" s="362"/>
      <c r="I4" s="363"/>
      <c r="J4" s="363"/>
      <c r="K4" s="363"/>
      <c r="L4" s="363"/>
      <c r="M4" s="362"/>
      <c r="N4" s="363"/>
      <c r="O4" s="363"/>
      <c r="P4" s="363"/>
      <c r="Q4" s="363"/>
      <c r="R4" s="362"/>
      <c r="S4" s="363"/>
      <c r="T4" s="363"/>
      <c r="U4" s="363"/>
      <c r="V4" s="363"/>
      <c r="W4" s="362"/>
      <c r="X4" s="363"/>
      <c r="Y4" s="363"/>
      <c r="Z4" s="363"/>
      <c r="AA4" s="363"/>
      <c r="AB4" s="362"/>
      <c r="AC4" s="363"/>
      <c r="AD4" s="363"/>
      <c r="AE4" s="363"/>
      <c r="AF4" s="363"/>
      <c r="AG4" s="362"/>
      <c r="AH4" s="363"/>
      <c r="AI4" s="363"/>
      <c r="AJ4" s="363"/>
      <c r="AK4" s="363"/>
      <c r="AL4" s="362"/>
      <c r="AM4" s="363"/>
      <c r="AN4" s="363"/>
      <c r="AO4" s="363"/>
      <c r="AP4" s="363"/>
      <c r="AQ4" s="362"/>
      <c r="AR4" s="363"/>
      <c r="AS4" s="363"/>
      <c r="AT4" s="363"/>
      <c r="AU4" s="363"/>
      <c r="AV4" s="362"/>
      <c r="AW4" s="363"/>
      <c r="AX4" s="363"/>
      <c r="AY4" s="363"/>
      <c r="AZ4" s="363"/>
      <c r="BA4" s="362"/>
      <c r="BB4" s="363"/>
      <c r="BC4" s="363"/>
      <c r="BD4" s="363"/>
      <c r="BE4" s="363"/>
      <c r="BF4" s="362"/>
      <c r="BG4" s="363"/>
      <c r="BH4" s="363"/>
      <c r="BI4" s="363"/>
      <c r="BJ4" s="363"/>
      <c r="BK4" s="362"/>
      <c r="BL4" s="363"/>
      <c r="BM4" s="363"/>
      <c r="BN4" s="363"/>
      <c r="BO4" s="363"/>
    </row>
    <row r="5" spans="1:67">
      <c r="A5" s="107"/>
      <c r="C5" s="556"/>
      <c r="D5" s="557"/>
      <c r="E5" s="557"/>
      <c r="F5" s="363"/>
      <c r="G5" s="363"/>
      <c r="H5" s="556"/>
      <c r="I5" s="557"/>
      <c r="J5" s="557"/>
      <c r="K5" s="363"/>
      <c r="L5" s="363"/>
      <c r="M5" s="556"/>
      <c r="N5" s="557"/>
      <c r="O5" s="557"/>
      <c r="P5" s="363"/>
      <c r="Q5" s="363"/>
      <c r="R5" s="556"/>
      <c r="S5" s="557"/>
      <c r="T5" s="557"/>
      <c r="U5" s="363"/>
      <c r="V5" s="363"/>
      <c r="W5" s="556"/>
      <c r="X5" s="557"/>
      <c r="Y5" s="557"/>
      <c r="Z5" s="363"/>
      <c r="AA5" s="363"/>
      <c r="AB5" s="362"/>
      <c r="AC5" s="363"/>
      <c r="AD5" s="363"/>
      <c r="AE5" s="363"/>
      <c r="AF5" s="363"/>
      <c r="AG5" s="362"/>
      <c r="AH5" s="363"/>
      <c r="AI5" s="363"/>
      <c r="AJ5" s="363"/>
      <c r="AK5" s="363"/>
      <c r="AL5" s="362"/>
      <c r="AM5" s="363"/>
      <c r="AN5" s="363"/>
      <c r="AO5" s="363"/>
      <c r="AP5" s="363"/>
      <c r="AQ5" s="362"/>
      <c r="AR5" s="363"/>
      <c r="AS5" s="363"/>
      <c r="AT5" s="363"/>
      <c r="AU5" s="363"/>
      <c r="AV5" s="362"/>
      <c r="AW5" s="363"/>
      <c r="AX5" s="363"/>
      <c r="AY5" s="363"/>
      <c r="AZ5" s="363"/>
      <c r="BA5" s="362"/>
      <c r="BB5" s="363"/>
      <c r="BC5" s="363"/>
      <c r="BD5" s="363"/>
      <c r="BE5" s="363"/>
      <c r="BF5" s="362"/>
      <c r="BG5" s="363"/>
      <c r="BH5" s="363"/>
      <c r="BI5" s="363"/>
      <c r="BJ5" s="363"/>
      <c r="BK5" s="362"/>
      <c r="BL5" s="363"/>
      <c r="BM5" s="363"/>
      <c r="BN5" s="363"/>
      <c r="BO5" s="363"/>
    </row>
    <row r="6" spans="1:67" ht="15">
      <c r="A6" s="107"/>
      <c r="C6" s="60" t="str">
        <f>Dates!M3</f>
        <v>2018 (A)</v>
      </c>
      <c r="D6" s="60"/>
      <c r="E6" s="60"/>
      <c r="F6" s="60"/>
      <c r="H6" s="60" t="str">
        <f>Dates!R3</f>
        <v>2019 (A)</v>
      </c>
      <c r="I6" s="60"/>
      <c r="J6" s="60"/>
      <c r="K6" s="60"/>
      <c r="M6" s="60" t="str">
        <f>Dates!W3</f>
        <v>2020 (A)</v>
      </c>
      <c r="N6" s="60"/>
      <c r="O6" s="60"/>
      <c r="P6" s="60"/>
      <c r="R6" s="60" t="str">
        <f>Dates!AB3</f>
        <v>2021 (A)</v>
      </c>
      <c r="S6" s="60"/>
      <c r="T6" s="60"/>
      <c r="U6" s="60"/>
      <c r="W6" s="60" t="str">
        <f>Dates!AG3</f>
        <v>2022 (A)</v>
      </c>
      <c r="X6" s="60"/>
      <c r="Y6" s="60"/>
      <c r="Z6" s="60"/>
      <c r="AB6" s="60" t="str">
        <f>Dates!AL3</f>
        <v>2023 (A)</v>
      </c>
      <c r="AC6" s="60"/>
      <c r="AD6" s="60"/>
      <c r="AE6" s="60"/>
      <c r="AG6" s="60" t="str">
        <f>Dates!AQ3</f>
        <v>2024 (A)</v>
      </c>
      <c r="AH6" s="60"/>
      <c r="AI6" s="60"/>
      <c r="AJ6" s="60"/>
      <c r="AL6" s="60" t="str">
        <f>Dates!AV3</f>
        <v>2025 (A)</v>
      </c>
      <c r="AM6" s="60"/>
      <c r="AN6" s="60"/>
      <c r="AO6" s="60"/>
      <c r="AQ6" s="60" t="str">
        <f>Dates!BA3</f>
        <v>2026 (E)</v>
      </c>
      <c r="AR6" s="60"/>
      <c r="AS6" s="60"/>
      <c r="AT6" s="60"/>
      <c r="AV6" s="60" t="str">
        <f>Dates!BF3</f>
        <v>2027 (E)</v>
      </c>
      <c r="AW6" s="60"/>
      <c r="AX6" s="60"/>
      <c r="AY6" s="60"/>
      <c r="BA6" s="60" t="str">
        <f>Dates!BK3</f>
        <v>2028 (E)</v>
      </c>
      <c r="BB6" s="60"/>
      <c r="BC6" s="60"/>
      <c r="BD6" s="60"/>
      <c r="BF6" s="60" t="str">
        <f>Dates!BP3</f>
        <v>2029 (E)</v>
      </c>
      <c r="BG6" s="60"/>
      <c r="BH6" s="60"/>
      <c r="BI6" s="60"/>
      <c r="BK6" s="60" t="str">
        <f>Dates!BU3</f>
        <v>2030 (E)</v>
      </c>
      <c r="BL6" s="60"/>
      <c r="BM6" s="60"/>
      <c r="BN6" s="60"/>
    </row>
    <row r="7" spans="1:67">
      <c r="A7" s="107"/>
      <c r="C7" s="366" t="str">
        <f>Dates!M4</f>
        <v>1Q18 (A)</v>
      </c>
      <c r="D7" s="366" t="str">
        <f>Dates!N4</f>
        <v>2Q18 (A)</v>
      </c>
      <c r="E7" s="366" t="str">
        <f>Dates!O4</f>
        <v>3Q18 (A)</v>
      </c>
      <c r="F7" s="366" t="str">
        <f>Dates!P4</f>
        <v>4Q18 (A)</v>
      </c>
      <c r="G7" s="367" t="str">
        <f>Dates!Q4</f>
        <v>FY18 (A)</v>
      </c>
      <c r="H7" s="366" t="str">
        <f>Dates!R4</f>
        <v>1Q19 (A)</v>
      </c>
      <c r="I7" s="366" t="str">
        <f>Dates!S4</f>
        <v>2Q19 (A)</v>
      </c>
      <c r="J7" s="366" t="str">
        <f>Dates!T4</f>
        <v>3Q19 (A)</v>
      </c>
      <c r="K7" s="366" t="str">
        <f>Dates!U4</f>
        <v>4Q19 (A)</v>
      </c>
      <c r="L7" s="367" t="str">
        <f>Dates!V4</f>
        <v>FY19 (A)</v>
      </c>
      <c r="M7" s="366" t="str">
        <f>Dates!W4</f>
        <v>1Q20 (A)</v>
      </c>
      <c r="N7" s="366" t="str">
        <f>Dates!X4</f>
        <v>2Q20 (A)</v>
      </c>
      <c r="O7" s="366" t="str">
        <f>Dates!Y4</f>
        <v>3Q20 (A)</v>
      </c>
      <c r="P7" s="366" t="str">
        <f>Dates!Z4</f>
        <v>4Q20 (A)</v>
      </c>
      <c r="Q7" s="367" t="str">
        <f>Dates!AA4</f>
        <v>FY20 (A)</v>
      </c>
      <c r="R7" s="366" t="str">
        <f>Dates!AB4</f>
        <v>1Q21 (A)</v>
      </c>
      <c r="S7" s="366" t="str">
        <f>Dates!AC4</f>
        <v>2Q21 (A)</v>
      </c>
      <c r="T7" s="366" t="str">
        <f>Dates!AD4</f>
        <v>3Q21 (A)</v>
      </c>
      <c r="U7" s="366" t="str">
        <f>Dates!AE4</f>
        <v>4Q21 (A)</v>
      </c>
      <c r="V7" s="367" t="str">
        <f>Dates!AF4</f>
        <v>FY21 (A)</v>
      </c>
      <c r="W7" s="366" t="str">
        <f>Dates!AG4</f>
        <v>1Q22 (A)</v>
      </c>
      <c r="X7" s="366" t="str">
        <f>Dates!AH4</f>
        <v>2Q22 (A)</v>
      </c>
      <c r="Y7" s="366" t="str">
        <f>Dates!AI4</f>
        <v>3Q22 (A)</v>
      </c>
      <c r="Z7" s="366" t="str">
        <f>Dates!AJ4</f>
        <v>4Q22 (A)</v>
      </c>
      <c r="AA7" s="367" t="str">
        <f>Dates!AK4</f>
        <v>FY22 (A)</v>
      </c>
      <c r="AB7" s="366" t="str">
        <f>Dates!AL4</f>
        <v>1Q23 (A)</v>
      </c>
      <c r="AC7" s="366" t="str">
        <f>Dates!AM4</f>
        <v>2Q23 (A)</v>
      </c>
      <c r="AD7" s="366" t="str">
        <f>Dates!AN4</f>
        <v>3Q23 (A)</v>
      </c>
      <c r="AE7" s="366" t="str">
        <f>Dates!AO4</f>
        <v>4Q23 (A)</v>
      </c>
      <c r="AF7" s="367" t="str">
        <f>Dates!AP4</f>
        <v>FY23 (A)</v>
      </c>
      <c r="AG7" s="366" t="str">
        <f>Dates!AQ4</f>
        <v>1Q24 (A)</v>
      </c>
      <c r="AH7" s="366" t="str">
        <f>Dates!AR4</f>
        <v>2Q24 (A)</v>
      </c>
      <c r="AI7" s="366" t="str">
        <f>Dates!AS4</f>
        <v>3Q24 (A)</v>
      </c>
      <c r="AJ7" s="366" t="str">
        <f>Dates!AT4</f>
        <v>4Q24 (A)</v>
      </c>
      <c r="AK7" s="367" t="str">
        <f>Dates!AU4</f>
        <v>FY24 (A)</v>
      </c>
      <c r="AL7" s="366" t="str">
        <f>Dates!AV4</f>
        <v>1Q25 (A)</v>
      </c>
      <c r="AM7" s="366" t="str">
        <f>Dates!AW4</f>
        <v>2Q25 (A)</v>
      </c>
      <c r="AN7" s="366" t="str">
        <f>Dates!AX4</f>
        <v>3Q25 (A)</v>
      </c>
      <c r="AO7" s="366" t="str">
        <f>Dates!AY4</f>
        <v>4Q25 (A)</v>
      </c>
      <c r="AP7" s="367" t="str">
        <f>Dates!AZ4</f>
        <v>FY25 (A)</v>
      </c>
      <c r="AQ7" s="366" t="str">
        <f>Dates!BA4</f>
        <v>1Q26 (A)</v>
      </c>
      <c r="AR7" s="366" t="str">
        <f>Dates!BB4</f>
        <v>2Q26 (A)</v>
      </c>
      <c r="AS7" s="366" t="str">
        <f>Dates!BC4</f>
        <v>3Q26 (A)</v>
      </c>
      <c r="AT7" s="366" t="str">
        <f>Dates!BD4</f>
        <v>4Q26 (E)</v>
      </c>
      <c r="AU7" s="367" t="str">
        <f>Dates!BE4</f>
        <v>FY26 (E)</v>
      </c>
      <c r="AV7" s="366" t="str">
        <f>Dates!BF4</f>
        <v>1Q27 (E)</v>
      </c>
      <c r="AW7" s="366" t="str">
        <f>Dates!BG4</f>
        <v>2Q27 (E)</v>
      </c>
      <c r="AX7" s="366" t="str">
        <f>Dates!BH4</f>
        <v>3Q27 (E)</v>
      </c>
      <c r="AY7" s="366" t="str">
        <f>Dates!BI4</f>
        <v>4Q27 (E)</v>
      </c>
      <c r="AZ7" s="367" t="str">
        <f>Dates!BJ4</f>
        <v>FY27 (E)</v>
      </c>
      <c r="BA7" s="366" t="str">
        <f>Dates!BK4</f>
        <v>1Q28 (E)</v>
      </c>
      <c r="BB7" s="366" t="str">
        <f>Dates!BL4</f>
        <v>2Q28 (E)</v>
      </c>
      <c r="BC7" s="366" t="str">
        <f>Dates!BM4</f>
        <v>3Q28 (E)</v>
      </c>
      <c r="BD7" s="366" t="str">
        <f>Dates!BN4</f>
        <v>4Q28 (E)</v>
      </c>
      <c r="BE7" s="367" t="str">
        <f>Dates!BO4</f>
        <v>FY28 (E)</v>
      </c>
      <c r="BF7" s="366" t="str">
        <f>Dates!BP4</f>
        <v>1Q29 (E)</v>
      </c>
      <c r="BG7" s="366" t="str">
        <f>Dates!BQ4</f>
        <v>2Q29 (E)</v>
      </c>
      <c r="BH7" s="366" t="str">
        <f>Dates!BR4</f>
        <v>3Q29 (E)</v>
      </c>
      <c r="BI7" s="366" t="str">
        <f>Dates!BS4</f>
        <v>4Q29 (E)</v>
      </c>
      <c r="BJ7" s="367" t="str">
        <f>Dates!BT4</f>
        <v>FY29 (E)</v>
      </c>
      <c r="BK7" s="366" t="str">
        <f>Dates!BU4</f>
        <v>1Q30 (E)</v>
      </c>
      <c r="BL7" s="366" t="str">
        <f>Dates!BV4</f>
        <v>2Q30 (E)</v>
      </c>
      <c r="BM7" s="366" t="str">
        <f>Dates!BW4</f>
        <v>3Q30 (E)</v>
      </c>
      <c r="BN7" s="366" t="str">
        <f>Dates!BX4</f>
        <v>4Q30 (E)</v>
      </c>
      <c r="BO7" s="367" t="str">
        <f>Dates!BY4</f>
        <v>FY30 (E)</v>
      </c>
    </row>
    <row r="8" spans="1:67">
      <c r="A8" s="107"/>
      <c r="C8" s="368">
        <f>Dates!M5</f>
        <v>42855</v>
      </c>
      <c r="D8" s="368">
        <f>Dates!N5</f>
        <v>42947</v>
      </c>
      <c r="E8" s="368">
        <f>Dates!O5</f>
        <v>43039</v>
      </c>
      <c r="F8" s="368">
        <f>Dates!P5</f>
        <v>43131</v>
      </c>
      <c r="G8" s="369">
        <f>Dates!Q5</f>
        <v>43131</v>
      </c>
      <c r="H8" s="368">
        <f>Dates!R5</f>
        <v>43220</v>
      </c>
      <c r="I8" s="368">
        <f>Dates!S5</f>
        <v>43312</v>
      </c>
      <c r="J8" s="368">
        <f>Dates!T5</f>
        <v>43404</v>
      </c>
      <c r="K8" s="368">
        <f>Dates!U5</f>
        <v>43496</v>
      </c>
      <c r="L8" s="369">
        <f>Dates!V5</f>
        <v>43496</v>
      </c>
      <c r="M8" s="368">
        <f>Dates!W5</f>
        <v>43585</v>
      </c>
      <c r="N8" s="368">
        <f>Dates!X5</f>
        <v>43677</v>
      </c>
      <c r="O8" s="368">
        <f>Dates!Y5</f>
        <v>43769</v>
      </c>
      <c r="P8" s="368">
        <f>Dates!Z5</f>
        <v>43861</v>
      </c>
      <c r="Q8" s="369">
        <f>Dates!AA5</f>
        <v>43861</v>
      </c>
      <c r="R8" s="368">
        <f>Dates!AB5</f>
        <v>43951</v>
      </c>
      <c r="S8" s="368">
        <f>Dates!AC5</f>
        <v>44043</v>
      </c>
      <c r="T8" s="368">
        <f>Dates!AD5</f>
        <v>44135</v>
      </c>
      <c r="U8" s="368">
        <f>Dates!AE5</f>
        <v>44227</v>
      </c>
      <c r="V8" s="369">
        <f>Dates!AF5</f>
        <v>44227</v>
      </c>
      <c r="W8" s="368">
        <f>Dates!AG5</f>
        <v>44316</v>
      </c>
      <c r="X8" s="368">
        <f>Dates!AH5</f>
        <v>44408</v>
      </c>
      <c r="Y8" s="368">
        <f>Dates!AI5</f>
        <v>44500</v>
      </c>
      <c r="Z8" s="368">
        <f>Dates!AJ5</f>
        <v>44592</v>
      </c>
      <c r="AA8" s="369">
        <f>Dates!AK5</f>
        <v>44592</v>
      </c>
      <c r="AB8" s="368">
        <f>Dates!AL5</f>
        <v>44681</v>
      </c>
      <c r="AC8" s="368">
        <f>Dates!AM5</f>
        <v>44773</v>
      </c>
      <c r="AD8" s="368">
        <f>Dates!AN5</f>
        <v>44865</v>
      </c>
      <c r="AE8" s="368">
        <f>Dates!AO5</f>
        <v>44957</v>
      </c>
      <c r="AF8" s="369">
        <f>Dates!AP5</f>
        <v>44957</v>
      </c>
      <c r="AG8" s="368">
        <f>Dates!AQ5</f>
        <v>45046</v>
      </c>
      <c r="AH8" s="368">
        <f>Dates!AR5</f>
        <v>45138</v>
      </c>
      <c r="AI8" s="368">
        <f>Dates!AS5</f>
        <v>45230</v>
      </c>
      <c r="AJ8" s="368">
        <f>Dates!AT5</f>
        <v>45322</v>
      </c>
      <c r="AK8" s="369">
        <f>Dates!AU5</f>
        <v>45322</v>
      </c>
      <c r="AL8" s="368">
        <f>Dates!AV5</f>
        <v>45412</v>
      </c>
      <c r="AM8" s="368">
        <f>Dates!AW5</f>
        <v>45504</v>
      </c>
      <c r="AN8" s="368">
        <f>Dates!AX5</f>
        <v>45596</v>
      </c>
      <c r="AO8" s="368">
        <f>Dates!AY5</f>
        <v>45688</v>
      </c>
      <c r="AP8" s="369">
        <f>Dates!AZ5</f>
        <v>45688</v>
      </c>
      <c r="AQ8" s="368">
        <f>Dates!BA5</f>
        <v>45777</v>
      </c>
      <c r="AR8" s="368">
        <f>Dates!BB5</f>
        <v>45869</v>
      </c>
      <c r="AS8" s="368">
        <f>Dates!BC5</f>
        <v>45961</v>
      </c>
      <c r="AT8" s="368">
        <f>Dates!BD5</f>
        <v>46053</v>
      </c>
      <c r="AU8" s="369">
        <f>Dates!BE5</f>
        <v>46053</v>
      </c>
      <c r="AV8" s="368">
        <f>Dates!BF5</f>
        <v>46142</v>
      </c>
      <c r="AW8" s="368">
        <f>Dates!BG5</f>
        <v>46234</v>
      </c>
      <c r="AX8" s="368">
        <f>Dates!BH5</f>
        <v>46326</v>
      </c>
      <c r="AY8" s="368">
        <f>Dates!BI5</f>
        <v>46418</v>
      </c>
      <c r="AZ8" s="369">
        <f>Dates!BJ5</f>
        <v>46418</v>
      </c>
      <c r="BA8" s="368">
        <f>Dates!BK5</f>
        <v>46507</v>
      </c>
      <c r="BB8" s="368">
        <f>Dates!BL5</f>
        <v>46599</v>
      </c>
      <c r="BC8" s="368">
        <f>Dates!BM5</f>
        <v>46691</v>
      </c>
      <c r="BD8" s="368">
        <f>Dates!BN5</f>
        <v>46783</v>
      </c>
      <c r="BE8" s="369">
        <f>Dates!BO5</f>
        <v>46783</v>
      </c>
      <c r="BF8" s="368">
        <f>Dates!BP5</f>
        <v>46873</v>
      </c>
      <c r="BG8" s="368">
        <f>Dates!BQ5</f>
        <v>46965</v>
      </c>
      <c r="BH8" s="368">
        <f>Dates!BR5</f>
        <v>47057</v>
      </c>
      <c r="BI8" s="368">
        <f>Dates!BS5</f>
        <v>47149</v>
      </c>
      <c r="BJ8" s="369">
        <f>Dates!BT5</f>
        <v>47149</v>
      </c>
      <c r="BK8" s="368">
        <f>Dates!BU5</f>
        <v>47238</v>
      </c>
      <c r="BL8" s="368">
        <f>Dates!BV5</f>
        <v>47330</v>
      </c>
      <c r="BM8" s="368">
        <f>Dates!BW5</f>
        <v>47422</v>
      </c>
      <c r="BN8" s="368">
        <f>Dates!BX5</f>
        <v>47514</v>
      </c>
      <c r="BO8" s="369">
        <f>Dates!BY5</f>
        <v>47514</v>
      </c>
    </row>
    <row r="9" spans="1:67">
      <c r="A9" s="107"/>
      <c r="C9" s="722"/>
      <c r="D9" s="722"/>
      <c r="E9" s="722"/>
      <c r="F9" s="722"/>
      <c r="G9" s="723"/>
      <c r="H9" s="722"/>
      <c r="I9" s="722"/>
      <c r="J9" s="722"/>
      <c r="K9" s="722"/>
      <c r="L9" s="723"/>
      <c r="M9" s="722"/>
      <c r="N9" s="722"/>
      <c r="O9" s="722"/>
      <c r="P9" s="722"/>
      <c r="Q9" s="723"/>
      <c r="R9" s="722"/>
      <c r="S9" s="722"/>
      <c r="T9" s="722"/>
      <c r="U9" s="722"/>
      <c r="V9" s="723"/>
      <c r="W9" s="722"/>
      <c r="X9" s="722"/>
      <c r="Y9" s="722"/>
      <c r="Z9" s="722"/>
      <c r="AA9" s="723"/>
      <c r="AB9" s="368"/>
      <c r="AC9" s="368"/>
      <c r="AD9" s="368"/>
      <c r="AE9" s="368"/>
      <c r="AF9" s="723"/>
      <c r="AG9" s="368"/>
      <c r="AH9" s="368"/>
      <c r="AI9" s="368"/>
      <c r="AJ9" s="368"/>
      <c r="AK9" s="723"/>
      <c r="AL9" s="368"/>
      <c r="AM9" s="368"/>
      <c r="AN9" s="368"/>
      <c r="AO9" s="368"/>
      <c r="AP9" s="723"/>
      <c r="AQ9" s="368"/>
      <c r="AR9" s="368"/>
      <c r="AS9" s="368"/>
      <c r="AT9" s="368"/>
      <c r="AU9" s="723"/>
      <c r="AV9" s="368"/>
      <c r="AW9" s="368"/>
      <c r="AX9" s="368"/>
      <c r="AY9" s="368"/>
      <c r="AZ9" s="723"/>
      <c r="BA9" s="368"/>
      <c r="BB9" s="368"/>
      <c r="BC9" s="368"/>
      <c r="BD9" s="368"/>
      <c r="BE9" s="723"/>
      <c r="BF9" s="368"/>
      <c r="BG9" s="368"/>
      <c r="BH9" s="368"/>
      <c r="BI9" s="368"/>
      <c r="BJ9" s="723"/>
      <c r="BK9" s="368"/>
      <c r="BL9" s="368"/>
      <c r="BM9" s="368"/>
      <c r="BN9" s="368"/>
      <c r="BO9" s="723"/>
    </row>
    <row r="10" spans="1:67" s="256" customFormat="1">
      <c r="A10" s="376"/>
      <c r="B10" s="1078" t="s">
        <v>382</v>
      </c>
      <c r="C10" s="724"/>
      <c r="D10" s="724"/>
      <c r="E10" s="724"/>
      <c r="F10" s="724"/>
      <c r="G10" s="725"/>
      <c r="H10" s="724"/>
      <c r="I10" s="726"/>
      <c r="J10" s="726"/>
      <c r="K10" s="726"/>
      <c r="L10" s="725"/>
      <c r="M10" s="726"/>
      <c r="N10" s="726"/>
      <c r="O10" s="726"/>
      <c r="P10" s="726"/>
      <c r="Q10" s="725"/>
      <c r="R10" s="726"/>
      <c r="S10" s="726"/>
      <c r="T10" s="726"/>
      <c r="U10" s="726"/>
      <c r="V10" s="725"/>
      <c r="W10" s="726"/>
      <c r="X10" s="726">
        <f>W13</f>
        <v>291.38585</v>
      </c>
      <c r="Y10" s="726">
        <f>X13</f>
        <v>297.71709900000002</v>
      </c>
      <c r="Z10" s="726">
        <f>Y13</f>
        <v>303.006685</v>
      </c>
      <c r="AA10" s="725"/>
      <c r="AB10" s="726">
        <f>Z13</f>
        <v>308.693468</v>
      </c>
      <c r="AC10" s="726">
        <f>AB13</f>
        <v>314.36099999999999</v>
      </c>
      <c r="AD10" s="726">
        <f>AC13</f>
        <v>318.35599999999999</v>
      </c>
      <c r="AE10" s="726">
        <f>AD13</f>
        <v>320.13499999999999</v>
      </c>
      <c r="AF10" s="725"/>
      <c r="AG10" s="726">
        <f>AE13</f>
        <v>321.92399999999998</v>
      </c>
      <c r="AH10" s="726">
        <f>AG13</f>
        <v>324.15699999999998</v>
      </c>
      <c r="AI10" s="726">
        <f>AH13</f>
        <v>327.33499999999998</v>
      </c>
      <c r="AJ10" s="726">
        <f>AI13</f>
        <v>329.31</v>
      </c>
      <c r="AK10" s="725"/>
      <c r="AL10" s="726">
        <f>AJ13</f>
        <v>331.07900000000001</v>
      </c>
      <c r="AM10" s="726">
        <f>AL13</f>
        <v>333.584</v>
      </c>
      <c r="AN10" s="726">
        <f>AM13</f>
        <v>334.07100000000003</v>
      </c>
      <c r="AO10" s="726">
        <f>AN13</f>
        <v>331.76100000000002</v>
      </c>
      <c r="AP10" s="725"/>
      <c r="AQ10" s="726">
        <f>AO13</f>
        <v>335.08184357162781</v>
      </c>
      <c r="AR10" s="726">
        <f>AQ13</f>
        <v>332.65699999999998</v>
      </c>
      <c r="AS10" s="726">
        <f>AR13</f>
        <v>335.21499999999997</v>
      </c>
      <c r="AT10" s="726">
        <f>AS13</f>
        <v>339.64800000000002</v>
      </c>
      <c r="AU10" s="725"/>
      <c r="AV10" s="726">
        <f>AT13</f>
        <v>340.6257057901737</v>
      </c>
      <c r="AW10" s="726">
        <f>AV13</f>
        <v>341.54985087497562</v>
      </c>
      <c r="AX10" s="726">
        <f>AW13</f>
        <v>342.49509115419318</v>
      </c>
      <c r="AY10" s="726">
        <f>AX13</f>
        <v>343.46101299656334</v>
      </c>
      <c r="AZ10" s="725"/>
      <c r="BA10" s="726">
        <f>AY13</f>
        <v>344.44721088123993</v>
      </c>
      <c r="BB10" s="726">
        <f>BA13</f>
        <v>346.18042587282167</v>
      </c>
      <c r="BC10" s="726">
        <f>BB13</f>
        <v>348.18042587282167</v>
      </c>
      <c r="BD10" s="726">
        <f>BC13</f>
        <v>350.18042587282167</v>
      </c>
      <c r="BE10" s="725"/>
      <c r="BF10" s="726">
        <f>BD13</f>
        <v>352.18042587282167</v>
      </c>
      <c r="BG10" s="726">
        <f>BF13</f>
        <v>354.18042587282167</v>
      </c>
      <c r="BH10" s="726">
        <f>BG13</f>
        <v>356.18042587282167</v>
      </c>
      <c r="BI10" s="726">
        <f>BH13</f>
        <v>358.18042587282167</v>
      </c>
      <c r="BJ10" s="725"/>
      <c r="BK10" s="726">
        <f>BI13</f>
        <v>360.18042587282167</v>
      </c>
      <c r="BL10" s="726">
        <f>BK13</f>
        <v>362.18042587282167</v>
      </c>
      <c r="BM10" s="726">
        <f>BL13</f>
        <v>364.18042587282167</v>
      </c>
      <c r="BN10" s="726">
        <f>BM13</f>
        <v>366.18042587282167</v>
      </c>
      <c r="BO10" s="725"/>
    </row>
    <row r="11" spans="1:67" s="255" customFormat="1">
      <c r="A11" s="431"/>
      <c r="B11" s="1041" t="s">
        <v>383</v>
      </c>
      <c r="C11" s="727"/>
      <c r="D11" s="727"/>
      <c r="E11" s="727"/>
      <c r="F11" s="727"/>
      <c r="G11" s="728"/>
      <c r="H11" s="727"/>
      <c r="I11" s="727"/>
      <c r="J11" s="727"/>
      <c r="K11" s="727"/>
      <c r="L11" s="728"/>
      <c r="M11" s="727"/>
      <c r="N11" s="727"/>
      <c r="O11" s="727"/>
      <c r="P11" s="727"/>
      <c r="Q11" s="728"/>
      <c r="R11" s="727"/>
      <c r="S11" s="727"/>
      <c r="T11" s="727"/>
      <c r="U11" s="727"/>
      <c r="V11" s="728"/>
      <c r="W11" s="727"/>
      <c r="X11" s="727">
        <f>X13-X12-X10</f>
        <v>6.3312490000000139</v>
      </c>
      <c r="Y11" s="727">
        <f>Y13-Y12-Y10</f>
        <v>5.2895859999999857</v>
      </c>
      <c r="Z11" s="727">
        <f>Z13-Z12-Z10</f>
        <v>5.6867829999999913</v>
      </c>
      <c r="AA11" s="728"/>
      <c r="AB11" s="727">
        <f>AB13-AB12-AB10</f>
        <v>5.6675319999999942</v>
      </c>
      <c r="AC11" s="727">
        <f>AC13-AC12-AC10</f>
        <v>3.9950000000000045</v>
      </c>
      <c r="AD11" s="727">
        <f>AD13-AD12-AD10</f>
        <v>1.7789999999999964</v>
      </c>
      <c r="AE11" s="727">
        <f>AE13-AE12-AE10</f>
        <v>1.7889999999999873</v>
      </c>
      <c r="AF11" s="728"/>
      <c r="AG11" s="727">
        <f>AG13-AG12-AG10</f>
        <v>3.6329999999999814</v>
      </c>
      <c r="AH11" s="727">
        <f>AH13-AH12-AH10</f>
        <v>3.1779999999999973</v>
      </c>
      <c r="AI11" s="727">
        <f>AI13-AI12-AI10</f>
        <v>4.5750000000000455</v>
      </c>
      <c r="AJ11" s="727">
        <f>AJ13-AJ12-AJ10</f>
        <v>1.7690000000000055</v>
      </c>
      <c r="AK11" s="728"/>
      <c r="AL11" s="727">
        <f>AL13-AL12-AL10</f>
        <v>5.4870000000000232</v>
      </c>
      <c r="AM11" s="727">
        <f>AM13-AM12-AM10</f>
        <v>3.4440000000000168</v>
      </c>
      <c r="AN11" s="727">
        <f>AN13-AN12-AN10</f>
        <v>6.5509999999999877</v>
      </c>
      <c r="AO11" s="727">
        <f>AO13-AO12-AO10</f>
        <v>3.3208435716277904</v>
      </c>
      <c r="AP11" s="728"/>
      <c r="AQ11" s="727">
        <f>AQ13-AQ12-AQ10</f>
        <v>0.77515642837215637</v>
      </c>
      <c r="AR11" s="727">
        <f>AR13-AR12-AR10</f>
        <v>2.5579999999999927</v>
      </c>
      <c r="AS11" s="727">
        <f>AS13-AS12-AS10</f>
        <v>5.4330000000000496</v>
      </c>
      <c r="AT11" s="1227">
        <v>2</v>
      </c>
      <c r="AU11" s="728"/>
      <c r="AV11" s="1227">
        <f>AT11</f>
        <v>2</v>
      </c>
      <c r="AW11" s="1227">
        <f>AV11</f>
        <v>2</v>
      </c>
      <c r="AX11" s="1227">
        <f t="shared" ref="AX11:AY11" si="0">AW11</f>
        <v>2</v>
      </c>
      <c r="AY11" s="1227">
        <f t="shared" si="0"/>
        <v>2</v>
      </c>
      <c r="AZ11" s="728"/>
      <c r="BA11" s="1227">
        <f>AY11</f>
        <v>2</v>
      </c>
      <c r="BB11" s="1227">
        <f>BA11</f>
        <v>2</v>
      </c>
      <c r="BC11" s="1227">
        <f>BB11</f>
        <v>2</v>
      </c>
      <c r="BD11" s="1227">
        <f>BC11</f>
        <v>2</v>
      </c>
      <c r="BE11" s="728"/>
      <c r="BF11" s="1227">
        <f>BD11</f>
        <v>2</v>
      </c>
      <c r="BG11" s="1227">
        <f>BF11</f>
        <v>2</v>
      </c>
      <c r="BH11" s="1227">
        <f>BG11</f>
        <v>2</v>
      </c>
      <c r="BI11" s="1227">
        <f>BH11</f>
        <v>2</v>
      </c>
      <c r="BJ11" s="728"/>
      <c r="BK11" s="1227">
        <f>BI11</f>
        <v>2</v>
      </c>
      <c r="BL11" s="1227">
        <f>BK11</f>
        <v>2</v>
      </c>
      <c r="BM11" s="1227">
        <f>BL11</f>
        <v>2</v>
      </c>
      <c r="BN11" s="1227">
        <f>BM11</f>
        <v>2</v>
      </c>
      <c r="BO11" s="728"/>
    </row>
    <row r="12" spans="1:67" s="255" customFormat="1">
      <c r="A12" s="431"/>
      <c r="B12" s="1041" t="s">
        <v>384</v>
      </c>
      <c r="C12" s="729"/>
      <c r="D12" s="727"/>
      <c r="E12" s="727"/>
      <c r="F12" s="727"/>
      <c r="G12" s="728"/>
      <c r="H12" s="729"/>
      <c r="I12" s="727"/>
      <c r="J12" s="727"/>
      <c r="K12" s="727"/>
      <c r="L12" s="728"/>
      <c r="M12" s="729"/>
      <c r="N12" s="727"/>
      <c r="O12" s="727"/>
      <c r="P12" s="727"/>
      <c r="Q12" s="728"/>
      <c r="R12" s="729"/>
      <c r="S12" s="727"/>
      <c r="T12" s="727"/>
      <c r="U12" s="727"/>
      <c r="V12" s="728"/>
      <c r="W12" s="729"/>
      <c r="X12" s="727"/>
      <c r="Y12" s="727"/>
      <c r="Z12" s="727"/>
      <c r="AA12" s="728"/>
      <c r="AB12" s="729"/>
      <c r="AC12" s="727"/>
      <c r="AD12" s="727"/>
      <c r="AE12" s="727"/>
      <c r="AF12" s="728"/>
      <c r="AG12" s="936">
        <v>-1.4</v>
      </c>
      <c r="AH12" s="936">
        <v>0</v>
      </c>
      <c r="AI12" s="936">
        <v>-2.6</v>
      </c>
      <c r="AJ12" s="936">
        <v>0</v>
      </c>
      <c r="AK12" s="728"/>
      <c r="AL12" s="936">
        <v>-2.9820000000000002</v>
      </c>
      <c r="AM12" s="1076">
        <v>-2.9569999999999999</v>
      </c>
      <c r="AN12" s="1076">
        <f>-14.8-AM12-AL12</f>
        <v>-8.8610000000000007</v>
      </c>
      <c r="AO12" s="1076">
        <v>0</v>
      </c>
      <c r="AP12" s="728"/>
      <c r="AQ12" s="1249">
        <v>-3.2</v>
      </c>
      <c r="AR12" s="1076">
        <v>0</v>
      </c>
      <c r="AS12" s="1227">
        <v>-1</v>
      </c>
      <c r="AT12" s="727">
        <f t="shared" ref="AT12:BD12" si="1">-(AT21/AT24)</f>
        <v>-1.0222942098263079</v>
      </c>
      <c r="AU12" s="728"/>
      <c r="AV12" s="727">
        <f t="shared" si="1"/>
        <v>-1.0758549151981032</v>
      </c>
      <c r="AW12" s="727">
        <f t="shared" si="1"/>
        <v>-1.0547597207824539</v>
      </c>
      <c r="AX12" s="727">
        <f t="shared" si="1"/>
        <v>-1.0340781576298568</v>
      </c>
      <c r="AY12" s="727">
        <f t="shared" si="1"/>
        <v>-1.0138021153233892</v>
      </c>
      <c r="AZ12" s="728"/>
      <c r="BA12" s="727">
        <f t="shared" si="1"/>
        <v>-0.2667850084182774</v>
      </c>
      <c r="BB12" s="727">
        <f t="shared" si="1"/>
        <v>0</v>
      </c>
      <c r="BC12" s="727">
        <f t="shared" si="1"/>
        <v>0</v>
      </c>
      <c r="BD12" s="727">
        <f t="shared" si="1"/>
        <v>0</v>
      </c>
      <c r="BE12" s="728"/>
      <c r="BF12" s="729"/>
      <c r="BG12" s="727"/>
      <c r="BH12" s="727"/>
      <c r="BI12" s="727"/>
      <c r="BJ12" s="728"/>
      <c r="BK12" s="729"/>
      <c r="BL12" s="727"/>
      <c r="BM12" s="727"/>
      <c r="BN12" s="727"/>
      <c r="BO12" s="728"/>
    </row>
    <row r="13" spans="1:67" s="256" customFormat="1">
      <c r="A13" s="376"/>
      <c r="B13" s="1078" t="s">
        <v>385</v>
      </c>
      <c r="C13" s="724"/>
      <c r="D13" s="724"/>
      <c r="E13" s="724"/>
      <c r="F13" s="724"/>
      <c r="G13" s="725"/>
      <c r="H13" s="730"/>
      <c r="I13" s="730"/>
      <c r="J13" s="730"/>
      <c r="K13" s="730"/>
      <c r="L13" s="725"/>
      <c r="M13" s="730"/>
      <c r="N13" s="730"/>
      <c r="O13" s="730"/>
      <c r="P13" s="730"/>
      <c r="Q13" s="725"/>
      <c r="R13" s="730"/>
      <c r="S13" s="730"/>
      <c r="T13" s="730"/>
      <c r="U13" s="730"/>
      <c r="V13" s="725"/>
      <c r="W13" s="730">
        <f>'IS (Non-GAAP)'!W91</f>
        <v>291.38585</v>
      </c>
      <c r="X13" s="730">
        <f>'IS (Non-GAAP)'!X91</f>
        <v>297.71709900000002</v>
      </c>
      <c r="Y13" s="730">
        <f>'IS (Non-GAAP)'!Y91</f>
        <v>303.006685</v>
      </c>
      <c r="Z13" s="730">
        <f>'IS (Non-GAAP)'!Z91</f>
        <v>308.693468</v>
      </c>
      <c r="AA13" s="725"/>
      <c r="AB13" s="730">
        <f>'IS (Non-GAAP)'!AB91</f>
        <v>314.36099999999999</v>
      </c>
      <c r="AC13" s="730">
        <f>'IS (Non-GAAP)'!AC91</f>
        <v>318.35599999999999</v>
      </c>
      <c r="AD13" s="730">
        <f>'IS (Non-GAAP)'!AD91</f>
        <v>320.13499999999999</v>
      </c>
      <c r="AE13" s="730">
        <f>'IS (Non-GAAP)'!AE91</f>
        <v>321.92399999999998</v>
      </c>
      <c r="AF13" s="725"/>
      <c r="AG13" s="730">
        <f>'IS (Non-GAAP)'!AG91</f>
        <v>324.15699999999998</v>
      </c>
      <c r="AH13" s="730">
        <f>'IS (Non-GAAP)'!AH91</f>
        <v>327.33499999999998</v>
      </c>
      <c r="AI13" s="730">
        <f>'IS (Non-GAAP)'!AI91</f>
        <v>329.31</v>
      </c>
      <c r="AJ13" s="730">
        <f>'IS (Non-GAAP)'!AJ91</f>
        <v>331.07900000000001</v>
      </c>
      <c r="AK13" s="725"/>
      <c r="AL13" s="730">
        <f>'IS (Non-GAAP)'!AL91</f>
        <v>333.584</v>
      </c>
      <c r="AM13" s="730">
        <f>'IS (Non-GAAP)'!AM91</f>
        <v>334.07100000000003</v>
      </c>
      <c r="AN13" s="730">
        <f>'IS (Non-GAAP)'!AN91</f>
        <v>331.76100000000002</v>
      </c>
      <c r="AO13" s="730">
        <f>'IS (Non-GAAP)'!AO91</f>
        <v>335.08184357162781</v>
      </c>
      <c r="AP13" s="725"/>
      <c r="AQ13" s="730">
        <f>'IS (Non-GAAP)'!AQ91</f>
        <v>332.65699999999998</v>
      </c>
      <c r="AR13" s="730">
        <f>'IS (Non-GAAP)'!AR91</f>
        <v>335.21499999999997</v>
      </c>
      <c r="AS13" s="730">
        <f>'IS (Non-GAAP)'!AS91</f>
        <v>339.64800000000002</v>
      </c>
      <c r="AT13" s="726">
        <f>SUM(AT10:AT12)</f>
        <v>340.6257057901737</v>
      </c>
      <c r="AU13" s="725"/>
      <c r="AV13" s="726">
        <f>SUM(AV10:AV12)</f>
        <v>341.54985087497562</v>
      </c>
      <c r="AW13" s="726">
        <f>SUM(AW10:AW12)</f>
        <v>342.49509115419318</v>
      </c>
      <c r="AX13" s="726">
        <f>SUM(AX10:AX12)</f>
        <v>343.46101299656334</v>
      </c>
      <c r="AY13" s="726">
        <f>SUM(AY10:AY12)</f>
        <v>344.44721088123993</v>
      </c>
      <c r="AZ13" s="725"/>
      <c r="BA13" s="726">
        <f>SUM(BA10:BA12)</f>
        <v>346.18042587282167</v>
      </c>
      <c r="BB13" s="726">
        <f>SUM(BB10:BB12)</f>
        <v>348.18042587282167</v>
      </c>
      <c r="BC13" s="726">
        <f>SUM(BC10:BC12)</f>
        <v>350.18042587282167</v>
      </c>
      <c r="BD13" s="726">
        <f>SUM(BD10:BD12)</f>
        <v>352.18042587282167</v>
      </c>
      <c r="BE13" s="725"/>
      <c r="BF13" s="726">
        <f>SUM(BF10:BF12)</f>
        <v>354.18042587282167</v>
      </c>
      <c r="BG13" s="726">
        <f>SUM(BG10:BG12)</f>
        <v>356.18042587282167</v>
      </c>
      <c r="BH13" s="726">
        <f>SUM(BH10:BH12)</f>
        <v>358.18042587282167</v>
      </c>
      <c r="BI13" s="726">
        <f>SUM(BI10:BI12)</f>
        <v>360.18042587282167</v>
      </c>
      <c r="BJ13" s="725"/>
      <c r="BK13" s="726">
        <f>SUM(BK10:BK12)</f>
        <v>362.18042587282167</v>
      </c>
      <c r="BL13" s="726">
        <f>SUM(BL10:BL12)</f>
        <v>364.18042587282167</v>
      </c>
      <c r="BM13" s="726">
        <f>SUM(BM10:BM12)</f>
        <v>366.18042587282167</v>
      </c>
      <c r="BN13" s="726">
        <f>SUM(BN10:BN12)</f>
        <v>368.18042587282167</v>
      </c>
      <c r="BO13" s="725"/>
    </row>
    <row r="14" spans="1:67">
      <c r="A14" s="107"/>
      <c r="C14" s="731"/>
      <c r="D14" s="732"/>
      <c r="E14" s="732"/>
      <c r="F14" s="732"/>
      <c r="G14" s="733"/>
      <c r="H14" s="731"/>
      <c r="I14" s="732"/>
      <c r="J14" s="732"/>
      <c r="K14" s="732"/>
      <c r="L14" s="733"/>
      <c r="M14" s="731"/>
      <c r="N14" s="732"/>
      <c r="O14" s="732"/>
      <c r="P14" s="732"/>
      <c r="Q14" s="733"/>
      <c r="R14" s="731"/>
      <c r="S14" s="732"/>
      <c r="T14" s="732"/>
      <c r="U14" s="732"/>
      <c r="V14" s="733"/>
      <c r="W14" s="731"/>
      <c r="X14" s="732"/>
      <c r="Y14" s="732"/>
      <c r="Z14" s="732"/>
      <c r="AA14" s="733"/>
      <c r="AB14" s="731"/>
      <c r="AC14" s="732"/>
      <c r="AD14" s="732"/>
      <c r="AE14" s="732"/>
      <c r="AF14" s="733"/>
      <c r="AG14" s="731"/>
      <c r="AH14" s="732"/>
      <c r="AI14" s="732"/>
      <c r="AJ14" s="732"/>
      <c r="AK14" s="733"/>
      <c r="AL14" s="731"/>
      <c r="AM14" s="732"/>
      <c r="AN14" s="732"/>
      <c r="AO14" s="732"/>
      <c r="AP14" s="733"/>
      <c r="AQ14" s="731"/>
      <c r="AR14" s="732"/>
      <c r="AS14" s="732"/>
      <c r="AT14" s="732"/>
      <c r="AU14" s="733"/>
      <c r="AV14" s="731"/>
      <c r="AW14" s="732"/>
      <c r="AX14" s="732"/>
      <c r="AY14" s="732"/>
      <c r="AZ14" s="733"/>
      <c r="BA14" s="731"/>
      <c r="BB14" s="732"/>
      <c r="BC14" s="732"/>
      <c r="BD14" s="732"/>
      <c r="BE14" s="733"/>
      <c r="BF14" s="731"/>
      <c r="BG14" s="732"/>
      <c r="BH14" s="732"/>
      <c r="BI14" s="732"/>
      <c r="BJ14" s="733"/>
      <c r="BK14" s="731"/>
      <c r="BL14" s="732"/>
      <c r="BM14" s="732"/>
      <c r="BN14" s="732"/>
      <c r="BO14" s="733"/>
    </row>
    <row r="15" spans="1:67" s="256" customFormat="1">
      <c r="A15" s="376"/>
      <c r="B15" s="1078" t="s">
        <v>386</v>
      </c>
      <c r="C15" s="726"/>
      <c r="D15" s="726"/>
      <c r="E15" s="726"/>
      <c r="F15" s="726"/>
      <c r="G15" s="725"/>
      <c r="H15" s="726"/>
      <c r="I15" s="726"/>
      <c r="J15" s="726"/>
      <c r="K15" s="726"/>
      <c r="L15" s="725"/>
      <c r="M15" s="726"/>
      <c r="N15" s="726"/>
      <c r="O15" s="726"/>
      <c r="P15" s="726"/>
      <c r="Q15" s="725"/>
      <c r="R15" s="726"/>
      <c r="S15" s="726"/>
      <c r="T15" s="726"/>
      <c r="U15" s="726"/>
      <c r="V15" s="725"/>
      <c r="W15" s="726">
        <f>W13</f>
        <v>291.38585</v>
      </c>
      <c r="X15" s="726">
        <f>X13</f>
        <v>297.71709900000002</v>
      </c>
      <c r="Y15" s="726">
        <f>Y13</f>
        <v>303.006685</v>
      </c>
      <c r="Z15" s="726">
        <f>Z13</f>
        <v>308.693468</v>
      </c>
      <c r="AA15" s="725"/>
      <c r="AB15" s="726">
        <f>AB13</f>
        <v>314.36099999999999</v>
      </c>
      <c r="AC15" s="726">
        <f>AC13</f>
        <v>318.35599999999999</v>
      </c>
      <c r="AD15" s="726">
        <f>AD13</f>
        <v>320.13499999999999</v>
      </c>
      <c r="AE15" s="726">
        <f>AE13</f>
        <v>321.92399999999998</v>
      </c>
      <c r="AF15" s="725"/>
      <c r="AG15" s="726">
        <f>AG13</f>
        <v>324.15699999999998</v>
      </c>
      <c r="AH15" s="726">
        <f>AH13</f>
        <v>327.33499999999998</v>
      </c>
      <c r="AI15" s="726">
        <f>AI13</f>
        <v>329.31</v>
      </c>
      <c r="AJ15" s="726">
        <f>AJ13</f>
        <v>331.07900000000001</v>
      </c>
      <c r="AK15" s="725"/>
      <c r="AL15" s="726">
        <f>AL13</f>
        <v>333.584</v>
      </c>
      <c r="AM15" s="726">
        <f>AM13</f>
        <v>334.07100000000003</v>
      </c>
      <c r="AN15" s="726">
        <f>AN13</f>
        <v>331.76100000000002</v>
      </c>
      <c r="AO15" s="726">
        <f>AO13</f>
        <v>335.08184357162781</v>
      </c>
      <c r="AP15" s="725">
        <f>AVERAGE(AL15:AO15)</f>
        <v>333.62446089290694</v>
      </c>
      <c r="AQ15" s="726">
        <f>AQ13</f>
        <v>332.65699999999998</v>
      </c>
      <c r="AR15" s="726">
        <f>AR13</f>
        <v>335.21499999999997</v>
      </c>
      <c r="AS15" s="726">
        <f>AS13</f>
        <v>339.64800000000002</v>
      </c>
      <c r="AT15" s="726">
        <f>AT13</f>
        <v>340.6257057901737</v>
      </c>
      <c r="AU15" s="725">
        <f>AVERAGE(AQ15:AT15)</f>
        <v>337.03642644754342</v>
      </c>
      <c r="AV15" s="726">
        <f>AV13</f>
        <v>341.54985087497562</v>
      </c>
      <c r="AW15" s="726">
        <f>AW13</f>
        <v>342.49509115419318</v>
      </c>
      <c r="AX15" s="726">
        <f>AX13</f>
        <v>343.46101299656334</v>
      </c>
      <c r="AY15" s="726">
        <f>AY13</f>
        <v>344.44721088123993</v>
      </c>
      <c r="AZ15" s="725">
        <f>AVERAGE(AV15:AY15)</f>
        <v>342.98829147674303</v>
      </c>
      <c r="BA15" s="726">
        <f>BA13</f>
        <v>346.18042587282167</v>
      </c>
      <c r="BB15" s="726">
        <f>BB13</f>
        <v>348.18042587282167</v>
      </c>
      <c r="BC15" s="726">
        <f>BC13</f>
        <v>350.18042587282167</v>
      </c>
      <c r="BD15" s="726">
        <f>BD13</f>
        <v>352.18042587282167</v>
      </c>
      <c r="BE15" s="725">
        <f>AVERAGE(BA15:BD15)</f>
        <v>349.18042587282167</v>
      </c>
      <c r="BF15" s="726">
        <f>BF13</f>
        <v>354.18042587282167</v>
      </c>
      <c r="BG15" s="726">
        <f>BG13</f>
        <v>356.18042587282167</v>
      </c>
      <c r="BH15" s="726">
        <f>BH13</f>
        <v>358.18042587282167</v>
      </c>
      <c r="BI15" s="726">
        <f>BI13</f>
        <v>360.18042587282167</v>
      </c>
      <c r="BJ15" s="725">
        <f>AVERAGE(BF15:BI15)</f>
        <v>357.18042587282167</v>
      </c>
      <c r="BK15" s="726">
        <f>BK13</f>
        <v>362.18042587282167</v>
      </c>
      <c r="BL15" s="726">
        <f>BL13</f>
        <v>364.18042587282167</v>
      </c>
      <c r="BM15" s="726">
        <f>BM13</f>
        <v>366.18042587282167</v>
      </c>
      <c r="BN15" s="726">
        <f>BN13</f>
        <v>368.18042587282167</v>
      </c>
      <c r="BO15" s="725">
        <f>AVERAGE(BK15:BN15)</f>
        <v>365.18042587282167</v>
      </c>
    </row>
    <row r="16" spans="1:67" s="377" customFormat="1">
      <c r="A16" s="351"/>
      <c r="B16" s="1041" t="s">
        <v>387</v>
      </c>
      <c r="C16" s="734"/>
      <c r="D16" s="734"/>
      <c r="E16" s="734"/>
      <c r="F16" s="734"/>
      <c r="G16" s="735"/>
      <c r="H16" s="734"/>
      <c r="I16" s="734"/>
      <c r="J16" s="734"/>
      <c r="K16" s="734"/>
      <c r="L16" s="735"/>
      <c r="M16" s="734"/>
      <c r="N16" s="734"/>
      <c r="O16" s="734"/>
      <c r="P16" s="734"/>
      <c r="Q16" s="735"/>
      <c r="R16" s="734"/>
      <c r="S16" s="734"/>
      <c r="T16" s="734"/>
      <c r="U16" s="734"/>
      <c r="V16" s="735"/>
      <c r="W16" s="734">
        <f>W17-W15</f>
        <v>0</v>
      </c>
      <c r="X16" s="734">
        <f>X17-X15</f>
        <v>0</v>
      </c>
      <c r="Y16" s="734">
        <f>Y17-Y15</f>
        <v>0</v>
      </c>
      <c r="Z16" s="734">
        <f>Z17-Z15</f>
        <v>0</v>
      </c>
      <c r="AA16" s="735"/>
      <c r="AB16" s="734">
        <f>AB17-AB15</f>
        <v>0</v>
      </c>
      <c r="AC16" s="734">
        <f>AC17-AC15</f>
        <v>0</v>
      </c>
      <c r="AD16" s="734">
        <f>AD17-AD15</f>
        <v>39.715000000000032</v>
      </c>
      <c r="AE16" s="734">
        <f>AE17-AE15</f>
        <v>37.588999999999999</v>
      </c>
      <c r="AF16" s="735"/>
      <c r="AG16" s="734">
        <f>AG17-AG15</f>
        <v>36.152000000000044</v>
      </c>
      <c r="AH16" s="734">
        <f>AH17-AH15</f>
        <v>35.698000000000036</v>
      </c>
      <c r="AI16" s="734">
        <f>AI17-AI15</f>
        <v>32.356999999999971</v>
      </c>
      <c r="AJ16" s="734">
        <f>AJ17-AJ15</f>
        <v>32.677999999999997</v>
      </c>
      <c r="AK16" s="735"/>
      <c r="AL16" s="734">
        <f>AL17-AL15</f>
        <v>29.730000000000018</v>
      </c>
      <c r="AM16" s="734">
        <f>AM17-AM15</f>
        <v>25.24799999999999</v>
      </c>
      <c r="AN16" s="734">
        <f>AN17-AN15</f>
        <v>30.391999999999996</v>
      </c>
      <c r="AO16" s="734">
        <f>AO17-AO15</f>
        <v>33.692000000000007</v>
      </c>
      <c r="AP16" s="735"/>
      <c r="AQ16" s="734">
        <f>AQ17-AQ15</f>
        <v>38.263000000000034</v>
      </c>
      <c r="AR16" s="734">
        <f>AR17-AR15</f>
        <v>37.168000000000006</v>
      </c>
      <c r="AS16" s="734">
        <f>AS17-AS15</f>
        <v>33.704999999999984</v>
      </c>
      <c r="AT16" s="736">
        <v>35</v>
      </c>
      <c r="AU16" s="735"/>
      <c r="AV16" s="736">
        <v>38</v>
      </c>
      <c r="AW16" s="736">
        <f>AV16</f>
        <v>38</v>
      </c>
      <c r="AX16" s="736">
        <f>AW16</f>
        <v>38</v>
      </c>
      <c r="AY16" s="736">
        <f>AX16</f>
        <v>38</v>
      </c>
      <c r="AZ16" s="735"/>
      <c r="BA16" s="736">
        <f>AY16</f>
        <v>38</v>
      </c>
      <c r="BB16" s="736">
        <f>BA16</f>
        <v>38</v>
      </c>
      <c r="BC16" s="736">
        <f>BB16</f>
        <v>38</v>
      </c>
      <c r="BD16" s="736">
        <f>BC16</f>
        <v>38</v>
      </c>
      <c r="BE16" s="735"/>
      <c r="BF16" s="736">
        <f>BD16</f>
        <v>38</v>
      </c>
      <c r="BG16" s="736">
        <f>BF16</f>
        <v>38</v>
      </c>
      <c r="BH16" s="736">
        <f>BG16</f>
        <v>38</v>
      </c>
      <c r="BI16" s="736">
        <f>BH16</f>
        <v>38</v>
      </c>
      <c r="BJ16" s="735"/>
      <c r="BK16" s="736">
        <f>BI16</f>
        <v>38</v>
      </c>
      <c r="BL16" s="736">
        <f>BK16</f>
        <v>38</v>
      </c>
      <c r="BM16" s="736">
        <f>BL16</f>
        <v>38</v>
      </c>
      <c r="BN16" s="736">
        <f>BM16</f>
        <v>38</v>
      </c>
      <c r="BO16" s="735"/>
    </row>
    <row r="17" spans="1:67" s="256" customFormat="1">
      <c r="A17" s="376"/>
      <c r="B17" s="1078" t="s">
        <v>344</v>
      </c>
      <c r="C17" s="737"/>
      <c r="D17" s="737"/>
      <c r="E17" s="737"/>
      <c r="F17" s="737"/>
      <c r="G17" s="725"/>
      <c r="H17" s="737"/>
      <c r="I17" s="737"/>
      <c r="J17" s="737"/>
      <c r="K17" s="737"/>
      <c r="L17" s="725"/>
      <c r="M17" s="737"/>
      <c r="N17" s="737"/>
      <c r="O17" s="737"/>
      <c r="P17" s="737"/>
      <c r="Q17" s="725"/>
      <c r="R17" s="737"/>
      <c r="S17" s="737"/>
      <c r="T17" s="737"/>
      <c r="U17" s="737"/>
      <c r="V17" s="725"/>
      <c r="W17" s="737">
        <f>'IS (Non-GAAP)'!W92</f>
        <v>291.38585</v>
      </c>
      <c r="X17" s="737">
        <f>'IS (Non-GAAP)'!X92</f>
        <v>297.71709900000002</v>
      </c>
      <c r="Y17" s="737">
        <f>'IS (Non-GAAP)'!Y92</f>
        <v>303.006685</v>
      </c>
      <c r="Z17" s="737">
        <f>'IS (Non-GAAP)'!Z92</f>
        <v>308.693468</v>
      </c>
      <c r="AA17" s="725"/>
      <c r="AB17" s="737">
        <f>'IS (Non-GAAP)'!AB92</f>
        <v>314.36099999999999</v>
      </c>
      <c r="AC17" s="737">
        <f>'IS (Non-GAAP)'!AC92</f>
        <v>318.35599999999999</v>
      </c>
      <c r="AD17" s="737">
        <f>'IS (Non-GAAP)'!AD92</f>
        <v>359.85</v>
      </c>
      <c r="AE17" s="737">
        <f>'IS (Non-GAAP)'!AE92</f>
        <v>359.51299999999998</v>
      </c>
      <c r="AF17" s="725"/>
      <c r="AG17" s="737">
        <f>'IS (Non-GAAP)'!AG92</f>
        <v>360.30900000000003</v>
      </c>
      <c r="AH17" s="737">
        <f>'IS (Non-GAAP)'!AH92</f>
        <v>363.03300000000002</v>
      </c>
      <c r="AI17" s="737">
        <f>'IS (Non-GAAP)'!AI92</f>
        <v>361.66699999999997</v>
      </c>
      <c r="AJ17" s="737">
        <f>'IS (Non-GAAP)'!AJ92</f>
        <v>363.75700000000001</v>
      </c>
      <c r="AK17" s="725"/>
      <c r="AL17" s="737">
        <f>'IS (Non-GAAP)'!AL92</f>
        <v>363.31400000000002</v>
      </c>
      <c r="AM17" s="737">
        <f>'IS (Non-GAAP)'!AM92</f>
        <v>359.31900000000002</v>
      </c>
      <c r="AN17" s="737">
        <f>'IS (Non-GAAP)'!AN92</f>
        <v>362.15300000000002</v>
      </c>
      <c r="AO17" s="737">
        <f>'IS (Non-GAAP)'!AO92</f>
        <v>368.77384357162782</v>
      </c>
      <c r="AP17" s="725">
        <f>AVERAGE(AL17:AO17)</f>
        <v>363.38996089290697</v>
      </c>
      <c r="AQ17" s="737">
        <f>'IS (Non-GAAP)'!AQ92</f>
        <v>370.92</v>
      </c>
      <c r="AR17" s="737">
        <f>'IS (Non-GAAP)'!AR92</f>
        <v>372.38299999999998</v>
      </c>
      <c r="AS17" s="737">
        <f>'IS (Non-GAAP)'!AS92</f>
        <v>373.35300000000001</v>
      </c>
      <c r="AT17" s="726">
        <f>SUM(AT15:AT16)</f>
        <v>375.6257057901737</v>
      </c>
      <c r="AU17" s="725">
        <f>AVERAGE(AQ17:AT17)</f>
        <v>373.07042644754341</v>
      </c>
      <c r="AV17" s="726">
        <f>SUM(AV15:AV16)</f>
        <v>379.54985087497562</v>
      </c>
      <c r="AW17" s="726">
        <f>SUM(AW15:AW16)</f>
        <v>380.49509115419318</v>
      </c>
      <c r="AX17" s="726">
        <f>SUM(AX15:AX16)</f>
        <v>381.46101299656334</v>
      </c>
      <c r="AY17" s="726">
        <f>SUM(AY15:AY16)</f>
        <v>382.44721088123993</v>
      </c>
      <c r="AZ17" s="725">
        <f>AVERAGE(AV17:AY17)</f>
        <v>380.98829147674303</v>
      </c>
      <c r="BA17" s="726">
        <f>SUM(BA15:BA16)</f>
        <v>384.18042587282167</v>
      </c>
      <c r="BB17" s="726">
        <f>SUM(BB15:BB16)</f>
        <v>386.18042587282167</v>
      </c>
      <c r="BC17" s="726">
        <f>SUM(BC15:BC16)</f>
        <v>388.18042587282167</v>
      </c>
      <c r="BD17" s="726">
        <f>SUM(BD15:BD16)</f>
        <v>390.18042587282167</v>
      </c>
      <c r="BE17" s="725">
        <f>AVERAGE(BA17:BD17)</f>
        <v>387.18042587282167</v>
      </c>
      <c r="BF17" s="726">
        <f>SUM(BF15:BF16)</f>
        <v>392.18042587282167</v>
      </c>
      <c r="BG17" s="726">
        <f>SUM(BG15:BG16)</f>
        <v>394.18042587282167</v>
      </c>
      <c r="BH17" s="726">
        <f>SUM(BH15:BH16)</f>
        <v>396.18042587282167</v>
      </c>
      <c r="BI17" s="726">
        <f>SUM(BI15:BI16)</f>
        <v>398.18042587282167</v>
      </c>
      <c r="BJ17" s="725">
        <f>AVERAGE(BF17:BI17)</f>
        <v>395.18042587282167</v>
      </c>
      <c r="BK17" s="726">
        <f>SUM(BK15:BK16)</f>
        <v>400.18042587282167</v>
      </c>
      <c r="BL17" s="726">
        <f>SUM(BL15:BL16)</f>
        <v>402.18042587282167</v>
      </c>
      <c r="BM17" s="726">
        <f>SUM(BM15:BM16)</f>
        <v>404.18042587282167</v>
      </c>
      <c r="BN17" s="726">
        <f>SUM(BN15:BN16)</f>
        <v>406.18042587282167</v>
      </c>
      <c r="BO17" s="725">
        <f>AVERAGE(BK17:BN17)</f>
        <v>403.18042587282167</v>
      </c>
    </row>
    <row r="18" spans="1:67">
      <c r="A18" s="107"/>
      <c r="B18" s="1079"/>
      <c r="C18" s="738"/>
      <c r="D18" s="738"/>
      <c r="E18" s="738"/>
      <c r="F18" s="738"/>
      <c r="G18" s="739"/>
      <c r="H18" s="738"/>
      <c r="I18" s="738"/>
      <c r="J18" s="738"/>
      <c r="K18" s="738"/>
      <c r="L18" s="739"/>
      <c r="M18" s="738"/>
      <c r="N18" s="738"/>
      <c r="O18" s="738"/>
      <c r="P18" s="738"/>
      <c r="Q18" s="739"/>
      <c r="R18" s="738"/>
      <c r="S18" s="738"/>
      <c r="T18" s="738"/>
      <c r="U18" s="738"/>
      <c r="V18" s="739"/>
      <c r="W18" s="738"/>
      <c r="X18" s="738"/>
      <c r="Y18" s="738"/>
      <c r="Z18" s="738"/>
      <c r="AA18" s="739"/>
      <c r="AB18" s="738"/>
      <c r="AC18" s="738"/>
      <c r="AD18" s="738"/>
      <c r="AE18" s="738"/>
      <c r="AF18" s="739"/>
      <c r="AG18" s="738"/>
      <c r="AH18" s="738"/>
      <c r="AI18" s="738"/>
      <c r="AJ18" s="738"/>
      <c r="AK18" s="739"/>
      <c r="AL18" s="738"/>
      <c r="AM18" s="738"/>
      <c r="AN18" s="738"/>
      <c r="AO18" s="738"/>
      <c r="AP18" s="739"/>
      <c r="AQ18" s="738"/>
      <c r="AR18" s="738"/>
      <c r="AS18" s="738"/>
      <c r="AT18" s="1412"/>
      <c r="AU18" s="739"/>
      <c r="AV18" s="738"/>
      <c r="AW18" s="738"/>
      <c r="AX18" s="738"/>
      <c r="AY18" s="738"/>
      <c r="AZ18" s="739"/>
      <c r="BA18" s="738"/>
      <c r="BB18" s="738"/>
      <c r="BC18" s="738"/>
      <c r="BD18" s="738"/>
      <c r="BE18" s="739"/>
      <c r="BF18" s="738"/>
      <c r="BG18" s="738"/>
      <c r="BH18" s="738"/>
      <c r="BI18" s="738"/>
      <c r="BJ18" s="739"/>
      <c r="BK18" s="738"/>
      <c r="BL18" s="738"/>
      <c r="BM18" s="738"/>
      <c r="BN18" s="738"/>
      <c r="BO18" s="739"/>
    </row>
    <row r="19" spans="1:67">
      <c r="A19" s="107"/>
      <c r="B19" s="1080" t="s">
        <v>388</v>
      </c>
      <c r="C19" s="740"/>
      <c r="D19" s="738"/>
      <c r="E19" s="738"/>
      <c r="F19" s="738"/>
      <c r="G19" s="739"/>
      <c r="H19" s="740"/>
      <c r="I19" s="741"/>
      <c r="J19" s="741"/>
      <c r="K19" s="741"/>
      <c r="L19" s="739"/>
      <c r="M19" s="741"/>
      <c r="N19" s="741"/>
      <c r="O19" s="741"/>
      <c r="P19" s="741"/>
      <c r="Q19" s="739"/>
      <c r="R19" s="741"/>
      <c r="S19" s="741"/>
      <c r="T19" s="741"/>
      <c r="U19" s="741"/>
      <c r="V19" s="739"/>
      <c r="W19" s="741">
        <f>'IS (Non-GAAP)'!W101</f>
        <v>167.49799999999996</v>
      </c>
      <c r="X19" s="741">
        <f>'IS (Non-GAAP)'!X101</f>
        <v>176.40899999999999</v>
      </c>
      <c r="Y19" s="741">
        <f>'IS (Non-GAAP)'!Y101</f>
        <v>163.786</v>
      </c>
      <c r="Z19" s="741">
        <f>'IS (Non-GAAP)'!Z101</f>
        <v>167.76599999999999</v>
      </c>
      <c r="AA19" s="739"/>
      <c r="AB19" s="741">
        <f>'IS (Non-GAAP)'!AB101</f>
        <v>183.24100000000001</v>
      </c>
      <c r="AC19" s="741">
        <f>'IS (Non-GAAP)'!AC101</f>
        <v>214.28200000000001</v>
      </c>
      <c r="AD19" s="741">
        <f>'IS (Non-GAAP)'!AD101</f>
        <v>235.19099999999997</v>
      </c>
      <c r="AE19" s="741">
        <f>'IS (Non-GAAP)'!AE101</f>
        <v>256.28499999999997</v>
      </c>
      <c r="AF19" s="739"/>
      <c r="AG19" s="741">
        <f>'IS (Non-GAAP)'!AG101</f>
        <v>287.62099999999998</v>
      </c>
      <c r="AH19" s="741">
        <f>'IS (Non-GAAP)'!AH101</f>
        <v>314.24099999999999</v>
      </c>
      <c r="AI19" s="741">
        <f>'IS (Non-GAAP)'!AI101</f>
        <v>307.35699999999997</v>
      </c>
      <c r="AJ19" s="741">
        <f>'IS (Non-GAAP)'!AJ101</f>
        <v>320.30399999999997</v>
      </c>
      <c r="AK19" s="739"/>
      <c r="AL19" s="741">
        <f>'IS (Non-GAAP)'!AL101</f>
        <v>360.38900000000001</v>
      </c>
      <c r="AM19" s="741">
        <f>'IS (Non-GAAP)'!AM101</f>
        <v>373.33699999999999</v>
      </c>
      <c r="AN19" s="741">
        <f>'IS (Non-GAAP)'!AN101</f>
        <v>381.44499999999999</v>
      </c>
      <c r="AO19" s="741">
        <f>'IS (Non-GAAP)'!AO101</f>
        <v>449.12200000000001</v>
      </c>
      <c r="AP19" s="739"/>
      <c r="AQ19" s="741">
        <f>'IS (Non-GAAP)'!AQ101</f>
        <v>408.72199999999998</v>
      </c>
      <c r="AR19" s="741">
        <f>'IS (Non-GAAP)'!AR101</f>
        <v>436.18199999999996</v>
      </c>
      <c r="AS19" s="741">
        <f>'IS (Non-GAAP)'!AS101</f>
        <v>442.39199999999994</v>
      </c>
      <c r="AT19" s="741">
        <f>'IS (Non-GAAP)'!AT101</f>
        <v>449.23985164685962</v>
      </c>
      <c r="AU19" s="739"/>
      <c r="AV19" s="741">
        <f>'IS (Non-GAAP)'!AV101</f>
        <v>465.77271803797521</v>
      </c>
      <c r="AW19" s="741">
        <f>'IS (Non-GAAP)'!AW101</f>
        <v>494.88932109543595</v>
      </c>
      <c r="AX19" s="741">
        <f>'IS (Non-GAAP)'!AX101</f>
        <v>517.90235504843099</v>
      </c>
      <c r="AY19" s="741">
        <f>'IS (Non-GAAP)'!AY101</f>
        <v>526.32877541408175</v>
      </c>
      <c r="AZ19" s="739"/>
      <c r="BA19" s="741">
        <f>'IS (Non-GAAP)'!BA101</f>
        <v>545.37097923857004</v>
      </c>
      <c r="BB19" s="741">
        <f>'IS (Non-GAAP)'!BB101</f>
        <v>580.60567207018528</v>
      </c>
      <c r="BC19" s="741">
        <f>'IS (Non-GAAP)'!BC101</f>
        <v>608.73171361003256</v>
      </c>
      <c r="BD19" s="741">
        <f>'IS (Non-GAAP)'!BD101</f>
        <v>611.88947747127122</v>
      </c>
      <c r="BE19" s="739"/>
      <c r="BF19" s="741">
        <f>'IS (Non-GAAP)'!BF101</f>
        <v>628.37432558145417</v>
      </c>
      <c r="BG19" s="741">
        <f>'IS (Non-GAAP)'!BG101</f>
        <v>666.77810640901123</v>
      </c>
      <c r="BH19" s="741">
        <f>'IS (Non-GAAP)'!BH101</f>
        <v>710.87693644571038</v>
      </c>
      <c r="BI19" s="741">
        <f>'IS (Non-GAAP)'!BI101</f>
        <v>716.96660452755157</v>
      </c>
      <c r="BJ19" s="739"/>
      <c r="BK19" s="741">
        <f>'IS (Non-GAAP)'!BK101</f>
        <v>731.62968577440824</v>
      </c>
      <c r="BL19" s="741">
        <f>'IS (Non-GAAP)'!BL101</f>
        <v>765.697528334852</v>
      </c>
      <c r="BM19" s="741">
        <f>'IS (Non-GAAP)'!BM101</f>
        <v>820.92807222469764</v>
      </c>
      <c r="BN19" s="741">
        <f>'IS (Non-GAAP)'!BN101</f>
        <v>818.45618217893752</v>
      </c>
      <c r="BO19" s="739"/>
    </row>
    <row r="20" spans="1:67">
      <c r="B20" s="1042"/>
      <c r="C20" s="731"/>
      <c r="D20" s="732"/>
      <c r="E20" s="732"/>
      <c r="F20" s="732"/>
      <c r="G20" s="742"/>
      <c r="H20" s="731"/>
      <c r="I20" s="732"/>
      <c r="J20" s="732"/>
      <c r="K20" s="732"/>
      <c r="L20" s="742"/>
      <c r="M20" s="731"/>
      <c r="N20" s="732"/>
      <c r="O20" s="732"/>
      <c r="P20" s="732"/>
      <c r="Q20" s="742"/>
      <c r="R20" s="731"/>
      <c r="S20" s="732"/>
      <c r="T20" s="732"/>
      <c r="U20" s="732"/>
      <c r="V20" s="742"/>
      <c r="W20" s="731"/>
      <c r="X20" s="732"/>
      <c r="Y20" s="732"/>
      <c r="Z20" s="732"/>
      <c r="AA20" s="742"/>
      <c r="AB20" s="731"/>
      <c r="AC20" s="732"/>
      <c r="AD20" s="732"/>
      <c r="AE20" s="732"/>
      <c r="AF20" s="742"/>
      <c r="AG20" s="731"/>
      <c r="AH20" s="732"/>
      <c r="AI20" s="732"/>
      <c r="AJ20" s="732"/>
      <c r="AK20" s="742"/>
      <c r="AL20" s="731"/>
      <c r="AM20" s="732"/>
      <c r="AN20" s="732"/>
      <c r="AO20" s="732"/>
      <c r="AP20" s="742"/>
      <c r="AQ20" s="731"/>
      <c r="AR20" s="732"/>
      <c r="AS20" s="732"/>
      <c r="AT20" s="732"/>
      <c r="AU20" s="742"/>
      <c r="AV20" s="732"/>
      <c r="AW20" s="732"/>
      <c r="AX20" s="732"/>
      <c r="AY20" s="732"/>
      <c r="AZ20" s="742"/>
      <c r="BA20" s="732"/>
      <c r="BB20" s="732"/>
      <c r="BC20" s="732"/>
      <c r="BD20" s="732"/>
      <c r="BE20" s="742"/>
      <c r="BF20" s="732"/>
      <c r="BG20" s="732"/>
      <c r="BH20" s="732"/>
      <c r="BI20" s="732"/>
      <c r="BJ20" s="742"/>
      <c r="BK20" s="732"/>
      <c r="BL20" s="732"/>
      <c r="BM20" s="732"/>
      <c r="BN20" s="732"/>
      <c r="BO20" s="742"/>
    </row>
    <row r="21" spans="1:67" s="747" customFormat="1">
      <c r="B21" s="1080" t="s">
        <v>438</v>
      </c>
      <c r="C21" s="931"/>
      <c r="D21" s="932"/>
      <c r="E21" s="932"/>
      <c r="F21" s="932"/>
      <c r="G21" s="748"/>
      <c r="H21" s="931"/>
      <c r="I21" s="932"/>
      <c r="J21" s="932"/>
      <c r="K21" s="932"/>
      <c r="L21" s="748"/>
      <c r="M21" s="931"/>
      <c r="N21" s="932"/>
      <c r="O21" s="932"/>
      <c r="P21" s="932"/>
      <c r="Q21" s="748"/>
      <c r="R21" s="931"/>
      <c r="S21" s="932"/>
      <c r="T21" s="932"/>
      <c r="U21" s="932"/>
      <c r="V21" s="748"/>
      <c r="W21" s="931"/>
      <c r="X21" s="932"/>
      <c r="Y21" s="932"/>
      <c r="Z21" s="932"/>
      <c r="AA21" s="748"/>
      <c r="AB21" s="931"/>
      <c r="AC21" s="932"/>
      <c r="AD21" s="932"/>
      <c r="AE21" s="932"/>
      <c r="AF21" s="748"/>
      <c r="AG21" s="965">
        <f>-CF!AG56</f>
        <v>191.69399999999999</v>
      </c>
      <c r="AH21" s="965">
        <f>-CF!AH56</f>
        <v>0</v>
      </c>
      <c r="AI21" s="965">
        <f>-CF!AI56</f>
        <v>400.03800000000001</v>
      </c>
      <c r="AJ21" s="965">
        <f>-CF!AJ56</f>
        <v>0</v>
      </c>
      <c r="AK21" s="748">
        <f>SUM(AG21:AJ21)</f>
        <v>591.73199999999997</v>
      </c>
      <c r="AL21" s="965">
        <f>-CF!AL56</f>
        <v>516.32899999999995</v>
      </c>
      <c r="AM21" s="965">
        <f>-CF!AM56</f>
        <v>400</v>
      </c>
      <c r="AN21" s="965">
        <f>-CF!AN56</f>
        <v>1016.004</v>
      </c>
      <c r="AO21" s="965">
        <f>-CF!AO56</f>
        <v>0</v>
      </c>
      <c r="AP21" s="748">
        <f>SUM(AL21:AO21)</f>
        <v>1932.3330000000001</v>
      </c>
      <c r="AQ21" s="965">
        <f>-CF!AQ56</f>
        <v>490.63799999999998</v>
      </c>
      <c r="AR21" s="965">
        <f>-CF!AR56</f>
        <v>0</v>
      </c>
      <c r="AS21" s="965">
        <f>-CF!AS56</f>
        <v>232.89599999999999</v>
      </c>
      <c r="AT21" s="932">
        <f>AS21</f>
        <v>232.89599999999999</v>
      </c>
      <c r="AU21" s="748">
        <f>SUM(AQ21:AT21)</f>
        <v>956.43</v>
      </c>
      <c r="AV21" s="932">
        <v>250</v>
      </c>
      <c r="AW21" s="932">
        <f>AV21</f>
        <v>250</v>
      </c>
      <c r="AX21" s="932">
        <f>AW21</f>
        <v>250</v>
      </c>
      <c r="AY21" s="932">
        <f>AX21</f>
        <v>250</v>
      </c>
      <c r="AZ21" s="748">
        <f>SUM(AV21:AY21)</f>
        <v>1000</v>
      </c>
      <c r="BA21" s="932">
        <f>1300-SUM(AV21:AY21,AT21)</f>
        <v>67.104000000000042</v>
      </c>
      <c r="BB21" s="932"/>
      <c r="BC21" s="932"/>
      <c r="BD21" s="932"/>
      <c r="BE21" s="748"/>
      <c r="BF21" s="933"/>
      <c r="BG21" s="932"/>
      <c r="BH21" s="932"/>
      <c r="BI21" s="932"/>
      <c r="BJ21" s="748"/>
      <c r="BK21" s="933"/>
      <c r="BL21" s="932"/>
      <c r="BM21" s="932"/>
      <c r="BN21" s="932"/>
      <c r="BO21" s="748"/>
    </row>
    <row r="22" spans="1:67" s="747" customFormat="1" outlineLevel="1">
      <c r="B22" s="1042" t="s">
        <v>389</v>
      </c>
      <c r="C22" s="931"/>
      <c r="D22" s="932"/>
      <c r="E22" s="932"/>
      <c r="F22" s="932"/>
      <c r="G22" s="748"/>
      <c r="H22" s="931"/>
      <c r="I22" s="932"/>
      <c r="J22" s="932"/>
      <c r="K22" s="932"/>
      <c r="L22" s="748"/>
      <c r="M22" s="931"/>
      <c r="N22" s="932"/>
      <c r="O22" s="932"/>
      <c r="P22" s="932"/>
      <c r="Q22" s="748"/>
      <c r="R22" s="931"/>
      <c r="S22" s="932"/>
      <c r="T22" s="932"/>
      <c r="U22" s="932"/>
      <c r="V22" s="748"/>
      <c r="W22" s="931"/>
      <c r="X22" s="932"/>
      <c r="Y22" s="932"/>
      <c r="Z22" s="932"/>
      <c r="AA22" s="748"/>
      <c r="AB22" s="931"/>
      <c r="AC22" s="932"/>
      <c r="AD22" s="932"/>
      <c r="AE22" s="932"/>
      <c r="AF22" s="748"/>
      <c r="AG22" s="277">
        <f>2000-192</f>
        <v>1808</v>
      </c>
      <c r="AH22" s="935">
        <f>AG22-AH21</f>
        <v>1808</v>
      </c>
      <c r="AI22" s="935">
        <f>AH22-AI21</f>
        <v>1407.962</v>
      </c>
      <c r="AJ22" s="935">
        <f>AI22-AJ21</f>
        <v>1407.962</v>
      </c>
      <c r="AK22" s="748"/>
      <c r="AL22" s="934">
        <f>AJ22-AL21</f>
        <v>891.63300000000004</v>
      </c>
      <c r="AM22" s="935">
        <f>AL22-AM21</f>
        <v>491.63300000000004</v>
      </c>
      <c r="AN22" s="935">
        <v>2000</v>
      </c>
      <c r="AO22" s="935">
        <f>AN22-AO21</f>
        <v>2000</v>
      </c>
      <c r="AP22" s="748"/>
      <c r="AQ22" s="934">
        <f>AO22-AQ21</f>
        <v>1509.3620000000001</v>
      </c>
      <c r="AR22" s="935">
        <f>AQ22-AR21</f>
        <v>1509.3620000000001</v>
      </c>
      <c r="AS22" s="935">
        <v>2000</v>
      </c>
      <c r="AT22" s="935">
        <f>AS22-AT21</f>
        <v>1767.104</v>
      </c>
      <c r="AU22" s="748"/>
      <c r="AV22" s="934">
        <f>AT22-AV21</f>
        <v>1517.104</v>
      </c>
      <c r="AW22" s="935">
        <f>AV22-AW21</f>
        <v>1267.104</v>
      </c>
      <c r="AX22" s="935">
        <f>AW22-AX21</f>
        <v>1017.104</v>
      </c>
      <c r="AY22" s="935">
        <f>AX22-AY21</f>
        <v>767.10400000000004</v>
      </c>
      <c r="AZ22" s="748"/>
      <c r="BA22" s="934">
        <f>AY22</f>
        <v>767.10400000000004</v>
      </c>
      <c r="BB22" s="935"/>
      <c r="BC22" s="935"/>
      <c r="BD22" s="935"/>
      <c r="BE22" s="748"/>
      <c r="BF22" s="934"/>
      <c r="BG22" s="935"/>
      <c r="BH22" s="935"/>
      <c r="BI22" s="935"/>
      <c r="BJ22" s="748"/>
      <c r="BK22" s="934"/>
      <c r="BL22" s="935"/>
      <c r="BM22" s="935"/>
      <c r="BN22" s="935"/>
      <c r="BO22" s="748"/>
    </row>
    <row r="23" spans="1:67" outlineLevel="1">
      <c r="B23" s="1042"/>
      <c r="G23" s="380"/>
      <c r="L23" s="380"/>
      <c r="Q23" s="380"/>
      <c r="V23" s="380"/>
      <c r="AA23" s="380"/>
      <c r="AF23" s="380"/>
      <c r="AK23" s="380"/>
      <c r="AP23" s="380"/>
      <c r="AU23" s="380"/>
      <c r="AZ23" s="380"/>
      <c r="BE23" s="380"/>
      <c r="BJ23" s="380"/>
      <c r="BO23" s="380"/>
    </row>
    <row r="24" spans="1:67" s="255" customFormat="1" outlineLevel="1">
      <c r="B24" s="1080" t="s">
        <v>390</v>
      </c>
      <c r="G24" s="380"/>
      <c r="L24" s="380"/>
      <c r="Q24" s="380"/>
      <c r="V24" s="380"/>
      <c r="AA24" s="380"/>
      <c r="AF24" s="380"/>
      <c r="AG24" s="936">
        <v>136</v>
      </c>
      <c r="AH24" s="936">
        <v>172.08</v>
      </c>
      <c r="AI24" s="936">
        <v>153.49</v>
      </c>
      <c r="AJ24" s="936">
        <v>175</v>
      </c>
      <c r="AK24" s="380"/>
      <c r="AL24" s="936">
        <v>173.14</v>
      </c>
      <c r="AM24" s="766">
        <f>-AM21/AM12</f>
        <v>135.27223537368957</v>
      </c>
      <c r="AN24" s="766">
        <f>-AN21/AN12</f>
        <v>114.66019636609863</v>
      </c>
      <c r="AO24" s="1249" cm="1">
        <f t="array" ref="AO24">_xll.FDSR("SNOW-US","P_PRICE_AVG("&amp;AN8&amp;","&amp;AO8&amp;")")</f>
        <v>158.65178</v>
      </c>
      <c r="AP24" s="380"/>
      <c r="AQ24" s="1249">
        <v>152.63</v>
      </c>
      <c r="AR24" s="1249">
        <v>200</v>
      </c>
      <c r="AS24" s="936">
        <v>223.35</v>
      </c>
      <c r="AT24" s="255">
        <f>AS24*(1+AT25)</f>
        <v>227.81700000000001</v>
      </c>
      <c r="AU24" s="380"/>
      <c r="AV24" s="255">
        <f>AT24*(1+AV25)</f>
        <v>232.37334000000001</v>
      </c>
      <c r="AW24" s="255">
        <f>AV24*(1+AW25)</f>
        <v>237.02080680000003</v>
      </c>
      <c r="AX24" s="255">
        <f>AW24*(1+AX25)</f>
        <v>241.76122293600002</v>
      </c>
      <c r="AY24" s="255">
        <f>AX24*(1+AY25)</f>
        <v>246.59644739472003</v>
      </c>
      <c r="AZ24" s="380"/>
      <c r="BA24" s="255">
        <f>AY24*(1+BA25)</f>
        <v>251.52837634261442</v>
      </c>
      <c r="BB24" s="255">
        <f>BA24*(1+BB25)</f>
        <v>256.5589438694667</v>
      </c>
      <c r="BC24" s="255">
        <f>BB24*(1+BC25)</f>
        <v>261.69012274685605</v>
      </c>
      <c r="BD24" s="255">
        <f>BC24*(1+BD25)</f>
        <v>266.92392520179317</v>
      </c>
      <c r="BE24" s="380"/>
      <c r="BF24" s="255">
        <f>BD24*(1+BF25)</f>
        <v>272.26240370582906</v>
      </c>
      <c r="BG24" s="255">
        <f>BF24*(1+BG25)</f>
        <v>277.70765177994565</v>
      </c>
      <c r="BH24" s="255">
        <f>BG24*(1+BH25)</f>
        <v>283.26180481554456</v>
      </c>
      <c r="BI24" s="255">
        <f>BH24*(1+BI25)</f>
        <v>288.92704091185544</v>
      </c>
      <c r="BJ24" s="380"/>
      <c r="BK24" s="255">
        <f>BI24*(1+BK25)</f>
        <v>294.70558173009255</v>
      </c>
      <c r="BL24" s="255">
        <f>BK24*(1+BL25)</f>
        <v>300.59969336469442</v>
      </c>
      <c r="BM24" s="255">
        <f>BL24*(1+BM25)</f>
        <v>306.6116872319883</v>
      </c>
      <c r="BN24" s="255">
        <f>BM24*(1+BN25)</f>
        <v>312.74392097662809</v>
      </c>
      <c r="BO24" s="380"/>
    </row>
    <row r="25" spans="1:67" outlineLevel="1">
      <c r="B25" s="1041" t="s">
        <v>393</v>
      </c>
      <c r="G25" s="380"/>
      <c r="L25" s="380"/>
      <c r="Q25" s="380"/>
      <c r="V25" s="380"/>
      <c r="AA25" s="380"/>
      <c r="AB25" s="650"/>
      <c r="AF25" s="380"/>
      <c r="AH25" s="743">
        <f>IFERROR(AH24/AG24-1,"--")</f>
        <v>0.2652941176470589</v>
      </c>
      <c r="AI25" s="743">
        <f>IFERROR(AI24/AH24-1,"--")</f>
        <v>-0.10803114830311489</v>
      </c>
      <c r="AJ25" s="743">
        <f>IFERROR(AJ24/AI24-1,"--")</f>
        <v>0.14013942276369784</v>
      </c>
      <c r="AK25" s="380"/>
      <c r="AL25" s="952">
        <f>IFERROR(AL24/AJ24-1,"--")</f>
        <v>-1.0628571428571543E-2</v>
      </c>
      <c r="AM25" s="743">
        <f>IFERROR(AM24/AL24-1,"--")</f>
        <v>-0.21871182064404771</v>
      </c>
      <c r="AN25" s="743">
        <f>IFERROR(AN24/AM24-1,"--")</f>
        <v>-0.15237449836361594</v>
      </c>
      <c r="AO25" s="743">
        <f>IFERROR(AO24/AN24-1,"--")</f>
        <v>0.38366918100716152</v>
      </c>
      <c r="AP25" s="380"/>
      <c r="AQ25" s="952">
        <v>0.02</v>
      </c>
      <c r="AR25" s="743">
        <f>IFERROR(AR24/AQ24-1,"--")</f>
        <v>0.31035838301775542</v>
      </c>
      <c r="AS25" s="743">
        <v>0.15</v>
      </c>
      <c r="AT25" s="89">
        <v>0.02</v>
      </c>
      <c r="AU25" s="380"/>
      <c r="AV25" s="89">
        <f>AT25</f>
        <v>0.02</v>
      </c>
      <c r="AW25" s="89">
        <f>AV25</f>
        <v>0.02</v>
      </c>
      <c r="AX25" s="89">
        <f>AW25</f>
        <v>0.02</v>
      </c>
      <c r="AY25" s="89">
        <f>AX25</f>
        <v>0.02</v>
      </c>
      <c r="AZ25" s="380"/>
      <c r="BA25" s="89">
        <f>AY25</f>
        <v>0.02</v>
      </c>
      <c r="BB25" s="89">
        <f>BA25</f>
        <v>0.02</v>
      </c>
      <c r="BC25" s="89">
        <f>BB25</f>
        <v>0.02</v>
      </c>
      <c r="BD25" s="89">
        <f>BC25</f>
        <v>0.02</v>
      </c>
      <c r="BE25" s="380"/>
      <c r="BF25" s="89">
        <f>BD25</f>
        <v>0.02</v>
      </c>
      <c r="BG25" s="89">
        <f>BF25</f>
        <v>0.02</v>
      </c>
      <c r="BH25" s="89">
        <f>BG25</f>
        <v>0.02</v>
      </c>
      <c r="BI25" s="89">
        <f>BH25</f>
        <v>0.02</v>
      </c>
      <c r="BJ25" s="380"/>
      <c r="BK25" s="89">
        <f>BI25</f>
        <v>0.02</v>
      </c>
      <c r="BL25" s="89">
        <f>BK25</f>
        <v>0.02</v>
      </c>
      <c r="BM25" s="89">
        <f>BL25</f>
        <v>0.02</v>
      </c>
      <c r="BN25" s="89">
        <f>BM25</f>
        <v>0.02</v>
      </c>
      <c r="BO25" s="380"/>
    </row>
    <row r="26" spans="1:67">
      <c r="B26" s="1042"/>
      <c r="G26" s="380"/>
      <c r="L26" s="380"/>
      <c r="Q26" s="380"/>
      <c r="V26" s="380"/>
      <c r="AA26" s="380"/>
      <c r="AF26" s="380"/>
      <c r="AK26" s="380"/>
      <c r="AP26" s="380"/>
      <c r="AU26" s="380"/>
      <c r="AZ26" s="380"/>
      <c r="BE26" s="380"/>
      <c r="BJ26" s="380"/>
      <c r="BO26" s="380"/>
    </row>
    <row r="27" spans="1:67">
      <c r="B27" s="1080" t="s">
        <v>391</v>
      </c>
      <c r="G27" s="380"/>
      <c r="L27" s="380"/>
      <c r="Q27" s="380"/>
      <c r="V27" s="380"/>
      <c r="AA27" s="380"/>
      <c r="AF27" s="380"/>
      <c r="AK27" s="380"/>
      <c r="AP27" s="380"/>
      <c r="AU27" s="380"/>
      <c r="AZ27" s="380"/>
      <c r="BE27" s="380"/>
      <c r="BJ27" s="380"/>
      <c r="BO27" s="380"/>
    </row>
    <row r="28" spans="1:67" s="743" customFormat="1" outlineLevel="1">
      <c r="B28" s="1428" t="s">
        <v>386</v>
      </c>
      <c r="G28" s="744"/>
      <c r="L28" s="744"/>
      <c r="M28" s="565"/>
      <c r="N28" s="565"/>
      <c r="O28" s="565"/>
      <c r="P28" s="565"/>
      <c r="Q28" s="744"/>
      <c r="R28" s="565"/>
      <c r="S28" s="565"/>
      <c r="T28" s="565"/>
      <c r="U28" s="565"/>
      <c r="V28" s="744"/>
      <c r="W28" s="565"/>
      <c r="X28" s="565"/>
      <c r="Y28" s="565"/>
      <c r="Z28" s="565"/>
      <c r="AA28" s="744"/>
      <c r="AB28" s="565">
        <f>IFERROR(AB13/W13-1,"--")</f>
        <v>7.884785757441537E-2</v>
      </c>
      <c r="AC28" s="565">
        <f>IFERROR(AC13/X13-1,"--")</f>
        <v>6.932386842853111E-2</v>
      </c>
      <c r="AD28" s="565">
        <f>IFERROR(AD13/Y13-1,"--")</f>
        <v>5.6527845251995057E-2</v>
      </c>
      <c r="AE28" s="565">
        <f>IFERROR(AE13/Z13-1,"--")</f>
        <v>4.2859773113177679E-2</v>
      </c>
      <c r="AF28" s="744"/>
      <c r="AG28" s="565">
        <f>IFERROR(AG13/AB13-1,"--")</f>
        <v>3.1161626283158439E-2</v>
      </c>
      <c r="AH28" s="565">
        <f>IFERROR(AH13/AC13-1,"--")</f>
        <v>2.820427446003837E-2</v>
      </c>
      <c r="AI28" s="565">
        <f>IFERROR(AI13/AD13-1,"--")</f>
        <v>2.8659784153560297E-2</v>
      </c>
      <c r="AJ28" s="565">
        <f>IFERROR(AJ13/AE13-1,"--")</f>
        <v>2.8438389185025059E-2</v>
      </c>
      <c r="AK28" s="744"/>
      <c r="AL28" s="565">
        <f>IFERROR(AL13/AG13-1,"--")</f>
        <v>2.9081587008764398E-2</v>
      </c>
      <c r="AM28" s="565">
        <f>IFERROR(AM13/AH13-1,"--")</f>
        <v>2.0578306627766718E-2</v>
      </c>
      <c r="AN28" s="565">
        <f>IFERROR(AN13/AI13-1,"--")</f>
        <v>7.4428350186754866E-3</v>
      </c>
      <c r="AO28" s="565">
        <f>IFERROR(AO13/AJ13-1,"--")</f>
        <v>1.2090297396173844E-2</v>
      </c>
      <c r="AP28" s="744"/>
      <c r="AQ28" s="565">
        <f>IFERROR(AQ13/AL13-1,"--")</f>
        <v>-2.7789102594849568E-3</v>
      </c>
      <c r="AR28" s="565">
        <f>IFERROR(AR13/AM13-1,"--")</f>
        <v>3.4244217546568478E-3</v>
      </c>
      <c r="AS28" s="565">
        <f>IFERROR(AS13/AN13-1,"--")</f>
        <v>2.3773137891433871E-2</v>
      </c>
      <c r="AT28" s="1429">
        <f>IFERROR(AT13/AO13-1,"--")</f>
        <v>1.6544800396983694E-2</v>
      </c>
      <c r="AU28" s="744">
        <f>AU15/AP15-1</f>
        <v>1.0226964610162925E-2</v>
      </c>
      <c r="AV28" s="1429">
        <f>IFERROR(AV13/AQ13-1,"--")</f>
        <v>2.6732793462863169E-2</v>
      </c>
      <c r="AW28" s="1429">
        <f>IFERROR(AW13/AR13-1,"--")</f>
        <v>2.171767717492723E-2</v>
      </c>
      <c r="AX28" s="1429">
        <f>IFERROR(AX13/AS13-1,"--")</f>
        <v>1.1226366698945167E-2</v>
      </c>
      <c r="AY28" s="1429">
        <f>IFERROR(AY13/AT13-1,"--")</f>
        <v>1.121907426863511E-2</v>
      </c>
      <c r="AZ28" s="744">
        <f>AZ15/AU15-1</f>
        <v>1.765941174944774E-2</v>
      </c>
      <c r="BA28" s="1429">
        <f>IFERROR(BA13/AV13-1,"--")</f>
        <v>1.3557537753225546E-2</v>
      </c>
      <c r="BB28" s="1429">
        <f>IFERROR(BB13/AW13-1,"--")</f>
        <v>1.6599755340928057E-2</v>
      </c>
      <c r="BC28" s="1429">
        <f>IFERROR(BC13/AX13-1,"--")</f>
        <v>1.9563830018534123E-2</v>
      </c>
      <c r="BD28" s="1429">
        <f>IFERROR(BD13/AY13-1,"--")</f>
        <v>2.2451089012440972E-2</v>
      </c>
      <c r="BE28" s="744">
        <f>BE15/AZ15-1</f>
        <v>1.8053486226653037E-2</v>
      </c>
      <c r="BF28" s="1429">
        <f>IFERROR(BF13/BA13-1,"--")</f>
        <v>2.3109336640942946E-2</v>
      </c>
      <c r="BG28" s="1429">
        <f>IFERROR(BG13/BB13-1,"--")</f>
        <v>2.2976593184253602E-2</v>
      </c>
      <c r="BH28" s="1429">
        <f>IFERROR(BH13/BC13-1,"--")</f>
        <v>2.2845366013991342E-2</v>
      </c>
      <c r="BI28" s="1429">
        <f>IFERROR(BI13/BD13-1,"--")</f>
        <v>2.2715629297605844E-2</v>
      </c>
      <c r="BJ28" s="744">
        <f>BJ15/BE15-1</f>
        <v>2.291079169172483E-2</v>
      </c>
      <c r="BK28" s="1429">
        <f>IFERROR(BK13/BF13-1,"--")</f>
        <v>2.2587357786035822E-2</v>
      </c>
      <c r="BL28" s="1429">
        <f>IFERROR(BL13/BG13-1,"--")</f>
        <v>2.2460526797327462E-2</v>
      </c>
      <c r="BM28" s="1429">
        <f>IFERROR(BM13/BH13-1,"--")</f>
        <v>2.2335112200800644E-2</v>
      </c>
      <c r="BN28" s="1429">
        <f>IFERROR(BN13/BI13-1,"--")</f>
        <v>2.2211090401744293E-2</v>
      </c>
      <c r="BO28" s="744">
        <f>BO15/BJ15-1</f>
        <v>2.2397643937096534E-2</v>
      </c>
    </row>
    <row r="29" spans="1:67" s="743" customFormat="1" outlineLevel="1">
      <c r="B29" s="1428" t="s">
        <v>392</v>
      </c>
      <c r="G29" s="744"/>
      <c r="L29" s="744"/>
      <c r="M29" s="745"/>
      <c r="N29" s="745"/>
      <c r="O29" s="745"/>
      <c r="P29" s="745"/>
      <c r="Q29" s="744"/>
      <c r="R29" s="745"/>
      <c r="S29" s="745"/>
      <c r="T29" s="745"/>
      <c r="U29" s="745"/>
      <c r="V29" s="744"/>
      <c r="W29" s="745"/>
      <c r="X29" s="745"/>
      <c r="Y29" s="745"/>
      <c r="Z29" s="745"/>
      <c r="AA29" s="744"/>
      <c r="AB29" s="745">
        <f>IFERROR(AB17/W17-1,"--")</f>
        <v>7.884785757441537E-2</v>
      </c>
      <c r="AC29" s="745">
        <f>IFERROR(AC17/X17-1,"--")</f>
        <v>6.932386842853111E-2</v>
      </c>
      <c r="AD29" s="745">
        <f>IFERROR(AD17/Y17-1,"--")</f>
        <v>0.18759756076008682</v>
      </c>
      <c r="AE29" s="745">
        <f>IFERROR(AE17/Z17-1,"--")</f>
        <v>0.16462781778071167</v>
      </c>
      <c r="AF29" s="744"/>
      <c r="AG29" s="745">
        <f>IFERROR(AG17/AB17-1,"--")</f>
        <v>0.14616316909540328</v>
      </c>
      <c r="AH29" s="745">
        <f>IFERROR(AH17/AC17-1,"--")</f>
        <v>0.14033660430461503</v>
      </c>
      <c r="AI29" s="745">
        <f>IFERROR(AI17/AD17-1,"--")</f>
        <v>5.0493261081003826E-3</v>
      </c>
      <c r="AJ29" s="745">
        <f>IFERROR(AJ17/AE17-1,"--")</f>
        <v>1.1804858238784188E-2</v>
      </c>
      <c r="AK29" s="744"/>
      <c r="AL29" s="745">
        <f>IFERROR(AL17/AG17-1,"--")</f>
        <v>8.3400636675741158E-3</v>
      </c>
      <c r="AM29" s="745">
        <f>IFERROR(AM17/AH17-1,"--")</f>
        <v>-1.0230474915503551E-2</v>
      </c>
      <c r="AN29" s="745">
        <f>IFERROR(AN17/AI17-1,"--")</f>
        <v>1.3437775633386995E-3</v>
      </c>
      <c r="AO29" s="745">
        <f>IFERROR(AO17/AJ17-1,"--")</f>
        <v>1.3791744410768247E-2</v>
      </c>
      <c r="AP29" s="744"/>
      <c r="AQ29" s="745">
        <f>IFERROR(AQ17/AL17-1,"--")</f>
        <v>2.0935058929741235E-2</v>
      </c>
      <c r="AR29" s="745">
        <f>IFERROR(AR17/AM17-1,"--")</f>
        <v>3.635766547274133E-2</v>
      </c>
      <c r="AS29" s="745">
        <f>IFERROR(AS17/AN17-1,"--")</f>
        <v>3.0926155519904519E-2</v>
      </c>
      <c r="AT29" s="745">
        <f>IFERROR(AT17/AO17-1,"--")</f>
        <v>1.8580119870174716E-2</v>
      </c>
      <c r="AU29" s="744">
        <f>AU17/AP17-1</f>
        <v>2.6639331287110934E-2</v>
      </c>
      <c r="AV29" s="745">
        <f>IFERROR(AV17/AQ17-1,"--")</f>
        <v>2.3266070513791703E-2</v>
      </c>
      <c r="AW29" s="745">
        <f>IFERROR(AW17/AR17-1,"--")</f>
        <v>2.1784268224363634E-2</v>
      </c>
      <c r="AX29" s="745">
        <f>IFERROR(AX17/AS17-1,"--")</f>
        <v>2.1716747947822412E-2</v>
      </c>
      <c r="AY29" s="745">
        <f>IFERROR(AY17/AT17-1,"--")</f>
        <v>1.8160378765122998E-2</v>
      </c>
      <c r="AZ29" s="744">
        <f>AZ17/AU17-1</f>
        <v>2.1223512955972579E-2</v>
      </c>
      <c r="BA29" s="745">
        <f>IFERROR(BA17/AV17-1,"--")</f>
        <v>1.2200176043202671E-2</v>
      </c>
      <c r="BB29" s="745">
        <f>IFERROR(BB17/AW17-1,"--")</f>
        <v>1.4941939727481479E-2</v>
      </c>
      <c r="BC29" s="745">
        <f>IFERROR(BC17/AX17-1,"--")</f>
        <v>1.7614940052389727E-2</v>
      </c>
      <c r="BD29" s="745">
        <f>IFERROR(BD17/AY17-1,"--")</f>
        <v>2.0220346159049774E-2</v>
      </c>
      <c r="BE29" s="744">
        <f>BE17/AZ17-1</f>
        <v>1.62528207155066E-2</v>
      </c>
      <c r="BF29" s="745">
        <f>IFERROR(BF17/BA17-1,"--")</f>
        <v>2.0823549200417402E-2</v>
      </c>
      <c r="BG29" s="745">
        <f>IFERROR(BG17/BB17-1,"--")</f>
        <v>2.0715705571868082E-2</v>
      </c>
      <c r="BH29" s="745">
        <f>IFERROR(BH17/BC17-1,"--")</f>
        <v>2.0608973216544868E-2</v>
      </c>
      <c r="BI29" s="745">
        <f>IFERROR(BI17/BD17-1,"--")</f>
        <v>2.0503335045842563E-2</v>
      </c>
      <c r="BJ29" s="744">
        <f>BJ17/BE17-1</f>
        <v>2.0662201561366667E-2</v>
      </c>
      <c r="BK29" s="745">
        <f>IFERROR(BK17/BF17-1,"--")</f>
        <v>2.0398774319742019E-2</v>
      </c>
      <c r="BL29" s="745">
        <f>IFERROR(BL17/BG17-1,"--")</f>
        <v>2.0295274637967653E-2</v>
      </c>
      <c r="BM29" s="745">
        <f>IFERROR(BM17/BH17-1,"--")</f>
        <v>2.0192819931412087E-2</v>
      </c>
      <c r="BN29" s="745">
        <f>IFERROR(BN17/BI17-1,"--")</f>
        <v>2.009139445381769E-2</v>
      </c>
      <c r="BO29" s="744">
        <f>BO17/BJ17-1</f>
        <v>2.024391765439959E-2</v>
      </c>
    </row>
    <row r="30" spans="1:67" s="743" customFormat="1">
      <c r="B30" s="1042"/>
      <c r="G30" s="744"/>
      <c r="L30" s="744"/>
      <c r="M30" s="745"/>
      <c r="N30" s="745"/>
      <c r="O30" s="745"/>
      <c r="P30" s="745"/>
      <c r="Q30" s="744"/>
      <c r="R30" s="745"/>
      <c r="S30" s="745"/>
      <c r="T30" s="745"/>
      <c r="U30" s="745"/>
      <c r="V30" s="744"/>
      <c r="W30" s="745"/>
      <c r="X30" s="745"/>
      <c r="Y30" s="745"/>
      <c r="Z30" s="745"/>
      <c r="AA30" s="744"/>
      <c r="AB30" s="745"/>
      <c r="AC30" s="745"/>
      <c r="AD30" s="745"/>
      <c r="AE30" s="745"/>
      <c r="AF30" s="744"/>
      <c r="AG30" s="745"/>
      <c r="AH30" s="745"/>
      <c r="AI30" s="745"/>
      <c r="AJ30" s="745"/>
      <c r="AK30" s="744"/>
      <c r="AL30" s="745"/>
      <c r="AM30" s="745"/>
      <c r="AN30" s="745"/>
      <c r="AO30" s="745"/>
      <c r="AP30" s="744"/>
      <c r="AQ30" s="745"/>
      <c r="AR30" s="745"/>
      <c r="AS30" s="745"/>
      <c r="AT30" s="745"/>
      <c r="AU30" s="744"/>
      <c r="AV30" s="745"/>
      <c r="AW30" s="745"/>
      <c r="AX30" s="745"/>
      <c r="AY30" s="745"/>
      <c r="AZ30" s="744"/>
      <c r="BA30" s="745"/>
      <c r="BB30" s="745"/>
      <c r="BC30" s="745"/>
      <c r="BD30" s="745"/>
      <c r="BE30" s="744"/>
      <c r="BF30" s="745"/>
      <c r="BG30" s="745"/>
      <c r="BH30" s="745"/>
      <c r="BI30" s="745"/>
      <c r="BJ30" s="744"/>
      <c r="BK30" s="745"/>
      <c r="BL30" s="745"/>
      <c r="BM30" s="745"/>
      <c r="BN30" s="745"/>
      <c r="BO30" s="744"/>
    </row>
    <row r="31" spans="1:67" s="743" customFormat="1">
      <c r="B31" s="1080" t="s">
        <v>443</v>
      </c>
      <c r="G31" s="744"/>
      <c r="L31" s="744"/>
      <c r="M31" s="745"/>
      <c r="N31" s="745"/>
      <c r="O31" s="745"/>
      <c r="P31" s="745"/>
      <c r="Q31" s="744"/>
      <c r="R31" s="745"/>
      <c r="S31" s="745"/>
      <c r="T31" s="745"/>
      <c r="U31" s="745"/>
      <c r="V31" s="744"/>
      <c r="W31" s="745"/>
      <c r="X31" s="745"/>
      <c r="Y31" s="745"/>
      <c r="Z31" s="745"/>
      <c r="AA31" s="744"/>
      <c r="AB31" s="745"/>
      <c r="AC31" s="745"/>
      <c r="AD31" s="745"/>
      <c r="AE31" s="745"/>
      <c r="AF31" s="744"/>
      <c r="AG31" s="745"/>
      <c r="AH31" s="745"/>
      <c r="AI31" s="745"/>
      <c r="AJ31" s="745"/>
      <c r="AK31" s="744"/>
      <c r="AL31" s="745"/>
      <c r="AM31" s="745"/>
      <c r="AN31" s="745"/>
      <c r="AO31" s="745"/>
      <c r="AP31" s="744"/>
      <c r="AQ31" s="745"/>
      <c r="AR31" s="745"/>
      <c r="AS31" s="745"/>
      <c r="AT31" s="745"/>
      <c r="AU31" s="744"/>
      <c r="AV31" s="745"/>
      <c r="AW31" s="745"/>
      <c r="AX31" s="745"/>
      <c r="AY31" s="745"/>
      <c r="AZ31" s="744"/>
      <c r="BA31" s="745"/>
      <c r="BB31" s="745"/>
      <c r="BC31" s="745"/>
      <c r="BD31" s="745"/>
      <c r="BE31" s="744"/>
      <c r="BF31" s="745"/>
      <c r="BG31" s="745"/>
      <c r="BH31" s="745"/>
      <c r="BI31" s="745"/>
      <c r="BJ31" s="744"/>
      <c r="BK31" s="745"/>
      <c r="BL31" s="745"/>
      <c r="BM31" s="745"/>
      <c r="BN31" s="745"/>
      <c r="BO31" s="744"/>
    </row>
    <row r="32" spans="1:67" s="747" customFormat="1" outlineLevel="1">
      <c r="B32" s="1081" t="s">
        <v>386</v>
      </c>
      <c r="G32" s="748"/>
      <c r="L32" s="748"/>
      <c r="M32" s="819"/>
      <c r="N32" s="819"/>
      <c r="O32" s="819"/>
      <c r="P32" s="819"/>
      <c r="Q32" s="748"/>
      <c r="R32" s="819"/>
      <c r="S32" s="819"/>
      <c r="T32" s="819"/>
      <c r="U32" s="819"/>
      <c r="V32" s="748"/>
      <c r="W32" s="819"/>
      <c r="X32" s="819"/>
      <c r="Y32" s="819"/>
      <c r="Z32" s="819"/>
      <c r="AA32" s="748"/>
      <c r="AB32" s="819"/>
      <c r="AC32" s="819"/>
      <c r="AD32" s="819"/>
      <c r="AE32" s="819"/>
      <c r="AF32" s="748"/>
      <c r="AG32" s="819">
        <f>AG13</f>
        <v>324.15699999999998</v>
      </c>
      <c r="AH32" s="819">
        <f>AH13</f>
        <v>327.33499999999998</v>
      </c>
      <c r="AI32" s="819">
        <f>AI13</f>
        <v>329.31</v>
      </c>
      <c r="AJ32" s="819">
        <f>AJ13</f>
        <v>331.07900000000001</v>
      </c>
      <c r="AK32" s="748">
        <f>AVERAGE(AG32:AJ32)</f>
        <v>327.97024999999996</v>
      </c>
      <c r="AL32" s="819">
        <f>AL13</f>
        <v>333.584</v>
      </c>
      <c r="AM32" s="819">
        <f>AM13</f>
        <v>334.07100000000003</v>
      </c>
      <c r="AN32" s="819">
        <f>AN13</f>
        <v>331.76100000000002</v>
      </c>
      <c r="AO32" s="819">
        <f>AO13</f>
        <v>335.08184357162781</v>
      </c>
      <c r="AP32" s="748">
        <f>AVERAGE(AL32:AO32)</f>
        <v>333.62446089290694</v>
      </c>
      <c r="AQ32" s="819">
        <f>AQ13</f>
        <v>332.65699999999998</v>
      </c>
      <c r="AR32" s="819">
        <f>AR13</f>
        <v>335.21499999999997</v>
      </c>
      <c r="AS32" s="819">
        <f>AS13</f>
        <v>339.64800000000002</v>
      </c>
      <c r="AT32" s="819">
        <f>AS32+AT11</f>
        <v>341.64800000000002</v>
      </c>
      <c r="AU32" s="748">
        <f>AVERAGE(AQ32:AT32)</f>
        <v>337.29200000000003</v>
      </c>
      <c r="AV32" s="819">
        <f>AT32+AV11</f>
        <v>343.64800000000002</v>
      </c>
      <c r="AW32" s="819">
        <f>AW10+AW11</f>
        <v>343.54985087497562</v>
      </c>
      <c r="AX32" s="819">
        <f>AW32+AX11</f>
        <v>345.54985087497562</v>
      </c>
      <c r="AY32" s="819">
        <f>AX32+AY11</f>
        <v>347.54985087497562</v>
      </c>
      <c r="AZ32" s="748">
        <f>AVERAGE(AV32:AY32)</f>
        <v>345.07438815623175</v>
      </c>
      <c r="BA32" s="819">
        <f>AY32+BA11</f>
        <v>349.54985087497562</v>
      </c>
      <c r="BB32" s="819">
        <f>BB10+BB11</f>
        <v>348.18042587282167</v>
      </c>
      <c r="BC32" s="819">
        <f>BB32+BC11</f>
        <v>350.18042587282167</v>
      </c>
      <c r="BD32" s="819">
        <f>BC32+BD11</f>
        <v>352.18042587282167</v>
      </c>
      <c r="BE32" s="748">
        <f>AVERAGE(BA32:BD32)</f>
        <v>350.02278212336012</v>
      </c>
      <c r="BF32" s="819">
        <f>BD32+BF11</f>
        <v>354.18042587282167</v>
      </c>
      <c r="BG32" s="819">
        <f>BG10+BG11</f>
        <v>356.18042587282167</v>
      </c>
      <c r="BH32" s="819">
        <f>BG32+BH11</f>
        <v>358.18042587282167</v>
      </c>
      <c r="BI32" s="819">
        <f>BH32+BI11</f>
        <v>360.18042587282167</v>
      </c>
      <c r="BJ32" s="748">
        <f>AVERAGE(BF32:BI32)</f>
        <v>357.18042587282167</v>
      </c>
      <c r="BK32" s="819">
        <f>BI32+BK11</f>
        <v>362.18042587282167</v>
      </c>
      <c r="BL32" s="819">
        <f>BL10+BL11</f>
        <v>364.18042587282167</v>
      </c>
      <c r="BM32" s="819">
        <f>BL32+BM11</f>
        <v>366.18042587282167</v>
      </c>
      <c r="BN32" s="819">
        <f>BM32+BN11</f>
        <v>368.18042587282167</v>
      </c>
      <c r="BO32" s="748">
        <f>AVERAGE(BK32:BN32)</f>
        <v>365.18042587282167</v>
      </c>
    </row>
    <row r="33" spans="2:67" s="747" customFormat="1" outlineLevel="1">
      <c r="B33" s="1081" t="s">
        <v>392</v>
      </c>
      <c r="G33" s="748"/>
      <c r="L33" s="748"/>
      <c r="M33" s="819"/>
      <c r="N33" s="819"/>
      <c r="O33" s="819"/>
      <c r="P33" s="819"/>
      <c r="Q33" s="748"/>
      <c r="R33" s="819"/>
      <c r="S33" s="819"/>
      <c r="T33" s="819"/>
      <c r="U33" s="819"/>
      <c r="V33" s="748"/>
      <c r="W33" s="819"/>
      <c r="X33" s="819"/>
      <c r="Y33" s="819"/>
      <c r="Z33" s="819"/>
      <c r="AA33" s="748"/>
      <c r="AB33" s="819"/>
      <c r="AC33" s="819"/>
      <c r="AD33" s="819"/>
      <c r="AE33" s="819"/>
      <c r="AF33" s="748"/>
      <c r="AG33" s="819">
        <f>AG17</f>
        <v>360.30900000000003</v>
      </c>
      <c r="AH33" s="819">
        <f>AH17</f>
        <v>363.03300000000002</v>
      </c>
      <c r="AI33" s="819">
        <f>AI17</f>
        <v>361.66699999999997</v>
      </c>
      <c r="AJ33" s="819">
        <f>AJ17</f>
        <v>363.75700000000001</v>
      </c>
      <c r="AK33" s="748">
        <f>AVERAGE(AG33:AJ33)</f>
        <v>362.19150000000002</v>
      </c>
      <c r="AL33" s="819">
        <f>AL17</f>
        <v>363.31400000000002</v>
      </c>
      <c r="AM33" s="819">
        <f>AM17</f>
        <v>359.31900000000002</v>
      </c>
      <c r="AN33" s="819">
        <f>AN17</f>
        <v>362.15300000000002</v>
      </c>
      <c r="AO33" s="819">
        <f>AO17</f>
        <v>368.77384357162782</v>
      </c>
      <c r="AP33" s="748">
        <f>AVERAGE(AL33:AO33)</f>
        <v>363.38996089290697</v>
      </c>
      <c r="AQ33" s="819">
        <f>AQ17</f>
        <v>370.92</v>
      </c>
      <c r="AR33" s="819">
        <f>AR17</f>
        <v>372.38299999999998</v>
      </c>
      <c r="AS33" s="819">
        <f>AS17</f>
        <v>373.35300000000001</v>
      </c>
      <c r="AT33" s="1407">
        <f>AT32+AT16</f>
        <v>376.64800000000002</v>
      </c>
      <c r="AU33" s="1408">
        <f>AVERAGE(AQ33:AT33)</f>
        <v>373.32600000000002</v>
      </c>
      <c r="AV33" s="819">
        <f>AV32+AV16</f>
        <v>381.64800000000002</v>
      </c>
      <c r="AW33" s="819">
        <f>AW32+AW16</f>
        <v>381.54985087497562</v>
      </c>
      <c r="AX33" s="819">
        <f t="shared" ref="AX33" si="2">AX32+AX16</f>
        <v>383.54985087497562</v>
      </c>
      <c r="AY33" s="819">
        <f t="shared" ref="AY33" si="3">AY32+AY16</f>
        <v>385.54985087497562</v>
      </c>
      <c r="AZ33" s="748">
        <f>AVERAGE(AV33:AY33)</f>
        <v>383.07438815623175</v>
      </c>
      <c r="BA33" s="819">
        <f>BA32+BA16</f>
        <v>387.54985087497562</v>
      </c>
      <c r="BB33" s="819">
        <f>BB32+BB16</f>
        <v>386.18042587282167</v>
      </c>
      <c r="BC33" s="819">
        <f t="shared" ref="BC33" si="4">BC32+BC16</f>
        <v>388.18042587282167</v>
      </c>
      <c r="BD33" s="819">
        <f t="shared" ref="BD33" si="5">BD32+BD16</f>
        <v>390.18042587282167</v>
      </c>
      <c r="BE33" s="748">
        <f>AVERAGE(BA33:BD33)</f>
        <v>388.02278212336012</v>
      </c>
      <c r="BF33" s="819">
        <f>BF32+BF16</f>
        <v>392.18042587282167</v>
      </c>
      <c r="BG33" s="819">
        <f>BG32+BG16</f>
        <v>394.18042587282167</v>
      </c>
      <c r="BH33" s="819">
        <f t="shared" ref="BH33" si="6">BH32+BH16</f>
        <v>396.18042587282167</v>
      </c>
      <c r="BI33" s="819">
        <f t="shared" ref="BI33" si="7">BI32+BI16</f>
        <v>398.18042587282167</v>
      </c>
      <c r="BJ33" s="748">
        <f>AVERAGE(BF33:BI33)</f>
        <v>395.18042587282167</v>
      </c>
      <c r="BK33" s="819">
        <f>BK32+BK16</f>
        <v>400.18042587282167</v>
      </c>
      <c r="BL33" s="819">
        <f>BL32+BL16</f>
        <v>402.18042587282167</v>
      </c>
      <c r="BM33" s="819">
        <f t="shared" ref="BM33" si="8">BM32+BM16</f>
        <v>404.18042587282167</v>
      </c>
      <c r="BN33" s="819">
        <f t="shared" ref="BN33" si="9">BN32+BN16</f>
        <v>406.18042587282167</v>
      </c>
      <c r="BO33" s="748">
        <f>AVERAGE(BK33:BN33)</f>
        <v>403.18042587282167</v>
      </c>
    </row>
    <row r="34" spans="2:67" s="747" customFormat="1">
      <c r="B34" s="1081"/>
      <c r="G34" s="748"/>
      <c r="L34" s="748"/>
      <c r="M34" s="819"/>
      <c r="N34" s="819"/>
      <c r="O34" s="819"/>
      <c r="P34" s="819"/>
      <c r="Q34" s="748"/>
      <c r="R34" s="819"/>
      <c r="S34" s="819"/>
      <c r="T34" s="819"/>
      <c r="U34" s="819"/>
      <c r="V34" s="748"/>
      <c r="W34" s="819"/>
      <c r="X34" s="819"/>
      <c r="Y34" s="819"/>
      <c r="Z34" s="819"/>
      <c r="AA34" s="748"/>
      <c r="AB34" s="819"/>
      <c r="AC34" s="819"/>
      <c r="AD34" s="819"/>
      <c r="AE34" s="819"/>
      <c r="AF34" s="748"/>
      <c r="AG34" s="819"/>
      <c r="AH34" s="819"/>
      <c r="AI34" s="819"/>
      <c r="AJ34" s="819"/>
      <c r="AK34" s="748"/>
      <c r="AL34" s="819"/>
      <c r="AM34" s="819"/>
      <c r="AN34" s="819"/>
      <c r="AO34" s="819"/>
      <c r="AP34" s="748"/>
      <c r="AQ34" s="819"/>
      <c r="AR34" s="819"/>
      <c r="AS34" s="819"/>
      <c r="AT34" s="819"/>
      <c r="AU34" s="748"/>
      <c r="AV34" s="819"/>
      <c r="AW34" s="819"/>
      <c r="AX34" s="819"/>
      <c r="AY34" s="819"/>
      <c r="AZ34" s="1410"/>
      <c r="BA34" s="71"/>
      <c r="BB34" s="71"/>
      <c r="BC34" s="71"/>
      <c r="BD34" s="71"/>
      <c r="BE34" s="1410"/>
      <c r="BF34" s="71"/>
      <c r="BG34" s="71"/>
      <c r="BH34" s="71"/>
      <c r="BI34" s="71"/>
      <c r="BJ34" s="1410"/>
      <c r="BK34" s="71"/>
      <c r="BL34" s="71"/>
      <c r="BM34" s="71"/>
      <c r="BN34" s="71"/>
      <c r="BO34" s="1410"/>
    </row>
    <row r="35" spans="2:67" s="747" customFormat="1">
      <c r="B35" s="1080" t="s">
        <v>444</v>
      </c>
      <c r="G35" s="748"/>
      <c r="L35" s="748"/>
      <c r="M35" s="819"/>
      <c r="N35" s="819"/>
      <c r="O35" s="819"/>
      <c r="P35" s="819"/>
      <c r="Q35" s="748"/>
      <c r="R35" s="819"/>
      <c r="S35" s="819"/>
      <c r="T35" s="819"/>
      <c r="U35" s="819"/>
      <c r="V35" s="748"/>
      <c r="W35" s="819"/>
      <c r="X35" s="819"/>
      <c r="Y35" s="819"/>
      <c r="Z35" s="819"/>
      <c r="AA35" s="748"/>
      <c r="AB35" s="819"/>
      <c r="AC35" s="819"/>
      <c r="AD35" s="819"/>
      <c r="AE35" s="819"/>
      <c r="AF35" s="748"/>
      <c r="AG35" s="819"/>
      <c r="AH35" s="819"/>
      <c r="AI35" s="819"/>
      <c r="AJ35" s="819"/>
      <c r="AK35" s="748"/>
      <c r="AL35" s="819"/>
      <c r="AM35" s="819"/>
      <c r="AN35" s="819"/>
      <c r="AO35" s="819"/>
      <c r="AP35" s="748"/>
      <c r="AQ35" s="819"/>
      <c r="AR35" s="819"/>
      <c r="AS35" s="819"/>
      <c r="AT35" s="819"/>
      <c r="AU35" s="748"/>
      <c r="AV35" s="819"/>
      <c r="AW35" s="819"/>
      <c r="AX35" s="819"/>
      <c r="AY35" s="819"/>
      <c r="AZ35" s="748"/>
      <c r="BA35" s="819"/>
      <c r="BB35" s="819"/>
      <c r="BC35" s="819"/>
      <c r="BD35" s="819"/>
      <c r="BE35" s="748"/>
      <c r="BF35" s="819"/>
      <c r="BG35" s="819"/>
      <c r="BH35" s="819"/>
      <c r="BI35" s="819"/>
      <c r="BJ35" s="748"/>
      <c r="BK35" s="819"/>
      <c r="BL35" s="819"/>
      <c r="BM35" s="819"/>
      <c r="BN35" s="819"/>
      <c r="BO35" s="748"/>
    </row>
    <row r="36" spans="2:67" s="926" customFormat="1" outlineLevel="1">
      <c r="B36" s="1081" t="s">
        <v>386</v>
      </c>
      <c r="G36" s="950"/>
      <c r="L36" s="950"/>
      <c r="M36" s="951"/>
      <c r="N36" s="951"/>
      <c r="O36" s="951"/>
      <c r="P36" s="951"/>
      <c r="Q36" s="950"/>
      <c r="R36" s="951"/>
      <c r="S36" s="951"/>
      <c r="T36" s="951"/>
      <c r="U36" s="951"/>
      <c r="V36" s="950"/>
      <c r="W36" s="951"/>
      <c r="X36" s="951"/>
      <c r="Y36" s="951"/>
      <c r="Z36" s="951"/>
      <c r="AA36" s="950"/>
      <c r="AB36" s="951"/>
      <c r="AC36" s="951"/>
      <c r="AD36" s="951"/>
      <c r="AE36" s="951"/>
      <c r="AF36" s="950"/>
      <c r="AG36" s="951"/>
      <c r="AH36" s="951"/>
      <c r="AI36" s="951"/>
      <c r="AJ36" s="951"/>
      <c r="AK36" s="950"/>
      <c r="AL36" s="951">
        <f t="shared" ref="AL36:AN37" si="10">IFERROR(AL32/AG32-1,"--")</f>
        <v>2.9081587008764398E-2</v>
      </c>
      <c r="AM36" s="951">
        <f t="shared" si="10"/>
        <v>2.0578306627766718E-2</v>
      </c>
      <c r="AN36" s="951">
        <f t="shared" si="10"/>
        <v>7.4428350186754866E-3</v>
      </c>
      <c r="AO36" s="951">
        <f t="shared" ref="AO36:AT37" si="11">IFERROR(AO32/AJ32-1,"--")</f>
        <v>1.2090297396173844E-2</v>
      </c>
      <c r="AP36" s="950"/>
      <c r="AQ36" s="951">
        <f t="shared" ref="AQ36:AS37" si="12">IFERROR(AQ32/AL32-1,"--")</f>
        <v>-2.7789102594849568E-3</v>
      </c>
      <c r="AR36" s="951">
        <f t="shared" si="12"/>
        <v>3.4244217546568478E-3</v>
      </c>
      <c r="AS36" s="951">
        <f t="shared" si="12"/>
        <v>2.3773137891433871E-2</v>
      </c>
      <c r="AT36" s="951">
        <f t="shared" si="11"/>
        <v>1.9595679546178246E-2</v>
      </c>
      <c r="AU36" s="950"/>
      <c r="AV36" s="951">
        <f t="shared" ref="AV36:AY37" si="13">IFERROR(AV32/AQ32-1,"--")</f>
        <v>3.3040038237584168E-2</v>
      </c>
      <c r="AW36" s="951">
        <f t="shared" si="13"/>
        <v>2.48641942483947E-2</v>
      </c>
      <c r="AX36" s="951">
        <f t="shared" si="13"/>
        <v>1.7376374584792575E-2</v>
      </c>
      <c r="AY36" s="951">
        <f t="shared" si="13"/>
        <v>1.7274653663933659E-2</v>
      </c>
      <c r="AZ36" s="950"/>
      <c r="BA36" s="951">
        <f t="shared" ref="BA36:BD37" si="14">IFERROR(BA32/AV32-1,"--")</f>
        <v>1.7174116756028202E-2</v>
      </c>
      <c r="BB36" s="951">
        <f t="shared" si="14"/>
        <v>1.3478611578647381E-2</v>
      </c>
      <c r="BC36" s="951">
        <f t="shared" si="14"/>
        <v>1.3400599034034677E-2</v>
      </c>
      <c r="BD36" s="951">
        <f t="shared" si="14"/>
        <v>1.3323484346744241E-2</v>
      </c>
      <c r="BE36" s="950"/>
      <c r="BF36" s="951">
        <f t="shared" ref="BF36:BI37" si="15">IFERROR(BF32/BA32-1,"--")</f>
        <v>1.3247252105114793E-2</v>
      </c>
      <c r="BG36" s="951">
        <f t="shared" si="15"/>
        <v>2.2976593184253602E-2</v>
      </c>
      <c r="BH36" s="951">
        <f t="shared" si="15"/>
        <v>2.2845366013991342E-2</v>
      </c>
      <c r="BI36" s="951">
        <f t="shared" si="15"/>
        <v>2.2715629297605844E-2</v>
      </c>
      <c r="BJ36" s="950"/>
      <c r="BK36" s="951">
        <f t="shared" ref="BK36:BN37" si="16">IFERROR(BK32/BF32-1,"--")</f>
        <v>2.2587357786035822E-2</v>
      </c>
      <c r="BL36" s="951">
        <f t="shared" si="16"/>
        <v>2.2460526797327462E-2</v>
      </c>
      <c r="BM36" s="951">
        <f t="shared" si="16"/>
        <v>2.2335112200800644E-2</v>
      </c>
      <c r="BN36" s="951">
        <f t="shared" si="16"/>
        <v>2.2211090401744293E-2</v>
      </c>
      <c r="BO36" s="950"/>
    </row>
    <row r="37" spans="2:67" s="926" customFormat="1" outlineLevel="1">
      <c r="B37" s="1081" t="s">
        <v>392</v>
      </c>
      <c r="G37" s="950"/>
      <c r="L37" s="950"/>
      <c r="M37" s="951"/>
      <c r="N37" s="951"/>
      <c r="O37" s="951"/>
      <c r="P37" s="951"/>
      <c r="Q37" s="950"/>
      <c r="R37" s="951"/>
      <c r="S37" s="951"/>
      <c r="T37" s="951"/>
      <c r="U37" s="951"/>
      <c r="V37" s="950"/>
      <c r="W37" s="951"/>
      <c r="X37" s="951"/>
      <c r="Y37" s="951"/>
      <c r="Z37" s="951"/>
      <c r="AA37" s="950"/>
      <c r="AB37" s="951"/>
      <c r="AC37" s="951"/>
      <c r="AD37" s="951"/>
      <c r="AE37" s="951"/>
      <c r="AF37" s="950"/>
      <c r="AG37" s="951"/>
      <c r="AH37" s="951"/>
      <c r="AI37" s="951"/>
      <c r="AJ37" s="951"/>
      <c r="AK37" s="950"/>
      <c r="AL37" s="951">
        <f t="shared" si="10"/>
        <v>8.3400636675741158E-3</v>
      </c>
      <c r="AM37" s="951">
        <f t="shared" si="10"/>
        <v>-1.0230474915503551E-2</v>
      </c>
      <c r="AN37" s="951">
        <f t="shared" si="10"/>
        <v>1.3437775633386995E-3</v>
      </c>
      <c r="AO37" s="951">
        <f t="shared" si="11"/>
        <v>1.3791744410768247E-2</v>
      </c>
      <c r="AP37" s="950"/>
      <c r="AQ37" s="951">
        <f t="shared" si="12"/>
        <v>2.0935058929741235E-2</v>
      </c>
      <c r="AR37" s="951">
        <f t="shared" si="12"/>
        <v>3.635766547274133E-2</v>
      </c>
      <c r="AS37" s="951">
        <f t="shared" si="12"/>
        <v>3.0926155519904519E-2</v>
      </c>
      <c r="AT37" s="951">
        <f t="shared" si="11"/>
        <v>2.1352263902748359E-2</v>
      </c>
      <c r="AU37" s="950"/>
      <c r="AV37" s="951">
        <f t="shared" si="13"/>
        <v>2.8922678744742747E-2</v>
      </c>
      <c r="AW37" s="951">
        <f t="shared" si="13"/>
        <v>2.4616727602966959E-2</v>
      </c>
      <c r="AX37" s="951">
        <f t="shared" si="13"/>
        <v>2.7311554681429095E-2</v>
      </c>
      <c r="AY37" s="951">
        <f t="shared" si="13"/>
        <v>2.3634403673922666E-2</v>
      </c>
      <c r="AZ37" s="950"/>
      <c r="BA37" s="951">
        <f t="shared" si="14"/>
        <v>1.5464121061752101E-2</v>
      </c>
      <c r="BB37" s="951">
        <f t="shared" si="14"/>
        <v>1.2136225416487845E-2</v>
      </c>
      <c r="BC37" s="951">
        <f t="shared" si="14"/>
        <v>1.207294172395712E-2</v>
      </c>
      <c r="BD37" s="951">
        <f t="shared" si="14"/>
        <v>1.2010314586654136E-2</v>
      </c>
      <c r="BE37" s="950"/>
      <c r="BF37" s="951">
        <f t="shared" si="15"/>
        <v>1.194833383987004E-2</v>
      </c>
      <c r="BG37" s="951">
        <f t="shared" si="15"/>
        <v>2.0715705571868082E-2</v>
      </c>
      <c r="BH37" s="951">
        <f t="shared" si="15"/>
        <v>2.0608973216544868E-2</v>
      </c>
      <c r="BI37" s="951">
        <f t="shared" si="15"/>
        <v>2.0503335045842563E-2</v>
      </c>
      <c r="BJ37" s="950"/>
      <c r="BK37" s="951">
        <f t="shared" si="16"/>
        <v>2.0398774319742019E-2</v>
      </c>
      <c r="BL37" s="951">
        <f t="shared" si="16"/>
        <v>2.0295274637967653E-2</v>
      </c>
      <c r="BM37" s="951">
        <f t="shared" si="16"/>
        <v>2.0192819931412087E-2</v>
      </c>
      <c r="BN37" s="951">
        <f t="shared" si="16"/>
        <v>2.009139445381769E-2</v>
      </c>
      <c r="BO37" s="950"/>
    </row>
    <row r="38" spans="2:67" s="926" customFormat="1">
      <c r="B38" s="1081"/>
      <c r="G38" s="950"/>
      <c r="L38" s="950"/>
      <c r="M38" s="951"/>
      <c r="N38" s="951"/>
      <c r="O38" s="951"/>
      <c r="P38" s="951"/>
      <c r="Q38" s="950"/>
      <c r="R38" s="951"/>
      <c r="S38" s="951"/>
      <c r="T38" s="951"/>
      <c r="U38" s="951"/>
      <c r="V38" s="950"/>
      <c r="W38" s="951"/>
      <c r="X38" s="951"/>
      <c r="Y38" s="951"/>
      <c r="Z38" s="951"/>
      <c r="AA38" s="950"/>
      <c r="AB38" s="951"/>
      <c r="AC38" s="951"/>
      <c r="AD38" s="951"/>
      <c r="AE38" s="951"/>
      <c r="AF38" s="950"/>
      <c r="AG38" s="951"/>
      <c r="AH38" s="951"/>
      <c r="AI38" s="951"/>
      <c r="AJ38" s="951"/>
      <c r="AK38" s="950"/>
      <c r="AL38" s="951"/>
      <c r="AM38" s="951"/>
      <c r="AN38" s="951"/>
      <c r="AO38" s="951"/>
      <c r="AP38" s="950"/>
      <c r="AQ38" s="951"/>
      <c r="AR38" s="951"/>
      <c r="AS38" s="951"/>
      <c r="AT38" s="951"/>
      <c r="AU38" s="950"/>
      <c r="AV38" s="951"/>
      <c r="AW38" s="951"/>
      <c r="AX38" s="951"/>
      <c r="AY38" s="951"/>
      <c r="AZ38" s="950"/>
      <c r="BA38" s="951"/>
      <c r="BB38" s="951"/>
      <c r="BC38" s="951"/>
      <c r="BD38" s="951"/>
      <c r="BE38" s="950"/>
      <c r="BF38" s="951"/>
      <c r="BG38" s="951"/>
      <c r="BH38" s="951"/>
      <c r="BI38" s="951"/>
      <c r="BJ38" s="950"/>
      <c r="BK38" s="951"/>
      <c r="BL38" s="951"/>
      <c r="BM38" s="951"/>
      <c r="BN38" s="951"/>
      <c r="BO38" s="950"/>
    </row>
    <row r="39" spans="2:67" s="926" customFormat="1">
      <c r="B39" s="1230" t="s">
        <v>480</v>
      </c>
      <c r="G39" s="950"/>
      <c r="L39" s="950"/>
      <c r="M39" s="951"/>
      <c r="N39" s="951"/>
      <c r="O39" s="951"/>
      <c r="P39" s="951"/>
      <c r="Q39" s="950"/>
      <c r="R39" s="951"/>
      <c r="S39" s="951"/>
      <c r="T39" s="951"/>
      <c r="U39" s="951"/>
      <c r="V39" s="950"/>
      <c r="W39" s="1232">
        <f>W8-V8</f>
        <v>89</v>
      </c>
      <c r="X39" s="1232">
        <f>X8-W8</f>
        <v>92</v>
      </c>
      <c r="Y39" s="1232">
        <f>Y8-X8</f>
        <v>92</v>
      </c>
      <c r="Z39" s="1232">
        <f>Z8-Y8</f>
        <v>92</v>
      </c>
      <c r="AA39" s="1233">
        <f>AA8-V8</f>
        <v>365</v>
      </c>
      <c r="AB39" s="1232">
        <f>AB8-AA8</f>
        <v>89</v>
      </c>
      <c r="AC39" s="1232">
        <f>AC8-AB8</f>
        <v>92</v>
      </c>
      <c r="AD39" s="1232">
        <f>AD8-AC8</f>
        <v>92</v>
      </c>
      <c r="AE39" s="1232">
        <f>AE8-AD8</f>
        <v>92</v>
      </c>
      <c r="AF39" s="1233">
        <f>AF8-AA8</f>
        <v>365</v>
      </c>
      <c r="AG39" s="1232">
        <f>AG8-AF8</f>
        <v>89</v>
      </c>
      <c r="AH39" s="1232">
        <f>AH8-AG8</f>
        <v>92</v>
      </c>
      <c r="AI39" s="1232">
        <f>AI8-AH8</f>
        <v>92</v>
      </c>
      <c r="AJ39" s="1232">
        <f>AJ8-AI8</f>
        <v>92</v>
      </c>
      <c r="AK39" s="1233">
        <f>AK8-AF8</f>
        <v>365</v>
      </c>
      <c r="AL39" s="1232">
        <f>AL8-AK8</f>
        <v>90</v>
      </c>
      <c r="AM39" s="1232">
        <f>AM8-AL8</f>
        <v>92</v>
      </c>
      <c r="AN39" s="1232">
        <f>AN8-AM8</f>
        <v>92</v>
      </c>
      <c r="AO39" s="1232">
        <f>AO8-AN8</f>
        <v>92</v>
      </c>
      <c r="AP39" s="1233">
        <f>AP8-AK8</f>
        <v>366</v>
      </c>
      <c r="AQ39" s="1232">
        <f>AQ8-AP8</f>
        <v>89</v>
      </c>
      <c r="AR39" s="1232">
        <f>AR8-AQ8</f>
        <v>92</v>
      </c>
      <c r="AS39" s="1232">
        <f>AS8-AR8</f>
        <v>92</v>
      </c>
      <c r="AT39" s="1232">
        <f>AT8-AS8</f>
        <v>92</v>
      </c>
      <c r="AU39" s="1233">
        <f>AU8-AP8</f>
        <v>365</v>
      </c>
      <c r="AV39" s="1232">
        <f>AV8-AU8</f>
        <v>89</v>
      </c>
      <c r="AW39" s="1232">
        <f>AW8-AV8</f>
        <v>92</v>
      </c>
      <c r="AX39" s="1232">
        <f>AX8-AW8</f>
        <v>92</v>
      </c>
      <c r="AY39" s="1232">
        <f>AY8-AX8</f>
        <v>92</v>
      </c>
      <c r="AZ39" s="1233">
        <f>AZ8-AU8</f>
        <v>365</v>
      </c>
      <c r="BA39" s="1232">
        <f>BA8-AZ8</f>
        <v>89</v>
      </c>
      <c r="BB39" s="1232">
        <f>BB8-BA8</f>
        <v>92</v>
      </c>
      <c r="BC39" s="1232">
        <f>BC8-BB8</f>
        <v>92</v>
      </c>
      <c r="BD39" s="1232">
        <f>BD8-BC8</f>
        <v>92</v>
      </c>
      <c r="BE39" s="1233">
        <f>BE8-AZ8</f>
        <v>365</v>
      </c>
      <c r="BF39" s="1232">
        <f>BF8-BE8</f>
        <v>90</v>
      </c>
      <c r="BG39" s="1232">
        <f>BG8-BF8</f>
        <v>92</v>
      </c>
      <c r="BH39" s="1232">
        <f>BH8-BG8</f>
        <v>92</v>
      </c>
      <c r="BI39" s="1232">
        <f>BI8-BH8</f>
        <v>92</v>
      </c>
      <c r="BJ39" s="1233">
        <f>BJ8-BE8</f>
        <v>366</v>
      </c>
      <c r="BK39" s="1232">
        <f>BK8-BJ8</f>
        <v>89</v>
      </c>
      <c r="BL39" s="1232">
        <f>BL8-BK8</f>
        <v>92</v>
      </c>
      <c r="BM39" s="1232">
        <f>BM8-BL8</f>
        <v>92</v>
      </c>
      <c r="BN39" s="1232">
        <f>BN8-BM8</f>
        <v>92</v>
      </c>
      <c r="BO39" s="1233">
        <f>BO8-BJ8</f>
        <v>365</v>
      </c>
    </row>
    <row r="40" spans="2:67" s="926" customFormat="1">
      <c r="B40" s="1231" t="s">
        <v>481</v>
      </c>
      <c r="G40" s="950"/>
      <c r="L40" s="950"/>
      <c r="M40" s="951"/>
      <c r="N40" s="951"/>
      <c r="O40" s="951"/>
      <c r="P40" s="951"/>
      <c r="Q40" s="950"/>
      <c r="R40" s="951"/>
      <c r="S40" s="951"/>
      <c r="T40" s="951"/>
      <c r="U40" s="951"/>
      <c r="V40" s="950"/>
      <c r="W40" s="1234">
        <f>W39/AA39</f>
        <v>0.24383561643835616</v>
      </c>
      <c r="X40" s="1234">
        <f>X39/AA39</f>
        <v>0.25205479452054796</v>
      </c>
      <c r="Y40" s="1234">
        <f>Y39/AA39</f>
        <v>0.25205479452054796</v>
      </c>
      <c r="Z40" s="1234">
        <f>Z39/AA39</f>
        <v>0.25205479452054796</v>
      </c>
      <c r="AA40" s="917"/>
      <c r="AB40" s="1234">
        <f>AB39/AF39</f>
        <v>0.24383561643835616</v>
      </c>
      <c r="AC40" s="1234">
        <f>AC39/AF39</f>
        <v>0.25205479452054796</v>
      </c>
      <c r="AD40" s="1234">
        <f>AD39/AF39</f>
        <v>0.25205479452054796</v>
      </c>
      <c r="AE40" s="1234">
        <f>AE39/AF39</f>
        <v>0.25205479452054796</v>
      </c>
      <c r="AF40" s="917"/>
      <c r="AG40" s="1234">
        <f>AG39/AK39</f>
        <v>0.24383561643835616</v>
      </c>
      <c r="AH40" s="1234">
        <f>AH39/AK39</f>
        <v>0.25205479452054796</v>
      </c>
      <c r="AI40" s="1234">
        <f>AI39/AK39</f>
        <v>0.25205479452054796</v>
      </c>
      <c r="AJ40" s="1234">
        <f>AJ39/AK39</f>
        <v>0.25205479452054796</v>
      </c>
      <c r="AK40" s="917"/>
      <c r="AL40" s="1234">
        <f>AL39/AP39</f>
        <v>0.24590163934426229</v>
      </c>
      <c r="AM40" s="1234">
        <f>AM39/AP39</f>
        <v>0.25136612021857924</v>
      </c>
      <c r="AN40" s="1234">
        <f>AN39/AP39</f>
        <v>0.25136612021857924</v>
      </c>
      <c r="AO40" s="1234">
        <f>AO39/AP39</f>
        <v>0.25136612021857924</v>
      </c>
      <c r="AP40" s="917"/>
      <c r="AQ40" s="1234">
        <f>AQ39/AU39</f>
        <v>0.24383561643835616</v>
      </c>
      <c r="AR40" s="1234">
        <f>AR39/AU39</f>
        <v>0.25205479452054796</v>
      </c>
      <c r="AS40" s="1234">
        <f>AS39/AU39</f>
        <v>0.25205479452054796</v>
      </c>
      <c r="AT40" s="1234">
        <f>AT39/AU39</f>
        <v>0.25205479452054796</v>
      </c>
      <c r="AU40" s="917"/>
      <c r="AV40" s="1234">
        <f>AV39/AZ39</f>
        <v>0.24383561643835616</v>
      </c>
      <c r="AW40" s="1234">
        <f>AW39/AZ39</f>
        <v>0.25205479452054796</v>
      </c>
      <c r="AX40" s="1234">
        <f>AX39/AZ39</f>
        <v>0.25205479452054796</v>
      </c>
      <c r="AY40" s="1234">
        <f>AY39/AZ39</f>
        <v>0.25205479452054796</v>
      </c>
      <c r="AZ40" s="917"/>
      <c r="BA40" s="1234">
        <f>BA39/BE39</f>
        <v>0.24383561643835616</v>
      </c>
      <c r="BB40" s="1234">
        <f>BB39/BE39</f>
        <v>0.25205479452054796</v>
      </c>
      <c r="BC40" s="1234">
        <f>BC39/BE39</f>
        <v>0.25205479452054796</v>
      </c>
      <c r="BD40" s="1234">
        <f>BD39/BE39</f>
        <v>0.25205479452054796</v>
      </c>
      <c r="BE40" s="917"/>
      <c r="BF40" s="1234">
        <f>BF39/BJ39</f>
        <v>0.24590163934426229</v>
      </c>
      <c r="BG40" s="1234">
        <f>BG39/BJ39</f>
        <v>0.25136612021857924</v>
      </c>
      <c r="BH40" s="1234">
        <f>BH39/BJ39</f>
        <v>0.25136612021857924</v>
      </c>
      <c r="BI40" s="1234">
        <f>BI39/BJ39</f>
        <v>0.25136612021857924</v>
      </c>
      <c r="BJ40" s="917"/>
      <c r="BK40" s="1234">
        <f>BK39/BO39</f>
        <v>0.24383561643835616</v>
      </c>
      <c r="BL40" s="1234">
        <f>BL39/BO39</f>
        <v>0.25205479452054796</v>
      </c>
      <c r="BM40" s="1234">
        <f>BM39/BO39</f>
        <v>0.25205479452054796</v>
      </c>
      <c r="BN40" s="1234">
        <f>BN39/BO39</f>
        <v>0.25205479452054796</v>
      </c>
      <c r="BO40" s="950"/>
    </row>
    <row r="41" spans="2:67">
      <c r="G41" s="746"/>
      <c r="L41" s="746"/>
      <c r="Q41" s="746"/>
      <c r="V41" s="746"/>
      <c r="AA41" s="746"/>
      <c r="AB41" t="s">
        <v>12</v>
      </c>
      <c r="AF41" s="746"/>
      <c r="AK41" s="746"/>
      <c r="AP41" s="746"/>
      <c r="AU41" s="746"/>
      <c r="AZ41" s="746"/>
      <c r="BE41" s="746"/>
      <c r="BJ41" s="746"/>
      <c r="BO41" s="746"/>
    </row>
    <row r="42" spans="2:67">
      <c r="AP42" s="381"/>
    </row>
    <row r="43" spans="2:67">
      <c r="AN43" s="238"/>
      <c r="AO43" s="238"/>
      <c r="AP43" s="255"/>
      <c r="AR43" s="238"/>
      <c r="AS43" s="238"/>
      <c r="AT43" s="238"/>
      <c r="AU43" s="255"/>
      <c r="AV43" s="237"/>
      <c r="AW43" s="238"/>
      <c r="AX43" s="238"/>
      <c r="AY43" s="238"/>
      <c r="AZ43" s="255"/>
      <c r="BE43" s="255"/>
      <c r="BJ43" s="255"/>
      <c r="BO43" s="255"/>
    </row>
    <row r="44" spans="2:67" s="462" customFormat="1">
      <c r="B44" s="983"/>
      <c r="AK44" s="819"/>
      <c r="AP44" s="819"/>
      <c r="AU44" s="819"/>
      <c r="AZ44" s="819"/>
      <c r="BE44" s="819"/>
      <c r="BJ44" s="819"/>
      <c r="BO44" s="819"/>
    </row>
    <row r="45" spans="2:67">
      <c r="AK45" s="819"/>
      <c r="AP45" s="819"/>
      <c r="AU45" s="819"/>
      <c r="AZ45" s="819"/>
      <c r="BE45" s="819"/>
      <c r="BJ45" s="819"/>
      <c r="BO45" s="819"/>
    </row>
    <row r="47" spans="2:67" s="462" customFormat="1">
      <c r="B47" s="983"/>
      <c r="AP47" s="926"/>
      <c r="AU47" s="926"/>
      <c r="AZ47" s="926"/>
      <c r="BE47" s="926"/>
      <c r="BJ47" s="926"/>
      <c r="BO47" s="926"/>
    </row>
    <row r="48" spans="2:67" s="462" customFormat="1">
      <c r="B48" s="983"/>
      <c r="AP48" s="926"/>
      <c r="AU48" s="926"/>
      <c r="AZ48" s="926"/>
      <c r="BE48" s="926"/>
      <c r="BJ48" s="926"/>
      <c r="BO48" s="926"/>
    </row>
    <row r="50" spans="2:67">
      <c r="AK50" s="747"/>
      <c r="AP50" s="747"/>
      <c r="AU50" s="747"/>
      <c r="AZ50" s="747"/>
      <c r="BE50" s="747"/>
      <c r="BJ50" s="747"/>
      <c r="BO50" s="747"/>
    </row>
    <row r="51" spans="2:67">
      <c r="AK51" s="747"/>
      <c r="AP51" s="747"/>
      <c r="AU51" s="747"/>
      <c r="AZ51" s="747"/>
      <c r="BE51" s="747"/>
      <c r="BJ51" s="747"/>
      <c r="BO51" s="747"/>
    </row>
    <row r="53" spans="2:67" s="462" customFormat="1">
      <c r="B53" s="983"/>
      <c r="AP53" s="926"/>
      <c r="AU53" s="926"/>
      <c r="AZ53" s="926"/>
      <c r="BE53" s="926"/>
      <c r="BJ53" s="926"/>
      <c r="BO53" s="926"/>
    </row>
    <row r="54" spans="2:67" s="462" customFormat="1">
      <c r="B54" s="983"/>
      <c r="AP54" s="926"/>
      <c r="AU54" s="926"/>
      <c r="AZ54" s="926"/>
      <c r="BE54" s="926"/>
      <c r="BJ54" s="926"/>
      <c r="BO54" s="926"/>
    </row>
    <row r="58" spans="2:67">
      <c r="AB58" s="747"/>
      <c r="AC58" s="747"/>
      <c r="AD58" s="747"/>
      <c r="AE58" s="747"/>
      <c r="AF58" s="966"/>
      <c r="AG58" s="747"/>
      <c r="AH58" s="747"/>
      <c r="AI58" s="747"/>
      <c r="AJ58" s="747"/>
      <c r="AK58" s="966"/>
      <c r="AL58" s="747"/>
      <c r="AM58" s="747"/>
      <c r="AN58" s="747"/>
      <c r="AO58" s="747"/>
      <c r="AP58" s="966"/>
      <c r="AQ58" s="747"/>
      <c r="AR58" s="747"/>
      <c r="AS58" s="747"/>
      <c r="AT58" s="747"/>
      <c r="AU58" s="966"/>
      <c r="AV58" s="747"/>
      <c r="AW58" s="747"/>
      <c r="AX58" s="747"/>
      <c r="AY58" s="747"/>
      <c r="AZ58" s="966"/>
      <c r="BA58" s="747"/>
      <c r="BB58" s="747"/>
      <c r="BC58" s="747"/>
      <c r="BD58" s="747"/>
      <c r="BE58" s="966"/>
      <c r="BF58" s="747"/>
      <c r="BG58" s="747"/>
      <c r="BH58" s="747"/>
      <c r="BI58" s="747"/>
      <c r="BJ58" s="966"/>
      <c r="BK58" s="747"/>
      <c r="BL58" s="747"/>
      <c r="BM58" s="747"/>
      <c r="BN58" s="747"/>
      <c r="BO58" s="966"/>
    </row>
    <row r="59" spans="2:67">
      <c r="AB59" s="747"/>
      <c r="AC59" s="747"/>
      <c r="AD59" s="747"/>
      <c r="AE59" s="747"/>
      <c r="AF59" s="966"/>
      <c r="AG59" s="747"/>
      <c r="AH59" s="747"/>
      <c r="AI59" s="747"/>
      <c r="AJ59" s="747"/>
      <c r="AK59" s="966"/>
      <c r="AL59" s="747"/>
      <c r="AM59" s="747"/>
      <c r="AN59" s="747"/>
      <c r="AO59" s="747"/>
      <c r="AP59" s="966"/>
      <c r="AQ59" s="747"/>
      <c r="AR59" s="747"/>
      <c r="AS59" s="747"/>
      <c r="AT59" s="747"/>
      <c r="AU59" s="966"/>
      <c r="AV59" s="747"/>
      <c r="AW59" s="747"/>
      <c r="AX59" s="747"/>
      <c r="AY59" s="747"/>
      <c r="AZ59" s="966"/>
      <c r="BA59" s="747"/>
      <c r="BB59" s="747"/>
      <c r="BC59" s="747"/>
      <c r="BD59" s="747"/>
      <c r="BE59" s="966"/>
      <c r="BF59" s="747"/>
      <c r="BG59" s="747"/>
      <c r="BH59" s="747"/>
      <c r="BI59" s="747"/>
      <c r="BJ59" s="966"/>
      <c r="BK59" s="747"/>
      <c r="BL59" s="747"/>
      <c r="BM59" s="747"/>
      <c r="BN59" s="747"/>
      <c r="BO59" s="966"/>
    </row>
    <row r="61" spans="2:67">
      <c r="AF61" s="602"/>
      <c r="AK61" s="602"/>
      <c r="AP61" s="602"/>
      <c r="AU61" s="602"/>
      <c r="AZ61" s="602"/>
      <c r="BE61" s="602"/>
      <c r="BJ61" s="602"/>
      <c r="BO61" s="602"/>
    </row>
    <row r="62" spans="2:67">
      <c r="AF62" s="602"/>
      <c r="AK62" s="602"/>
      <c r="AP62" s="602"/>
      <c r="AU62" s="602"/>
      <c r="AZ62" s="602"/>
      <c r="BE62" s="602"/>
      <c r="BJ62" s="602"/>
      <c r="BO62" s="602"/>
    </row>
  </sheetData>
  <pageMargins left="0.7" right="0.7" top="0.75" bottom="0.75" header="0.3" footer="0.3"/>
  <customProperties>
    <customPr name="Qube.Worksheet.Visibility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B4FE-8B69-4011-B2F1-A8D8856396FC}">
  <sheetPr>
    <tabColor theme="4"/>
    <pageSetUpPr autoPageBreaks="0"/>
  </sheetPr>
  <dimension ref="A1:BO590"/>
  <sheetViews>
    <sheetView showGridLines="0" zoomScaleNormal="100" workbookViewId="0">
      <pane xSplit="2" ySplit="8" topLeftCell="AQ9" activePane="bottomRight" state="frozen"/>
      <selection activeCell="A90" sqref="A90"/>
      <selection pane="topRight" activeCell="A90" sqref="A90"/>
      <selection pane="bottomLeft" activeCell="A90" sqref="A90"/>
      <selection pane="bottomRight" activeCell="BA1" sqref="BA1"/>
    </sheetView>
  </sheetViews>
  <sheetFormatPr defaultColWidth="9.140625" defaultRowHeight="12.75" outlineLevelRow="1" outlineLevelCol="1"/>
  <cols>
    <col min="1" max="1" width="3.7109375" style="107" customWidth="1"/>
    <col min="2" max="2" width="62" style="983" bestFit="1" customWidth="1"/>
    <col min="3" max="3" width="10.7109375" style="362" hidden="1" customWidth="1" outlineLevel="1"/>
    <col min="4" max="6" width="10.7109375" style="466" hidden="1" customWidth="1" outlineLevel="1"/>
    <col min="7" max="7" width="10.7109375" style="466" customWidth="1" collapsed="1"/>
    <col min="8" max="8" width="10.7109375" style="362" hidden="1" customWidth="1" outlineLevel="1"/>
    <col min="9" max="11" width="10.7109375" style="466" hidden="1" customWidth="1" outlineLevel="1"/>
    <col min="12" max="12" width="10.7109375" style="466" customWidth="1" collapsed="1"/>
    <col min="13" max="13" width="10.7109375" style="362" hidden="1" customWidth="1" outlineLevel="1"/>
    <col min="14" max="16" width="10.7109375" style="466" hidden="1" customWidth="1" outlineLevel="1"/>
    <col min="17" max="17" width="10.7109375" style="466" customWidth="1" collapsed="1"/>
    <col min="18" max="18" width="10.7109375" style="362" hidden="1" customWidth="1" outlineLevel="1"/>
    <col min="19" max="21" width="10.7109375" style="466" hidden="1" customWidth="1" outlineLevel="1"/>
    <col min="22" max="22" width="10.7109375" style="466" customWidth="1" collapsed="1"/>
    <col min="23" max="23" width="10.7109375" style="362" hidden="1" customWidth="1" outlineLevel="1"/>
    <col min="24" max="26" width="10.7109375" style="466" hidden="1" customWidth="1" outlineLevel="1"/>
    <col min="27" max="27" width="10.7109375" style="466" customWidth="1" collapsed="1"/>
    <col min="28" max="28" width="10.7109375" style="362" hidden="1" customWidth="1" outlineLevel="1"/>
    <col min="29" max="31" width="10.7109375" style="466" hidden="1" customWidth="1" outlineLevel="1"/>
    <col min="32" max="32" width="10.7109375" style="466" customWidth="1" collapsed="1"/>
    <col min="33" max="33" width="10.7109375" style="362" hidden="1" customWidth="1" outlineLevel="1"/>
    <col min="34" max="36" width="10.7109375" style="466" hidden="1" customWidth="1" outlineLevel="1"/>
    <col min="37" max="37" width="10.7109375" style="466" customWidth="1" collapsed="1"/>
    <col min="38" max="38" width="10.7109375" style="362" hidden="1" customWidth="1" outlineLevel="1"/>
    <col min="39" max="41" width="10.7109375" style="466" hidden="1" customWidth="1" outlineLevel="1"/>
    <col min="42" max="42" width="10.7109375" style="466" customWidth="1" collapsed="1"/>
    <col min="43" max="43" width="10.7109375" style="362" customWidth="1" outlineLevel="1"/>
    <col min="44" max="46" width="10.7109375" style="466" customWidth="1" outlineLevel="1"/>
    <col min="47" max="47" width="10.7109375" style="466" customWidth="1"/>
    <col min="48" max="48" width="10.7109375" style="362" customWidth="1" outlineLevel="1"/>
    <col min="49" max="50" width="10.7109375" style="466" customWidth="1" outlineLevel="1"/>
    <col min="51" max="51" width="11.28515625" style="466" customWidth="1" outlineLevel="1"/>
    <col min="52" max="52" width="11.28515625" style="466" bestFit="1" customWidth="1"/>
    <col min="53" max="53" width="11.28515625" style="362" customWidth="1" outlineLevel="1"/>
    <col min="54" max="56" width="11.28515625" style="466" customWidth="1" outlineLevel="1"/>
    <col min="57" max="57" width="11.28515625" style="466" bestFit="1" customWidth="1"/>
    <col min="58" max="58" width="11.28515625" style="362" hidden="1" customWidth="1" outlineLevel="1"/>
    <col min="59" max="61" width="11.28515625" style="466" hidden="1" customWidth="1" outlineLevel="1"/>
    <col min="62" max="62" width="11.28515625" style="466" bestFit="1" customWidth="1" collapsed="1"/>
    <col min="63" max="63" width="11.28515625" style="362" hidden="1" customWidth="1" outlineLevel="1"/>
    <col min="64" max="66" width="11.28515625" style="466" hidden="1" customWidth="1" outlineLevel="1"/>
    <col min="67" max="67" width="11.28515625" style="466" bestFit="1" customWidth="1" collapsed="1"/>
    <col min="68" max="16384" width="9.140625" style="58"/>
  </cols>
  <sheetData>
    <row r="1" spans="1:67">
      <c r="D1" s="363"/>
      <c r="E1" s="363"/>
      <c r="F1" s="363"/>
      <c r="G1" s="363"/>
      <c r="I1" s="363"/>
      <c r="J1" s="363"/>
      <c r="K1" s="363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3"/>
      <c r="AA1" s="363"/>
      <c r="AC1" s="363"/>
      <c r="AD1" s="363"/>
      <c r="AE1" s="363"/>
      <c r="AF1" s="363"/>
      <c r="AH1" s="363"/>
      <c r="AI1" s="363"/>
      <c r="AJ1" s="363"/>
      <c r="AK1" s="363"/>
      <c r="AM1" s="363"/>
      <c r="AN1" s="363"/>
      <c r="AO1" s="363"/>
      <c r="AP1" s="363" t="s">
        <v>12</v>
      </c>
      <c r="AQ1" s="362" t="s">
        <v>12</v>
      </c>
      <c r="AR1" s="363"/>
      <c r="AS1" s="363"/>
      <c r="AT1" s="363"/>
      <c r="AU1" s="363"/>
      <c r="AV1" s="362" t="s">
        <v>12</v>
      </c>
      <c r="AW1" s="363"/>
      <c r="AX1" s="363"/>
      <c r="AY1" s="363"/>
      <c r="AZ1" s="363"/>
      <c r="BA1" s="362" t="s">
        <v>12</v>
      </c>
      <c r="BB1" s="363"/>
      <c r="BC1" s="363"/>
      <c r="BD1" s="363"/>
      <c r="BE1" s="363"/>
      <c r="BF1" s="362" t="s">
        <v>12</v>
      </c>
      <c r="BG1" s="363"/>
      <c r="BH1" s="363"/>
      <c r="BI1" s="363"/>
      <c r="BJ1" s="363"/>
      <c r="BK1" s="362" t="s">
        <v>12</v>
      </c>
      <c r="BL1" s="363"/>
      <c r="BM1" s="363"/>
      <c r="BN1" s="363"/>
      <c r="BO1" s="363"/>
    </row>
    <row r="2" spans="1:67">
      <c r="B2" s="986" t="s">
        <v>29</v>
      </c>
      <c r="D2" s="363"/>
      <c r="E2" s="363"/>
      <c r="F2" s="363"/>
      <c r="G2" s="363"/>
      <c r="I2" s="363"/>
      <c r="J2" s="363"/>
      <c r="K2" s="363"/>
      <c r="L2" s="363"/>
      <c r="N2" s="363"/>
      <c r="O2" s="363"/>
      <c r="P2" s="363"/>
      <c r="Q2" s="363"/>
      <c r="S2" s="363"/>
      <c r="T2" s="363"/>
      <c r="U2" s="363"/>
      <c r="V2" s="363"/>
      <c r="X2" s="363"/>
      <c r="Y2" s="363"/>
      <c r="Z2" s="363"/>
      <c r="AA2" s="363"/>
      <c r="AC2" s="363"/>
      <c r="AD2" s="363"/>
      <c r="AE2" s="363"/>
      <c r="AF2" s="363"/>
      <c r="AH2" s="363"/>
      <c r="AI2" s="363"/>
      <c r="AJ2" s="363"/>
      <c r="AK2" s="363"/>
      <c r="AM2" s="363"/>
      <c r="AN2" s="363"/>
      <c r="AO2" s="363"/>
      <c r="AP2" s="363"/>
      <c r="AR2" s="363"/>
      <c r="AS2" s="363"/>
      <c r="AT2" s="363"/>
      <c r="AU2" s="363"/>
      <c r="AW2" s="363"/>
      <c r="AX2" s="363"/>
      <c r="AY2" s="363"/>
      <c r="AZ2" s="363"/>
      <c r="BB2" s="363"/>
      <c r="BC2" s="363"/>
      <c r="BD2" s="363"/>
      <c r="BE2" s="363"/>
      <c r="BG2" s="363"/>
      <c r="BH2" s="363"/>
      <c r="BI2" s="363"/>
      <c r="BJ2" s="363"/>
      <c r="BL2" s="363"/>
      <c r="BM2" s="363"/>
      <c r="BN2" s="363"/>
      <c r="BO2" s="363"/>
    </row>
    <row r="3" spans="1:67">
      <c r="B3" s="986" t="s">
        <v>30</v>
      </c>
      <c r="D3" s="363"/>
      <c r="E3" s="363"/>
      <c r="F3" s="363"/>
      <c r="G3" s="363"/>
      <c r="I3" s="363"/>
      <c r="J3" s="363"/>
      <c r="K3" s="363"/>
      <c r="L3" s="363"/>
      <c r="N3" s="363"/>
      <c r="O3" s="363"/>
      <c r="P3" s="363"/>
      <c r="Q3" s="363"/>
      <c r="S3" s="363"/>
      <c r="T3" s="363"/>
      <c r="U3" s="363"/>
      <c r="V3" s="363"/>
      <c r="X3" s="363"/>
      <c r="Y3" s="363"/>
      <c r="Z3" s="363"/>
      <c r="AA3" s="363"/>
      <c r="AC3" s="363"/>
      <c r="AD3" s="363"/>
      <c r="AE3" s="363"/>
      <c r="AF3" s="363"/>
      <c r="AH3" s="363"/>
      <c r="AI3" s="363"/>
      <c r="AJ3" s="363"/>
      <c r="AK3" s="363"/>
      <c r="AM3" s="363"/>
      <c r="AN3" s="363"/>
      <c r="AO3" s="363"/>
      <c r="AP3" s="363"/>
      <c r="AR3" s="363"/>
      <c r="AS3" s="363"/>
      <c r="AT3" s="363"/>
      <c r="AU3" s="363"/>
      <c r="AW3" s="363"/>
      <c r="AX3" s="363"/>
      <c r="AY3" s="363"/>
      <c r="AZ3" s="363"/>
      <c r="BB3" s="363"/>
      <c r="BC3" s="363"/>
      <c r="BD3" s="363"/>
      <c r="BE3" s="363"/>
      <c r="BG3" s="363"/>
      <c r="BH3" s="363"/>
      <c r="BI3" s="363"/>
      <c r="BJ3" s="363"/>
      <c r="BL3" s="363"/>
      <c r="BM3" s="363"/>
      <c r="BN3" s="363"/>
      <c r="BO3" s="363"/>
    </row>
    <row r="4" spans="1:67">
      <c r="B4" s="986" t="s">
        <v>28</v>
      </c>
      <c r="D4" s="363"/>
      <c r="E4" s="363"/>
      <c r="F4" s="363"/>
      <c r="G4" s="363"/>
      <c r="I4" s="363"/>
      <c r="J4" s="363"/>
      <c r="K4" s="365"/>
      <c r="L4" s="363"/>
      <c r="N4" s="363"/>
      <c r="O4" s="363"/>
      <c r="P4" s="363"/>
      <c r="Q4" s="363"/>
      <c r="S4" s="363"/>
      <c r="T4" s="363"/>
      <c r="U4" s="363"/>
      <c r="V4" s="363"/>
      <c r="X4" s="363"/>
      <c r="Y4" s="363"/>
      <c r="Z4" s="363"/>
      <c r="AA4" s="363"/>
      <c r="AC4" s="363"/>
      <c r="AD4" s="363"/>
      <c r="AE4" s="363"/>
      <c r="AF4" s="363"/>
      <c r="AH4" s="363"/>
      <c r="AI4" s="363"/>
      <c r="AJ4" s="363"/>
      <c r="AK4" s="363"/>
      <c r="AM4" s="363"/>
      <c r="AN4" s="363"/>
      <c r="AO4" s="363"/>
      <c r="AP4" s="363"/>
      <c r="AR4" s="363"/>
      <c r="AS4" s="363"/>
      <c r="AT4" s="363"/>
      <c r="AU4" s="363"/>
      <c r="AW4" s="363"/>
      <c r="AX4" s="363"/>
      <c r="AY4" s="363"/>
      <c r="AZ4" s="363"/>
      <c r="BB4" s="363"/>
      <c r="BC4" s="363"/>
      <c r="BD4" s="363"/>
      <c r="BE4" s="363"/>
      <c r="BG4" s="363"/>
      <c r="BH4" s="363"/>
      <c r="BI4" s="363"/>
      <c r="BJ4" s="363"/>
      <c r="BL4" s="363"/>
      <c r="BM4" s="363"/>
      <c r="BN4" s="363"/>
      <c r="BO4" s="363"/>
    </row>
    <row r="5" spans="1:67">
      <c r="B5" s="986"/>
      <c r="D5" s="363"/>
      <c r="E5" s="363"/>
      <c r="F5" s="363"/>
      <c r="G5" s="363"/>
      <c r="I5" s="363"/>
      <c r="J5" s="363"/>
      <c r="K5" s="365"/>
      <c r="L5" s="363"/>
      <c r="N5" s="363"/>
      <c r="O5" s="363"/>
      <c r="P5" s="363"/>
      <c r="Q5" s="363"/>
      <c r="S5" s="363"/>
      <c r="T5" s="363"/>
      <c r="U5" s="363"/>
      <c r="V5" s="363"/>
      <c r="X5" s="363"/>
      <c r="Y5" s="363"/>
      <c r="Z5" s="363"/>
      <c r="AA5" s="363"/>
      <c r="AC5" s="363"/>
      <c r="AD5" s="363"/>
      <c r="AE5" s="363"/>
      <c r="AF5" s="363"/>
      <c r="AH5" s="363"/>
      <c r="AI5" s="363"/>
      <c r="AJ5" s="363"/>
      <c r="AK5" s="363"/>
      <c r="AM5" s="363"/>
      <c r="AN5" s="363"/>
      <c r="AO5" s="363"/>
      <c r="AP5" s="363"/>
      <c r="AR5" s="363"/>
      <c r="AS5" s="363"/>
      <c r="AT5" s="363"/>
      <c r="AU5" s="363"/>
      <c r="AW5" s="363"/>
      <c r="AX5" s="363"/>
      <c r="AY5" s="363"/>
      <c r="AZ5" s="363"/>
      <c r="BB5" s="363"/>
      <c r="BC5" s="363"/>
      <c r="BD5" s="363"/>
      <c r="BE5" s="363"/>
      <c r="BG5" s="363"/>
      <c r="BH5" s="363"/>
      <c r="BI5" s="363"/>
      <c r="BJ5" s="363"/>
      <c r="BL5" s="363"/>
      <c r="BM5" s="363"/>
      <c r="BN5" s="363"/>
      <c r="BO5" s="363"/>
    </row>
    <row r="6" spans="1:67" ht="15">
      <c r="C6" s="60" t="str">
        <f>Dates!M3</f>
        <v>2018 (A)</v>
      </c>
      <c r="D6" s="60"/>
      <c r="E6" s="60"/>
      <c r="F6" s="60"/>
      <c r="G6" s="58"/>
      <c r="H6" s="60" t="str">
        <f>Dates!R3</f>
        <v>2019 (A)</v>
      </c>
      <c r="I6" s="60"/>
      <c r="J6" s="60"/>
      <c r="K6" s="60"/>
      <c r="L6" s="58"/>
      <c r="M6" s="60" t="str">
        <f>Dates!W3</f>
        <v>2020 (A)</v>
      </c>
      <c r="N6" s="60"/>
      <c r="O6" s="60"/>
      <c r="P6" s="60"/>
      <c r="Q6" s="58"/>
      <c r="R6" s="60" t="str">
        <f>Dates!AB3</f>
        <v>2021 (A)</v>
      </c>
      <c r="S6" s="60"/>
      <c r="T6" s="60"/>
      <c r="U6" s="60"/>
      <c r="V6" s="58"/>
      <c r="W6" s="60" t="str">
        <f>Dates!AG3</f>
        <v>2022 (A)</v>
      </c>
      <c r="X6" s="60"/>
      <c r="Y6" s="60"/>
      <c r="Z6" s="60"/>
      <c r="AA6" s="58"/>
      <c r="AB6" s="60" t="str">
        <f>Dates!AL3</f>
        <v>2023 (A)</v>
      </c>
      <c r="AC6" s="60"/>
      <c r="AD6" s="60"/>
      <c r="AE6" s="60"/>
      <c r="AF6" s="58"/>
      <c r="AG6" s="60" t="str">
        <f>Dates!AQ3</f>
        <v>2024 (A)</v>
      </c>
      <c r="AH6" s="60"/>
      <c r="AI6" s="60"/>
      <c r="AJ6" s="60"/>
      <c r="AK6" s="58"/>
      <c r="AL6" s="60" t="str">
        <f>Dates!AV3</f>
        <v>2025 (A)</v>
      </c>
      <c r="AM6" s="60"/>
      <c r="AN6" s="60"/>
      <c r="AO6" s="60"/>
      <c r="AP6" s="58"/>
      <c r="AQ6" s="60" t="str">
        <f>Dates!BA3</f>
        <v>2026 (E)</v>
      </c>
      <c r="AR6" s="60"/>
      <c r="AS6" s="60"/>
      <c r="AT6" s="60"/>
      <c r="AU6" s="58"/>
      <c r="AV6" s="60" t="str">
        <f>Dates!BF3</f>
        <v>2027 (E)</v>
      </c>
      <c r="AW6" s="60"/>
      <c r="AX6" s="60"/>
      <c r="AY6" s="60"/>
      <c r="AZ6" s="58"/>
      <c r="BA6" s="60" t="str">
        <f>Dates!BK3</f>
        <v>2028 (E)</v>
      </c>
      <c r="BB6" s="60"/>
      <c r="BC6" s="60"/>
      <c r="BD6" s="60"/>
      <c r="BE6" s="58"/>
      <c r="BF6" s="60" t="str">
        <f>Dates!BP3</f>
        <v>2029 (E)</v>
      </c>
      <c r="BG6" s="60"/>
      <c r="BH6" s="60"/>
      <c r="BI6" s="60"/>
      <c r="BJ6" s="58"/>
      <c r="BK6" s="60" t="str">
        <f>Dates!BU3</f>
        <v>2030 (E)</v>
      </c>
      <c r="BL6" s="60"/>
      <c r="BM6" s="60"/>
      <c r="BN6" s="60"/>
      <c r="BO6" s="58"/>
    </row>
    <row r="7" spans="1:67">
      <c r="C7" s="366" t="str">
        <f>Dates!M4</f>
        <v>1Q18 (A)</v>
      </c>
      <c r="D7" s="366" t="str">
        <f>Dates!N4</f>
        <v>2Q18 (A)</v>
      </c>
      <c r="E7" s="366" t="str">
        <f>Dates!O4</f>
        <v>3Q18 (A)</v>
      </c>
      <c r="F7" s="366" t="str">
        <f>Dates!P4</f>
        <v>4Q18 (A)</v>
      </c>
      <c r="G7" s="367" t="str">
        <f>Dates!Q4</f>
        <v>FY18 (A)</v>
      </c>
      <c r="H7" s="366" t="str">
        <f>Dates!R4</f>
        <v>1Q19 (A)</v>
      </c>
      <c r="I7" s="366" t="str">
        <f>Dates!S4</f>
        <v>2Q19 (A)</v>
      </c>
      <c r="J7" s="366" t="str">
        <f>Dates!T4</f>
        <v>3Q19 (A)</v>
      </c>
      <c r="K7" s="366" t="str">
        <f>Dates!U4</f>
        <v>4Q19 (A)</v>
      </c>
      <c r="L7" s="367" t="str">
        <f>Dates!V4</f>
        <v>FY19 (A)</v>
      </c>
      <c r="M7" s="366" t="str">
        <f>Dates!W4</f>
        <v>1Q20 (A)</v>
      </c>
      <c r="N7" s="366" t="str">
        <f>Dates!X4</f>
        <v>2Q20 (A)</v>
      </c>
      <c r="O7" s="366" t="str">
        <f>Dates!Y4</f>
        <v>3Q20 (A)</v>
      </c>
      <c r="P7" s="366" t="str">
        <f>Dates!Z4</f>
        <v>4Q20 (A)</v>
      </c>
      <c r="Q7" s="367" t="str">
        <f>Dates!AA4</f>
        <v>FY20 (A)</v>
      </c>
      <c r="R7" s="366" t="str">
        <f>Dates!AB4</f>
        <v>1Q21 (A)</v>
      </c>
      <c r="S7" s="366" t="str">
        <f>Dates!AC4</f>
        <v>2Q21 (A)</v>
      </c>
      <c r="T7" s="366" t="str">
        <f>Dates!AD4</f>
        <v>3Q21 (A)</v>
      </c>
      <c r="U7" s="366" t="str">
        <f>Dates!AE4</f>
        <v>4Q21 (A)</v>
      </c>
      <c r="V7" s="367" t="str">
        <f>Dates!AF4</f>
        <v>FY21 (A)</v>
      </c>
      <c r="W7" s="366" t="str">
        <f>Dates!AG4</f>
        <v>1Q22 (A)</v>
      </c>
      <c r="X7" s="366" t="str">
        <f>Dates!AH4</f>
        <v>2Q22 (A)</v>
      </c>
      <c r="Y7" s="366" t="str">
        <f>Dates!AI4</f>
        <v>3Q22 (A)</v>
      </c>
      <c r="Z7" s="366" t="str">
        <f>Dates!AJ4</f>
        <v>4Q22 (A)</v>
      </c>
      <c r="AA7" s="367" t="str">
        <f>Dates!AK4</f>
        <v>FY22 (A)</v>
      </c>
      <c r="AB7" s="366" t="str">
        <f>Dates!AL4</f>
        <v>1Q23 (A)</v>
      </c>
      <c r="AC7" s="366" t="str">
        <f>Dates!AM4</f>
        <v>2Q23 (A)</v>
      </c>
      <c r="AD7" s="366" t="str">
        <f>Dates!AN4</f>
        <v>3Q23 (A)</v>
      </c>
      <c r="AE7" s="366" t="str">
        <f>Dates!AO4</f>
        <v>4Q23 (A)</v>
      </c>
      <c r="AF7" s="367" t="str">
        <f>Dates!AP4</f>
        <v>FY23 (A)</v>
      </c>
      <c r="AG7" s="366" t="str">
        <f>Dates!AQ4</f>
        <v>1Q24 (A)</v>
      </c>
      <c r="AH7" s="366" t="str">
        <f>Dates!AR4</f>
        <v>2Q24 (A)</v>
      </c>
      <c r="AI7" s="366" t="str">
        <f>Dates!AS4</f>
        <v>3Q24 (A)</v>
      </c>
      <c r="AJ7" s="366" t="str">
        <f>Dates!AT4</f>
        <v>4Q24 (A)</v>
      </c>
      <c r="AK7" s="367" t="str">
        <f>Dates!AU4</f>
        <v>FY24 (A)</v>
      </c>
      <c r="AL7" s="366" t="str">
        <f>Dates!AV4</f>
        <v>1Q25 (A)</v>
      </c>
      <c r="AM7" s="366" t="str">
        <f>Dates!AW4</f>
        <v>2Q25 (A)</v>
      </c>
      <c r="AN7" s="366" t="str">
        <f>Dates!AX4</f>
        <v>3Q25 (A)</v>
      </c>
      <c r="AO7" s="366" t="str">
        <f>Dates!AY4</f>
        <v>4Q25 (A)</v>
      </c>
      <c r="AP7" s="367" t="str">
        <f>Dates!AZ4</f>
        <v>FY25 (A)</v>
      </c>
      <c r="AQ7" s="366" t="str">
        <f>Dates!BA4</f>
        <v>1Q26 (A)</v>
      </c>
      <c r="AR7" s="366" t="str">
        <f>Dates!BB4</f>
        <v>2Q26 (A)</v>
      </c>
      <c r="AS7" s="366" t="str">
        <f>Dates!BC4</f>
        <v>3Q26 (A)</v>
      </c>
      <c r="AT7" s="366" t="str">
        <f>Dates!BD4</f>
        <v>4Q26 (E)</v>
      </c>
      <c r="AU7" s="367" t="str">
        <f>Dates!BE4</f>
        <v>FY26 (E)</v>
      </c>
      <c r="AV7" s="366" t="str">
        <f>Dates!BF4</f>
        <v>1Q27 (E)</v>
      </c>
      <c r="AW7" s="366" t="str">
        <f>Dates!BG4</f>
        <v>2Q27 (E)</v>
      </c>
      <c r="AX7" s="366" t="str">
        <f>Dates!BH4</f>
        <v>3Q27 (E)</v>
      </c>
      <c r="AY7" s="366" t="str">
        <f>Dates!BI4</f>
        <v>4Q27 (E)</v>
      </c>
      <c r="AZ7" s="367" t="str">
        <f>Dates!BJ4</f>
        <v>FY27 (E)</v>
      </c>
      <c r="BA7" s="366" t="str">
        <f>Dates!BK4</f>
        <v>1Q28 (E)</v>
      </c>
      <c r="BB7" s="366" t="str">
        <f>Dates!BL4</f>
        <v>2Q28 (E)</v>
      </c>
      <c r="BC7" s="366" t="str">
        <f>Dates!BM4</f>
        <v>3Q28 (E)</v>
      </c>
      <c r="BD7" s="366" t="str">
        <f>Dates!BN4</f>
        <v>4Q28 (E)</v>
      </c>
      <c r="BE7" s="367" t="str">
        <f>Dates!BO4</f>
        <v>FY28 (E)</v>
      </c>
      <c r="BF7" s="366" t="str">
        <f>Dates!BP4</f>
        <v>1Q29 (E)</v>
      </c>
      <c r="BG7" s="366" t="str">
        <f>Dates!BQ4</f>
        <v>2Q29 (E)</v>
      </c>
      <c r="BH7" s="366" t="str">
        <f>Dates!BR4</f>
        <v>3Q29 (E)</v>
      </c>
      <c r="BI7" s="366" t="str">
        <f>Dates!BS4</f>
        <v>4Q29 (E)</v>
      </c>
      <c r="BJ7" s="367" t="str">
        <f>Dates!BT4</f>
        <v>FY29 (E)</v>
      </c>
      <c r="BK7" s="366" t="str">
        <f>Dates!BU4</f>
        <v>1Q30 (E)</v>
      </c>
      <c r="BL7" s="366" t="str">
        <f>Dates!BV4</f>
        <v>2Q30 (E)</v>
      </c>
      <c r="BM7" s="366" t="str">
        <f>Dates!BW4</f>
        <v>3Q30 (E)</v>
      </c>
      <c r="BN7" s="366" t="str">
        <f>Dates!BX4</f>
        <v>4Q30 (E)</v>
      </c>
      <c r="BO7" s="367" t="str">
        <f>Dates!BY4</f>
        <v>FY30 (E)</v>
      </c>
    </row>
    <row r="8" spans="1:67">
      <c r="C8" s="368">
        <f>Dates!M5</f>
        <v>42855</v>
      </c>
      <c r="D8" s="368">
        <f>Dates!N5</f>
        <v>42947</v>
      </c>
      <c r="E8" s="368">
        <f>Dates!O5</f>
        <v>43039</v>
      </c>
      <c r="F8" s="368">
        <f>Dates!P5</f>
        <v>43131</v>
      </c>
      <c r="G8" s="369">
        <f>Dates!Q5</f>
        <v>43131</v>
      </c>
      <c r="H8" s="368">
        <f>Dates!R5</f>
        <v>43220</v>
      </c>
      <c r="I8" s="368">
        <f>Dates!S5</f>
        <v>43312</v>
      </c>
      <c r="J8" s="368">
        <f>Dates!T5</f>
        <v>43404</v>
      </c>
      <c r="K8" s="368">
        <f>Dates!U5</f>
        <v>43496</v>
      </c>
      <c r="L8" s="369">
        <f>Dates!V5</f>
        <v>43496</v>
      </c>
      <c r="M8" s="368">
        <f>Dates!W5</f>
        <v>43585</v>
      </c>
      <c r="N8" s="368">
        <f>Dates!X5</f>
        <v>43677</v>
      </c>
      <c r="O8" s="368">
        <f>Dates!Y5</f>
        <v>43769</v>
      </c>
      <c r="P8" s="368">
        <f>Dates!Z5</f>
        <v>43861</v>
      </c>
      <c r="Q8" s="369">
        <f>Dates!AA5</f>
        <v>43861</v>
      </c>
      <c r="R8" s="368">
        <f>Dates!AB5</f>
        <v>43951</v>
      </c>
      <c r="S8" s="368">
        <f>Dates!AC5</f>
        <v>44043</v>
      </c>
      <c r="T8" s="368">
        <f>Dates!AD5</f>
        <v>44135</v>
      </c>
      <c r="U8" s="368">
        <f>Dates!AE5</f>
        <v>44227</v>
      </c>
      <c r="V8" s="369">
        <f>Dates!AF5</f>
        <v>44227</v>
      </c>
      <c r="W8" s="368">
        <f>Dates!AG5</f>
        <v>44316</v>
      </c>
      <c r="X8" s="368">
        <f>Dates!AH5</f>
        <v>44408</v>
      </c>
      <c r="Y8" s="368">
        <f>Dates!AI5</f>
        <v>44500</v>
      </c>
      <c r="Z8" s="368">
        <f>Dates!AJ5</f>
        <v>44592</v>
      </c>
      <c r="AA8" s="369">
        <f>Dates!AK5</f>
        <v>44592</v>
      </c>
      <c r="AB8" s="368">
        <f>Dates!AL5</f>
        <v>44681</v>
      </c>
      <c r="AC8" s="368">
        <f>Dates!AM5</f>
        <v>44773</v>
      </c>
      <c r="AD8" s="368">
        <f>Dates!AN5</f>
        <v>44865</v>
      </c>
      <c r="AE8" s="368">
        <f>Dates!AO5</f>
        <v>44957</v>
      </c>
      <c r="AF8" s="369">
        <f>Dates!AP5</f>
        <v>44957</v>
      </c>
      <c r="AG8" s="368">
        <f>Dates!AQ5</f>
        <v>45046</v>
      </c>
      <c r="AH8" s="368">
        <f>Dates!AR5</f>
        <v>45138</v>
      </c>
      <c r="AI8" s="368">
        <f>Dates!AS5</f>
        <v>45230</v>
      </c>
      <c r="AJ8" s="368">
        <f>Dates!AT5</f>
        <v>45322</v>
      </c>
      <c r="AK8" s="369">
        <f>Dates!AU5</f>
        <v>45322</v>
      </c>
      <c r="AL8" s="368">
        <f>Dates!AV5</f>
        <v>45412</v>
      </c>
      <c r="AM8" s="368">
        <f>Dates!AW5</f>
        <v>45504</v>
      </c>
      <c r="AN8" s="368">
        <f>Dates!AX5</f>
        <v>45596</v>
      </c>
      <c r="AO8" s="368">
        <f>Dates!AY5</f>
        <v>45688</v>
      </c>
      <c r="AP8" s="369">
        <f>Dates!AZ5</f>
        <v>45688</v>
      </c>
      <c r="AQ8" s="368">
        <f>Dates!BA5</f>
        <v>45777</v>
      </c>
      <c r="AR8" s="368">
        <f>Dates!BB5</f>
        <v>45869</v>
      </c>
      <c r="AS8" s="368">
        <f>Dates!BC5</f>
        <v>45961</v>
      </c>
      <c r="AT8" s="368">
        <f>Dates!BD5</f>
        <v>46053</v>
      </c>
      <c r="AU8" s="369">
        <f>Dates!BE5</f>
        <v>46053</v>
      </c>
      <c r="AV8" s="368">
        <f>Dates!BF5</f>
        <v>46142</v>
      </c>
      <c r="AW8" s="368">
        <f>Dates!BG5</f>
        <v>46234</v>
      </c>
      <c r="AX8" s="368">
        <f>Dates!BH5</f>
        <v>46326</v>
      </c>
      <c r="AY8" s="368">
        <f>Dates!BI5</f>
        <v>46418</v>
      </c>
      <c r="AZ8" s="369">
        <f>Dates!BJ5</f>
        <v>46418</v>
      </c>
      <c r="BA8" s="368">
        <f>Dates!BK5</f>
        <v>46507</v>
      </c>
      <c r="BB8" s="368">
        <f>Dates!BL5</f>
        <v>46599</v>
      </c>
      <c r="BC8" s="368">
        <f>Dates!BM5</f>
        <v>46691</v>
      </c>
      <c r="BD8" s="368">
        <f>Dates!BN5</f>
        <v>46783</v>
      </c>
      <c r="BE8" s="369">
        <f>Dates!BO5</f>
        <v>46783</v>
      </c>
      <c r="BF8" s="368">
        <f>Dates!BP5</f>
        <v>46873</v>
      </c>
      <c r="BG8" s="368">
        <f>Dates!BQ5</f>
        <v>46965</v>
      </c>
      <c r="BH8" s="368">
        <f>Dates!BR5</f>
        <v>47057</v>
      </c>
      <c r="BI8" s="368">
        <f>Dates!BS5</f>
        <v>47149</v>
      </c>
      <c r="BJ8" s="369">
        <f>Dates!BT5</f>
        <v>47149</v>
      </c>
      <c r="BK8" s="368">
        <f>Dates!BU5</f>
        <v>47238</v>
      </c>
      <c r="BL8" s="368">
        <f>Dates!BV5</f>
        <v>47330</v>
      </c>
      <c r="BM8" s="368">
        <f>Dates!BW5</f>
        <v>47422</v>
      </c>
      <c r="BN8" s="368">
        <f>Dates!BX5</f>
        <v>47514</v>
      </c>
      <c r="BO8" s="369">
        <f>Dates!BY5</f>
        <v>47514</v>
      </c>
    </row>
    <row r="9" spans="1:67">
      <c r="B9" s="986" t="s">
        <v>225</v>
      </c>
      <c r="C9" s="368"/>
      <c r="D9" s="368"/>
      <c r="E9" s="368"/>
      <c r="F9" s="368"/>
      <c r="G9" s="369"/>
      <c r="H9" s="368"/>
      <c r="I9" s="368"/>
      <c r="J9" s="368"/>
      <c r="K9" s="368"/>
      <c r="L9" s="369"/>
      <c r="M9" s="368"/>
      <c r="N9" s="368"/>
      <c r="O9" s="368"/>
      <c r="P9" s="368"/>
      <c r="Q9" s="369"/>
      <c r="R9" s="368"/>
      <c r="S9" s="368"/>
      <c r="T9" s="368"/>
      <c r="U9" s="368"/>
      <c r="V9" s="369"/>
      <c r="W9" s="368"/>
      <c r="X9" s="368"/>
      <c r="Y9" s="368"/>
      <c r="Z9" s="368"/>
      <c r="AA9" s="369"/>
      <c r="AB9" s="368"/>
      <c r="AC9" s="368"/>
      <c r="AD9" s="368"/>
      <c r="AE9" s="368"/>
      <c r="AF9" s="369"/>
      <c r="AG9" s="368"/>
      <c r="AH9" s="368"/>
      <c r="AI9" s="368"/>
      <c r="AJ9" s="368"/>
      <c r="AK9" s="369"/>
      <c r="AL9" s="368"/>
      <c r="AM9" s="368"/>
      <c r="AN9" s="368"/>
      <c r="AO9" s="368"/>
      <c r="AP9" s="369"/>
      <c r="AQ9" s="368"/>
      <c r="AR9" s="368"/>
      <c r="AS9" s="368"/>
      <c r="AT9" s="368"/>
      <c r="AU9" s="369"/>
      <c r="AV9" s="368"/>
      <c r="AW9" s="368"/>
      <c r="AX9" s="368"/>
      <c r="AY9" s="368"/>
      <c r="AZ9" s="369"/>
      <c r="BA9" s="368"/>
      <c r="BB9" s="368"/>
      <c r="BC9" s="368"/>
      <c r="BD9" s="368"/>
      <c r="BE9" s="369"/>
      <c r="BF9" s="368"/>
      <c r="BG9" s="368"/>
      <c r="BH9" s="368"/>
      <c r="BI9" s="368"/>
      <c r="BJ9" s="369"/>
      <c r="BK9" s="368"/>
      <c r="BL9" s="368"/>
      <c r="BM9" s="368"/>
      <c r="BN9" s="368"/>
      <c r="BO9" s="369"/>
    </row>
    <row r="10" spans="1:67" s="997" customFormat="1">
      <c r="A10" s="995"/>
      <c r="B10" s="987" t="s">
        <v>180</v>
      </c>
      <c r="C10" s="994"/>
      <c r="D10" s="994"/>
      <c r="E10" s="994"/>
      <c r="F10" s="994"/>
      <c r="G10" s="1043">
        <f>F10</f>
        <v>0</v>
      </c>
      <c r="H10" s="994">
        <v>148.58699999999999</v>
      </c>
      <c r="I10" s="994">
        <v>50.42</v>
      </c>
      <c r="J10" s="994">
        <v>189.351</v>
      </c>
      <c r="K10" s="994">
        <v>116.541</v>
      </c>
      <c r="L10" s="1043">
        <f t="shared" ref="L10:L16" si="0">K10</f>
        <v>116.541</v>
      </c>
      <c r="M10" s="994">
        <v>125.85599999999999</v>
      </c>
      <c r="N10" s="994">
        <v>148.774</v>
      </c>
      <c r="O10" s="994">
        <v>179.13800000000001</v>
      </c>
      <c r="P10" s="994">
        <v>127.206</v>
      </c>
      <c r="Q10" s="1043">
        <f t="shared" ref="Q10:Q16" si="1">P10</f>
        <v>127.206</v>
      </c>
      <c r="R10" s="992">
        <v>437.56</v>
      </c>
      <c r="S10" s="994">
        <v>138.9</v>
      </c>
      <c r="T10" s="994">
        <v>3939.9250000000002</v>
      </c>
      <c r="U10" s="994">
        <v>820.17700000000002</v>
      </c>
      <c r="V10" s="1043">
        <f t="shared" ref="V10:V16" si="2">U10</f>
        <v>820.17700000000002</v>
      </c>
      <c r="W10" s="994">
        <v>644.67399999999998</v>
      </c>
      <c r="X10" s="994">
        <v>698.548</v>
      </c>
      <c r="Y10" s="994">
        <v>935.21699999999998</v>
      </c>
      <c r="Z10" s="994">
        <v>1085.729</v>
      </c>
      <c r="AA10" s="1043">
        <f t="shared" ref="AA10:AA16" si="3">Z10</f>
        <v>1085.729</v>
      </c>
      <c r="AB10" s="994">
        <v>1063.4010000000001</v>
      </c>
      <c r="AC10" s="994">
        <v>906.66300000000001</v>
      </c>
      <c r="AD10" s="994">
        <v>819.00300000000004</v>
      </c>
      <c r="AE10" s="994">
        <v>939.90200000000004</v>
      </c>
      <c r="AF10" s="1043">
        <f t="shared" ref="AF10:AF16" si="4">AE10</f>
        <v>939.90200000000004</v>
      </c>
      <c r="AG10" s="994">
        <v>653.01400000000001</v>
      </c>
      <c r="AH10" s="994">
        <v>755.19200000000001</v>
      </c>
      <c r="AI10" s="994">
        <v>982.18200000000002</v>
      </c>
      <c r="AJ10" s="994">
        <v>1762.749</v>
      </c>
      <c r="AK10" s="1043">
        <f t="shared" ref="AK10:AK16" si="5">AJ10</f>
        <v>1762.749</v>
      </c>
      <c r="AL10" s="994">
        <v>1330.4110000000001</v>
      </c>
      <c r="AM10" s="994">
        <v>1282.0450000000001</v>
      </c>
      <c r="AN10" s="1207">
        <v>2148.9279999999999</v>
      </c>
      <c r="AO10" s="994">
        <v>2628.7979999999998</v>
      </c>
      <c r="AP10" s="1043">
        <f t="shared" ref="AP10:AP16" si="6">AO10</f>
        <v>2628.7979999999998</v>
      </c>
      <c r="AQ10" s="1207">
        <v>2243.0830000000001</v>
      </c>
      <c r="AR10" s="1207">
        <v>1880.72</v>
      </c>
      <c r="AS10" s="1400">
        <v>1941.6569999999999</v>
      </c>
      <c r="AT10" s="996">
        <f>CF!AT69-CF!AT72</f>
        <v>2462.2719126561788</v>
      </c>
      <c r="AU10" s="1043">
        <f>AT10</f>
        <v>2462.2719126561788</v>
      </c>
      <c r="AV10" s="996">
        <f>CF!AV69-CF!AV72</f>
        <v>2705.7232644569976</v>
      </c>
      <c r="AW10" s="996">
        <f>CF!AW69-CF!AW72</f>
        <v>2518.7978560159281</v>
      </c>
      <c r="AX10" s="996">
        <f>CF!AX69-CF!AX72</f>
        <v>2399.0365425106215</v>
      </c>
      <c r="AY10" s="996">
        <f>CF!AY69-CF!AY72</f>
        <v>2942.5712394301595</v>
      </c>
      <c r="AZ10" s="1043">
        <f>AY10</f>
        <v>2942.5712394301595</v>
      </c>
      <c r="BA10" s="996">
        <f>CF!BA69-CF!BA72</f>
        <v>3454.7581527186599</v>
      </c>
      <c r="BB10" s="996">
        <f>CF!BB69-CF!BB72</f>
        <v>3588.9139844009014</v>
      </c>
      <c r="BC10" s="996">
        <f>CF!BC69-CF!BC72</f>
        <v>3799.7875638362907</v>
      </c>
      <c r="BD10" s="996">
        <f>CF!BD69-CF!BD72</f>
        <v>4781.9651276927343</v>
      </c>
      <c r="BE10" s="1043">
        <f>BD10</f>
        <v>4781.9651276927343</v>
      </c>
      <c r="BF10" s="996">
        <f>CF!BF69-CF!BF72</f>
        <v>5469.3467380516886</v>
      </c>
      <c r="BG10" s="996">
        <f>CF!BG69-CF!BG72</f>
        <v>5664.7038872430676</v>
      </c>
      <c r="BH10" s="996">
        <f>CF!BH69-CF!BH72</f>
        <v>6004.6792668714643</v>
      </c>
      <c r="BI10" s="996">
        <f>CF!BI69-CF!BI72</f>
        <v>7226.098863879366</v>
      </c>
      <c r="BJ10" s="1043">
        <f>BI10</f>
        <v>7226.098863879366</v>
      </c>
      <c r="BK10" s="996">
        <f>CF!BK69-CF!BK72</f>
        <v>8035.6612840917805</v>
      </c>
      <c r="BL10" s="996">
        <f>CF!BL69-CF!BL72</f>
        <v>8344.1600868684691</v>
      </c>
      <c r="BM10" s="996">
        <f>CF!BM69-CF!BM72</f>
        <v>8850.2987409028938</v>
      </c>
      <c r="BN10" s="996">
        <f>CF!BN69-CF!BN72</f>
        <v>10350.058109239553</v>
      </c>
      <c r="BO10" s="1043">
        <f>BN10</f>
        <v>10350.058109239553</v>
      </c>
    </row>
    <row r="11" spans="1:67" s="997" customFormat="1" hidden="1" outlineLevel="1">
      <c r="A11" s="995"/>
      <c r="B11" s="987" t="s">
        <v>56</v>
      </c>
      <c r="C11" s="994"/>
      <c r="D11" s="994"/>
      <c r="E11" s="994"/>
      <c r="F11" s="994"/>
      <c r="G11" s="1043"/>
      <c r="H11" s="994">
        <v>0.89500000000000002</v>
      </c>
      <c r="I11" s="994">
        <v>1.33</v>
      </c>
      <c r="J11" s="994">
        <v>3.3519999999999999</v>
      </c>
      <c r="K11" s="994">
        <v>6.0289999999999999</v>
      </c>
      <c r="L11" s="1043">
        <f t="shared" si="0"/>
        <v>6.0289999999999999</v>
      </c>
      <c r="M11" s="994">
        <v>14.16</v>
      </c>
      <c r="N11" s="994">
        <v>14.622</v>
      </c>
      <c r="O11" s="994">
        <v>14.622</v>
      </c>
      <c r="P11" s="994">
        <v>14.77</v>
      </c>
      <c r="Q11" s="1043">
        <f t="shared" si="1"/>
        <v>14.77</v>
      </c>
      <c r="R11" s="994">
        <v>15.289</v>
      </c>
      <c r="S11" s="994">
        <v>14.988</v>
      </c>
      <c r="T11" s="994"/>
      <c r="U11" s="994"/>
      <c r="V11" s="1043">
        <f t="shared" si="2"/>
        <v>0</v>
      </c>
      <c r="W11" s="994"/>
      <c r="X11" s="994"/>
      <c r="Y11" s="994"/>
      <c r="Z11" s="994"/>
      <c r="AA11" s="1043">
        <f t="shared" si="3"/>
        <v>0</v>
      </c>
      <c r="AB11" s="994"/>
      <c r="AC11" s="994"/>
      <c r="AD11" s="994"/>
      <c r="AE11" s="994"/>
      <c r="AF11" s="1043"/>
      <c r="AG11" s="994"/>
      <c r="AH11" s="994"/>
      <c r="AI11" s="994"/>
      <c r="AJ11" s="994"/>
      <c r="AK11" s="1043"/>
      <c r="AL11" s="994"/>
      <c r="AM11" s="994"/>
      <c r="AN11" s="1207"/>
      <c r="AO11" s="994"/>
      <c r="AP11" s="1043"/>
      <c r="AQ11" s="1207"/>
      <c r="AR11" s="1207"/>
      <c r="AS11" s="1400"/>
      <c r="AT11" s="996"/>
      <c r="AU11" s="1043"/>
      <c r="AV11" s="996"/>
      <c r="AW11" s="996"/>
      <c r="AX11" s="996"/>
      <c r="AY11" s="996"/>
      <c r="AZ11" s="1043"/>
      <c r="BA11" s="996"/>
      <c r="BB11" s="996"/>
      <c r="BC11" s="996"/>
      <c r="BD11" s="996"/>
      <c r="BE11" s="1043"/>
      <c r="BF11" s="996"/>
      <c r="BG11" s="996"/>
      <c r="BH11" s="996"/>
      <c r="BI11" s="996"/>
      <c r="BJ11" s="1043"/>
      <c r="BK11" s="996"/>
      <c r="BL11" s="996"/>
      <c r="BM11" s="996"/>
      <c r="BN11" s="996"/>
      <c r="BO11" s="1043"/>
    </row>
    <row r="12" spans="1:67" s="997" customFormat="1" collapsed="1">
      <c r="A12" s="995"/>
      <c r="B12" s="987" t="s">
        <v>226</v>
      </c>
      <c r="C12" s="994"/>
      <c r="D12" s="994"/>
      <c r="E12" s="994"/>
      <c r="F12" s="994"/>
      <c r="G12" s="1043">
        <f>F12</f>
        <v>0</v>
      </c>
      <c r="H12" s="994">
        <v>144.95599999999999</v>
      </c>
      <c r="I12" s="994">
        <v>220.77199999999999</v>
      </c>
      <c r="J12" s="994">
        <v>505.90899999999999</v>
      </c>
      <c r="K12" s="994">
        <v>492.25700000000001</v>
      </c>
      <c r="L12" s="1043">
        <f t="shared" si="0"/>
        <v>492.25700000000001</v>
      </c>
      <c r="M12" s="994">
        <v>449.71300000000002</v>
      </c>
      <c r="N12" s="994">
        <v>315.642</v>
      </c>
      <c r="O12" s="994">
        <v>290.77999999999997</v>
      </c>
      <c r="P12" s="994">
        <v>306.84399999999999</v>
      </c>
      <c r="Q12" s="1043">
        <f t="shared" si="1"/>
        <v>306.84399999999999</v>
      </c>
      <c r="R12" s="994">
        <v>372.50299999999999</v>
      </c>
      <c r="S12" s="994">
        <v>451.976</v>
      </c>
      <c r="T12" s="994">
        <v>814.12300000000005</v>
      </c>
      <c r="U12" s="994">
        <v>3087.8870000000002</v>
      </c>
      <c r="V12" s="1043">
        <f t="shared" si="2"/>
        <v>3087.8870000000002</v>
      </c>
      <c r="W12" s="994">
        <v>3285.7510000000002</v>
      </c>
      <c r="X12" s="994">
        <v>3436.9409999999998</v>
      </c>
      <c r="Y12" s="994">
        <v>2955.6129999999998</v>
      </c>
      <c r="Z12" s="994">
        <v>2766.364</v>
      </c>
      <c r="AA12" s="1043">
        <f t="shared" si="3"/>
        <v>2766.364</v>
      </c>
      <c r="AB12" s="994">
        <v>2751.6790000000001</v>
      </c>
      <c r="AC12" s="994">
        <v>3046.4769999999999</v>
      </c>
      <c r="AD12" s="994">
        <v>3123.8789999999999</v>
      </c>
      <c r="AE12" s="994">
        <v>3067.9659999999999</v>
      </c>
      <c r="AF12" s="1043">
        <f t="shared" si="4"/>
        <v>3067.9659999999999</v>
      </c>
      <c r="AG12" s="994">
        <v>3292.5140000000001</v>
      </c>
      <c r="AH12" s="994">
        <v>2996.9409999999998</v>
      </c>
      <c r="AI12" s="994">
        <v>2566.357</v>
      </c>
      <c r="AJ12" s="994">
        <v>2083.4989999999998</v>
      </c>
      <c r="AK12" s="1043">
        <f t="shared" si="5"/>
        <v>2083.4989999999998</v>
      </c>
      <c r="AL12" s="994">
        <v>2200.9349999999999</v>
      </c>
      <c r="AM12" s="994">
        <v>1948.462</v>
      </c>
      <c r="AN12" s="1207">
        <v>2008.0619999999999</v>
      </c>
      <c r="AO12" s="994">
        <v>2008.873</v>
      </c>
      <c r="AP12" s="1043">
        <f t="shared" si="6"/>
        <v>2008.873</v>
      </c>
      <c r="AQ12" s="1207">
        <v>1667.6010000000001</v>
      </c>
      <c r="AR12" s="1207">
        <v>1705.9880000000001</v>
      </c>
      <c r="AS12" s="1400">
        <v>1411.4480000000001</v>
      </c>
      <c r="AT12" s="993">
        <f>AS12</f>
        <v>1411.4480000000001</v>
      </c>
      <c r="AU12" s="1043">
        <f>AT12</f>
        <v>1411.4480000000001</v>
      </c>
      <c r="AV12" s="993">
        <f>AT12</f>
        <v>1411.4480000000001</v>
      </c>
      <c r="AW12" s="993">
        <f>AV12</f>
        <v>1411.4480000000001</v>
      </c>
      <c r="AX12" s="993">
        <f>AW12</f>
        <v>1411.4480000000001</v>
      </c>
      <c r="AY12" s="993">
        <f>AX12</f>
        <v>1411.4480000000001</v>
      </c>
      <c r="AZ12" s="1043">
        <f>AY12</f>
        <v>1411.4480000000001</v>
      </c>
      <c r="BA12" s="993">
        <f>AY12</f>
        <v>1411.4480000000001</v>
      </c>
      <c r="BB12" s="993">
        <f>BA12</f>
        <v>1411.4480000000001</v>
      </c>
      <c r="BC12" s="993">
        <f>BB12</f>
        <v>1411.4480000000001</v>
      </c>
      <c r="BD12" s="993">
        <f>BC12</f>
        <v>1411.4480000000001</v>
      </c>
      <c r="BE12" s="1043">
        <f>BD12</f>
        <v>1411.4480000000001</v>
      </c>
      <c r="BF12" s="993">
        <f>BD12</f>
        <v>1411.4480000000001</v>
      </c>
      <c r="BG12" s="993">
        <f>BF12</f>
        <v>1411.4480000000001</v>
      </c>
      <c r="BH12" s="993">
        <f>BG12</f>
        <v>1411.4480000000001</v>
      </c>
      <c r="BI12" s="993">
        <f>BH12</f>
        <v>1411.4480000000001</v>
      </c>
      <c r="BJ12" s="1043">
        <f>BI12</f>
        <v>1411.4480000000001</v>
      </c>
      <c r="BK12" s="993">
        <f>BI12</f>
        <v>1411.4480000000001</v>
      </c>
      <c r="BL12" s="993">
        <f>BK12</f>
        <v>1411.4480000000001</v>
      </c>
      <c r="BM12" s="993">
        <f>BL12</f>
        <v>1411.4480000000001</v>
      </c>
      <c r="BN12" s="993">
        <f>BM12</f>
        <v>1411.4480000000001</v>
      </c>
      <c r="BO12" s="1043">
        <f>BN12</f>
        <v>1411.4480000000001</v>
      </c>
    </row>
    <row r="13" spans="1:67" s="997" customFormat="1">
      <c r="A13" s="995"/>
      <c r="B13" s="987" t="s">
        <v>227</v>
      </c>
      <c r="C13" s="994"/>
      <c r="D13" s="994"/>
      <c r="E13" s="994"/>
      <c r="F13" s="994"/>
      <c r="G13" s="1043">
        <f>F13</f>
        <v>0</v>
      </c>
      <c r="H13" s="994">
        <v>20.858000000000001</v>
      </c>
      <c r="I13" s="994">
        <v>34.689</v>
      </c>
      <c r="J13" s="994">
        <v>27.507999999999999</v>
      </c>
      <c r="K13" s="994">
        <v>63.359000000000002</v>
      </c>
      <c r="L13" s="1043">
        <f t="shared" si="0"/>
        <v>63.359000000000002</v>
      </c>
      <c r="M13" s="994">
        <v>50.942999999999998</v>
      </c>
      <c r="N13" s="994">
        <v>107.533</v>
      </c>
      <c r="O13" s="994">
        <v>101.038</v>
      </c>
      <c r="P13" s="994">
        <v>179.459</v>
      </c>
      <c r="Q13" s="1043">
        <f t="shared" si="1"/>
        <v>179.459</v>
      </c>
      <c r="R13" s="994">
        <v>96.141999999999996</v>
      </c>
      <c r="S13" s="994">
        <v>151.21</v>
      </c>
      <c r="T13" s="994">
        <v>168.982</v>
      </c>
      <c r="U13" s="994">
        <v>294.017</v>
      </c>
      <c r="V13" s="1043">
        <f t="shared" si="2"/>
        <v>294.017</v>
      </c>
      <c r="W13" s="994">
        <v>166.33699999999999</v>
      </c>
      <c r="X13" s="994">
        <v>237.45699999999999</v>
      </c>
      <c r="Y13" s="994">
        <v>254.24299999999999</v>
      </c>
      <c r="Z13" s="994">
        <v>545.62900000000002</v>
      </c>
      <c r="AA13" s="1043">
        <f t="shared" si="3"/>
        <v>545.62900000000002</v>
      </c>
      <c r="AB13" s="994">
        <v>277.55900000000003</v>
      </c>
      <c r="AC13" s="994">
        <v>304.964</v>
      </c>
      <c r="AD13" s="994">
        <v>394.06299999999999</v>
      </c>
      <c r="AE13" s="994">
        <v>715.82100000000003</v>
      </c>
      <c r="AF13" s="1043">
        <f t="shared" si="4"/>
        <v>715.82100000000003</v>
      </c>
      <c r="AG13" s="994">
        <v>352.99299999999999</v>
      </c>
      <c r="AH13" s="994">
        <v>406.404</v>
      </c>
      <c r="AI13" s="994">
        <v>511.03399999999999</v>
      </c>
      <c r="AJ13" s="994">
        <v>926.90200000000004</v>
      </c>
      <c r="AK13" s="1043">
        <f t="shared" si="5"/>
        <v>926.90200000000004</v>
      </c>
      <c r="AL13" s="994">
        <v>345.505</v>
      </c>
      <c r="AM13" s="994">
        <v>431.59699999999998</v>
      </c>
      <c r="AN13" s="1207">
        <v>596.35199999999998</v>
      </c>
      <c r="AO13" s="994">
        <v>922.80499999999995</v>
      </c>
      <c r="AP13" s="1043">
        <f t="shared" si="6"/>
        <v>922.80499999999995</v>
      </c>
      <c r="AQ13" s="1207">
        <v>530.51700000000005</v>
      </c>
      <c r="AR13" s="1207">
        <v>646.68200000000002</v>
      </c>
      <c r="AS13" s="1400">
        <v>938.14499999999998</v>
      </c>
      <c r="AT13" s="993">
        <f>(AT55*AT61)/AT62</f>
        <v>1167.8523912289661</v>
      </c>
      <c r="AU13" s="1043">
        <f>AT13</f>
        <v>1167.8523912289661</v>
      </c>
      <c r="AV13" s="993">
        <f>(AV55*AV61)/AV62</f>
        <v>579.9326717372337</v>
      </c>
      <c r="AW13" s="993">
        <f>(AW55*AW61)/AW62</f>
        <v>768.45470205305026</v>
      </c>
      <c r="AX13" s="993">
        <f>(AX55*AX61)/AX62</f>
        <v>1129.3314410567971</v>
      </c>
      <c r="AY13" s="993">
        <f>(AY55*AY61)/AY62</f>
        <v>1364.6050860383166</v>
      </c>
      <c r="AZ13" s="1043">
        <f>AY13</f>
        <v>1364.6050860383166</v>
      </c>
      <c r="BA13" s="993">
        <f>(BA55*BA61)/BA62</f>
        <v>664.69323774453233</v>
      </c>
      <c r="BB13" s="993">
        <f>(BB55*BB61)/BB62</f>
        <v>898.81873176828606</v>
      </c>
      <c r="BC13" s="993">
        <f>(BC55*BC61)/BC62</f>
        <v>1348.0184950893927</v>
      </c>
      <c r="BD13" s="993">
        <f>(BD55*BD61)/BD62</f>
        <v>1623.266889060706</v>
      </c>
      <c r="BE13" s="1043">
        <f>BD13</f>
        <v>1623.266889060706</v>
      </c>
      <c r="BF13" s="993">
        <f>(BF55*BF61)/BF62</f>
        <v>738.9229403020496</v>
      </c>
      <c r="BG13" s="993">
        <f>(BG55*BG61)/BG62</f>
        <v>1063.7724519036203</v>
      </c>
      <c r="BH13" s="993">
        <f>(BH55*BH61)/BH62</f>
        <v>1639.4985449854762</v>
      </c>
      <c r="BI13" s="993">
        <f>(BI55*BI61)/BI62</f>
        <v>1989.9367241510176</v>
      </c>
      <c r="BJ13" s="1043">
        <f>BI13</f>
        <v>1989.9367241510176</v>
      </c>
      <c r="BK13" s="993">
        <f>(BK55*BK61)/BK62</f>
        <v>887.21028188172534</v>
      </c>
      <c r="BL13" s="993">
        <f>(BL55*BL61)/BL62</f>
        <v>1262.823661405921</v>
      </c>
      <c r="BM13" s="993">
        <f>(BM55*BM61)/BM62</f>
        <v>1979.2895010653867</v>
      </c>
      <c r="BN13" s="993">
        <f>(BN55*BN61)/BN62</f>
        <v>2386.3285327916983</v>
      </c>
      <c r="BO13" s="1043">
        <f>BN13</f>
        <v>2386.3285327916983</v>
      </c>
    </row>
    <row r="14" spans="1:67" s="997" customFormat="1">
      <c r="A14" s="1019"/>
      <c r="B14" s="981" t="s">
        <v>279</v>
      </c>
      <c r="C14" s="993"/>
      <c r="D14" s="993"/>
      <c r="E14" s="993"/>
      <c r="F14" s="994"/>
      <c r="G14" s="1044">
        <f>F14</f>
        <v>0</v>
      </c>
      <c r="H14" s="994">
        <v>3.899</v>
      </c>
      <c r="I14" s="994">
        <v>5.5330000000000004</v>
      </c>
      <c r="J14" s="994">
        <v>7.2590000000000003</v>
      </c>
      <c r="K14" s="994">
        <v>11.606999999999999</v>
      </c>
      <c r="L14" s="1044">
        <f t="shared" si="0"/>
        <v>11.606999999999999</v>
      </c>
      <c r="M14" s="994">
        <v>12.93</v>
      </c>
      <c r="N14" s="994">
        <v>15.664</v>
      </c>
      <c r="O14" s="994">
        <v>19.007999999999999</v>
      </c>
      <c r="P14" s="994">
        <v>26.358000000000001</v>
      </c>
      <c r="Q14" s="1044">
        <f t="shared" si="1"/>
        <v>26.358000000000001</v>
      </c>
      <c r="R14" s="994">
        <v>26.085999999999999</v>
      </c>
      <c r="S14" s="994">
        <v>26.279</v>
      </c>
      <c r="T14" s="994">
        <v>28.062999999999999</v>
      </c>
      <c r="U14" s="994">
        <v>32.371000000000002</v>
      </c>
      <c r="V14" s="1043">
        <f t="shared" si="2"/>
        <v>32.371000000000002</v>
      </c>
      <c r="W14" s="994">
        <v>35.448</v>
      </c>
      <c r="X14" s="994">
        <v>39.265000000000001</v>
      </c>
      <c r="Y14" s="994">
        <v>42.896000000000001</v>
      </c>
      <c r="Z14" s="994">
        <v>51.398000000000003</v>
      </c>
      <c r="AA14" s="1043">
        <f t="shared" si="3"/>
        <v>51.398000000000003</v>
      </c>
      <c r="AB14" s="994">
        <v>53.942999999999998</v>
      </c>
      <c r="AC14" s="994">
        <v>57.908000000000001</v>
      </c>
      <c r="AD14" s="994">
        <v>61.738</v>
      </c>
      <c r="AE14" s="994">
        <v>67.900999999999996</v>
      </c>
      <c r="AF14" s="1043">
        <f t="shared" si="4"/>
        <v>67.900999999999996</v>
      </c>
      <c r="AG14" s="994">
        <v>69.204999999999998</v>
      </c>
      <c r="AH14" s="994">
        <v>71.968999999999994</v>
      </c>
      <c r="AI14" s="994">
        <v>74.573999999999998</v>
      </c>
      <c r="AJ14" s="994">
        <v>86.096000000000004</v>
      </c>
      <c r="AK14" s="1043">
        <f t="shared" si="5"/>
        <v>86.096000000000004</v>
      </c>
      <c r="AL14" s="994">
        <v>85.447999999999993</v>
      </c>
      <c r="AM14" s="994">
        <v>86.899000000000001</v>
      </c>
      <c r="AN14" s="1207">
        <v>89.831000000000003</v>
      </c>
      <c r="AO14" s="994">
        <v>97.662000000000006</v>
      </c>
      <c r="AP14" s="1043">
        <f t="shared" si="6"/>
        <v>97.662000000000006</v>
      </c>
      <c r="AQ14" s="1207">
        <v>104.187</v>
      </c>
      <c r="AR14" s="1207">
        <v>129.87299999999999</v>
      </c>
      <c r="AS14" s="1400">
        <v>167.92599999999999</v>
      </c>
      <c r="AT14" s="993">
        <f>AT55*AT67</f>
        <v>98.619715053931387</v>
      </c>
      <c r="AU14" s="1043">
        <f>AT14</f>
        <v>98.619715053931387</v>
      </c>
      <c r="AV14" s="993">
        <f>AV55*AV67</f>
        <v>110.26721769007136</v>
      </c>
      <c r="AW14" s="993">
        <f>AW55*AW67</f>
        <v>137.86587065625852</v>
      </c>
      <c r="AX14" s="993">
        <f>AX55*AX67</f>
        <v>183.95683954221124</v>
      </c>
      <c r="AY14" s="993">
        <f>AY55*AY67</f>
        <v>97.556989422666916</v>
      </c>
      <c r="AZ14" s="1043">
        <f>AY14</f>
        <v>97.556989422666916</v>
      </c>
      <c r="BA14" s="993">
        <f>BA55*BA67</f>
        <v>120.53299931882515</v>
      </c>
      <c r="BB14" s="993">
        <f>BB55*BB67</f>
        <v>153.94702876003294</v>
      </c>
      <c r="BC14" s="993">
        <f>BC55*BC67</f>
        <v>210.79024134389101</v>
      </c>
      <c r="BD14" s="993">
        <f>BD55*BD67</f>
        <v>101.37301311117859</v>
      </c>
      <c r="BE14" s="1043">
        <f>BD14</f>
        <v>101.37301311117859</v>
      </c>
      <c r="BF14" s="993">
        <f>BF55*BF67</f>
        <v>127.73756741832358</v>
      </c>
      <c r="BG14" s="993">
        <f>BG55*BG67</f>
        <v>166.68416057565349</v>
      </c>
      <c r="BH14" s="993">
        <f>BH55*BH67</f>
        <v>238.98891356949133</v>
      </c>
      <c r="BI14" s="993">
        <f>BI55*BI67</f>
        <v>102.78717544002512</v>
      </c>
      <c r="BJ14" s="1043">
        <f>BI14</f>
        <v>102.78717544002512</v>
      </c>
      <c r="BK14" s="993">
        <f>BK55*BK67</f>
        <v>133.99663993648809</v>
      </c>
      <c r="BL14" s="993">
        <f>BL55*BL67</f>
        <v>178.1979618564705</v>
      </c>
      <c r="BM14" s="993">
        <f>BM55*BM67</f>
        <v>266.54114893719168</v>
      </c>
      <c r="BN14" s="993">
        <f>BN55*BN67</f>
        <v>96.468118422179003</v>
      </c>
      <c r="BO14" s="1043">
        <f>BN14</f>
        <v>96.468118422179003</v>
      </c>
    </row>
    <row r="15" spans="1:67" s="997" customFormat="1">
      <c r="A15" s="995"/>
      <c r="B15" s="981" t="s">
        <v>228</v>
      </c>
      <c r="C15" s="994"/>
      <c r="D15" s="994"/>
      <c r="E15" s="994"/>
      <c r="F15" s="994"/>
      <c r="G15" s="1043">
        <f>F15</f>
        <v>0</v>
      </c>
      <c r="H15" s="994">
        <v>4.3390000000000004</v>
      </c>
      <c r="I15" s="994">
        <v>6.3380000000000001</v>
      </c>
      <c r="J15" s="994">
        <v>5.5890000000000004</v>
      </c>
      <c r="K15" s="994">
        <v>9.1590000000000007</v>
      </c>
      <c r="L15" s="1043">
        <f t="shared" si="0"/>
        <v>9.1590000000000007</v>
      </c>
      <c r="M15" s="994">
        <v>3.782</v>
      </c>
      <c r="N15" s="994">
        <v>5.4589999999999996</v>
      </c>
      <c r="O15" s="994">
        <v>8.9730000000000008</v>
      </c>
      <c r="P15" s="994">
        <v>10.557</v>
      </c>
      <c r="Q15" s="1043">
        <f t="shared" si="1"/>
        <v>10.557</v>
      </c>
      <c r="R15" s="994">
        <v>18.972999999999999</v>
      </c>
      <c r="S15" s="994">
        <v>10.095000000000001</v>
      </c>
      <c r="T15" s="994">
        <v>35.677999999999997</v>
      </c>
      <c r="U15" s="994">
        <v>66.2</v>
      </c>
      <c r="V15" s="1043">
        <f t="shared" si="2"/>
        <v>66.2</v>
      </c>
      <c r="W15" s="994">
        <v>89.126000000000005</v>
      </c>
      <c r="X15" s="994">
        <v>95.891000000000005</v>
      </c>
      <c r="Y15" s="994">
        <v>120.288</v>
      </c>
      <c r="Z15" s="994">
        <v>149.523</v>
      </c>
      <c r="AA15" s="1043">
        <f t="shared" si="3"/>
        <v>149.523</v>
      </c>
      <c r="AB15" s="994">
        <v>195.15100000000001</v>
      </c>
      <c r="AC15" s="994">
        <v>187.685</v>
      </c>
      <c r="AD15" s="994">
        <v>160.221</v>
      </c>
      <c r="AE15" s="994">
        <v>193.1</v>
      </c>
      <c r="AF15" s="1043">
        <f t="shared" si="4"/>
        <v>193.1</v>
      </c>
      <c r="AG15" s="994">
        <v>201.821</v>
      </c>
      <c r="AH15" s="994">
        <v>174.44499999999999</v>
      </c>
      <c r="AI15" s="994">
        <v>178.136</v>
      </c>
      <c r="AJ15" s="994">
        <v>180.018</v>
      </c>
      <c r="AK15" s="1043">
        <f t="shared" si="5"/>
        <v>180.018</v>
      </c>
      <c r="AL15" s="994">
        <v>180.99100000000001</v>
      </c>
      <c r="AM15" s="994">
        <v>149.08500000000001</v>
      </c>
      <c r="AN15" s="1207">
        <v>140.898</v>
      </c>
      <c r="AO15" s="994">
        <v>211.23400000000001</v>
      </c>
      <c r="AP15" s="1043">
        <f t="shared" si="6"/>
        <v>211.23400000000001</v>
      </c>
      <c r="AQ15" s="1207">
        <v>240.58600000000001</v>
      </c>
      <c r="AR15" s="1207">
        <v>232.864</v>
      </c>
      <c r="AS15" s="1400">
        <v>164.31899999999999</v>
      </c>
      <c r="AT15" s="993">
        <f>AT55*AT73</f>
        <v>223.61828594947383</v>
      </c>
      <c r="AU15" s="1043">
        <f>AT15</f>
        <v>223.61828594947383</v>
      </c>
      <c r="AV15" s="993">
        <f>AV55*AV73</f>
        <v>263.74750721610178</v>
      </c>
      <c r="AW15" s="993">
        <f>AW55*AW73</f>
        <v>245.33909419312346</v>
      </c>
      <c r="AX15" s="993">
        <f>AX55*AX73</f>
        <v>158.4567932161527</v>
      </c>
      <c r="AY15" s="993">
        <f>AY55*AY73</f>
        <v>230.93724068783843</v>
      </c>
      <c r="AZ15" s="1043">
        <f>AY15</f>
        <v>230.93724068783843</v>
      </c>
      <c r="BA15" s="993">
        <f>BA55*BA73</f>
        <v>294.68712517724157</v>
      </c>
      <c r="BB15" s="993">
        <f>BB55*BB73</f>
        <v>270.07456765988502</v>
      </c>
      <c r="BC15" s="993">
        <f>BC55*BC73</f>
        <v>160.22665871780083</v>
      </c>
      <c r="BD15" s="993">
        <f>BD55*BD73</f>
        <v>246.99783241300739</v>
      </c>
      <c r="BE15" s="1043">
        <f>BD15</f>
        <v>246.99783241300739</v>
      </c>
      <c r="BF15" s="993">
        <f>BF55*BF73</f>
        <v>321.18314478756298</v>
      </c>
      <c r="BG15" s="993">
        <f>BG55*BG73</f>
        <v>287.13124388695957</v>
      </c>
      <c r="BH15" s="993">
        <f>BH55*BH73</f>
        <v>152.73779256072638</v>
      </c>
      <c r="BI15" s="993">
        <f>BI55*BI73</f>
        <v>260.88510026814549</v>
      </c>
      <c r="BJ15" s="1043">
        <f>BI15</f>
        <v>260.88510026814549</v>
      </c>
      <c r="BK15" s="993">
        <f>BK55*BK73</f>
        <v>374.51315071213003</v>
      </c>
      <c r="BL15" s="993">
        <f>BL55*BL73</f>
        <v>326.06160189103485</v>
      </c>
      <c r="BM15" s="993">
        <f>BM55*BM73</f>
        <v>159.94125343199474</v>
      </c>
      <c r="BN15" s="993">
        <f>BN55*BN73</f>
        <v>289.84884445124942</v>
      </c>
      <c r="BO15" s="1043">
        <f>BN15</f>
        <v>289.84884445124942</v>
      </c>
    </row>
    <row r="16" spans="1:67" s="997" customFormat="1">
      <c r="A16" s="1006"/>
      <c r="B16" s="985" t="s">
        <v>229</v>
      </c>
      <c r="C16" s="1008"/>
      <c r="D16" s="1008"/>
      <c r="E16" s="1008"/>
      <c r="F16" s="1008">
        <f>SUM(F10:F15)</f>
        <v>0</v>
      </c>
      <c r="G16" s="1045">
        <f>F16</f>
        <v>0</v>
      </c>
      <c r="H16" s="1008">
        <f>SUM(H10:H15)</f>
        <v>323.53399999999999</v>
      </c>
      <c r="I16" s="1008">
        <f>SUM(I10:I15)</f>
        <v>319.08200000000005</v>
      </c>
      <c r="J16" s="1008">
        <f>SUM(J10:J15)</f>
        <v>738.96800000000007</v>
      </c>
      <c r="K16" s="1008">
        <f>SUM(K10:K15)</f>
        <v>698.952</v>
      </c>
      <c r="L16" s="1045">
        <f t="shared" si="0"/>
        <v>698.952</v>
      </c>
      <c r="M16" s="1008">
        <f>SUM(M10:M15)</f>
        <v>657.38400000000001</v>
      </c>
      <c r="N16" s="1008">
        <f>SUM(N10:N15)</f>
        <v>607.69399999999996</v>
      </c>
      <c r="O16" s="1008">
        <f>SUM(O10:O15)</f>
        <v>613.55899999999997</v>
      </c>
      <c r="P16" s="1008">
        <f>SUM(P10:P15)</f>
        <v>665.19399999999996</v>
      </c>
      <c r="Q16" s="1045">
        <f t="shared" si="1"/>
        <v>665.19399999999996</v>
      </c>
      <c r="R16" s="1008">
        <f>SUM(R10:R15)</f>
        <v>966.55299999999988</v>
      </c>
      <c r="S16" s="1008">
        <f>SUM(S10:S15)</f>
        <v>793.44800000000009</v>
      </c>
      <c r="T16" s="1008">
        <f>SUM(T10:T15)</f>
        <v>4986.7710000000006</v>
      </c>
      <c r="U16" s="1008">
        <f>SUM(U10:U15)</f>
        <v>4300.652</v>
      </c>
      <c r="V16" s="1045">
        <f t="shared" si="2"/>
        <v>4300.652</v>
      </c>
      <c r="W16" s="1008">
        <f>SUM(W10:W15)</f>
        <v>4221.3360000000011</v>
      </c>
      <c r="X16" s="1008">
        <f>SUM(X10:X15)</f>
        <v>4508.1019999999999</v>
      </c>
      <c r="Y16" s="1008">
        <f>SUM(Y10:Y15)</f>
        <v>4308.2569999999996</v>
      </c>
      <c r="Z16" s="1008">
        <f>SUM(Z10:Z15)</f>
        <v>4598.643</v>
      </c>
      <c r="AA16" s="1045">
        <f t="shared" si="3"/>
        <v>4598.643</v>
      </c>
      <c r="AB16" s="1008">
        <f>SUM(AB10:AB15)</f>
        <v>4341.7330000000002</v>
      </c>
      <c r="AC16" s="1008">
        <f>SUM(AC10:AC15)</f>
        <v>4503.697000000001</v>
      </c>
      <c r="AD16" s="1008">
        <f>SUM(AD10:AD15)</f>
        <v>4558.9040000000005</v>
      </c>
      <c r="AE16" s="1008">
        <f>SUM(AE10:AE15)</f>
        <v>4984.6900000000005</v>
      </c>
      <c r="AF16" s="1045">
        <f t="shared" si="4"/>
        <v>4984.6900000000005</v>
      </c>
      <c r="AG16" s="1008">
        <f>SUM(AG10:AG15)</f>
        <v>4569.5470000000005</v>
      </c>
      <c r="AH16" s="1008">
        <f>SUM(AH10:AH15)</f>
        <v>4404.951</v>
      </c>
      <c r="AI16" s="1008">
        <f>SUM(AI10:AI15)</f>
        <v>4312.2830000000004</v>
      </c>
      <c r="AJ16" s="1008">
        <f>SUM(AJ10:AJ15)</f>
        <v>5039.2639999999992</v>
      </c>
      <c r="AK16" s="1045">
        <f t="shared" si="5"/>
        <v>5039.2639999999992</v>
      </c>
      <c r="AL16" s="1008">
        <f>SUM(AL10:AL15)</f>
        <v>4143.29</v>
      </c>
      <c r="AM16" s="1008">
        <f>SUM(AM10:AM15)</f>
        <v>3898.0880000000002</v>
      </c>
      <c r="AN16" s="1208">
        <f>SUM(AN10:AN15)</f>
        <v>4984.0709999999999</v>
      </c>
      <c r="AO16" s="1008">
        <f>SUM(AO10:AO15)</f>
        <v>5869.3720000000012</v>
      </c>
      <c r="AP16" s="1045">
        <f t="shared" si="6"/>
        <v>5869.3720000000012</v>
      </c>
      <c r="AQ16" s="1208">
        <f>SUM(AQ10:AQ15)</f>
        <v>4785.9740000000002</v>
      </c>
      <c r="AR16" s="1208">
        <f>SUM(AR10:AR15)</f>
        <v>4596.1269999999995</v>
      </c>
      <c r="AS16" s="1008">
        <f>SUM(AS10:AS15)</f>
        <v>4623.4950000000008</v>
      </c>
      <c r="AT16" s="1008">
        <f>SUM(AT10:AT15)</f>
        <v>5363.8103048885496</v>
      </c>
      <c r="AU16" s="1045">
        <f>AT16</f>
        <v>5363.8103048885496</v>
      </c>
      <c r="AV16" s="1008">
        <f>SUM(AV10:AV15)</f>
        <v>5071.1186611004041</v>
      </c>
      <c r="AW16" s="1008">
        <f>SUM(AW10:AW15)</f>
        <v>5081.9055229183605</v>
      </c>
      <c r="AX16" s="1008">
        <f>SUM(AX10:AX15)</f>
        <v>5282.2296163257824</v>
      </c>
      <c r="AY16" s="1008">
        <f>SUM(AY10:AY15)</f>
        <v>6047.1185555789816</v>
      </c>
      <c r="AZ16" s="1045">
        <f>AY16</f>
        <v>6047.1185555789816</v>
      </c>
      <c r="BA16" s="1008">
        <f>SUM(BA10:BA15)</f>
        <v>5946.1195149592586</v>
      </c>
      <c r="BB16" s="1008">
        <f>SUM(BB10:BB15)</f>
        <v>6323.2023125891064</v>
      </c>
      <c r="BC16" s="1008">
        <f>SUM(BC10:BC15)</f>
        <v>6930.2709589873748</v>
      </c>
      <c r="BD16" s="1008">
        <f>SUM(BD10:BD15)</f>
        <v>8165.050862277626</v>
      </c>
      <c r="BE16" s="1045">
        <f>BD16</f>
        <v>8165.050862277626</v>
      </c>
      <c r="BF16" s="1008">
        <f>SUM(BF10:BF15)</f>
        <v>8068.6383905596249</v>
      </c>
      <c r="BG16" s="1008">
        <f>SUM(BG10:BG15)</f>
        <v>8593.7397436092997</v>
      </c>
      <c r="BH16" s="1008">
        <f>SUM(BH10:BH15)</f>
        <v>9447.3525179871594</v>
      </c>
      <c r="BI16" s="1008">
        <f>SUM(BI10:BI15)</f>
        <v>10991.155863738555</v>
      </c>
      <c r="BJ16" s="1045">
        <f>BI16</f>
        <v>10991.155863738555</v>
      </c>
      <c r="BK16" s="1008">
        <f>SUM(BK10:BK15)</f>
        <v>10842.829356622124</v>
      </c>
      <c r="BL16" s="1008">
        <f>SUM(BL10:BL15)</f>
        <v>11522.691312021896</v>
      </c>
      <c r="BM16" s="1008">
        <f>SUM(BM10:BM15)</f>
        <v>12667.518644337466</v>
      </c>
      <c r="BN16" s="1008">
        <f>SUM(BN10:BN15)</f>
        <v>14534.15160490468</v>
      </c>
      <c r="BO16" s="1045">
        <f>BN16</f>
        <v>14534.15160490468</v>
      </c>
    </row>
    <row r="17" spans="1:67" s="997" customFormat="1">
      <c r="A17" s="995"/>
      <c r="B17" s="983"/>
      <c r="C17" s="1046"/>
      <c r="D17" s="1047"/>
      <c r="E17" s="1047"/>
      <c r="F17" s="1047"/>
      <c r="G17" s="1048"/>
      <c r="H17" s="1046"/>
      <c r="I17" s="1047"/>
      <c r="J17" s="1047"/>
      <c r="K17" s="1047"/>
      <c r="L17" s="1048"/>
      <c r="M17" s="1046"/>
      <c r="N17" s="1047"/>
      <c r="O17" s="1047"/>
      <c r="P17" s="1047"/>
      <c r="Q17" s="1048"/>
      <c r="R17" s="1046"/>
      <c r="S17" s="1047"/>
      <c r="T17" s="1047"/>
      <c r="U17" s="1047"/>
      <c r="V17" s="1048"/>
      <c r="W17" s="1046"/>
      <c r="X17" s="1047"/>
      <c r="Y17" s="1047"/>
      <c r="Z17" s="1047"/>
      <c r="AA17" s="1048"/>
      <c r="AB17" s="1046"/>
      <c r="AC17" s="1047"/>
      <c r="AD17" s="1047"/>
      <c r="AE17" s="1047"/>
      <c r="AF17" s="1048"/>
      <c r="AG17" s="1046"/>
      <c r="AH17" s="1047"/>
      <c r="AI17" s="1047"/>
      <c r="AJ17" s="1047"/>
      <c r="AK17" s="1048"/>
      <c r="AL17" s="1046"/>
      <c r="AM17" s="1047"/>
      <c r="AN17" s="1209"/>
      <c r="AO17" s="1047"/>
      <c r="AP17" s="1048"/>
      <c r="AQ17" s="1348"/>
      <c r="AR17" s="1209"/>
      <c r="AS17" s="1401"/>
      <c r="AT17" s="1047"/>
      <c r="AU17" s="1048"/>
      <c r="AV17" s="1046"/>
      <c r="AW17" s="1047"/>
      <c r="AX17" s="1047"/>
      <c r="AY17" s="1047"/>
      <c r="AZ17" s="1048"/>
      <c r="BA17" s="1046"/>
      <c r="BB17" s="1047"/>
      <c r="BC17" s="1047"/>
      <c r="BD17" s="1047"/>
      <c r="BE17" s="1048"/>
      <c r="BF17" s="1046"/>
      <c r="BG17" s="1047"/>
      <c r="BH17" s="1047"/>
      <c r="BI17" s="1047"/>
      <c r="BJ17" s="1048"/>
      <c r="BK17" s="1046"/>
      <c r="BL17" s="1047"/>
      <c r="BM17" s="1047"/>
      <c r="BN17" s="1047"/>
      <c r="BO17" s="1048"/>
    </row>
    <row r="18" spans="1:67" s="997" customFormat="1">
      <c r="A18" s="995"/>
      <c r="B18" s="987" t="s">
        <v>230</v>
      </c>
      <c r="C18" s="994"/>
      <c r="D18" s="994"/>
      <c r="E18" s="994"/>
      <c r="F18" s="994"/>
      <c r="G18" s="1043">
        <f t="shared" ref="G18:G24" si="7">F18</f>
        <v>0</v>
      </c>
      <c r="H18" s="994">
        <v>0</v>
      </c>
      <c r="I18" s="994">
        <v>0</v>
      </c>
      <c r="J18" s="994">
        <v>0</v>
      </c>
      <c r="K18" s="994">
        <v>0</v>
      </c>
      <c r="L18" s="1043">
        <f t="shared" ref="L18:L24" si="8">K18</f>
        <v>0</v>
      </c>
      <c r="M18" s="994">
        <v>0</v>
      </c>
      <c r="N18" s="994">
        <v>26.728999999999999</v>
      </c>
      <c r="O18" s="994">
        <v>29.058</v>
      </c>
      <c r="P18" s="994">
        <v>23.532</v>
      </c>
      <c r="Q18" s="1043">
        <f t="shared" ref="Q18:Q25" si="9">P18</f>
        <v>23.532</v>
      </c>
      <c r="R18" s="994">
        <v>118.917</v>
      </c>
      <c r="S18" s="994">
        <v>295.94400000000002</v>
      </c>
      <c r="T18" s="994">
        <v>347.40300000000002</v>
      </c>
      <c r="U18" s="994">
        <v>1165.2750000000001</v>
      </c>
      <c r="V18" s="1043">
        <f t="shared" ref="V18:V25" si="10">U18</f>
        <v>1165.2750000000001</v>
      </c>
      <c r="W18" s="994">
        <v>1177.675</v>
      </c>
      <c r="X18" s="994">
        <v>956.01099999999997</v>
      </c>
      <c r="Y18" s="994">
        <v>1211.8579999999999</v>
      </c>
      <c r="Z18" s="994">
        <v>1256.2070000000001</v>
      </c>
      <c r="AA18" s="1043">
        <f t="shared" ref="AA18:AA25" si="11">Z18</f>
        <v>1256.2070000000001</v>
      </c>
      <c r="AB18" s="994">
        <v>1212.3779999999999</v>
      </c>
      <c r="AC18" s="994">
        <v>1086.684</v>
      </c>
      <c r="AD18" s="994">
        <v>943.08100000000002</v>
      </c>
      <c r="AE18" s="994">
        <v>1073.0229999999999</v>
      </c>
      <c r="AF18" s="1043">
        <f t="shared" ref="AF18:AF25" si="12">AE18</f>
        <v>1073.0229999999999</v>
      </c>
      <c r="AG18" s="994">
        <v>1090.7149999999999</v>
      </c>
      <c r="AH18" s="994">
        <v>1100.748</v>
      </c>
      <c r="AI18" s="994">
        <v>947.82899999999995</v>
      </c>
      <c r="AJ18" s="994">
        <v>916.30700000000002</v>
      </c>
      <c r="AK18" s="1043">
        <f t="shared" ref="AK18:AK24" si="13">AJ18</f>
        <v>916.30700000000002</v>
      </c>
      <c r="AL18" s="994">
        <v>927.98099999999999</v>
      </c>
      <c r="AM18" s="994">
        <v>697.40599999999995</v>
      </c>
      <c r="AN18" s="1207">
        <v>892.77700000000004</v>
      </c>
      <c r="AO18" s="994">
        <v>656.476</v>
      </c>
      <c r="AP18" s="1043">
        <f t="shared" ref="AP18:AP24" si="14">AO18</f>
        <v>656.476</v>
      </c>
      <c r="AQ18" s="1207">
        <v>956.14400000000001</v>
      </c>
      <c r="AR18" s="1207">
        <v>1012.904</v>
      </c>
      <c r="AS18" s="1400">
        <v>1041.4739999999999</v>
      </c>
      <c r="AT18" s="993">
        <f>AS18</f>
        <v>1041.4739999999999</v>
      </c>
      <c r="AU18" s="1043">
        <f>AT18</f>
        <v>1041.4739999999999</v>
      </c>
      <c r="AV18" s="993">
        <f>AT18</f>
        <v>1041.4739999999999</v>
      </c>
      <c r="AW18" s="993">
        <f>AV18</f>
        <v>1041.4739999999999</v>
      </c>
      <c r="AX18" s="993">
        <f>AW18</f>
        <v>1041.4739999999999</v>
      </c>
      <c r="AY18" s="993">
        <f>AX18</f>
        <v>1041.4739999999999</v>
      </c>
      <c r="AZ18" s="1043">
        <f>AY18</f>
        <v>1041.4739999999999</v>
      </c>
      <c r="BA18" s="993">
        <f>AY18</f>
        <v>1041.4739999999999</v>
      </c>
      <c r="BB18" s="993">
        <f>BA18</f>
        <v>1041.4739999999999</v>
      </c>
      <c r="BC18" s="993">
        <f>BB18</f>
        <v>1041.4739999999999</v>
      </c>
      <c r="BD18" s="993">
        <f>BC18</f>
        <v>1041.4739999999999</v>
      </c>
      <c r="BE18" s="1043">
        <f t="shared" ref="BE18:BE25" si="15">BD18</f>
        <v>1041.4739999999999</v>
      </c>
      <c r="BF18" s="993">
        <f>BD18</f>
        <v>1041.4739999999999</v>
      </c>
      <c r="BG18" s="993">
        <f>BF18</f>
        <v>1041.4739999999999</v>
      </c>
      <c r="BH18" s="993">
        <f>BG18</f>
        <v>1041.4739999999999</v>
      </c>
      <c r="BI18" s="993">
        <f>BH18</f>
        <v>1041.4739999999999</v>
      </c>
      <c r="BJ18" s="1043">
        <f t="shared" ref="BJ18:BJ25" si="16">BI18</f>
        <v>1041.4739999999999</v>
      </c>
      <c r="BK18" s="993">
        <f>BI18</f>
        <v>1041.4739999999999</v>
      </c>
      <c r="BL18" s="993">
        <f>BK18</f>
        <v>1041.4739999999999</v>
      </c>
      <c r="BM18" s="993">
        <f>BL18</f>
        <v>1041.4739999999999</v>
      </c>
      <c r="BN18" s="993">
        <f>BM18</f>
        <v>1041.4739999999999</v>
      </c>
      <c r="BO18" s="1043">
        <f t="shared" ref="BO18:BO25" si="17">BN18</f>
        <v>1041.4739999999999</v>
      </c>
    </row>
    <row r="19" spans="1:67" s="997" customFormat="1">
      <c r="A19" s="995"/>
      <c r="B19" s="987" t="s">
        <v>231</v>
      </c>
      <c r="C19" s="994"/>
      <c r="D19" s="994"/>
      <c r="E19" s="994"/>
      <c r="F19" s="994"/>
      <c r="G19" s="1043">
        <f t="shared" si="7"/>
        <v>0</v>
      </c>
      <c r="H19" s="994">
        <v>3.2789999999999999</v>
      </c>
      <c r="I19" s="994">
        <v>4.4989999999999997</v>
      </c>
      <c r="J19" s="994">
        <v>5.5129999999999999</v>
      </c>
      <c r="K19" s="994">
        <v>7.2149999999999999</v>
      </c>
      <c r="L19" s="1043">
        <f t="shared" si="8"/>
        <v>7.2149999999999999</v>
      </c>
      <c r="M19" s="994">
        <v>11.111000000000001</v>
      </c>
      <c r="N19" s="994">
        <v>21.141999999999999</v>
      </c>
      <c r="O19" s="994">
        <v>23.584</v>
      </c>
      <c r="P19" s="994">
        <v>27.135999999999999</v>
      </c>
      <c r="Q19" s="1043">
        <f t="shared" si="9"/>
        <v>27.135999999999999</v>
      </c>
      <c r="R19" s="994">
        <v>31.132999999999999</v>
      </c>
      <c r="S19" s="994">
        <v>42.765999999999998</v>
      </c>
      <c r="T19" s="994">
        <v>53.65</v>
      </c>
      <c r="U19" s="994">
        <v>68.968000000000004</v>
      </c>
      <c r="V19" s="1043">
        <f t="shared" si="10"/>
        <v>68.968000000000004</v>
      </c>
      <c r="W19" s="994">
        <v>77.075000000000003</v>
      </c>
      <c r="X19" s="994">
        <v>83.643000000000001</v>
      </c>
      <c r="Y19" s="994">
        <v>94.376999999999995</v>
      </c>
      <c r="Z19" s="994">
        <v>105.07899999999999</v>
      </c>
      <c r="AA19" s="1043">
        <f t="shared" si="11"/>
        <v>105.07899999999999</v>
      </c>
      <c r="AB19" s="994">
        <v>118.611</v>
      </c>
      <c r="AC19" s="994">
        <v>130.08199999999999</v>
      </c>
      <c r="AD19" s="994">
        <v>145.97399999999999</v>
      </c>
      <c r="AE19" s="994">
        <v>160.82300000000001</v>
      </c>
      <c r="AF19" s="1043">
        <f t="shared" si="12"/>
        <v>160.82300000000001</v>
      </c>
      <c r="AG19" s="994">
        <v>176.43299999999999</v>
      </c>
      <c r="AH19" s="994">
        <v>193.82300000000001</v>
      </c>
      <c r="AI19" s="994">
        <v>216.38</v>
      </c>
      <c r="AJ19" s="994">
        <v>247.464</v>
      </c>
      <c r="AK19" s="1043">
        <f t="shared" si="13"/>
        <v>247.464</v>
      </c>
      <c r="AL19" s="994">
        <v>263.66699999999997</v>
      </c>
      <c r="AM19" s="994">
        <v>264.77800000000002</v>
      </c>
      <c r="AN19" s="1207">
        <v>278.37400000000002</v>
      </c>
      <c r="AO19" s="994">
        <v>296.39299999999997</v>
      </c>
      <c r="AP19" s="1043">
        <f t="shared" si="14"/>
        <v>296.39299999999997</v>
      </c>
      <c r="AQ19" s="1207">
        <v>290.33199999999999</v>
      </c>
      <c r="AR19" s="1207">
        <v>283.05099999999999</v>
      </c>
      <c r="AS19" s="1400">
        <v>265.84399999999999</v>
      </c>
      <c r="AT19" s="993">
        <f>AT124</f>
        <v>261.44542933616952</v>
      </c>
      <c r="AU19" s="1043">
        <f>AT19</f>
        <v>261.44542933616952</v>
      </c>
      <c r="AV19" s="993">
        <f>AV124</f>
        <v>255.8921281674611</v>
      </c>
      <c r="AW19" s="993">
        <f>AW124</f>
        <v>252.73027498631677</v>
      </c>
      <c r="AX19" s="993">
        <f>AX124</f>
        <v>251.44084907191456</v>
      </c>
      <c r="AY19" s="993">
        <f>AY124</f>
        <v>251.11310995564716</v>
      </c>
      <c r="AZ19" s="1043">
        <f>AY19</f>
        <v>251.11310995564716</v>
      </c>
      <c r="BA19" s="993">
        <f>BA124</f>
        <v>252.2216294116987</v>
      </c>
      <c r="BB19" s="993">
        <f>BB124</f>
        <v>255.51152385657727</v>
      </c>
      <c r="BC19" s="993">
        <f>BC124</f>
        <v>260.43255900790308</v>
      </c>
      <c r="BD19" s="993">
        <f>BD124</f>
        <v>265.50239705007135</v>
      </c>
      <c r="BE19" s="1043">
        <f t="shared" si="15"/>
        <v>265.50239705007135</v>
      </c>
      <c r="BF19" s="993">
        <f>BF124</f>
        <v>271.46760368979852</v>
      </c>
      <c r="BG19" s="993">
        <f>BG124</f>
        <v>279.51565134211296</v>
      </c>
      <c r="BH19" s="993">
        <f>BH124</f>
        <v>289.83600246395127</v>
      </c>
      <c r="BI19" s="993">
        <f>BI124</f>
        <v>300.06664531875708</v>
      </c>
      <c r="BJ19" s="1043">
        <f t="shared" si="16"/>
        <v>300.06664531875708</v>
      </c>
      <c r="BK19" s="993">
        <f>BK124</f>
        <v>310.76158488461476</v>
      </c>
      <c r="BL19" s="993">
        <f>BL124</f>
        <v>323.09675402370243</v>
      </c>
      <c r="BM19" s="993">
        <f>BM124</f>
        <v>338.2924198418317</v>
      </c>
      <c r="BN19" s="993">
        <f>BN124</f>
        <v>352.57699875787284</v>
      </c>
      <c r="BO19" s="1043">
        <f t="shared" si="17"/>
        <v>352.57699875787284</v>
      </c>
    </row>
    <row r="20" spans="1:67" s="997" customFormat="1">
      <c r="A20" s="995"/>
      <c r="B20" s="987" t="s">
        <v>232</v>
      </c>
      <c r="C20" s="994"/>
      <c r="D20" s="994"/>
      <c r="E20" s="994"/>
      <c r="F20" s="994"/>
      <c r="G20" s="1044">
        <f t="shared" si="7"/>
        <v>0</v>
      </c>
      <c r="H20" s="994">
        <v>6.9420000000000002</v>
      </c>
      <c r="I20" s="994">
        <v>10.27</v>
      </c>
      <c r="J20" s="994">
        <v>12.641</v>
      </c>
      <c r="K20" s="994">
        <v>15.541</v>
      </c>
      <c r="L20" s="1043">
        <f t="shared" si="8"/>
        <v>15.541</v>
      </c>
      <c r="M20" s="994">
        <v>162.22900000000001</v>
      </c>
      <c r="N20" s="994">
        <v>197.21</v>
      </c>
      <c r="O20" s="994">
        <v>194.68799999999999</v>
      </c>
      <c r="P20" s="994">
        <v>195.976</v>
      </c>
      <c r="Q20" s="1043">
        <f t="shared" si="9"/>
        <v>195.976</v>
      </c>
      <c r="R20" s="994">
        <v>191.40899999999999</v>
      </c>
      <c r="S20" s="994">
        <v>187.05099999999999</v>
      </c>
      <c r="T20" s="994">
        <v>189.255</v>
      </c>
      <c r="U20" s="994">
        <v>186.81800000000001</v>
      </c>
      <c r="V20" s="1043">
        <f t="shared" si="10"/>
        <v>186.81800000000001</v>
      </c>
      <c r="W20" s="994">
        <v>182.05699999999999</v>
      </c>
      <c r="X20" s="994">
        <v>174.97399999999999</v>
      </c>
      <c r="Y20" s="994">
        <v>184.05699999999999</v>
      </c>
      <c r="Z20" s="994">
        <v>190.35599999999999</v>
      </c>
      <c r="AA20" s="1043">
        <f t="shared" si="11"/>
        <v>190.35599999999999</v>
      </c>
      <c r="AB20" s="994">
        <v>188.946</v>
      </c>
      <c r="AC20" s="994">
        <v>222.24</v>
      </c>
      <c r="AD20" s="994">
        <v>234.678</v>
      </c>
      <c r="AE20" s="994">
        <v>231.26599999999999</v>
      </c>
      <c r="AF20" s="1043">
        <f t="shared" si="12"/>
        <v>231.26599999999999</v>
      </c>
      <c r="AG20" s="994">
        <v>229.39400000000001</v>
      </c>
      <c r="AH20" s="994">
        <v>262.22899999999998</v>
      </c>
      <c r="AI20" s="994">
        <v>254.23599999999999</v>
      </c>
      <c r="AJ20" s="994">
        <v>252.12799999999999</v>
      </c>
      <c r="AK20" s="1043">
        <f t="shared" si="13"/>
        <v>252.12799999999999</v>
      </c>
      <c r="AL20" s="994">
        <v>244.68100000000001</v>
      </c>
      <c r="AM20" s="994">
        <v>272.459</v>
      </c>
      <c r="AN20" s="1207">
        <v>280.71899999999999</v>
      </c>
      <c r="AO20" s="994">
        <v>359.43900000000002</v>
      </c>
      <c r="AP20" s="1043">
        <f t="shared" si="14"/>
        <v>359.43900000000002</v>
      </c>
      <c r="AQ20" s="1207">
        <v>261.971</v>
      </c>
      <c r="AR20" s="1207">
        <v>262.41899999999998</v>
      </c>
      <c r="AS20" s="1400">
        <v>254.64099999999999</v>
      </c>
      <c r="AT20" s="993">
        <f>AS20</f>
        <v>254.64099999999999</v>
      </c>
      <c r="AU20" s="1043">
        <f>AT20</f>
        <v>254.64099999999999</v>
      </c>
      <c r="AV20" s="993">
        <f>AT20</f>
        <v>254.64099999999999</v>
      </c>
      <c r="AW20" s="993">
        <f>AV20</f>
        <v>254.64099999999999</v>
      </c>
      <c r="AX20" s="993">
        <f>AW20</f>
        <v>254.64099999999999</v>
      </c>
      <c r="AY20" s="993">
        <f>AX20</f>
        <v>254.64099999999999</v>
      </c>
      <c r="AZ20" s="1043">
        <f>AY20</f>
        <v>254.64099999999999</v>
      </c>
      <c r="BA20" s="993">
        <f>AY20</f>
        <v>254.64099999999999</v>
      </c>
      <c r="BB20" s="993">
        <f t="shared" ref="BB20:BD21" si="18">BA20</f>
        <v>254.64099999999999</v>
      </c>
      <c r="BC20" s="993">
        <f t="shared" si="18"/>
        <v>254.64099999999999</v>
      </c>
      <c r="BD20" s="993">
        <f t="shared" si="18"/>
        <v>254.64099999999999</v>
      </c>
      <c r="BE20" s="1043">
        <f t="shared" si="15"/>
        <v>254.64099999999999</v>
      </c>
      <c r="BF20" s="993">
        <f>BD20</f>
        <v>254.64099999999999</v>
      </c>
      <c r="BG20" s="993">
        <f t="shared" ref="BG20:BI21" si="19">BF20</f>
        <v>254.64099999999999</v>
      </c>
      <c r="BH20" s="993">
        <f t="shared" si="19"/>
        <v>254.64099999999999</v>
      </c>
      <c r="BI20" s="993">
        <f t="shared" si="19"/>
        <v>254.64099999999999</v>
      </c>
      <c r="BJ20" s="1043">
        <f t="shared" si="16"/>
        <v>254.64099999999999</v>
      </c>
      <c r="BK20" s="993">
        <f>BI20</f>
        <v>254.64099999999999</v>
      </c>
      <c r="BL20" s="993">
        <f t="shared" ref="BL20:BN21" si="20">BK20</f>
        <v>254.64099999999999</v>
      </c>
      <c r="BM20" s="993">
        <f t="shared" si="20"/>
        <v>254.64099999999999</v>
      </c>
      <c r="BN20" s="993">
        <f t="shared" si="20"/>
        <v>254.64099999999999</v>
      </c>
      <c r="BO20" s="1043">
        <f t="shared" si="17"/>
        <v>254.64099999999999</v>
      </c>
    </row>
    <row r="21" spans="1:67" s="997" customFormat="1">
      <c r="A21" s="995"/>
      <c r="B21" s="987" t="s">
        <v>44</v>
      </c>
      <c r="C21" s="994"/>
      <c r="D21" s="994"/>
      <c r="E21" s="994"/>
      <c r="F21" s="994"/>
      <c r="G21" s="1043">
        <f t="shared" si="7"/>
        <v>0</v>
      </c>
      <c r="H21" s="994">
        <v>0</v>
      </c>
      <c r="I21" s="994">
        <v>0</v>
      </c>
      <c r="J21" s="994">
        <v>0</v>
      </c>
      <c r="K21" s="994">
        <v>0</v>
      </c>
      <c r="L21" s="1043">
        <f t="shared" si="8"/>
        <v>0</v>
      </c>
      <c r="M21" s="994">
        <v>5.2119999999999997</v>
      </c>
      <c r="N21" s="994">
        <v>7.0490000000000004</v>
      </c>
      <c r="O21" s="994">
        <v>7.0490000000000004</v>
      </c>
      <c r="P21" s="994">
        <v>7.0490000000000004</v>
      </c>
      <c r="Q21" s="1043">
        <f t="shared" si="9"/>
        <v>7.0490000000000004</v>
      </c>
      <c r="R21" s="994">
        <v>7.0490000000000004</v>
      </c>
      <c r="S21" s="994">
        <v>8.4489999999999998</v>
      </c>
      <c r="T21" s="994">
        <v>8.4489999999999998</v>
      </c>
      <c r="U21" s="994">
        <v>8.4489999999999998</v>
      </c>
      <c r="V21" s="1043">
        <f t="shared" si="10"/>
        <v>8.4489999999999998</v>
      </c>
      <c r="W21" s="994">
        <v>8.4489999999999998</v>
      </c>
      <c r="X21" s="994">
        <v>8.4489999999999998</v>
      </c>
      <c r="Y21" s="994">
        <v>8.4489999999999998</v>
      </c>
      <c r="Z21" s="994">
        <v>8.4489999999999998</v>
      </c>
      <c r="AA21" s="1043">
        <f t="shared" si="11"/>
        <v>8.4489999999999998</v>
      </c>
      <c r="AB21" s="994">
        <v>502.61399999999998</v>
      </c>
      <c r="AC21" s="994">
        <v>502.61399999999998</v>
      </c>
      <c r="AD21" s="994">
        <v>649.09199999999998</v>
      </c>
      <c r="AE21" s="994">
        <v>657.37</v>
      </c>
      <c r="AF21" s="1043">
        <f t="shared" si="12"/>
        <v>657.37</v>
      </c>
      <c r="AG21" s="994">
        <v>711.25099999999998</v>
      </c>
      <c r="AH21" s="994">
        <v>774.3</v>
      </c>
      <c r="AI21" s="994">
        <v>784.40499999999997</v>
      </c>
      <c r="AJ21" s="994">
        <v>975.90599999999995</v>
      </c>
      <c r="AK21" s="1043">
        <f t="shared" si="13"/>
        <v>975.90599999999995</v>
      </c>
      <c r="AL21" s="994">
        <v>975.90599999999995</v>
      </c>
      <c r="AM21" s="994">
        <v>984.07600000000002</v>
      </c>
      <c r="AN21" s="1207">
        <v>990.66499999999996</v>
      </c>
      <c r="AO21" s="994">
        <v>1056.559</v>
      </c>
      <c r="AP21" s="1043">
        <f t="shared" si="14"/>
        <v>1056.559</v>
      </c>
      <c r="AQ21" s="1207">
        <v>1056.559</v>
      </c>
      <c r="AR21" s="1207">
        <v>1174.9780000000001</v>
      </c>
      <c r="AS21" s="1400">
        <v>1174.96</v>
      </c>
      <c r="AT21" s="993">
        <f t="shared" ref="AT21:AU22" si="21">AS21</f>
        <v>1174.96</v>
      </c>
      <c r="AU21" s="1043">
        <f t="shared" si="21"/>
        <v>1174.96</v>
      </c>
      <c r="AV21" s="993">
        <f>AT21</f>
        <v>1174.96</v>
      </c>
      <c r="AW21" s="993">
        <f t="shared" ref="AW21:AZ22" si="22">AV21</f>
        <v>1174.96</v>
      </c>
      <c r="AX21" s="993">
        <f t="shared" si="22"/>
        <v>1174.96</v>
      </c>
      <c r="AY21" s="993">
        <f t="shared" si="22"/>
        <v>1174.96</v>
      </c>
      <c r="AZ21" s="1043">
        <f t="shared" si="22"/>
        <v>1174.96</v>
      </c>
      <c r="BA21" s="993">
        <f>AY21</f>
        <v>1174.96</v>
      </c>
      <c r="BB21" s="993">
        <f t="shared" si="18"/>
        <v>1174.96</v>
      </c>
      <c r="BC21" s="993">
        <f t="shared" si="18"/>
        <v>1174.96</v>
      </c>
      <c r="BD21" s="993">
        <f t="shared" si="18"/>
        <v>1174.96</v>
      </c>
      <c r="BE21" s="1043">
        <f t="shared" si="15"/>
        <v>1174.96</v>
      </c>
      <c r="BF21" s="993">
        <f>BD21</f>
        <v>1174.96</v>
      </c>
      <c r="BG21" s="993">
        <f t="shared" si="19"/>
        <v>1174.96</v>
      </c>
      <c r="BH21" s="993">
        <f t="shared" si="19"/>
        <v>1174.96</v>
      </c>
      <c r="BI21" s="993">
        <f t="shared" si="19"/>
        <v>1174.96</v>
      </c>
      <c r="BJ21" s="1043">
        <f t="shared" si="16"/>
        <v>1174.96</v>
      </c>
      <c r="BK21" s="993">
        <f>BI21</f>
        <v>1174.96</v>
      </c>
      <c r="BL21" s="993">
        <f t="shared" si="20"/>
        <v>1174.96</v>
      </c>
      <c r="BM21" s="993">
        <f t="shared" si="20"/>
        <v>1174.96</v>
      </c>
      <c r="BN21" s="993">
        <f t="shared" si="20"/>
        <v>1174.96</v>
      </c>
      <c r="BO21" s="1043">
        <f t="shared" si="17"/>
        <v>1174.96</v>
      </c>
    </row>
    <row r="22" spans="1:67" s="997" customFormat="1">
      <c r="A22" s="1005"/>
      <c r="B22" s="987" t="s">
        <v>280</v>
      </c>
      <c r="C22" s="994"/>
      <c r="D22" s="994"/>
      <c r="E22" s="994"/>
      <c r="F22" s="994"/>
      <c r="G22" s="1043">
        <f t="shared" si="7"/>
        <v>0</v>
      </c>
      <c r="H22" s="994">
        <v>3.4000000000000002E-2</v>
      </c>
      <c r="I22" s="994">
        <v>2.8000000000000001E-2</v>
      </c>
      <c r="J22" s="994">
        <v>2.4E-2</v>
      </c>
      <c r="K22" s="994">
        <v>0.02</v>
      </c>
      <c r="L22" s="1043">
        <f t="shared" si="8"/>
        <v>0.02</v>
      </c>
      <c r="M22" s="994">
        <v>3.7770000000000001</v>
      </c>
      <c r="N22" s="994">
        <v>5.391</v>
      </c>
      <c r="O22" s="994">
        <v>5.093</v>
      </c>
      <c r="P22" s="994">
        <v>4.7949999999999999</v>
      </c>
      <c r="Q22" s="1043">
        <f t="shared" si="9"/>
        <v>4.7949999999999999</v>
      </c>
      <c r="R22" s="994">
        <v>10.4</v>
      </c>
      <c r="S22" s="994">
        <v>15.695</v>
      </c>
      <c r="T22" s="994">
        <v>14.82</v>
      </c>
      <c r="U22" s="994">
        <v>16.091000000000001</v>
      </c>
      <c r="V22" s="1043">
        <f t="shared" si="10"/>
        <v>16.091000000000001</v>
      </c>
      <c r="W22" s="994">
        <v>29.771999999999998</v>
      </c>
      <c r="X22" s="994">
        <v>28.088999999999999</v>
      </c>
      <c r="Y22" s="994">
        <v>26.167000000000002</v>
      </c>
      <c r="Z22" s="994">
        <v>37.140999999999998</v>
      </c>
      <c r="AA22" s="1043">
        <f t="shared" si="11"/>
        <v>37.140999999999998</v>
      </c>
      <c r="AB22" s="994">
        <v>181.851</v>
      </c>
      <c r="AC22" s="994">
        <v>172.25399999999999</v>
      </c>
      <c r="AD22" s="994">
        <v>196.16499999999999</v>
      </c>
      <c r="AE22" s="994">
        <v>186.01300000000001</v>
      </c>
      <c r="AF22" s="1043">
        <f t="shared" si="12"/>
        <v>186.01300000000001</v>
      </c>
      <c r="AG22" s="994">
        <v>256.41899999999998</v>
      </c>
      <c r="AH22" s="994">
        <v>346.101</v>
      </c>
      <c r="AI22" s="994">
        <v>329.767</v>
      </c>
      <c r="AJ22" s="994">
        <v>331.411</v>
      </c>
      <c r="AK22" s="1043">
        <f t="shared" si="13"/>
        <v>331.411</v>
      </c>
      <c r="AL22" s="994">
        <v>307.96699999999998</v>
      </c>
      <c r="AM22" s="994">
        <v>286.53800000000001</v>
      </c>
      <c r="AN22" s="1207">
        <v>268.51400000000001</v>
      </c>
      <c r="AO22" s="994">
        <v>278.02800000000002</v>
      </c>
      <c r="AP22" s="1043">
        <f t="shared" si="14"/>
        <v>278.02800000000002</v>
      </c>
      <c r="AQ22" s="1207">
        <v>253.94399999999999</v>
      </c>
      <c r="AR22" s="1207">
        <v>285.44799999999998</v>
      </c>
      <c r="AS22" s="1400">
        <v>256.58</v>
      </c>
      <c r="AT22" s="993">
        <f>AS22-'IS (Non-GAAP)'!AT152</f>
        <v>234.57999999999998</v>
      </c>
      <c r="AU22" s="1043">
        <f t="shared" si="21"/>
        <v>234.57999999999998</v>
      </c>
      <c r="AV22" s="993">
        <f>AT22-'IS (Non-GAAP)'!AV152</f>
        <v>213.36499999999998</v>
      </c>
      <c r="AW22" s="993">
        <f>AV22-'IS (Non-GAAP)'!AW152</f>
        <v>192.14999999999998</v>
      </c>
      <c r="AX22" s="993">
        <f>AW22-'IS (Non-GAAP)'!AX152</f>
        <v>170.93499999999997</v>
      </c>
      <c r="AY22" s="993">
        <f>AX22-'IS (Non-GAAP)'!AY152</f>
        <v>149.71999999999997</v>
      </c>
      <c r="AZ22" s="1043">
        <f t="shared" si="22"/>
        <v>149.71999999999997</v>
      </c>
      <c r="BA22" s="993">
        <f>AY22-'IS (Non-GAAP)'!BA152</f>
        <v>136.64624999999998</v>
      </c>
      <c r="BB22" s="993">
        <f>BA22-'IS (Non-GAAP)'!BB152</f>
        <v>123.57249999999998</v>
      </c>
      <c r="BC22" s="993">
        <f>BB22-'IS (Non-GAAP)'!BC152</f>
        <v>110.49874999999997</v>
      </c>
      <c r="BD22" s="993">
        <f>BC22-'IS (Non-GAAP)'!BD152</f>
        <v>97.424999999999969</v>
      </c>
      <c r="BE22" s="1043">
        <f t="shared" si="15"/>
        <v>97.424999999999969</v>
      </c>
      <c r="BF22" s="993">
        <f>BD22-'IS (Non-GAAP)'!BF152</f>
        <v>94.516749999999973</v>
      </c>
      <c r="BG22" s="993">
        <f>BF22-'IS (Non-GAAP)'!BG152</f>
        <v>91.608499999999978</v>
      </c>
      <c r="BH22" s="993">
        <f>BG22-'IS (Non-GAAP)'!BH152</f>
        <v>88.700249999999983</v>
      </c>
      <c r="BI22" s="993">
        <f>BH22-'IS (Non-GAAP)'!BI152</f>
        <v>85.791999999999987</v>
      </c>
      <c r="BJ22" s="1043">
        <f t="shared" si="16"/>
        <v>85.791999999999987</v>
      </c>
      <c r="BK22" s="993">
        <f>BI22-'IS (Non-GAAP)'!BK152</f>
        <v>82.883749999999992</v>
      </c>
      <c r="BL22" s="993">
        <f>BK22-'IS (Non-GAAP)'!BL152</f>
        <v>79.975499999999997</v>
      </c>
      <c r="BM22" s="993">
        <f>BL22-'IS (Non-GAAP)'!BM152</f>
        <v>77.067250000000001</v>
      </c>
      <c r="BN22" s="993">
        <f>BM22-'IS (Non-GAAP)'!BN152</f>
        <v>74.159000000000006</v>
      </c>
      <c r="BO22" s="1043">
        <f t="shared" si="17"/>
        <v>74.159000000000006</v>
      </c>
    </row>
    <row r="23" spans="1:67" s="997" customFormat="1">
      <c r="A23" s="1005"/>
      <c r="B23" s="987" t="s">
        <v>281</v>
      </c>
      <c r="C23" s="994"/>
      <c r="D23" s="994"/>
      <c r="E23" s="994"/>
      <c r="F23" s="994"/>
      <c r="G23" s="1043">
        <f>F23</f>
        <v>0</v>
      </c>
      <c r="H23" s="994">
        <v>11.755000000000001</v>
      </c>
      <c r="I23" s="994">
        <v>15.648</v>
      </c>
      <c r="J23" s="994">
        <v>19.442</v>
      </c>
      <c r="K23" s="994">
        <v>32.658000000000001</v>
      </c>
      <c r="L23" s="1043">
        <f t="shared" si="8"/>
        <v>32.658000000000001</v>
      </c>
      <c r="M23" s="994">
        <v>34.691000000000003</v>
      </c>
      <c r="N23" s="994">
        <v>40.988999999999997</v>
      </c>
      <c r="O23" s="994">
        <v>48.853000000000002</v>
      </c>
      <c r="P23" s="994">
        <v>69.516000000000005</v>
      </c>
      <c r="Q23" s="1043">
        <f t="shared" si="9"/>
        <v>69.516000000000005</v>
      </c>
      <c r="R23" s="994">
        <v>68.105999999999995</v>
      </c>
      <c r="S23" s="994">
        <v>69.795000000000002</v>
      </c>
      <c r="T23" s="994">
        <v>73.838999999999999</v>
      </c>
      <c r="U23" s="994">
        <v>86.164000000000001</v>
      </c>
      <c r="V23" s="1043">
        <f t="shared" si="10"/>
        <v>86.164000000000001</v>
      </c>
      <c r="W23" s="994">
        <v>89.858000000000004</v>
      </c>
      <c r="X23" s="994">
        <v>96.174000000000007</v>
      </c>
      <c r="Y23" s="994">
        <v>101.551</v>
      </c>
      <c r="Z23" s="994">
        <v>124.517</v>
      </c>
      <c r="AA23" s="1043">
        <f t="shared" si="11"/>
        <v>124.517</v>
      </c>
      <c r="AB23" s="994">
        <v>124.34</v>
      </c>
      <c r="AC23" s="994">
        <v>129.22200000000001</v>
      </c>
      <c r="AD23" s="994">
        <v>133.93899999999999</v>
      </c>
      <c r="AE23" s="994">
        <v>145.286</v>
      </c>
      <c r="AF23" s="1043">
        <f t="shared" si="12"/>
        <v>145.286</v>
      </c>
      <c r="AG23" s="994">
        <v>142.751</v>
      </c>
      <c r="AH23" s="994">
        <v>146.358</v>
      </c>
      <c r="AI23" s="994">
        <v>150.36199999999999</v>
      </c>
      <c r="AJ23" s="994">
        <v>187.09299999999999</v>
      </c>
      <c r="AK23" s="1043">
        <f t="shared" si="13"/>
        <v>187.09299999999999</v>
      </c>
      <c r="AL23" s="994">
        <v>179.917</v>
      </c>
      <c r="AM23" s="994">
        <v>177.45699999999999</v>
      </c>
      <c r="AN23" s="1207">
        <v>177.30699999999999</v>
      </c>
      <c r="AO23" s="994">
        <v>183.96700000000001</v>
      </c>
      <c r="AP23" s="1043">
        <f t="shared" si="14"/>
        <v>183.96700000000001</v>
      </c>
      <c r="AQ23" s="1207">
        <v>182.761</v>
      </c>
      <c r="AR23" s="1207">
        <v>187.20599999999999</v>
      </c>
      <c r="AS23" s="1400">
        <v>209.511</v>
      </c>
      <c r="AT23" s="993">
        <f>AT55*AT70</f>
        <v>201.59866738356865</v>
      </c>
      <c r="AU23" s="1043">
        <f>AT23</f>
        <v>201.59866738356865</v>
      </c>
      <c r="AV23" s="993">
        <f>AV55*AV70</f>
        <v>204.01824278936556</v>
      </c>
      <c r="AW23" s="993">
        <f>AW55*AW70</f>
        <v>203.06199297319222</v>
      </c>
      <c r="AX23" s="993">
        <f>AX55*AX70</f>
        <v>229.45494281558734</v>
      </c>
      <c r="AY23" s="993">
        <f>AY55*AY70</f>
        <v>219.11264204211221</v>
      </c>
      <c r="AZ23" s="1043">
        <f>AY23</f>
        <v>219.11264204211221</v>
      </c>
      <c r="BA23" s="993">
        <f>BA55*BA70</f>
        <v>220.5718098369974</v>
      </c>
      <c r="BB23" s="993">
        <f>BB55*BB70</f>
        <v>217.46650115537946</v>
      </c>
      <c r="BC23" s="993">
        <f>BC55*BC70</f>
        <v>248.81595391182432</v>
      </c>
      <c r="BD23" s="993">
        <f>BD55*BD70</f>
        <v>232.39112658444856</v>
      </c>
      <c r="BE23" s="1043">
        <f t="shared" si="15"/>
        <v>232.39112658444856</v>
      </c>
      <c r="BF23" s="993">
        <f>BF55*BF70</f>
        <v>238.3473361495364</v>
      </c>
      <c r="BG23" s="993">
        <f>BG55*BG70</f>
        <v>233.57769591845903</v>
      </c>
      <c r="BH23" s="993">
        <f>BH55*BH70</f>
        <v>274.64595681104629</v>
      </c>
      <c r="BI23" s="993">
        <f>BI55*BI70</f>
        <v>254.58799533094967</v>
      </c>
      <c r="BJ23" s="1043">
        <f t="shared" si="16"/>
        <v>254.58799533094967</v>
      </c>
      <c r="BK23" s="993">
        <f>BK55*BK70</f>
        <v>271.52098138034864</v>
      </c>
      <c r="BL23" s="993">
        <f>BL55*BL70</f>
        <v>260.31802121069774</v>
      </c>
      <c r="BM23" s="993">
        <f>BM55*BM70</f>
        <v>310.61057132983251</v>
      </c>
      <c r="BN23" s="993">
        <f>BN55*BN70</f>
        <v>282.14641112734546</v>
      </c>
      <c r="BO23" s="1043">
        <f t="shared" si="17"/>
        <v>282.14641112734546</v>
      </c>
    </row>
    <row r="24" spans="1:67" s="997" customFormat="1">
      <c r="A24" s="995"/>
      <c r="B24" s="987" t="s">
        <v>234</v>
      </c>
      <c r="C24" s="994"/>
      <c r="D24" s="994"/>
      <c r="E24" s="994"/>
      <c r="F24" s="994"/>
      <c r="G24" s="1043">
        <f t="shared" si="7"/>
        <v>0</v>
      </c>
      <c r="H24" s="994">
        <v>5.4580000000000002</v>
      </c>
      <c r="I24" s="994">
        <v>5.8819999999999997</v>
      </c>
      <c r="J24" s="994">
        <v>7.9169999999999998</v>
      </c>
      <c r="K24" s="994">
        <v>9.9019999999999992</v>
      </c>
      <c r="L24" s="1043">
        <f t="shared" si="8"/>
        <v>9.9019999999999992</v>
      </c>
      <c r="M24" s="994">
        <v>17.372</v>
      </c>
      <c r="N24" s="994">
        <v>18.920000000000002</v>
      </c>
      <c r="O24" s="994">
        <v>18.978000000000002</v>
      </c>
      <c r="P24" s="994">
        <v>19.521999999999998</v>
      </c>
      <c r="Q24" s="1043">
        <f t="shared" si="9"/>
        <v>19.521999999999998</v>
      </c>
      <c r="R24" s="994">
        <v>22.614000000000001</v>
      </c>
      <c r="S24" s="994">
        <v>24.093</v>
      </c>
      <c r="T24" s="994">
        <v>38.701999999999998</v>
      </c>
      <c r="U24" s="994">
        <v>89.322000000000003</v>
      </c>
      <c r="V24" s="1043">
        <f t="shared" si="10"/>
        <v>89.322000000000003</v>
      </c>
      <c r="W24" s="994">
        <v>142.78800000000001</v>
      </c>
      <c r="X24" s="994">
        <v>176.97399999999999</v>
      </c>
      <c r="Y24" s="994">
        <v>228.755</v>
      </c>
      <c r="Z24" s="994">
        <v>329.30599999999998</v>
      </c>
      <c r="AA24" s="1043">
        <f t="shared" si="11"/>
        <v>329.30599999999998</v>
      </c>
      <c r="AB24" s="994">
        <v>352.226</v>
      </c>
      <c r="AC24" s="994">
        <v>317.322</v>
      </c>
      <c r="AD24" s="994">
        <v>293.85500000000002</v>
      </c>
      <c r="AE24" s="994">
        <v>283.851</v>
      </c>
      <c r="AF24" s="1043">
        <f t="shared" si="12"/>
        <v>283.851</v>
      </c>
      <c r="AG24" s="994">
        <v>270.26400000000001</v>
      </c>
      <c r="AH24" s="994">
        <v>281.30599999999998</v>
      </c>
      <c r="AI24" s="994">
        <v>269.11700000000002</v>
      </c>
      <c r="AJ24" s="994">
        <v>273.81</v>
      </c>
      <c r="AK24" s="1043">
        <f t="shared" si="13"/>
        <v>273.81</v>
      </c>
      <c r="AL24" s="994">
        <v>254.60900000000001</v>
      </c>
      <c r="AM24" s="994">
        <v>363.084</v>
      </c>
      <c r="AN24" s="1207">
        <v>329.83100000000002</v>
      </c>
      <c r="AO24" s="994">
        <v>333.70400000000001</v>
      </c>
      <c r="AP24" s="1043">
        <f t="shared" si="14"/>
        <v>333.70400000000001</v>
      </c>
      <c r="AQ24" s="1207">
        <v>369.72199999999998</v>
      </c>
      <c r="AR24" s="1207">
        <v>394.59399999999999</v>
      </c>
      <c r="AS24" s="1400">
        <v>403.68599999999998</v>
      </c>
      <c r="AT24" s="993">
        <f>AT55*AT76</f>
        <v>387.97575598323937</v>
      </c>
      <c r="AU24" s="1043">
        <f>AT24</f>
        <v>387.97575598323937</v>
      </c>
      <c r="AV24" s="993">
        <f>AV55*AV76</f>
        <v>387.06825699817222</v>
      </c>
      <c r="AW24" s="993">
        <f>AW55*AW76</f>
        <v>388.61529719853769</v>
      </c>
      <c r="AX24" s="993">
        <f>AX55*AX76</f>
        <v>349.77579030592932</v>
      </c>
      <c r="AY24" s="993">
        <f>AY55*AY76</f>
        <v>419.34185566048501</v>
      </c>
      <c r="AZ24" s="1043">
        <f>AY24</f>
        <v>419.34185566048501</v>
      </c>
      <c r="BA24" s="993">
        <f>BA55*BA76</f>
        <v>415.12510281647246</v>
      </c>
      <c r="BB24" s="993">
        <f>BB55*BB76</f>
        <v>413.14583536991944</v>
      </c>
      <c r="BC24" s="993">
        <f>BC55*BC76</f>
        <v>361.4577590458635</v>
      </c>
      <c r="BD24" s="993">
        <f>BD55*BD76</f>
        <v>441.45590677151637</v>
      </c>
      <c r="BE24" s="1043">
        <f t="shared" si="15"/>
        <v>441.45590677151637</v>
      </c>
      <c r="BF24" s="993">
        <f>BF55*BF76</f>
        <v>428.83916958982695</v>
      </c>
      <c r="BG24" s="993">
        <f>BG55*BG76</f>
        <v>418.99171563187878</v>
      </c>
      <c r="BH24" s="993">
        <f>BH55*BH76</f>
        <v>356.50329079877787</v>
      </c>
      <c r="BI24" s="993">
        <f>BI55*BI76</f>
        <v>456.1002620451132</v>
      </c>
      <c r="BJ24" s="1043">
        <f t="shared" si="16"/>
        <v>456.1002620451132</v>
      </c>
      <c r="BK24" s="993">
        <f>BK55*BK76</f>
        <v>508.36501644898851</v>
      </c>
      <c r="BL24" s="993">
        <f>BL55*BL76</f>
        <v>487.93658294380072</v>
      </c>
      <c r="BM24" s="993">
        <f>BM55*BM76</f>
        <v>411.78007669242885</v>
      </c>
      <c r="BN24" s="993">
        <f>BN55*BN76</f>
        <v>528.63028169879146</v>
      </c>
      <c r="BO24" s="1043">
        <f t="shared" si="17"/>
        <v>528.63028169879146</v>
      </c>
    </row>
    <row r="25" spans="1:67" s="997" customFormat="1">
      <c r="A25" s="1006"/>
      <c r="B25" s="985" t="s">
        <v>235</v>
      </c>
      <c r="C25" s="1008"/>
      <c r="D25" s="1008"/>
      <c r="E25" s="1008"/>
      <c r="F25" s="1008">
        <f>SUM(F16,F18:F24)</f>
        <v>0</v>
      </c>
      <c r="G25" s="1045">
        <f>F25</f>
        <v>0</v>
      </c>
      <c r="H25" s="1008">
        <f>SUM(H16,H18:H24)</f>
        <v>351.00200000000001</v>
      </c>
      <c r="I25" s="1008">
        <f>SUM(I16,I18:I24)</f>
        <v>355.40900000000011</v>
      </c>
      <c r="J25" s="1008">
        <f>SUM(J16,J18:J24)</f>
        <v>784.50500000000011</v>
      </c>
      <c r="K25" s="1008">
        <f>SUM(K16,K18:K24)</f>
        <v>764.28800000000012</v>
      </c>
      <c r="L25" s="1045">
        <f>K25</f>
        <v>764.28800000000012</v>
      </c>
      <c r="M25" s="1008">
        <f>SUM(M16,M18:M24)</f>
        <v>891.77600000000007</v>
      </c>
      <c r="N25" s="1008">
        <f>SUM(N16,N18:N24)</f>
        <v>925.12400000000002</v>
      </c>
      <c r="O25" s="1008">
        <f>SUM(O16,O18:O24)</f>
        <v>940.86199999999974</v>
      </c>
      <c r="P25" s="1008">
        <f>SUM(P16,P18:P24)</f>
        <v>1012.7199999999999</v>
      </c>
      <c r="Q25" s="1045">
        <f t="shared" si="9"/>
        <v>1012.7199999999999</v>
      </c>
      <c r="R25" s="1008">
        <f>SUM(R16,R18:R24)</f>
        <v>1416.1809999999998</v>
      </c>
      <c r="S25" s="1008">
        <f>SUM(S16,S18:S24)</f>
        <v>1437.2410000000002</v>
      </c>
      <c r="T25" s="1008">
        <f>SUM(T16,T18:T24)</f>
        <v>5712.8890000000001</v>
      </c>
      <c r="U25" s="1008">
        <f>SUM(U16,U18:U24)</f>
        <v>5921.7389999999996</v>
      </c>
      <c r="V25" s="1045">
        <f t="shared" si="10"/>
        <v>5921.7389999999996</v>
      </c>
      <c r="W25" s="1008">
        <f>SUM(W16,W18:W24)</f>
        <v>5929.01</v>
      </c>
      <c r="X25" s="1008">
        <f>SUM(X16,X18:X24)</f>
        <v>6032.4159999999993</v>
      </c>
      <c r="Y25" s="1008">
        <f>SUM(Y16,Y18:Y24)</f>
        <v>6163.4710000000005</v>
      </c>
      <c r="Z25" s="1008">
        <f>SUM(Z16,Z18:Z24)</f>
        <v>6649.6979999999985</v>
      </c>
      <c r="AA25" s="1045">
        <f t="shared" si="11"/>
        <v>6649.6979999999985</v>
      </c>
      <c r="AB25" s="1008">
        <f>SUM(AB16,AB18:AB24)</f>
        <v>7022.6989999999987</v>
      </c>
      <c r="AC25" s="1008">
        <f>SUM(AC16,AC18:AC24)</f>
        <v>7064.1150000000007</v>
      </c>
      <c r="AD25" s="1008">
        <f>SUM(AD16,AD18:AD24)</f>
        <v>7155.6880000000001</v>
      </c>
      <c r="AE25" s="1008">
        <f>SUM(AE16,AE18:AE24)</f>
        <v>7722.3220000000001</v>
      </c>
      <c r="AF25" s="1045">
        <f t="shared" si="12"/>
        <v>7722.3220000000001</v>
      </c>
      <c r="AG25" s="1008">
        <f>SUM(AG16,AG18:AG24)</f>
        <v>7446.7740000000013</v>
      </c>
      <c r="AH25" s="1008">
        <f>SUM(AH16,AH18:AH24)</f>
        <v>7509.8160000000007</v>
      </c>
      <c r="AI25" s="1008">
        <f>SUM(AI16,AI18:AI24)</f>
        <v>7264.3789999999999</v>
      </c>
      <c r="AJ25" s="1008">
        <f>SUM(AJ16,AJ18:AJ24)</f>
        <v>8223.382999999998</v>
      </c>
      <c r="AK25" s="1045">
        <f>AJ25</f>
        <v>8223.382999999998</v>
      </c>
      <c r="AL25" s="1008">
        <f>SUM(AL16,AL18:AL24)</f>
        <v>7298.018</v>
      </c>
      <c r="AM25" s="1008">
        <f>SUM(AM16,AM18:AM24)</f>
        <v>6943.8860000000013</v>
      </c>
      <c r="AN25" s="1208">
        <f>SUM(AN16,AN18:AN24)</f>
        <v>8202.2579999999998</v>
      </c>
      <c r="AO25" s="1008">
        <f>SUM(AO16,AO18:AO24)</f>
        <v>9033.9380000000019</v>
      </c>
      <c r="AP25" s="1045">
        <f>AO25</f>
        <v>9033.9380000000019</v>
      </c>
      <c r="AQ25" s="1208">
        <f>SUM(AQ16,AQ18:AQ24)</f>
        <v>8157.4070000000011</v>
      </c>
      <c r="AR25" s="1208">
        <f>SUM(AR16,AR18:AR24)</f>
        <v>8196.726999999999</v>
      </c>
      <c r="AS25" s="1008">
        <f>SUM(AS16,AS18:AS24)</f>
        <v>8230.1910000000007</v>
      </c>
      <c r="AT25" s="1008">
        <f>SUM(AT16,AT18:AT24)</f>
        <v>8920.4851575915272</v>
      </c>
      <c r="AU25" s="1045">
        <f>AT25</f>
        <v>8920.4851575915272</v>
      </c>
      <c r="AV25" s="1008">
        <f>SUM(AV16,AV18:AV24)</f>
        <v>8602.5372890554027</v>
      </c>
      <c r="AW25" s="1008">
        <f>SUM(AW16,AW18:AW24)</f>
        <v>8589.538088076406</v>
      </c>
      <c r="AX25" s="1008">
        <f>SUM(AX16,AX18:AX24)</f>
        <v>8754.9111985192139</v>
      </c>
      <c r="AY25" s="1008">
        <f>SUM(AY16,AY18:AY24)</f>
        <v>9557.4811632372239</v>
      </c>
      <c r="AZ25" s="1045">
        <f>AY25</f>
        <v>9557.4811632372239</v>
      </c>
      <c r="BA25" s="1008">
        <f>SUM(BA16,BA18:BA24)</f>
        <v>9441.7593070244257</v>
      </c>
      <c r="BB25" s="1008">
        <f>SUM(BB16,BB18:BB24)</f>
        <v>9803.9736729709839</v>
      </c>
      <c r="BC25" s="1008">
        <f>SUM(BC16,BC18:BC24)</f>
        <v>10382.550980952965</v>
      </c>
      <c r="BD25" s="1008">
        <f>SUM(BD16,BD18:BD24)</f>
        <v>11672.90029268366</v>
      </c>
      <c r="BE25" s="1045">
        <f t="shared" si="15"/>
        <v>11672.90029268366</v>
      </c>
      <c r="BF25" s="1008">
        <f>SUM(BF16,BF18:BF24)</f>
        <v>11572.884249988785</v>
      </c>
      <c r="BG25" s="1008">
        <f>SUM(BG16,BG18:BG24)</f>
        <v>12088.50830650175</v>
      </c>
      <c r="BH25" s="1008">
        <f>SUM(BH16,BH18:BH24)</f>
        <v>12928.113018060933</v>
      </c>
      <c r="BI25" s="1008">
        <f>SUM(BI16,BI18:BI24)</f>
        <v>14558.777766433375</v>
      </c>
      <c r="BJ25" s="1045">
        <f t="shared" si="16"/>
        <v>14558.777766433375</v>
      </c>
      <c r="BK25" s="1008">
        <f>SUM(BK16,BK18:BK24)</f>
        <v>14487.435689336075</v>
      </c>
      <c r="BL25" s="1008">
        <f>SUM(BL16,BL18:BL24)</f>
        <v>15145.093170200096</v>
      </c>
      <c r="BM25" s="1008">
        <f>SUM(BM16,BM18:BM24)</f>
        <v>16276.343962201558</v>
      </c>
      <c r="BN25" s="1008">
        <f>SUM(BN16,BN18:BN24)</f>
        <v>18242.739296488689</v>
      </c>
      <c r="BO25" s="1045">
        <f t="shared" si="17"/>
        <v>18242.739296488689</v>
      </c>
    </row>
    <row r="26" spans="1:67" s="997" customFormat="1">
      <c r="A26" s="995"/>
      <c r="B26" s="983"/>
      <c r="C26" s="1014"/>
      <c r="D26" s="1012"/>
      <c r="E26" s="1012"/>
      <c r="F26" s="1012"/>
      <c r="G26" s="1048"/>
      <c r="H26" s="1014"/>
      <c r="I26" s="1012"/>
      <c r="J26" s="1012"/>
      <c r="K26" s="1012"/>
      <c r="L26" s="1048"/>
      <c r="M26" s="1014"/>
      <c r="N26" s="1012"/>
      <c r="O26" s="1012"/>
      <c r="P26" s="1012"/>
      <c r="Q26" s="1048"/>
      <c r="R26" s="1014"/>
      <c r="S26" s="1012"/>
      <c r="T26" s="1012"/>
      <c r="U26" s="1012"/>
      <c r="V26" s="1048"/>
      <c r="W26" s="1014"/>
      <c r="X26" s="1012"/>
      <c r="Y26" s="1012"/>
      <c r="Z26" s="1012"/>
      <c r="AA26" s="1048"/>
      <c r="AB26" s="1014"/>
      <c r="AC26" s="1012"/>
      <c r="AD26" s="1012"/>
      <c r="AE26" s="1012"/>
      <c r="AF26" s="1048"/>
      <c r="AG26" s="1014"/>
      <c r="AH26" s="1012"/>
      <c r="AI26" s="1012"/>
      <c r="AJ26" s="1012"/>
      <c r="AK26" s="1048"/>
      <c r="AL26" s="1014"/>
      <c r="AM26" s="1012"/>
      <c r="AN26" s="1012"/>
      <c r="AO26" s="1012"/>
      <c r="AP26" s="1048"/>
      <c r="AQ26" s="1349"/>
      <c r="AR26" s="1391"/>
      <c r="AS26" s="1012"/>
      <c r="AT26" s="1012"/>
      <c r="AU26" s="1048"/>
      <c r="AV26" s="1014"/>
      <c r="AW26" s="1012"/>
      <c r="AX26" s="1012"/>
      <c r="AY26" s="1012"/>
      <c r="AZ26" s="1048"/>
      <c r="BA26" s="1014"/>
      <c r="BB26" s="1012"/>
      <c r="BC26" s="1012"/>
      <c r="BD26" s="1012"/>
      <c r="BE26" s="1048"/>
      <c r="BF26" s="1014"/>
      <c r="BG26" s="1012"/>
      <c r="BH26" s="1012"/>
      <c r="BI26" s="1012"/>
      <c r="BJ26" s="1048"/>
      <c r="BK26" s="1014"/>
      <c r="BL26" s="1012"/>
      <c r="BM26" s="1012"/>
      <c r="BN26" s="1012"/>
      <c r="BO26" s="1048"/>
    </row>
    <row r="27" spans="1:67" s="997" customFormat="1">
      <c r="A27" s="995"/>
      <c r="B27" s="986" t="s">
        <v>236</v>
      </c>
      <c r="C27" s="1011"/>
      <c r="D27" s="1011"/>
      <c r="E27" s="1011"/>
      <c r="F27" s="1011"/>
      <c r="G27" s="1048"/>
      <c r="H27" s="1011"/>
      <c r="I27" s="1011"/>
      <c r="J27" s="1011"/>
      <c r="K27" s="1011"/>
      <c r="L27" s="1048"/>
      <c r="M27" s="1011"/>
      <c r="N27" s="1011"/>
      <c r="O27" s="1011"/>
      <c r="P27" s="1011"/>
      <c r="Q27" s="1048"/>
      <c r="R27" s="1011"/>
      <c r="S27" s="1011"/>
      <c r="T27" s="1011"/>
      <c r="U27" s="1011"/>
      <c r="V27" s="1048"/>
      <c r="W27" s="1011"/>
      <c r="X27" s="1011"/>
      <c r="Y27" s="1011"/>
      <c r="Z27" s="1011"/>
      <c r="AA27" s="1048"/>
      <c r="AB27" s="1011"/>
      <c r="AC27" s="1011"/>
      <c r="AD27" s="1011"/>
      <c r="AE27" s="1011"/>
      <c r="AF27" s="1048"/>
      <c r="AG27" s="1011"/>
      <c r="AH27" s="1011"/>
      <c r="AI27" s="1011"/>
      <c r="AJ27" s="1011"/>
      <c r="AK27" s="1048"/>
      <c r="AL27" s="1011"/>
      <c r="AM27" s="1011"/>
      <c r="AN27" s="1011"/>
      <c r="AO27" s="1011"/>
      <c r="AP27" s="1048"/>
      <c r="AQ27" s="1350"/>
      <c r="AR27" s="1350"/>
      <c r="AS27" s="1011"/>
      <c r="AT27" s="1011"/>
      <c r="AU27" s="1048"/>
      <c r="AV27" s="1011"/>
      <c r="AW27" s="1011"/>
      <c r="AX27" s="1011"/>
      <c r="AY27" s="1011"/>
      <c r="AZ27" s="1048"/>
      <c r="BA27" s="1011"/>
      <c r="BB27" s="1011"/>
      <c r="BC27" s="1011"/>
      <c r="BD27" s="1011"/>
      <c r="BE27" s="1048"/>
      <c r="BF27" s="1011"/>
      <c r="BG27" s="1011"/>
      <c r="BH27" s="1011"/>
      <c r="BI27" s="1011"/>
      <c r="BJ27" s="1048"/>
      <c r="BK27" s="1011"/>
      <c r="BL27" s="1011"/>
      <c r="BM27" s="1011"/>
      <c r="BN27" s="1011"/>
      <c r="BO27" s="1048"/>
    </row>
    <row r="28" spans="1:67" s="997" customFormat="1">
      <c r="A28" s="995"/>
      <c r="B28" s="987" t="s">
        <v>149</v>
      </c>
      <c r="C28" s="1002"/>
      <c r="D28" s="1002"/>
      <c r="E28" s="1002"/>
      <c r="F28" s="1002"/>
      <c r="G28" s="1043">
        <f>F28</f>
        <v>0</v>
      </c>
      <c r="H28" s="1002">
        <v>5.7279999999999998</v>
      </c>
      <c r="I28" s="1002">
        <v>8.5570000000000004</v>
      </c>
      <c r="J28" s="1002">
        <v>7.7030000000000003</v>
      </c>
      <c r="K28" s="1002">
        <v>8.2579999999999991</v>
      </c>
      <c r="L28" s="1043">
        <f>K28</f>
        <v>8.2579999999999991</v>
      </c>
      <c r="M28" s="1002">
        <v>18.649000000000001</v>
      </c>
      <c r="N28" s="1002">
        <v>12.746</v>
      </c>
      <c r="O28" s="1002">
        <v>19.39</v>
      </c>
      <c r="P28" s="1002">
        <v>8.4879999999999995</v>
      </c>
      <c r="Q28" s="1043">
        <f t="shared" ref="Q28:Q38" si="23">P28</f>
        <v>8.4879999999999995</v>
      </c>
      <c r="R28" s="1002">
        <v>5.5759999999999996</v>
      </c>
      <c r="S28" s="1002">
        <v>7.7130000000000001</v>
      </c>
      <c r="T28" s="1002">
        <v>5.0609999999999999</v>
      </c>
      <c r="U28" s="1002">
        <v>5.6470000000000002</v>
      </c>
      <c r="V28" s="1043">
        <f t="shared" ref="V28:V37" si="24">U28</f>
        <v>5.6470000000000002</v>
      </c>
      <c r="W28" s="1002">
        <v>4.3710000000000004</v>
      </c>
      <c r="X28" s="1002">
        <v>9.4749999999999996</v>
      </c>
      <c r="Y28" s="1002">
        <v>10.558999999999999</v>
      </c>
      <c r="Z28" s="1002">
        <v>13.441000000000001</v>
      </c>
      <c r="AA28" s="1043">
        <f>Z28</f>
        <v>13.441000000000001</v>
      </c>
      <c r="AB28" s="1002">
        <v>18.442</v>
      </c>
      <c r="AC28" s="1002">
        <v>20.286000000000001</v>
      </c>
      <c r="AD28" s="1002">
        <v>24.757000000000001</v>
      </c>
      <c r="AE28" s="1002">
        <v>23.672000000000001</v>
      </c>
      <c r="AF28" s="1043">
        <f>AE28</f>
        <v>23.672000000000001</v>
      </c>
      <c r="AG28" s="1002">
        <v>22.221</v>
      </c>
      <c r="AH28" s="1002">
        <v>41.247999999999998</v>
      </c>
      <c r="AI28" s="1002">
        <v>75.456000000000003</v>
      </c>
      <c r="AJ28" s="1002">
        <v>51.720999999999997</v>
      </c>
      <c r="AK28" s="1043">
        <f>AJ28</f>
        <v>51.720999999999997</v>
      </c>
      <c r="AL28" s="1002">
        <v>64.239000000000004</v>
      </c>
      <c r="AM28" s="1002">
        <v>134.53700000000001</v>
      </c>
      <c r="AN28" s="1051">
        <v>148.91999999999999</v>
      </c>
      <c r="AO28" s="1002">
        <v>169.767</v>
      </c>
      <c r="AP28" s="1043">
        <f>AO28</f>
        <v>169.767</v>
      </c>
      <c r="AQ28" s="1051">
        <v>155.26300000000001</v>
      </c>
      <c r="AR28" s="1051">
        <v>166.786</v>
      </c>
      <c r="AS28" s="1002">
        <v>193.691</v>
      </c>
      <c r="AT28" s="1020">
        <f>(AT79*AT81)/AT80</f>
        <v>230.19359821291874</v>
      </c>
      <c r="AU28" s="1043">
        <f>AT28</f>
        <v>230.19359821291874</v>
      </c>
      <c r="AV28" s="1020">
        <f>(AV79*AV81)/AV80</f>
        <v>201.40271506885944</v>
      </c>
      <c r="AW28" s="1020">
        <f>(AW79*AW81)/AW80</f>
        <v>210.30467762459546</v>
      </c>
      <c r="AX28" s="1020">
        <f>(AX79*AX81)/AX80</f>
        <v>243.84418096088038</v>
      </c>
      <c r="AY28" s="1020">
        <f>(AY79*AY81)/AY80</f>
        <v>285.22991656442531</v>
      </c>
      <c r="AZ28" s="1043">
        <f>AY28</f>
        <v>285.22991656442531</v>
      </c>
      <c r="BA28" s="1020">
        <f>(BA79*BA81)/BA80</f>
        <v>259.84016362771371</v>
      </c>
      <c r="BB28" s="1020">
        <f>(BB79*BB81)/BB80</f>
        <v>271.32933881139945</v>
      </c>
      <c r="BC28" s="1020">
        <f>(BC79*BC81)/BC80</f>
        <v>314.41665799632574</v>
      </c>
      <c r="BD28" s="1020">
        <f>(BD79*BD81)/BD80</f>
        <v>363.98210694811377</v>
      </c>
      <c r="BE28" s="1043">
        <f t="shared" ref="BE28:BE37" si="25">BD28</f>
        <v>363.98210694811377</v>
      </c>
      <c r="BF28" s="1020">
        <f>(BF79*BF81)/BF80</f>
        <v>326.75429201732248</v>
      </c>
      <c r="BG28" s="1020">
        <f>(BG79*BG81)/BG80</f>
        <v>343.56670025807739</v>
      </c>
      <c r="BH28" s="1020">
        <f>(BH79*BH81)/BH80</f>
        <v>403.43584521683476</v>
      </c>
      <c r="BI28" s="1020">
        <f>(BI79*BI81)/BI80</f>
        <v>468.46883438712479</v>
      </c>
      <c r="BJ28" s="1043">
        <f t="shared" ref="BJ28:BJ37" si="26">BI28</f>
        <v>468.46883438712479</v>
      </c>
      <c r="BK28" s="1020">
        <f>(BK79*BK81)/BK80</f>
        <v>424.74201177860834</v>
      </c>
      <c r="BL28" s="1020">
        <f>(BL79*BL81)/BL80</f>
        <v>435.61593879180981</v>
      </c>
      <c r="BM28" s="1020">
        <f>(BM79*BM81)/BM80</f>
        <v>513.49148699483089</v>
      </c>
      <c r="BN28" s="1020">
        <f>(BN79*BN81)/BN80</f>
        <v>590.06379406696362</v>
      </c>
      <c r="BO28" s="1043">
        <f>BN28</f>
        <v>590.06379406696362</v>
      </c>
    </row>
    <row r="29" spans="1:67" s="997" customFormat="1">
      <c r="A29" s="995"/>
      <c r="B29" s="987" t="s">
        <v>237</v>
      </c>
      <c r="C29" s="1002"/>
      <c r="D29" s="1002"/>
      <c r="E29" s="1002"/>
      <c r="F29" s="1002"/>
      <c r="G29" s="1043">
        <f>F29</f>
        <v>0</v>
      </c>
      <c r="H29" s="1002">
        <v>8.7379999999999995</v>
      </c>
      <c r="I29" s="1002">
        <v>11.956</v>
      </c>
      <c r="J29" s="1002">
        <v>21.59</v>
      </c>
      <c r="K29" s="1002">
        <v>28.51</v>
      </c>
      <c r="L29" s="1043">
        <f>K29</f>
        <v>28.51</v>
      </c>
      <c r="M29" s="1002">
        <v>23.367999999999999</v>
      </c>
      <c r="N29" s="1002">
        <v>38.954999999999998</v>
      </c>
      <c r="O29" s="1002">
        <v>41.457000000000001</v>
      </c>
      <c r="P29" s="1002">
        <v>62.817</v>
      </c>
      <c r="Q29" s="1043">
        <f t="shared" si="23"/>
        <v>62.817</v>
      </c>
      <c r="R29" s="1002">
        <v>57.643000000000001</v>
      </c>
      <c r="S29" s="1002">
        <v>79.156999999999996</v>
      </c>
      <c r="T29" s="1002">
        <v>85.037999999999997</v>
      </c>
      <c r="U29" s="1002">
        <v>125.315</v>
      </c>
      <c r="V29" s="1043">
        <f t="shared" si="24"/>
        <v>125.315</v>
      </c>
      <c r="W29" s="1002">
        <v>116.807</v>
      </c>
      <c r="X29" s="1002">
        <v>143.864</v>
      </c>
      <c r="Y29" s="1002">
        <v>163.238</v>
      </c>
      <c r="Z29" s="1002">
        <v>200.66399999999999</v>
      </c>
      <c r="AA29" s="1043">
        <f>Z29</f>
        <v>200.66399999999999</v>
      </c>
      <c r="AB29" s="1002">
        <v>185.28100000000001</v>
      </c>
      <c r="AC29" s="1002">
        <v>209.77199999999999</v>
      </c>
      <c r="AD29" s="1002">
        <v>225.321</v>
      </c>
      <c r="AE29" s="1002">
        <v>269.06900000000002</v>
      </c>
      <c r="AF29" s="1043">
        <f>AE29</f>
        <v>269.06900000000002</v>
      </c>
      <c r="AG29" s="1002">
        <v>275.685</v>
      </c>
      <c r="AH29" s="1002">
        <v>315.13299999999998</v>
      </c>
      <c r="AI29" s="1002">
        <v>318.28100000000001</v>
      </c>
      <c r="AJ29" s="1002">
        <v>446.86</v>
      </c>
      <c r="AK29" s="1043">
        <f>AJ29</f>
        <v>446.86</v>
      </c>
      <c r="AL29" s="1002">
        <v>398.00200000000001</v>
      </c>
      <c r="AM29" s="1002">
        <v>448.92599999999999</v>
      </c>
      <c r="AN29" s="1051">
        <v>485.13</v>
      </c>
      <c r="AO29" s="1002">
        <v>515.45399999999995</v>
      </c>
      <c r="AP29" s="1043">
        <f>AO29</f>
        <v>515.45399999999995</v>
      </c>
      <c r="AQ29" s="1051">
        <v>528.38</v>
      </c>
      <c r="AR29" s="1051">
        <v>622.79999999999995</v>
      </c>
      <c r="AS29" s="1002">
        <v>725.79300000000001</v>
      </c>
      <c r="AT29" s="1020">
        <f>AT55*AT86</f>
        <v>684.1753457370811</v>
      </c>
      <c r="AU29" s="1043">
        <f>AT29</f>
        <v>684.1753457370811</v>
      </c>
      <c r="AV29" s="1020">
        <f>AV55*AV86</f>
        <v>705.14797916359646</v>
      </c>
      <c r="AW29" s="1020">
        <f>AW55*AW86</f>
        <v>812.15230302150815</v>
      </c>
      <c r="AX29" s="1020">
        <f>AX55*AX86</f>
        <v>944.03977368883739</v>
      </c>
      <c r="AY29" s="1020">
        <f>AY55*AY86</f>
        <v>895.24397289385752</v>
      </c>
      <c r="AZ29" s="1043">
        <f>AY29</f>
        <v>895.24397289385752</v>
      </c>
      <c r="BA29" s="1020">
        <f>BA55*BA86</f>
        <v>907.57101735944616</v>
      </c>
      <c r="BB29" s="1020">
        <f>BB55*BB86</f>
        <v>1045.8287499115252</v>
      </c>
      <c r="BC29" s="1020">
        <f>BC55*BC86</f>
        <v>1215.4344587477356</v>
      </c>
      <c r="BD29" s="1020">
        <f>BD55*BD86</f>
        <v>1148.9371125350326</v>
      </c>
      <c r="BE29" s="1043">
        <f t="shared" si="25"/>
        <v>1148.9371125350326</v>
      </c>
      <c r="BF29" s="1020">
        <f>BF55*BF86</f>
        <v>1158.0687935409253</v>
      </c>
      <c r="BG29" s="1020">
        <f>BG55*BG86</f>
        <v>1328.1144618483097</v>
      </c>
      <c r="BH29" s="1020">
        <f>BH55*BH86</f>
        <v>1566.1928519923927</v>
      </c>
      <c r="BI29" s="1020">
        <f>BI55*BI86</f>
        <v>1491.0831090073841</v>
      </c>
      <c r="BJ29" s="1043">
        <f t="shared" si="26"/>
        <v>1491.0831090073841</v>
      </c>
      <c r="BK29" s="1020">
        <f>BK55*BK86</f>
        <v>1479.5777084430142</v>
      </c>
      <c r="BL29" s="1020">
        <f>BL55*BL86</f>
        <v>1672.7080167530385</v>
      </c>
      <c r="BM29" s="1020">
        <f>BM55*BM86</f>
        <v>1981.8263795340463</v>
      </c>
      <c r="BN29" s="1020">
        <f>BN55*BN86</f>
        <v>1870.661954333553</v>
      </c>
      <c r="BO29" s="1043">
        <f>BN29</f>
        <v>1870.661954333553</v>
      </c>
    </row>
    <row r="30" spans="1:67" s="997" customFormat="1">
      <c r="A30" s="995"/>
      <c r="B30" s="987" t="s">
        <v>239</v>
      </c>
      <c r="C30" s="1002"/>
      <c r="D30" s="1002"/>
      <c r="E30" s="1002"/>
      <c r="F30" s="1002"/>
      <c r="G30" s="1043">
        <f>F30</f>
        <v>0</v>
      </c>
      <c r="H30" s="1002">
        <v>1.9530000000000001</v>
      </c>
      <c r="I30" s="1002">
        <v>3.1259999999999999</v>
      </c>
      <c r="J30" s="1002">
        <v>3.593</v>
      </c>
      <c r="K30" s="1002">
        <v>4.117</v>
      </c>
      <c r="L30" s="1043">
        <f>K30</f>
        <v>4.117</v>
      </c>
      <c r="M30" s="1002">
        <v>13.805</v>
      </c>
      <c r="N30" s="1002">
        <v>16.422999999999998</v>
      </c>
      <c r="O30" s="1002">
        <v>16.611000000000001</v>
      </c>
      <c r="P30" s="1002">
        <v>18.091999999999999</v>
      </c>
      <c r="Q30" s="1043">
        <f t="shared" si="23"/>
        <v>18.091999999999999</v>
      </c>
      <c r="R30" s="1002">
        <v>18.253</v>
      </c>
      <c r="S30" s="1002">
        <v>17.204000000000001</v>
      </c>
      <c r="T30" s="1002">
        <v>19.332999999999998</v>
      </c>
      <c r="U30" s="1002">
        <v>19.649999999999999</v>
      </c>
      <c r="V30" s="1043">
        <f t="shared" si="24"/>
        <v>19.649999999999999</v>
      </c>
      <c r="W30" s="1002">
        <v>20.734000000000002</v>
      </c>
      <c r="X30" s="1002">
        <v>20.640999999999998</v>
      </c>
      <c r="Y30" s="1002">
        <v>25.193999999999999</v>
      </c>
      <c r="Z30" s="1002">
        <v>25.100999999999999</v>
      </c>
      <c r="AA30" s="1043">
        <f>Z30</f>
        <v>25.100999999999999</v>
      </c>
      <c r="AB30" s="1002">
        <v>27.297999999999998</v>
      </c>
      <c r="AC30" s="1002">
        <v>26.605</v>
      </c>
      <c r="AD30" s="1002">
        <v>29.263000000000002</v>
      </c>
      <c r="AE30" s="1002">
        <v>27.300999999999998</v>
      </c>
      <c r="AF30" s="1043">
        <f>AE30</f>
        <v>27.300999999999998</v>
      </c>
      <c r="AG30" s="1002">
        <v>29.19</v>
      </c>
      <c r="AH30" s="1002">
        <v>33.845999999999997</v>
      </c>
      <c r="AI30" s="1002">
        <v>33.347999999999999</v>
      </c>
      <c r="AJ30" s="1002">
        <v>33.944000000000003</v>
      </c>
      <c r="AK30" s="1043">
        <f>AJ30</f>
        <v>33.944000000000003</v>
      </c>
      <c r="AL30" s="1002">
        <v>30.94</v>
      </c>
      <c r="AM30" s="1002">
        <v>32.843000000000004</v>
      </c>
      <c r="AN30" s="1051">
        <v>38.287999999999997</v>
      </c>
      <c r="AO30" s="1002">
        <v>35.923000000000002</v>
      </c>
      <c r="AP30" s="1043">
        <f>AO30</f>
        <v>35.923000000000002</v>
      </c>
      <c r="AQ30" s="1051">
        <v>37.097999999999999</v>
      </c>
      <c r="AR30" s="1051">
        <v>38.109000000000002</v>
      </c>
      <c r="AS30" s="1002">
        <v>40.207999999999998</v>
      </c>
      <c r="AT30" s="1020">
        <f>AT55*AT92</f>
        <v>80.428702883840415</v>
      </c>
      <c r="AU30" s="1043">
        <f>AT30</f>
        <v>80.428702883840415</v>
      </c>
      <c r="AV30" s="1020">
        <f>AV55*AV92</f>
        <v>86.133728417021246</v>
      </c>
      <c r="AW30" s="1020">
        <f>AW55*AW92</f>
        <v>89.548918364890412</v>
      </c>
      <c r="AX30" s="1020">
        <f>AX55*AX92</f>
        <v>94.871232177704343</v>
      </c>
      <c r="AY30" s="1020">
        <f>AY55*AY92</f>
        <v>146.25422102577599</v>
      </c>
      <c r="AZ30" s="1043">
        <f>AY30</f>
        <v>146.25422102577599</v>
      </c>
      <c r="BA30" s="1020">
        <f>BA55*BA92</f>
        <v>131.31823825108776</v>
      </c>
      <c r="BB30" s="1020">
        <f>BB55*BB92</f>
        <v>137.84364222646713</v>
      </c>
      <c r="BC30" s="1020">
        <f>BC55*BC92</f>
        <v>146.49550952648045</v>
      </c>
      <c r="BD30" s="1020">
        <f>BD55*BD92</f>
        <v>209.37107766503186</v>
      </c>
      <c r="BE30" s="1043">
        <f t="shared" si="25"/>
        <v>209.37107766503186</v>
      </c>
      <c r="BF30" s="1020">
        <f>BF55*BF92</f>
        <v>180.88413996366472</v>
      </c>
      <c r="BG30" s="1020">
        <f>BG55*BG92</f>
        <v>190.0511589460277</v>
      </c>
      <c r="BH30" s="1020">
        <f>BH55*BH92</f>
        <v>205.63297182042697</v>
      </c>
      <c r="BI30" s="1020">
        <f>BI55*BI92</f>
        <v>285.61479067872682</v>
      </c>
      <c r="BJ30" s="1043">
        <f t="shared" si="26"/>
        <v>285.61479067872682</v>
      </c>
      <c r="BK30" s="1020">
        <f>BK55*BK92</f>
        <v>249.72170203135684</v>
      </c>
      <c r="BL30" s="1020">
        <f>BL55*BL92</f>
        <v>259.73861097889534</v>
      </c>
      <c r="BM30" s="1020">
        <f>BM55*BM92</f>
        <v>282.97804533591722</v>
      </c>
      <c r="BN30" s="1020">
        <f>BN55*BN92</f>
        <v>378.6137289886554</v>
      </c>
      <c r="BO30" s="1043">
        <f>BN30</f>
        <v>378.6137289886554</v>
      </c>
    </row>
    <row r="31" spans="1:67" s="997" customFormat="1">
      <c r="A31" s="995"/>
      <c r="B31" s="987" t="s">
        <v>238</v>
      </c>
      <c r="C31" s="1002"/>
      <c r="D31" s="1002"/>
      <c r="E31" s="1002"/>
      <c r="F31" s="1002"/>
      <c r="G31" s="1043">
        <f>F31</f>
        <v>0</v>
      </c>
      <c r="H31" s="1002">
        <v>36.182000000000002</v>
      </c>
      <c r="I31" s="1002">
        <v>57.658999999999999</v>
      </c>
      <c r="J31" s="1002">
        <v>64.605000000000004</v>
      </c>
      <c r="K31" s="1002">
        <v>104.02</v>
      </c>
      <c r="L31" s="1043">
        <f>K31</f>
        <v>104.02</v>
      </c>
      <c r="M31" s="1002">
        <v>120.26300000000001</v>
      </c>
      <c r="N31" s="1002">
        <v>174.16900000000001</v>
      </c>
      <c r="O31" s="1002">
        <v>211.78700000000001</v>
      </c>
      <c r="P31" s="1002">
        <v>327.05799999999999</v>
      </c>
      <c r="Q31" s="1043">
        <f t="shared" si="23"/>
        <v>327.05799999999999</v>
      </c>
      <c r="R31" s="1002">
        <v>324.84300000000002</v>
      </c>
      <c r="S31" s="1002">
        <v>373.58499999999998</v>
      </c>
      <c r="T31" s="1002">
        <v>438.22699999999998</v>
      </c>
      <c r="U31" s="1002">
        <v>638.65200000000004</v>
      </c>
      <c r="V31" s="1043">
        <f t="shared" si="24"/>
        <v>638.65200000000004</v>
      </c>
      <c r="W31" s="1002">
        <v>635.08600000000001</v>
      </c>
      <c r="X31" s="1002">
        <v>701.75800000000004</v>
      </c>
      <c r="Y31" s="1002">
        <v>759.74400000000003</v>
      </c>
      <c r="Z31" s="1002">
        <v>1157.8869999999999</v>
      </c>
      <c r="AA31" s="1043">
        <f>Z31</f>
        <v>1157.8869999999999</v>
      </c>
      <c r="AB31" s="1002">
        <v>1132.6969999999999</v>
      </c>
      <c r="AC31" s="1002">
        <v>1144.7729999999999</v>
      </c>
      <c r="AD31" s="1002">
        <v>1199.701</v>
      </c>
      <c r="AE31" s="1002">
        <v>1673.4749999999999</v>
      </c>
      <c r="AF31" s="1043">
        <f>AE31</f>
        <v>1673.4749999999999</v>
      </c>
      <c r="AG31" s="1002">
        <v>1560.4449999999999</v>
      </c>
      <c r="AH31" s="1002">
        <v>1523.085</v>
      </c>
      <c r="AI31" s="1002">
        <v>1605.587</v>
      </c>
      <c r="AJ31" s="1002">
        <v>2198.7049999999999</v>
      </c>
      <c r="AK31" s="1043">
        <f>AJ31</f>
        <v>2198.7049999999999</v>
      </c>
      <c r="AL31" s="1002">
        <v>1935.6420000000001</v>
      </c>
      <c r="AM31" s="1002">
        <v>1848.376</v>
      </c>
      <c r="AN31" s="1051">
        <v>1974.934</v>
      </c>
      <c r="AO31" s="1002">
        <v>2580.0390000000002</v>
      </c>
      <c r="AP31" s="1043">
        <f>AO31</f>
        <v>2580.0390000000002</v>
      </c>
      <c r="AQ31" s="1051">
        <v>2309.8029999999999</v>
      </c>
      <c r="AR31" s="1051">
        <v>2268.3870000000002</v>
      </c>
      <c r="AS31" s="1002">
        <v>2423.6219999999998</v>
      </c>
      <c r="AT31" s="1049">
        <f>'Def. Revenue &amp; Billings'!AT15</f>
        <v>3041.6456099999996</v>
      </c>
      <c r="AU31" s="1043">
        <f>AT31</f>
        <v>3041.6456099999996</v>
      </c>
      <c r="AV31" s="1049">
        <f>'Def. Revenue &amp; Billings'!AV15</f>
        <v>2844.7262722904497</v>
      </c>
      <c r="AW31" s="1049">
        <f>'Def. Revenue &amp; Billings'!AW15</f>
        <v>2793.7188126529045</v>
      </c>
      <c r="AX31" s="1049">
        <f>'Def. Revenue &amp; Billings'!AX15</f>
        <v>2877.5303770324917</v>
      </c>
      <c r="AY31" s="1049">
        <f>'Def. Revenue &amp; Billings'!AY15</f>
        <v>3520.6584162992535</v>
      </c>
      <c r="AZ31" s="1043">
        <f>AY31</f>
        <v>3520.6584162992535</v>
      </c>
      <c r="BA31" s="1049">
        <f>'Def. Revenue &amp; Billings'!BA15</f>
        <v>3292.7272854140874</v>
      </c>
      <c r="BB31" s="1049">
        <f>'Def. Revenue &amp; Billings'!BB15</f>
        <v>3233.6869286162528</v>
      </c>
      <c r="BC31" s="1049">
        <f>'Def. Revenue &amp; Billings'!BC15</f>
        <v>3330.6975364747404</v>
      </c>
      <c r="BD31" s="1049">
        <f>'Def. Revenue &amp; Billings'!BD15</f>
        <v>4075.1084358768449</v>
      </c>
      <c r="BE31" s="1043">
        <f t="shared" si="25"/>
        <v>4075.1084358768449</v>
      </c>
      <c r="BF31" s="1049">
        <f>'Def. Revenue &amp; Billings'!BF15</f>
        <v>3811.2816272410196</v>
      </c>
      <c r="BG31" s="1049">
        <f>'Def. Revenue &amp; Billings'!BG15</f>
        <v>3742.9433144611794</v>
      </c>
      <c r="BH31" s="1049">
        <f>'Def. Revenue &amp; Billings'!BH15</f>
        <v>3855.231613895015</v>
      </c>
      <c r="BI31" s="1049">
        <f>'Def. Revenue &amp; Billings'!BI15</f>
        <v>4716.8758796005513</v>
      </c>
      <c r="BJ31" s="1043">
        <f t="shared" si="26"/>
        <v>4716.8758796005513</v>
      </c>
      <c r="BK31" s="1049">
        <f>'Def. Revenue &amp; Billings'!BK15</f>
        <v>4411.5003712851394</v>
      </c>
      <c r="BL31" s="1049">
        <f>'Def. Revenue &amp; Billings'!BL15</f>
        <v>4332.3998162260523</v>
      </c>
      <c r="BM31" s="1049">
        <f>'Def. Revenue &amp; Billings'!BM15</f>
        <v>4462.3718107128343</v>
      </c>
      <c r="BN31" s="1049">
        <f>'Def. Revenue &amp; Billings'!BN15</f>
        <v>5459.7119104071526</v>
      </c>
      <c r="BO31" s="1043">
        <f>BN31</f>
        <v>5459.7119104071526</v>
      </c>
    </row>
    <row r="32" spans="1:67" s="997" customFormat="1">
      <c r="A32" s="1006"/>
      <c r="B32" s="985" t="s">
        <v>240</v>
      </c>
      <c r="C32" s="1008"/>
      <c r="D32" s="1008"/>
      <c r="E32" s="1008"/>
      <c r="F32" s="1008">
        <f>SUM(F28:F31)</f>
        <v>0</v>
      </c>
      <c r="G32" s="1045">
        <f>F32</f>
        <v>0</v>
      </c>
      <c r="H32" s="1008">
        <f>SUM(H28:H31)</f>
        <v>52.600999999999999</v>
      </c>
      <c r="I32" s="1008">
        <f>SUM(I28:I31)</f>
        <v>81.298000000000002</v>
      </c>
      <c r="J32" s="1008">
        <f>SUM(J28:J31)</f>
        <v>97.491</v>
      </c>
      <c r="K32" s="1008">
        <f>SUM(K28:K31)</f>
        <v>144.905</v>
      </c>
      <c r="L32" s="1045">
        <f>K32</f>
        <v>144.905</v>
      </c>
      <c r="M32" s="1008">
        <f>SUM(M28:M31)</f>
        <v>176.08500000000001</v>
      </c>
      <c r="N32" s="1008">
        <f>SUM(N28:N31)</f>
        <v>242.29300000000001</v>
      </c>
      <c r="O32" s="1008">
        <f>SUM(O28:O31)</f>
        <v>289.245</v>
      </c>
      <c r="P32" s="1008">
        <f>SUM(P28:P31)</f>
        <v>416.45499999999998</v>
      </c>
      <c r="Q32" s="1045">
        <f t="shared" si="23"/>
        <v>416.45499999999998</v>
      </c>
      <c r="R32" s="1008">
        <f>SUM(R28:R31)</f>
        <v>406.31500000000005</v>
      </c>
      <c r="S32" s="1008">
        <f>SUM(S28:S31)</f>
        <v>477.65899999999999</v>
      </c>
      <c r="T32" s="1008">
        <f>SUM(T28:T31)</f>
        <v>547.65899999999999</v>
      </c>
      <c r="U32" s="1008">
        <f>SUM(U28:U31)</f>
        <v>789.26400000000001</v>
      </c>
      <c r="V32" s="1045">
        <f t="shared" si="24"/>
        <v>789.26400000000001</v>
      </c>
      <c r="W32" s="1008">
        <f>SUM(W28:W31)</f>
        <v>776.99800000000005</v>
      </c>
      <c r="X32" s="1008">
        <f>SUM(X28:X31)</f>
        <v>875.73800000000006</v>
      </c>
      <c r="Y32" s="1008">
        <f>SUM(Y28:Y31)</f>
        <v>958.73500000000001</v>
      </c>
      <c r="Z32" s="1008">
        <f>SUM(Z28:Z31)</f>
        <v>1397.0929999999998</v>
      </c>
      <c r="AA32" s="1045">
        <f>Z32</f>
        <v>1397.0929999999998</v>
      </c>
      <c r="AB32" s="1008">
        <f>SUM(AB28:AB31)</f>
        <v>1363.7179999999998</v>
      </c>
      <c r="AC32" s="1008">
        <f>SUM(AC28:AC31)</f>
        <v>1401.4359999999999</v>
      </c>
      <c r="AD32" s="1008">
        <f>SUM(AD28:AD31)</f>
        <v>1479.0419999999999</v>
      </c>
      <c r="AE32" s="1008">
        <f>SUM(AE28:AE31)</f>
        <v>1993.5169999999998</v>
      </c>
      <c r="AF32" s="1045">
        <f>AE32</f>
        <v>1993.5169999999998</v>
      </c>
      <c r="AG32" s="1008">
        <f>SUM(AG28:AG31)</f>
        <v>1887.5409999999999</v>
      </c>
      <c r="AH32" s="1008">
        <f>SUM(AH28:AH31)</f>
        <v>1913.3119999999999</v>
      </c>
      <c r="AI32" s="1008">
        <f>SUM(AI28:AI31)</f>
        <v>2032.672</v>
      </c>
      <c r="AJ32" s="1008">
        <f>SUM(AJ28:AJ31)</f>
        <v>2731.23</v>
      </c>
      <c r="AK32" s="1045">
        <f>AJ32</f>
        <v>2731.23</v>
      </c>
      <c r="AL32" s="1008">
        <f>SUM(AL28:AL31)</f>
        <v>2428.8229999999999</v>
      </c>
      <c r="AM32" s="1008">
        <f>SUM(AM28:AM31)</f>
        <v>2464.6819999999998</v>
      </c>
      <c r="AN32" s="1208">
        <f>SUM(AN28:AN31)</f>
        <v>2647.2719999999999</v>
      </c>
      <c r="AO32" s="1008">
        <f>SUM(AO28:AO31)</f>
        <v>3301.183</v>
      </c>
      <c r="AP32" s="1045">
        <f>AO32</f>
        <v>3301.183</v>
      </c>
      <c r="AQ32" s="1208">
        <f>SUM(AQ28:AQ31)</f>
        <v>3030.5439999999999</v>
      </c>
      <c r="AR32" s="1208">
        <f>SUM(AR28:AR31)</f>
        <v>3096.0820000000003</v>
      </c>
      <c r="AS32" s="1008">
        <f>SUM(AS28:AS31)</f>
        <v>3383.3139999999999</v>
      </c>
      <c r="AT32" s="1008">
        <f>SUM(AT28:AT31)</f>
        <v>4036.4432568338398</v>
      </c>
      <c r="AU32" s="1045">
        <f>AT32</f>
        <v>4036.4432568338398</v>
      </c>
      <c r="AV32" s="1008">
        <f>SUM(AV28:AV31)</f>
        <v>3837.410694939927</v>
      </c>
      <c r="AW32" s="1008">
        <f>SUM(AW28:AW31)</f>
        <v>3905.7247116638982</v>
      </c>
      <c r="AX32" s="1008">
        <f>SUM(AX28:AX31)</f>
        <v>4160.285563859914</v>
      </c>
      <c r="AY32" s="1008">
        <f>SUM(AY28:AY31)</f>
        <v>4847.3865267833125</v>
      </c>
      <c r="AZ32" s="1045">
        <f>AY32</f>
        <v>4847.3865267833125</v>
      </c>
      <c r="BA32" s="1008">
        <f>SUM(BA28:BA31)</f>
        <v>4591.4567046523352</v>
      </c>
      <c r="BB32" s="1008">
        <f>SUM(BB28:BB31)</f>
        <v>4688.6886595656451</v>
      </c>
      <c r="BC32" s="1008">
        <f>SUM(BC28:BC31)</f>
        <v>5007.0441627452819</v>
      </c>
      <c r="BD32" s="1008">
        <f>SUM(BD28:BD31)</f>
        <v>5797.3987330250229</v>
      </c>
      <c r="BE32" s="1045">
        <f t="shared" si="25"/>
        <v>5797.3987330250229</v>
      </c>
      <c r="BF32" s="1008">
        <f>SUM(BF28:BF31)</f>
        <v>5476.9888527629319</v>
      </c>
      <c r="BG32" s="1008">
        <f>SUM(BG28:BG31)</f>
        <v>5604.675635513594</v>
      </c>
      <c r="BH32" s="1008">
        <f>SUM(BH28:BH31)</f>
        <v>6030.49328292467</v>
      </c>
      <c r="BI32" s="1008">
        <f>SUM(BI28:BI31)</f>
        <v>6962.0426136737869</v>
      </c>
      <c r="BJ32" s="1045">
        <f t="shared" si="26"/>
        <v>6962.0426136737869</v>
      </c>
      <c r="BK32" s="1008">
        <f>SUM(BK28:BK31)</f>
        <v>6565.5417935381192</v>
      </c>
      <c r="BL32" s="1008">
        <f>SUM(BL28:BL31)</f>
        <v>6700.4623827497962</v>
      </c>
      <c r="BM32" s="1008">
        <f>SUM(BM28:BM31)</f>
        <v>7240.6677225776284</v>
      </c>
      <c r="BN32" s="1008">
        <f>SUM(BN28:BN31)</f>
        <v>8299.051387796324</v>
      </c>
      <c r="BO32" s="1045">
        <f>BN32</f>
        <v>8299.051387796324</v>
      </c>
    </row>
    <row r="33" spans="1:67" s="997" customFormat="1">
      <c r="A33" s="1006"/>
      <c r="B33" s="1210"/>
      <c r="C33" s="1211"/>
      <c r="D33" s="1211"/>
      <c r="E33" s="1211"/>
      <c r="F33" s="1211"/>
      <c r="G33" s="1048"/>
      <c r="H33" s="1211"/>
      <c r="I33" s="1211"/>
      <c r="J33" s="1211"/>
      <c r="K33" s="1211"/>
      <c r="L33" s="1048"/>
      <c r="M33" s="1211"/>
      <c r="N33" s="1211"/>
      <c r="O33" s="1211"/>
      <c r="P33" s="1211"/>
      <c r="Q33" s="1048"/>
      <c r="R33" s="1211"/>
      <c r="S33" s="1211"/>
      <c r="T33" s="1211"/>
      <c r="U33" s="1211"/>
      <c r="V33" s="1048"/>
      <c r="W33" s="1211"/>
      <c r="X33" s="1211"/>
      <c r="Y33" s="1211"/>
      <c r="Z33" s="1211"/>
      <c r="AA33" s="1048"/>
      <c r="AB33" s="1211"/>
      <c r="AC33" s="1211"/>
      <c r="AD33" s="1211"/>
      <c r="AE33" s="1211"/>
      <c r="AF33" s="1048"/>
      <c r="AG33" s="1211"/>
      <c r="AH33" s="1211"/>
      <c r="AI33" s="1211"/>
      <c r="AJ33" s="1211"/>
      <c r="AK33" s="1048"/>
      <c r="AL33" s="1211"/>
      <c r="AM33" s="1211"/>
      <c r="AN33" s="1212"/>
      <c r="AO33" s="1211"/>
      <c r="AP33" s="1048"/>
      <c r="AQ33" s="1212"/>
      <c r="AR33" s="1212"/>
      <c r="AS33" s="1211"/>
      <c r="AT33" s="1211"/>
      <c r="AU33" s="1048"/>
      <c r="AV33" s="1211"/>
      <c r="AW33" s="1211"/>
      <c r="AX33" s="1211"/>
      <c r="AY33" s="1211"/>
      <c r="AZ33" s="1048"/>
      <c r="BA33" s="1211"/>
      <c r="BB33" s="1211"/>
      <c r="BC33" s="1211"/>
      <c r="BD33" s="1211"/>
      <c r="BE33" s="1048"/>
      <c r="BF33" s="1211"/>
      <c r="BG33" s="1211"/>
      <c r="BH33" s="1211"/>
      <c r="BI33" s="1211"/>
      <c r="BJ33" s="1048"/>
      <c r="BK33" s="1211"/>
      <c r="BL33" s="1211"/>
      <c r="BM33" s="1211"/>
      <c r="BN33" s="1211"/>
      <c r="BO33" s="1048"/>
    </row>
    <row r="34" spans="1:67" s="997" customFormat="1">
      <c r="A34" s="995"/>
      <c r="B34" s="987" t="s">
        <v>470</v>
      </c>
      <c r="C34" s="1002"/>
      <c r="D34" s="1002"/>
      <c r="E34" s="1002"/>
      <c r="F34" s="1002"/>
      <c r="G34" s="1043"/>
      <c r="H34" s="1002"/>
      <c r="I34" s="1002"/>
      <c r="J34" s="1002"/>
      <c r="K34" s="1002"/>
      <c r="L34" s="1043"/>
      <c r="M34" s="1002"/>
      <c r="N34" s="1002"/>
      <c r="O34" s="1002"/>
      <c r="P34" s="1002"/>
      <c r="Q34" s="1043"/>
      <c r="R34" s="1002"/>
      <c r="S34" s="1002"/>
      <c r="T34" s="1002"/>
      <c r="U34" s="1002"/>
      <c r="V34" s="1043"/>
      <c r="W34" s="1002"/>
      <c r="X34" s="1002"/>
      <c r="Y34" s="1002"/>
      <c r="Z34" s="1002"/>
      <c r="AA34" s="1043"/>
      <c r="AB34" s="1002"/>
      <c r="AC34" s="1002"/>
      <c r="AD34" s="1002"/>
      <c r="AE34" s="1002"/>
      <c r="AF34" s="1043"/>
      <c r="AG34" s="1002"/>
      <c r="AH34" s="1002"/>
      <c r="AI34" s="1002"/>
      <c r="AJ34" s="1002"/>
      <c r="AK34" s="1043"/>
      <c r="AL34" s="1002"/>
      <c r="AM34" s="1002"/>
      <c r="AN34" s="1051">
        <v>2269.4589999999998</v>
      </c>
      <c r="AO34" s="1002">
        <v>2271.529</v>
      </c>
      <c r="AP34" s="1043">
        <f>AO34</f>
        <v>2271.529</v>
      </c>
      <c r="AQ34" s="1051">
        <v>2273.6</v>
      </c>
      <c r="AR34" s="1207">
        <v>2275.674</v>
      </c>
      <c r="AS34" s="1400">
        <v>2277.7489999999998</v>
      </c>
      <c r="AT34" s="993">
        <f>AS34</f>
        <v>2277.7489999999998</v>
      </c>
      <c r="AU34" s="1043">
        <f>AT34</f>
        <v>2277.7489999999998</v>
      </c>
      <c r="AV34" s="993">
        <f>AT34</f>
        <v>2277.7489999999998</v>
      </c>
      <c r="AW34" s="993">
        <f>AV34</f>
        <v>2277.7489999999998</v>
      </c>
      <c r="AX34" s="993">
        <f>AW34</f>
        <v>2277.7489999999998</v>
      </c>
      <c r="AY34" s="993">
        <f>AX34</f>
        <v>2277.7489999999998</v>
      </c>
      <c r="AZ34" s="1043">
        <f>AY34</f>
        <v>2277.7489999999998</v>
      </c>
      <c r="BA34" s="993">
        <f>AY34</f>
        <v>2277.7489999999998</v>
      </c>
      <c r="BB34" s="993">
        <f>BA34</f>
        <v>2277.7489999999998</v>
      </c>
      <c r="BC34" s="993">
        <f>BB34</f>
        <v>2277.7489999999998</v>
      </c>
      <c r="BD34" s="993">
        <f>BC34</f>
        <v>2277.7489999999998</v>
      </c>
      <c r="BE34" s="1043">
        <f>BD34</f>
        <v>2277.7489999999998</v>
      </c>
      <c r="BF34" s="993">
        <f>BD34</f>
        <v>2277.7489999999998</v>
      </c>
      <c r="BG34" s="993">
        <f>BF34</f>
        <v>2277.7489999999998</v>
      </c>
      <c r="BH34" s="993">
        <f>BG34</f>
        <v>2277.7489999999998</v>
      </c>
      <c r="BI34" s="993">
        <f>BH34</f>
        <v>2277.7489999999998</v>
      </c>
      <c r="BJ34" s="1043">
        <f>BI34</f>
        <v>2277.7489999999998</v>
      </c>
      <c r="BK34" s="993">
        <f>BI34</f>
        <v>2277.7489999999998</v>
      </c>
      <c r="BL34" s="993">
        <f>BK34</f>
        <v>2277.7489999999998</v>
      </c>
      <c r="BM34" s="993">
        <f>BL34</f>
        <v>2277.7489999999998</v>
      </c>
      <c r="BN34" s="993">
        <f>BM34</f>
        <v>2277.7489999999998</v>
      </c>
      <c r="BO34" s="1043">
        <f>BN34</f>
        <v>2277.7489999999998</v>
      </c>
    </row>
    <row r="35" spans="1:67" s="997" customFormat="1">
      <c r="A35" s="995"/>
      <c r="B35" s="987" t="s">
        <v>242</v>
      </c>
      <c r="C35" s="1002"/>
      <c r="D35" s="1002"/>
      <c r="E35" s="1002"/>
      <c r="F35" s="1002"/>
      <c r="G35" s="1043">
        <f>F35</f>
        <v>0</v>
      </c>
      <c r="H35" s="1002">
        <v>5.4729999999999999</v>
      </c>
      <c r="I35" s="1002">
        <v>7.9139999999999997</v>
      </c>
      <c r="J35" s="1002">
        <v>9.86</v>
      </c>
      <c r="K35" s="1002">
        <v>12.542999999999999</v>
      </c>
      <c r="L35" s="1043">
        <f>K35</f>
        <v>12.542999999999999</v>
      </c>
      <c r="M35" s="1002">
        <v>157.874</v>
      </c>
      <c r="N35" s="1002">
        <v>196.38200000000001</v>
      </c>
      <c r="O35" s="1002">
        <v>192.83</v>
      </c>
      <c r="P35" s="1002">
        <v>193.17500000000001</v>
      </c>
      <c r="Q35" s="1043">
        <f t="shared" si="23"/>
        <v>193.17500000000001</v>
      </c>
      <c r="R35" s="1002">
        <v>188.625</v>
      </c>
      <c r="S35" s="1002">
        <v>184.255</v>
      </c>
      <c r="T35" s="1002">
        <v>186.71799999999999</v>
      </c>
      <c r="U35" s="1002">
        <v>184.887</v>
      </c>
      <c r="V35" s="1043">
        <f t="shared" si="24"/>
        <v>184.887</v>
      </c>
      <c r="W35" s="1002">
        <v>179.79599999999999</v>
      </c>
      <c r="X35" s="1002">
        <v>174.256</v>
      </c>
      <c r="Y35" s="1002">
        <v>178.697</v>
      </c>
      <c r="Z35" s="1002">
        <v>181.196</v>
      </c>
      <c r="AA35" s="1043">
        <f>Z35</f>
        <v>181.196</v>
      </c>
      <c r="AB35" s="1002">
        <v>179.251</v>
      </c>
      <c r="AC35" s="1002">
        <v>215.15199999999999</v>
      </c>
      <c r="AD35" s="1002">
        <v>225.01300000000001</v>
      </c>
      <c r="AE35" s="1002">
        <v>224.357</v>
      </c>
      <c r="AF35" s="1043">
        <f>AE35</f>
        <v>224.357</v>
      </c>
      <c r="AG35" s="1002">
        <v>225.65299999999999</v>
      </c>
      <c r="AH35" s="1002">
        <v>263.00599999999997</v>
      </c>
      <c r="AI35" s="1002">
        <v>253.029</v>
      </c>
      <c r="AJ35" s="1002">
        <v>254.03700000000001</v>
      </c>
      <c r="AK35" s="1043">
        <f t="shared" ref="AK35:AK43" si="27">AJ35</f>
        <v>254.03700000000001</v>
      </c>
      <c r="AL35" s="1002">
        <v>247.501</v>
      </c>
      <c r="AM35" s="1002">
        <v>279.96899999999999</v>
      </c>
      <c r="AN35" s="1051">
        <v>287.88099999999997</v>
      </c>
      <c r="AO35" s="1002">
        <v>377.81799999999998</v>
      </c>
      <c r="AP35" s="1043">
        <f>AO35</f>
        <v>377.81799999999998</v>
      </c>
      <c r="AQ35" s="1051">
        <v>377.065</v>
      </c>
      <c r="AR35" s="1051">
        <v>378.54599999999999</v>
      </c>
      <c r="AS35" s="1002">
        <v>367.65800000000002</v>
      </c>
      <c r="AT35" s="1020">
        <f>AT55*AT95</f>
        <v>528.09826877083003</v>
      </c>
      <c r="AU35" s="1043">
        <f>AT35</f>
        <v>528.09826877083003</v>
      </c>
      <c r="AV35" s="1020">
        <f>AV55*AV95</f>
        <v>534.18657307354886</v>
      </c>
      <c r="AW35" s="1020">
        <f>AW55*AW95</f>
        <v>531.51109254449727</v>
      </c>
      <c r="AX35" s="1020">
        <f>AX55*AX95</f>
        <v>522.98693105611687</v>
      </c>
      <c r="AY35" s="1020">
        <f>AY55*AY95</f>
        <v>724.85789787172405</v>
      </c>
      <c r="AZ35" s="1043">
        <f>AY35</f>
        <v>724.85789787172405</v>
      </c>
      <c r="BA35" s="1020">
        <f>BA55*BA95</f>
        <v>711.72537262704634</v>
      </c>
      <c r="BB35" s="1020">
        <f>BB55*BB95</f>
        <v>714.21735070613988</v>
      </c>
      <c r="BC35" s="1020">
        <f>BC55*BC95</f>
        <v>708.80315780423655</v>
      </c>
      <c r="BD35" s="1020">
        <f>BD55*BD95</f>
        <v>952.81536199955701</v>
      </c>
      <c r="BE35" s="1043">
        <f t="shared" si="25"/>
        <v>952.81536199955701</v>
      </c>
      <c r="BF35" s="1020">
        <f>BF55*BF95</f>
        <v>892.12241902143876</v>
      </c>
      <c r="BG35" s="1020">
        <f>BG55*BG95</f>
        <v>894.70994177567229</v>
      </c>
      <c r="BH35" s="1020">
        <f>BH55*BH95</f>
        <v>905.39299901819754</v>
      </c>
      <c r="BI35" s="1020">
        <f>BI55*BI95</f>
        <v>1214.8528045505072</v>
      </c>
      <c r="BJ35" s="1043">
        <f t="shared" si="26"/>
        <v>1214.8528045505072</v>
      </c>
      <c r="BK35" s="1020">
        <f>BK55*BK95</f>
        <v>1134.0249336453242</v>
      </c>
      <c r="BL35" s="1020">
        <f>BL55*BL95</f>
        <v>1124.7941170737984</v>
      </c>
      <c r="BM35" s="1020">
        <f>BM55*BM95</f>
        <v>1147.8287847299678</v>
      </c>
      <c r="BN35" s="1020">
        <f>BN55*BN95</f>
        <v>1515.2303036318553</v>
      </c>
      <c r="BO35" s="1043">
        <f>BN35</f>
        <v>1515.2303036318553</v>
      </c>
    </row>
    <row r="36" spans="1:67" s="997" customFormat="1">
      <c r="A36" s="995"/>
      <c r="B36" s="987" t="s">
        <v>241</v>
      </c>
      <c r="C36" s="1002"/>
      <c r="D36" s="1002"/>
      <c r="E36" s="1002"/>
      <c r="F36" s="1002"/>
      <c r="G36" s="1043">
        <f>F36</f>
        <v>0</v>
      </c>
      <c r="H36" s="1002">
        <v>0.29099999999999998</v>
      </c>
      <c r="I36" s="1002">
        <v>6.2E-2</v>
      </c>
      <c r="J36" s="1002">
        <v>1.2E-2</v>
      </c>
      <c r="K36" s="1002">
        <v>2.984</v>
      </c>
      <c r="L36" s="1043">
        <f>K36</f>
        <v>2.984</v>
      </c>
      <c r="M36" s="1002">
        <v>2.3359999999999999</v>
      </c>
      <c r="N36" s="1002">
        <v>1.8540000000000001</v>
      </c>
      <c r="O36" s="1002">
        <v>2.952</v>
      </c>
      <c r="P36" s="1002">
        <v>2.907</v>
      </c>
      <c r="Q36" s="1043">
        <f t="shared" si="23"/>
        <v>2.907</v>
      </c>
      <c r="R36" s="1002">
        <v>2.472</v>
      </c>
      <c r="S36" s="1002">
        <v>3.1349999999999998</v>
      </c>
      <c r="T36" s="1002">
        <v>3.4769999999999999</v>
      </c>
      <c r="U36" s="1002">
        <v>4.194</v>
      </c>
      <c r="V36" s="1043">
        <f t="shared" si="24"/>
        <v>4.194</v>
      </c>
      <c r="W36" s="1002">
        <v>3.65</v>
      </c>
      <c r="X36" s="1002">
        <v>7.1</v>
      </c>
      <c r="Y36" s="1002">
        <v>7.1319999999999997</v>
      </c>
      <c r="Z36" s="1002">
        <v>11.18</v>
      </c>
      <c r="AA36" s="1043">
        <f>Z36</f>
        <v>11.18</v>
      </c>
      <c r="AB36" s="1002">
        <v>10.433999999999999</v>
      </c>
      <c r="AC36" s="1002">
        <v>8.7929999999999993</v>
      </c>
      <c r="AD36" s="1002">
        <v>7.3330000000000002</v>
      </c>
      <c r="AE36" s="1002">
        <v>11.462999999999999</v>
      </c>
      <c r="AF36" s="1043">
        <f>AE36</f>
        <v>11.462999999999999</v>
      </c>
      <c r="AG36" s="1002">
        <v>14.151999999999999</v>
      </c>
      <c r="AH36" s="1002">
        <v>12.477</v>
      </c>
      <c r="AI36" s="1002">
        <v>12.082000000000001</v>
      </c>
      <c r="AJ36" s="1002">
        <v>14.401999999999999</v>
      </c>
      <c r="AK36" s="1043">
        <f t="shared" si="27"/>
        <v>14.401999999999999</v>
      </c>
      <c r="AL36" s="1002">
        <v>14.692</v>
      </c>
      <c r="AM36" s="1002">
        <v>12.28</v>
      </c>
      <c r="AN36" s="1051">
        <v>11.973000000000001</v>
      </c>
      <c r="AO36" s="1002">
        <v>15.500999999999999</v>
      </c>
      <c r="AP36" s="1043">
        <f>AO36</f>
        <v>15.500999999999999</v>
      </c>
      <c r="AQ36" s="1051">
        <v>13.724</v>
      </c>
      <c r="AR36" s="1051">
        <v>11.54</v>
      </c>
      <c r="AS36" s="1002">
        <v>10.884</v>
      </c>
      <c r="AT36" s="1049">
        <f>'Def. Revenue &amp; Billings'!AT22</f>
        <v>10.884</v>
      </c>
      <c r="AU36" s="1043">
        <f>AT36</f>
        <v>10.884</v>
      </c>
      <c r="AV36" s="1049">
        <f>'Def. Revenue &amp; Billings'!AV22</f>
        <v>10.884</v>
      </c>
      <c r="AW36" s="1049">
        <f>'Def. Revenue &amp; Billings'!AW22</f>
        <v>10.884</v>
      </c>
      <c r="AX36" s="1049">
        <f>'Def. Revenue &amp; Billings'!AX22</f>
        <v>10.884</v>
      </c>
      <c r="AY36" s="1049">
        <f>'Def. Revenue &amp; Billings'!AY22</f>
        <v>10.884</v>
      </c>
      <c r="AZ36" s="1043">
        <f>AY36</f>
        <v>10.884</v>
      </c>
      <c r="BA36" s="1049">
        <f>'Def. Revenue &amp; Billings'!BA22</f>
        <v>10.884</v>
      </c>
      <c r="BB36" s="1049">
        <f>'Def. Revenue &amp; Billings'!BB22</f>
        <v>10.884</v>
      </c>
      <c r="BC36" s="1049">
        <f>'Def. Revenue &amp; Billings'!BC22</f>
        <v>10.884</v>
      </c>
      <c r="BD36" s="1049">
        <f>'Def. Revenue &amp; Billings'!BD22</f>
        <v>10.884</v>
      </c>
      <c r="BE36" s="1043">
        <f t="shared" si="25"/>
        <v>10.884</v>
      </c>
      <c r="BF36" s="1049">
        <f>'Def. Revenue &amp; Billings'!BF22</f>
        <v>10.884</v>
      </c>
      <c r="BG36" s="1049">
        <f>'Def. Revenue &amp; Billings'!BG22</f>
        <v>10.884</v>
      </c>
      <c r="BH36" s="1049">
        <f>'Def. Revenue &amp; Billings'!BH22</f>
        <v>10.884</v>
      </c>
      <c r="BI36" s="1049">
        <f>'Def. Revenue &amp; Billings'!BI22</f>
        <v>10.884</v>
      </c>
      <c r="BJ36" s="1043">
        <f t="shared" si="26"/>
        <v>10.884</v>
      </c>
      <c r="BK36" s="1049">
        <f>'Def. Revenue &amp; Billings'!BK22</f>
        <v>10.884</v>
      </c>
      <c r="BL36" s="1049">
        <f>'Def. Revenue &amp; Billings'!BL22</f>
        <v>10.884</v>
      </c>
      <c r="BM36" s="1049">
        <f>'Def. Revenue &amp; Billings'!BM22</f>
        <v>10.884</v>
      </c>
      <c r="BN36" s="1049">
        <f>'Def. Revenue &amp; Billings'!BN22</f>
        <v>10.884</v>
      </c>
      <c r="BO36" s="1043">
        <f>BN36</f>
        <v>10.884</v>
      </c>
    </row>
    <row r="37" spans="1:67" s="997" customFormat="1">
      <c r="A37" s="995"/>
      <c r="B37" s="987" t="s">
        <v>243</v>
      </c>
      <c r="C37" s="1002"/>
      <c r="D37" s="1002"/>
      <c r="E37" s="1002"/>
      <c r="F37" s="1002"/>
      <c r="G37" s="1043">
        <f>F37</f>
        <v>0</v>
      </c>
      <c r="H37" s="1002">
        <v>3.605</v>
      </c>
      <c r="I37" s="1002">
        <v>4.141</v>
      </c>
      <c r="J37" s="1002">
        <v>5.2309999999999999</v>
      </c>
      <c r="K37" s="1002">
        <v>5.47</v>
      </c>
      <c r="L37" s="1043">
        <f>K37</f>
        <v>5.47</v>
      </c>
      <c r="M37" s="1002">
        <v>5.08</v>
      </c>
      <c r="N37" s="1002">
        <v>7.0069999999999997</v>
      </c>
      <c r="O37" s="1002">
        <v>8.7989999999999995</v>
      </c>
      <c r="P37" s="1002">
        <v>8.4659999999999993</v>
      </c>
      <c r="Q37" s="1043">
        <f t="shared" si="23"/>
        <v>8.4659999999999993</v>
      </c>
      <c r="R37" s="1002">
        <v>7.7679999999999998</v>
      </c>
      <c r="S37" s="1002">
        <v>8.5440000000000005</v>
      </c>
      <c r="T37" s="1002">
        <v>7.22</v>
      </c>
      <c r="U37" s="1002">
        <v>6.923</v>
      </c>
      <c r="V37" s="1043">
        <f t="shared" si="24"/>
        <v>6.923</v>
      </c>
      <c r="W37" s="1002">
        <v>10.244999999999999</v>
      </c>
      <c r="X37" s="1002">
        <v>10.356999999999999</v>
      </c>
      <c r="Y37" s="1002">
        <v>12.225</v>
      </c>
      <c r="Z37" s="1002">
        <v>11.183999999999999</v>
      </c>
      <c r="AA37" s="1043">
        <f>Z37</f>
        <v>11.183999999999999</v>
      </c>
      <c r="AB37" s="1002">
        <v>11.302</v>
      </c>
      <c r="AC37" s="1002">
        <v>12.411</v>
      </c>
      <c r="AD37" s="1002">
        <v>21.029</v>
      </c>
      <c r="AE37" s="1002">
        <v>24.37</v>
      </c>
      <c r="AF37" s="1043">
        <f>AE37</f>
        <v>24.37</v>
      </c>
      <c r="AG37" s="1002">
        <v>21.443000000000001</v>
      </c>
      <c r="AH37" s="1002">
        <v>22.794</v>
      </c>
      <c r="AI37" s="1002">
        <v>25.829000000000001</v>
      </c>
      <c r="AJ37" s="1002">
        <v>33.119999999999997</v>
      </c>
      <c r="AK37" s="1043">
        <f t="shared" si="27"/>
        <v>33.119999999999997</v>
      </c>
      <c r="AL37" s="1002">
        <v>39.31</v>
      </c>
      <c r="AM37" s="1002">
        <v>49.366999999999997</v>
      </c>
      <c r="AN37" s="1051">
        <v>51.264000000000003</v>
      </c>
      <c r="AO37" s="1002">
        <v>61.264000000000003</v>
      </c>
      <c r="AP37" s="1043">
        <f>AO37</f>
        <v>61.264000000000003</v>
      </c>
      <c r="AQ37" s="1051">
        <v>47.62</v>
      </c>
      <c r="AR37" s="1051">
        <v>55.295999999999999</v>
      </c>
      <c r="AS37" s="1002">
        <v>57.652999999999999</v>
      </c>
      <c r="AT37" s="1020">
        <f>AT55*AT89</f>
        <v>90.02045495763619</v>
      </c>
      <c r="AU37" s="1043">
        <f>AT37</f>
        <v>90.02045495763619</v>
      </c>
      <c r="AV37" s="1020">
        <f>AV55*AV89</f>
        <v>86.261315796633369</v>
      </c>
      <c r="AW37" s="1020">
        <f>AW55*AW89</f>
        <v>96.639500612307017</v>
      </c>
      <c r="AX37" s="1020">
        <f>AX55*AX89</f>
        <v>101.45554125900637</v>
      </c>
      <c r="AY37" s="1020">
        <f>AY55*AY89</f>
        <v>142.66118588361985</v>
      </c>
      <c r="AZ37" s="1043">
        <f>AY37</f>
        <v>142.66118588361985</v>
      </c>
      <c r="BA37" s="1020">
        <f>BA55*BA89</f>
        <v>164.06166213722682</v>
      </c>
      <c r="BB37" s="1020">
        <f>BB55*BB89</f>
        <v>181.88325985121708</v>
      </c>
      <c r="BC37" s="1020">
        <f>BC55*BC89</f>
        <v>192.20203375874149</v>
      </c>
      <c r="BD37" s="1020">
        <f>BD55*BD89</f>
        <v>243.20729566890012</v>
      </c>
      <c r="BE37" s="1043">
        <f t="shared" si="25"/>
        <v>243.20729566890012</v>
      </c>
      <c r="BF37" s="1020">
        <f>BF55*BF89</f>
        <v>221.00834774115165</v>
      </c>
      <c r="BG37" s="1020">
        <f>BG55*BG89</f>
        <v>243.89279484159303</v>
      </c>
      <c r="BH37" s="1020">
        <f>BH55*BH89</f>
        <v>262.51215306194553</v>
      </c>
      <c r="BI37" s="1020">
        <f>BI55*BI89</f>
        <v>327.90699828240963</v>
      </c>
      <c r="BJ37" s="1043">
        <f t="shared" si="26"/>
        <v>327.90699828240963</v>
      </c>
      <c r="BK37" s="1020">
        <f>BK55*BK89</f>
        <v>299.6092961729255</v>
      </c>
      <c r="BL37" s="1020">
        <f>BL55*BL89</f>
        <v>325.83585509694075</v>
      </c>
      <c r="BM37" s="1020">
        <f>BM55*BM89</f>
        <v>353.27643341310954</v>
      </c>
      <c r="BN37" s="1020">
        <f>BN55*BN89</f>
        <v>430.34431192112459</v>
      </c>
      <c r="BO37" s="1043">
        <f>BN37</f>
        <v>430.34431192112459</v>
      </c>
    </row>
    <row r="38" spans="1:67" s="997" customFormat="1" hidden="1" outlineLevel="1">
      <c r="A38" s="995"/>
      <c r="B38" s="1025" t="s">
        <v>283</v>
      </c>
      <c r="C38" s="1002"/>
      <c r="D38" s="1002"/>
      <c r="E38" s="1002"/>
      <c r="F38" s="1002"/>
      <c r="G38" s="1043"/>
      <c r="H38" s="1002">
        <v>472.62599999999998</v>
      </c>
      <c r="I38" s="1002">
        <v>472.62599999999998</v>
      </c>
      <c r="J38" s="1002">
        <v>910.90700000000004</v>
      </c>
      <c r="K38" s="1002">
        <v>910.85299999999995</v>
      </c>
      <c r="L38" s="1043">
        <f>K38</f>
        <v>910.85299999999995</v>
      </c>
      <c r="M38" s="1002">
        <v>923.572</v>
      </c>
      <c r="N38" s="1002">
        <v>923.572</v>
      </c>
      <c r="O38" s="1002">
        <v>936.47400000000005</v>
      </c>
      <c r="P38" s="1002">
        <v>936.47400000000005</v>
      </c>
      <c r="Q38" s="1043">
        <f t="shared" si="23"/>
        <v>936.47400000000005</v>
      </c>
      <c r="R38" s="1002">
        <v>1415.047</v>
      </c>
      <c r="S38" s="1002">
        <v>1415.047</v>
      </c>
      <c r="T38" s="1002"/>
      <c r="U38" s="1002"/>
      <c r="V38" s="1043"/>
      <c r="W38" s="1002"/>
      <c r="X38" s="1002"/>
      <c r="Y38" s="1002"/>
      <c r="Z38" s="1002"/>
      <c r="AA38" s="1043"/>
      <c r="AB38" s="1002"/>
      <c r="AC38" s="1002"/>
      <c r="AD38" s="1002"/>
      <c r="AE38" s="1002"/>
      <c r="AF38" s="1043"/>
      <c r="AG38" s="1002"/>
      <c r="AH38" s="1002"/>
      <c r="AI38" s="1002"/>
      <c r="AJ38" s="1002"/>
      <c r="AK38" s="1043"/>
      <c r="AL38" s="1020"/>
      <c r="AM38" s="1020"/>
      <c r="AN38" s="1051">
        <v>0</v>
      </c>
      <c r="AO38" s="1002"/>
      <c r="AP38" s="1043"/>
      <c r="AQ38" s="1052"/>
      <c r="AR38" s="1051"/>
      <c r="AS38" s="1002"/>
      <c r="AT38" s="1020"/>
      <c r="AU38" s="1043"/>
      <c r="AV38" s="1020"/>
      <c r="AW38" s="1020"/>
      <c r="AX38" s="1020"/>
      <c r="AY38" s="1020"/>
      <c r="AZ38" s="1043"/>
      <c r="BA38" s="1020"/>
      <c r="BB38" s="1020"/>
      <c r="BC38" s="1020"/>
      <c r="BD38" s="1020"/>
      <c r="BE38" s="1043"/>
      <c r="BF38" s="1020"/>
      <c r="BG38" s="1020"/>
      <c r="BH38" s="1020"/>
      <c r="BI38" s="1020"/>
      <c r="BJ38" s="1043"/>
      <c r="BK38" s="1020"/>
      <c r="BL38" s="1020"/>
      <c r="BM38" s="1020"/>
      <c r="BN38" s="1020"/>
      <c r="BO38" s="1043"/>
    </row>
    <row r="39" spans="1:67" s="997" customFormat="1" collapsed="1">
      <c r="A39" s="1006"/>
      <c r="B39" s="985" t="s">
        <v>469</v>
      </c>
      <c r="C39" s="1008"/>
      <c r="D39" s="1008"/>
      <c r="E39" s="1008"/>
      <c r="F39" s="1008">
        <f>SUM(F35:F38)</f>
        <v>0</v>
      </c>
      <c r="G39" s="1045">
        <f t="shared" ref="G39:AL39" si="28">SUM(G32:G38)</f>
        <v>0</v>
      </c>
      <c r="H39" s="1008">
        <f t="shared" si="28"/>
        <v>534.596</v>
      </c>
      <c r="I39" s="1008">
        <f t="shared" si="28"/>
        <v>566.04099999999994</v>
      </c>
      <c r="J39" s="1008">
        <f t="shared" si="28"/>
        <v>1023.501</v>
      </c>
      <c r="K39" s="1008">
        <f t="shared" si="28"/>
        <v>1076.7549999999999</v>
      </c>
      <c r="L39" s="1045">
        <f t="shared" si="28"/>
        <v>1076.7549999999999</v>
      </c>
      <c r="M39" s="1008">
        <f t="shared" si="28"/>
        <v>1264.9470000000001</v>
      </c>
      <c r="N39" s="1008">
        <f t="shared" si="28"/>
        <v>1371.1079999999999</v>
      </c>
      <c r="O39" s="1008">
        <f t="shared" si="28"/>
        <v>1430.3000000000002</v>
      </c>
      <c r="P39" s="1008">
        <f t="shared" si="28"/>
        <v>1557.4770000000001</v>
      </c>
      <c r="Q39" s="1045">
        <f t="shared" si="28"/>
        <v>1557.4770000000001</v>
      </c>
      <c r="R39" s="1008">
        <f t="shared" si="28"/>
        <v>2020.2270000000001</v>
      </c>
      <c r="S39" s="1008">
        <f t="shared" si="28"/>
        <v>2088.64</v>
      </c>
      <c r="T39" s="1008">
        <f t="shared" si="28"/>
        <v>745.07399999999996</v>
      </c>
      <c r="U39" s="1008">
        <f t="shared" si="28"/>
        <v>985.26800000000003</v>
      </c>
      <c r="V39" s="1045">
        <f t="shared" si="28"/>
        <v>985.26800000000003</v>
      </c>
      <c r="W39" s="1008">
        <f t="shared" si="28"/>
        <v>970.68900000000008</v>
      </c>
      <c r="X39" s="1008">
        <f t="shared" si="28"/>
        <v>1067.451</v>
      </c>
      <c r="Y39" s="1008">
        <f t="shared" si="28"/>
        <v>1156.789</v>
      </c>
      <c r="Z39" s="1008">
        <f t="shared" si="28"/>
        <v>1600.6529999999998</v>
      </c>
      <c r="AA39" s="1045">
        <f t="shared" si="28"/>
        <v>1600.6529999999998</v>
      </c>
      <c r="AB39" s="1008">
        <f t="shared" si="28"/>
        <v>1564.7049999999997</v>
      </c>
      <c r="AC39" s="1008">
        <f t="shared" si="28"/>
        <v>1637.7919999999999</v>
      </c>
      <c r="AD39" s="1008">
        <f t="shared" si="28"/>
        <v>1732.4169999999999</v>
      </c>
      <c r="AE39" s="1008">
        <f t="shared" si="28"/>
        <v>2253.7069999999999</v>
      </c>
      <c r="AF39" s="1045">
        <f t="shared" si="28"/>
        <v>2253.7069999999999</v>
      </c>
      <c r="AG39" s="1008">
        <f t="shared" si="28"/>
        <v>2148.7890000000002</v>
      </c>
      <c r="AH39" s="1008">
        <f t="shared" si="28"/>
        <v>2211.5889999999995</v>
      </c>
      <c r="AI39" s="1008">
        <f t="shared" si="28"/>
        <v>2323.6120000000001</v>
      </c>
      <c r="AJ39" s="1008">
        <f t="shared" si="28"/>
        <v>3032.7889999999998</v>
      </c>
      <c r="AK39" s="1045">
        <f t="shared" si="28"/>
        <v>3032.7889999999998</v>
      </c>
      <c r="AL39" s="1008">
        <f t="shared" si="28"/>
        <v>2730.326</v>
      </c>
      <c r="AM39" s="1008">
        <f t="shared" ref="AM39:BJ39" si="29">SUM(AM32:AM38)</f>
        <v>2806.2980000000002</v>
      </c>
      <c r="AN39" s="1208">
        <f t="shared" si="29"/>
        <v>5267.8490000000002</v>
      </c>
      <c r="AO39" s="1008">
        <f t="shared" si="29"/>
        <v>6027.2950000000001</v>
      </c>
      <c r="AP39" s="1045">
        <f t="shared" si="29"/>
        <v>6027.2950000000001</v>
      </c>
      <c r="AQ39" s="1208">
        <f t="shared" si="29"/>
        <v>5742.5529999999999</v>
      </c>
      <c r="AR39" s="1208">
        <f t="shared" si="29"/>
        <v>5817.1380000000008</v>
      </c>
      <c r="AS39" s="1008">
        <f t="shared" si="29"/>
        <v>6097.2580000000007</v>
      </c>
      <c r="AT39" s="1008">
        <f t="shared" si="29"/>
        <v>6943.1949805623062</v>
      </c>
      <c r="AU39" s="1045">
        <f t="shared" si="29"/>
        <v>6943.1949805623062</v>
      </c>
      <c r="AV39" s="1008">
        <f t="shared" si="29"/>
        <v>6746.4915838101088</v>
      </c>
      <c r="AW39" s="1008">
        <f t="shared" si="29"/>
        <v>6822.5083048207016</v>
      </c>
      <c r="AX39" s="1008">
        <f t="shared" si="29"/>
        <v>7073.361036175037</v>
      </c>
      <c r="AY39" s="1008">
        <f t="shared" si="29"/>
        <v>8003.538610538656</v>
      </c>
      <c r="AZ39" s="1045">
        <f t="shared" si="29"/>
        <v>8003.538610538656</v>
      </c>
      <c r="BA39" s="1008">
        <f t="shared" si="29"/>
        <v>7755.876739416608</v>
      </c>
      <c r="BB39" s="1008">
        <f t="shared" si="29"/>
        <v>7873.4222701230019</v>
      </c>
      <c r="BC39" s="1008">
        <f t="shared" si="29"/>
        <v>8196.6823543082592</v>
      </c>
      <c r="BD39" s="1008">
        <f t="shared" si="29"/>
        <v>9282.0543906934799</v>
      </c>
      <c r="BE39" s="1045">
        <f t="shared" si="29"/>
        <v>9282.0543906934799</v>
      </c>
      <c r="BF39" s="1008">
        <f t="shared" si="29"/>
        <v>8878.7526195255214</v>
      </c>
      <c r="BG39" s="1008">
        <f t="shared" si="29"/>
        <v>9031.9113721308586</v>
      </c>
      <c r="BH39" s="1008">
        <f t="shared" si="29"/>
        <v>9487.031435004812</v>
      </c>
      <c r="BI39" s="1008">
        <f t="shared" si="29"/>
        <v>10793.435416506705</v>
      </c>
      <c r="BJ39" s="1045">
        <f t="shared" si="29"/>
        <v>10793.435416506705</v>
      </c>
      <c r="BK39" s="1008">
        <f>SUM(BK32:BK38)</f>
        <v>10287.809023356367</v>
      </c>
      <c r="BL39" s="1008">
        <f>SUM(BL32:BL38)</f>
        <v>10439.725354920534</v>
      </c>
      <c r="BM39" s="1008">
        <f>SUM(BM32:BM38)</f>
        <v>11030.405940720706</v>
      </c>
      <c r="BN39" s="1008">
        <f>SUM(BN32:BN38)</f>
        <v>12533.259003349303</v>
      </c>
      <c r="BO39" s="1045">
        <f>SUM(BO32:BO38)</f>
        <v>12533.259003349303</v>
      </c>
    </row>
    <row r="40" spans="1:67" s="997" customFormat="1">
      <c r="A40" s="995"/>
      <c r="B40" s="983"/>
      <c r="C40" s="1002"/>
      <c r="D40" s="1002"/>
      <c r="E40" s="1002"/>
      <c r="F40" s="1002"/>
      <c r="G40" s="1043"/>
      <c r="H40" s="1002"/>
      <c r="I40" s="1002"/>
      <c r="J40" s="1002"/>
      <c r="K40" s="1002"/>
      <c r="L40" s="1043"/>
      <c r="M40" s="1002"/>
      <c r="N40" s="1002"/>
      <c r="O40" s="1002"/>
      <c r="P40" s="1002"/>
      <c r="Q40" s="1043"/>
      <c r="R40" s="1002"/>
      <c r="S40" s="1002"/>
      <c r="T40" s="1002"/>
      <c r="U40" s="1002"/>
      <c r="V40" s="1043"/>
      <c r="W40" s="1002"/>
      <c r="X40" s="1002"/>
      <c r="Y40" s="1002"/>
      <c r="Z40" s="1002"/>
      <c r="AA40" s="1043"/>
      <c r="AB40" s="1002"/>
      <c r="AC40" s="1002"/>
      <c r="AD40" s="1002"/>
      <c r="AE40" s="1002"/>
      <c r="AF40" s="1043"/>
      <c r="AG40" s="1002"/>
      <c r="AH40" s="1002"/>
      <c r="AI40" s="1002"/>
      <c r="AJ40" s="1002"/>
      <c r="AK40" s="1043"/>
      <c r="AL40" s="1020"/>
      <c r="AM40" s="1020"/>
      <c r="AN40" s="1052"/>
      <c r="AO40" s="1002"/>
      <c r="AP40" s="1043"/>
      <c r="AQ40" s="1052"/>
      <c r="AR40" s="1052"/>
      <c r="AS40" s="1020"/>
      <c r="AT40" s="1020"/>
      <c r="AU40" s="1043"/>
      <c r="AV40" s="1020"/>
      <c r="AW40" s="1020"/>
      <c r="AX40" s="1020"/>
      <c r="AY40" s="1020"/>
      <c r="AZ40" s="1043"/>
      <c r="BA40" s="1020"/>
      <c r="BB40" s="1020"/>
      <c r="BC40" s="1020"/>
      <c r="BD40" s="1020"/>
      <c r="BE40" s="1043"/>
      <c r="BF40" s="1020"/>
      <c r="BG40" s="1020"/>
      <c r="BH40" s="1020"/>
      <c r="BI40" s="1020"/>
      <c r="BJ40" s="1043"/>
      <c r="BK40" s="1020"/>
      <c r="BL40" s="1020"/>
      <c r="BM40" s="1020"/>
      <c r="BN40" s="1020"/>
      <c r="BO40" s="1043"/>
    </row>
    <row r="41" spans="1:67" s="997" customFormat="1">
      <c r="A41" s="995"/>
      <c r="B41" s="986" t="s">
        <v>244</v>
      </c>
      <c r="C41" s="1002"/>
      <c r="D41" s="1002"/>
      <c r="E41" s="1002"/>
      <c r="F41" s="1002"/>
      <c r="G41" s="1043"/>
      <c r="H41" s="1002"/>
      <c r="I41" s="1002"/>
      <c r="J41" s="1002"/>
      <c r="K41" s="1002"/>
      <c r="L41" s="1043"/>
      <c r="M41" s="1002"/>
      <c r="N41" s="1002"/>
      <c r="O41" s="1002"/>
      <c r="P41" s="1002"/>
      <c r="Q41" s="1043"/>
      <c r="R41" s="1002"/>
      <c r="S41" s="1002"/>
      <c r="T41" s="1020"/>
      <c r="U41" s="1002"/>
      <c r="V41" s="1043"/>
      <c r="W41" s="1020"/>
      <c r="X41" s="1020"/>
      <c r="Y41" s="1020"/>
      <c r="Z41" s="1002"/>
      <c r="AA41" s="1043"/>
      <c r="AB41" s="1020"/>
      <c r="AC41" s="1020"/>
      <c r="AD41" s="1020"/>
      <c r="AE41" s="1002"/>
      <c r="AF41" s="1043"/>
      <c r="AG41" s="1020"/>
      <c r="AH41" s="1020"/>
      <c r="AI41" s="1020"/>
      <c r="AJ41" s="1002"/>
      <c r="AK41" s="1043"/>
      <c r="AL41" s="1020"/>
      <c r="AM41" s="1020"/>
      <c r="AN41" s="1052"/>
      <c r="AO41" s="1002"/>
      <c r="AP41" s="1043"/>
      <c r="AQ41" s="1052"/>
      <c r="AR41" s="1052"/>
      <c r="AS41" s="1020"/>
      <c r="AT41" s="1020"/>
      <c r="AU41" s="1043"/>
      <c r="AV41" s="1020"/>
      <c r="AW41" s="1020"/>
      <c r="AX41" s="1020"/>
      <c r="AY41" s="1020"/>
      <c r="AZ41" s="1043"/>
      <c r="BA41" s="1020"/>
      <c r="BB41" s="1020"/>
      <c r="BC41" s="1020"/>
      <c r="BD41" s="1020"/>
      <c r="BE41" s="1043"/>
      <c r="BF41" s="1020"/>
      <c r="BG41" s="1020"/>
      <c r="BH41" s="1020"/>
      <c r="BI41" s="1020"/>
      <c r="BJ41" s="1043"/>
      <c r="BK41" s="1020"/>
      <c r="BL41" s="1020"/>
      <c r="BM41" s="1020"/>
      <c r="BN41" s="1020"/>
      <c r="BO41" s="1043"/>
    </row>
    <row r="42" spans="1:67" s="997" customFormat="1">
      <c r="A42" s="995"/>
      <c r="B42" s="987" t="s">
        <v>284</v>
      </c>
      <c r="C42" s="1002"/>
      <c r="D42" s="1002"/>
      <c r="E42" s="1002"/>
      <c r="F42" s="1002"/>
      <c r="G42" s="1043"/>
      <c r="H42" s="1002"/>
      <c r="I42" s="1002"/>
      <c r="J42" s="1002"/>
      <c r="K42" s="1002"/>
      <c r="L42" s="1043"/>
      <c r="M42" s="1002"/>
      <c r="N42" s="1002"/>
      <c r="O42" s="1002"/>
      <c r="P42" s="1002"/>
      <c r="Q42" s="1043"/>
      <c r="R42" s="1002"/>
      <c r="S42" s="1002"/>
      <c r="T42" s="1002">
        <v>4967.8149999999996</v>
      </c>
      <c r="U42" s="1002">
        <v>4936.4709999999995</v>
      </c>
      <c r="V42" s="1043">
        <f t="shared" ref="V42:V50" si="30">U42</f>
        <v>4936.4709999999995</v>
      </c>
      <c r="W42" s="1002">
        <v>4958.3209999999999</v>
      </c>
      <c r="X42" s="1002">
        <v>4964.9650000000001</v>
      </c>
      <c r="Y42" s="1002">
        <v>5006.6819999999998</v>
      </c>
      <c r="Z42" s="1002">
        <v>5049.0450000000001</v>
      </c>
      <c r="AA42" s="1043">
        <f>Z42</f>
        <v>5049.0450000000001</v>
      </c>
      <c r="AB42" s="1002">
        <v>5457.9939999999997</v>
      </c>
      <c r="AC42" s="1002">
        <v>5426.3230000000003</v>
      </c>
      <c r="AD42" s="1002">
        <v>5410.777</v>
      </c>
      <c r="AE42" s="1002">
        <v>5456.4359999999997</v>
      </c>
      <c r="AF42" s="1043">
        <f t="shared" ref="AF42:AF50" si="31">AE42</f>
        <v>5456.4359999999997</v>
      </c>
      <c r="AG42" s="1002">
        <v>5286.2430000000004</v>
      </c>
      <c r="AH42" s="1002">
        <v>5286.9380000000001</v>
      </c>
      <c r="AI42" s="1002">
        <v>4929.9210000000003</v>
      </c>
      <c r="AJ42" s="1002">
        <v>5180.308</v>
      </c>
      <c r="AK42" s="1043">
        <f t="shared" si="27"/>
        <v>5180.308</v>
      </c>
      <c r="AL42" s="1002">
        <v>4558.2340000000004</v>
      </c>
      <c r="AM42" s="1002">
        <v>4129.0010000000002</v>
      </c>
      <c r="AN42" s="1051">
        <v>2929.4450000000002</v>
      </c>
      <c r="AO42" s="1002">
        <v>2999.9290000000001</v>
      </c>
      <c r="AP42" s="1043">
        <f t="shared" ref="AP42:AP49" si="32">AO42</f>
        <v>2999.9290000000001</v>
      </c>
      <c r="AQ42" s="1051">
        <v>2408</v>
      </c>
      <c r="AR42" s="1051">
        <v>2372.6480000000001</v>
      </c>
      <c r="AS42" s="1002">
        <v>2132.933</v>
      </c>
      <c r="AT42" s="1020">
        <f>AS42+'IS (GAAP)'!AT80+CF!AT14+CF!AT56</f>
        <v>1977.2901770292212</v>
      </c>
      <c r="AU42" s="1043">
        <f t="shared" ref="AU42:AU50" si="33">AT42</f>
        <v>1977.2901770292212</v>
      </c>
      <c r="AV42" s="1020">
        <f>AT42+'IS (GAAP)'!AV80+CF!AV14+CF!AV56</f>
        <v>1856.0457052452939</v>
      </c>
      <c r="AW42" s="1020">
        <f>AV42+'IS (GAAP)'!AW80+CF!AW14+CF!AW56</f>
        <v>1767.0297832557039</v>
      </c>
      <c r="AX42" s="1020">
        <f>AW42+'IS (GAAP)'!AX80+CF!AX14+CF!AX56</f>
        <v>1681.5501623441764</v>
      </c>
      <c r="AY42" s="1020">
        <f>AX42+'IS (GAAP)'!AY80+CF!AY14+CF!AY56</f>
        <v>1553.942552698569</v>
      </c>
      <c r="AZ42" s="1043">
        <f t="shared" ref="AZ42:AZ50" si="34">AY42</f>
        <v>1553.942552698569</v>
      </c>
      <c r="BA42" s="1020">
        <f>AY42+'IS (GAAP)'!BA80+CF!BA14+CF!BA56</f>
        <v>1685.8825676078186</v>
      </c>
      <c r="BB42" s="1020">
        <f>BA42+'IS (GAAP)'!BB80+CF!BB14+CF!BB56</f>
        <v>1930.5514028479797</v>
      </c>
      <c r="BC42" s="1020">
        <f>BB42+'IS (GAAP)'!BC80+CF!BC14+CF!BC56</f>
        <v>2185.8686266447053</v>
      </c>
      <c r="BD42" s="1020">
        <f>BC42+'IS (GAAP)'!BD80+CF!BD14+CF!BD56</f>
        <v>2390.8459019901816</v>
      </c>
      <c r="BE42" s="1043">
        <f>BD42</f>
        <v>2390.8459019901816</v>
      </c>
      <c r="BF42" s="1020">
        <f>BD42+'IS (GAAP)'!BF80+CF!BF14+CF!BF56</f>
        <v>2694.1316304632646</v>
      </c>
      <c r="BG42" s="1020">
        <f>BF42+'IS (GAAP)'!BG80+CF!BG14+CF!BG56</f>
        <v>3056.5969343708916</v>
      </c>
      <c r="BH42" s="1020">
        <f>BG42+'IS (GAAP)'!BH80+CF!BH14+CF!BH56</f>
        <v>3441.0815830561214</v>
      </c>
      <c r="BI42" s="1020">
        <f>BH42+'IS (GAAP)'!BI80+CF!BI14+CF!BI56</f>
        <v>3765.3423499266701</v>
      </c>
      <c r="BJ42" s="1043">
        <f>BI42</f>
        <v>3765.3423499266701</v>
      </c>
      <c r="BK42" s="1020">
        <f>BI42+'IS (GAAP)'!BK80+CF!BK14+CF!BK56</f>
        <v>4199.6266659797066</v>
      </c>
      <c r="BL42" s="1020">
        <f>BK42+'IS (GAAP)'!BL80+CF!BL14+CF!BL56</f>
        <v>4705.3678152795601</v>
      </c>
      <c r="BM42" s="1020">
        <f>BL42+'IS (GAAP)'!BM80+CF!BM14+CF!BM56</f>
        <v>5245.9380214808525</v>
      </c>
      <c r="BN42" s="1020">
        <f>BM42+'IS (GAAP)'!BN80+CF!BN14+CF!BN56</f>
        <v>5709.4802931393842</v>
      </c>
      <c r="BO42" s="1043">
        <f>BN42</f>
        <v>5709.4802931393842</v>
      </c>
    </row>
    <row r="43" spans="1:67" s="997" customFormat="1">
      <c r="A43" s="995"/>
      <c r="B43" s="987" t="s">
        <v>282</v>
      </c>
      <c r="C43" s="1002"/>
      <c r="D43" s="1002"/>
      <c r="E43" s="1002"/>
      <c r="F43" s="1002"/>
      <c r="G43" s="1043"/>
      <c r="H43" s="1002"/>
      <c r="I43" s="1002"/>
      <c r="J43" s="1002"/>
      <c r="K43" s="1002"/>
      <c r="L43" s="1043"/>
      <c r="M43" s="1002"/>
      <c r="N43" s="1002"/>
      <c r="O43" s="1002"/>
      <c r="P43" s="1002"/>
      <c r="Q43" s="1043"/>
      <c r="R43" s="1002"/>
      <c r="S43" s="1002"/>
      <c r="T43" s="1002"/>
      <c r="U43" s="1002"/>
      <c r="V43" s="1043"/>
      <c r="W43" s="1002"/>
      <c r="X43" s="1002"/>
      <c r="Y43" s="1002"/>
      <c r="Z43" s="1002"/>
      <c r="AA43" s="1043"/>
      <c r="AB43" s="1002"/>
      <c r="AC43" s="1002"/>
      <c r="AD43" s="1002">
        <v>12.494</v>
      </c>
      <c r="AE43" s="1002">
        <v>12.179</v>
      </c>
      <c r="AF43" s="1043">
        <f t="shared" si="31"/>
        <v>12.179</v>
      </c>
      <c r="AG43" s="1002">
        <v>11.742000000000001</v>
      </c>
      <c r="AH43" s="1002">
        <v>11.289</v>
      </c>
      <c r="AI43" s="1002">
        <v>10.846</v>
      </c>
      <c r="AJ43" s="1002">
        <v>10.286</v>
      </c>
      <c r="AK43" s="1043">
        <f t="shared" si="27"/>
        <v>10.286</v>
      </c>
      <c r="AL43" s="994">
        <v>9.4580000000000002</v>
      </c>
      <c r="AM43" s="994">
        <v>8.5869999999999997</v>
      </c>
      <c r="AN43" s="1207">
        <v>4.9640000000000004</v>
      </c>
      <c r="AO43" s="1002">
        <v>6.7140000000000004</v>
      </c>
      <c r="AP43" s="1043">
        <f t="shared" si="32"/>
        <v>6.7140000000000004</v>
      </c>
      <c r="AQ43" s="1207">
        <v>6.8540000000000001</v>
      </c>
      <c r="AR43" s="1207">
        <v>6.9409999999999998</v>
      </c>
      <c r="AS43" s="1400">
        <v>0</v>
      </c>
      <c r="AT43" s="993">
        <f>AS43</f>
        <v>0</v>
      </c>
      <c r="AU43" s="1043">
        <f t="shared" si="33"/>
        <v>0</v>
      </c>
      <c r="AV43" s="993">
        <f>AT43</f>
        <v>0</v>
      </c>
      <c r="AW43" s="993">
        <f>AV43</f>
        <v>0</v>
      </c>
      <c r="AX43" s="993">
        <f>AW43</f>
        <v>0</v>
      </c>
      <c r="AY43" s="993">
        <f>AX43</f>
        <v>0</v>
      </c>
      <c r="AZ43" s="1043">
        <f t="shared" si="34"/>
        <v>0</v>
      </c>
      <c r="BA43" s="993">
        <f>AY43</f>
        <v>0</v>
      </c>
      <c r="BB43" s="993">
        <f>BA43</f>
        <v>0</v>
      </c>
      <c r="BC43" s="993">
        <f>BB43</f>
        <v>0</v>
      </c>
      <c r="BD43" s="993">
        <f>BC43</f>
        <v>0</v>
      </c>
      <c r="BE43" s="1043">
        <f>BD43</f>
        <v>0</v>
      </c>
      <c r="BF43" s="993">
        <f>BD43</f>
        <v>0</v>
      </c>
      <c r="BG43" s="993">
        <f>BF43</f>
        <v>0</v>
      </c>
      <c r="BH43" s="993">
        <f>BG43</f>
        <v>0</v>
      </c>
      <c r="BI43" s="993">
        <f>BH43</f>
        <v>0</v>
      </c>
      <c r="BJ43" s="1043">
        <f>BI43</f>
        <v>0</v>
      </c>
      <c r="BK43" s="993">
        <f>BI43</f>
        <v>0</v>
      </c>
      <c r="BL43" s="993">
        <f>BK43</f>
        <v>0</v>
      </c>
      <c r="BM43" s="993">
        <f>BL43</f>
        <v>0</v>
      </c>
      <c r="BN43" s="993">
        <f>BM43</f>
        <v>0</v>
      </c>
      <c r="BO43" s="1043">
        <f>BN43</f>
        <v>0</v>
      </c>
    </row>
    <row r="44" spans="1:67" s="997" customFormat="1" hidden="1" outlineLevel="1">
      <c r="A44" s="995"/>
      <c r="B44" s="987" t="s">
        <v>245</v>
      </c>
      <c r="C44" s="1002"/>
      <c r="D44" s="1002"/>
      <c r="E44" s="1002"/>
      <c r="F44" s="1002"/>
      <c r="G44" s="1043">
        <f t="shared" ref="G44:G50" si="35">F44</f>
        <v>0</v>
      </c>
      <c r="H44" s="1002">
        <v>0</v>
      </c>
      <c r="I44" s="1002">
        <v>0</v>
      </c>
      <c r="J44" s="1002">
        <v>0</v>
      </c>
      <c r="K44" s="1002">
        <v>0</v>
      </c>
      <c r="L44" s="1043">
        <f t="shared" ref="L44:L50" si="36">K44</f>
        <v>0</v>
      </c>
      <c r="M44" s="1002">
        <v>0</v>
      </c>
      <c r="N44" s="1002">
        <v>0</v>
      </c>
      <c r="O44" s="1002">
        <v>0</v>
      </c>
      <c r="P44" s="1002">
        <v>0</v>
      </c>
      <c r="Q44" s="1043">
        <f t="shared" ref="Q44:Q50" si="37">P44</f>
        <v>0</v>
      </c>
      <c r="R44" s="1002">
        <v>0</v>
      </c>
      <c r="S44" s="1002">
        <v>0</v>
      </c>
      <c r="T44" s="1000"/>
      <c r="U44" s="1000"/>
      <c r="V44" s="1043">
        <f t="shared" si="30"/>
        <v>0</v>
      </c>
      <c r="W44" s="1002"/>
      <c r="X44" s="1000"/>
      <c r="Y44" s="1000"/>
      <c r="Z44" s="1000"/>
      <c r="AA44" s="1043">
        <f t="shared" ref="AA44:AA50" si="38">Z44</f>
        <v>0</v>
      </c>
      <c r="AB44" s="1002"/>
      <c r="AC44" s="1000"/>
      <c r="AD44" s="1000"/>
      <c r="AE44" s="1000"/>
      <c r="AF44" s="1043">
        <f t="shared" si="31"/>
        <v>0</v>
      </c>
      <c r="AG44" s="1002"/>
      <c r="AH44" s="1000"/>
      <c r="AI44" s="1000"/>
      <c r="AJ44" s="1000"/>
      <c r="AK44" s="1043">
        <f t="shared" ref="AK44:AK50" si="39">AJ44</f>
        <v>0</v>
      </c>
      <c r="AL44" s="1020"/>
      <c r="AM44" s="1001"/>
      <c r="AN44" s="1204"/>
      <c r="AO44" s="1000"/>
      <c r="AP44" s="1043">
        <f t="shared" si="32"/>
        <v>0</v>
      </c>
      <c r="AQ44" s="1052"/>
      <c r="AR44" s="1392"/>
      <c r="AS44" s="1001"/>
      <c r="AT44" s="1001"/>
      <c r="AU44" s="1043">
        <f t="shared" si="33"/>
        <v>0</v>
      </c>
      <c r="AV44" s="1020"/>
      <c r="AW44" s="1001"/>
      <c r="AX44" s="1001"/>
      <c r="AY44" s="1001"/>
      <c r="AZ44" s="1043">
        <f t="shared" si="34"/>
        <v>0</v>
      </c>
      <c r="BA44" s="1020"/>
      <c r="BB44" s="1001"/>
      <c r="BC44" s="1001"/>
      <c r="BD44" s="1001"/>
      <c r="BE44" s="1043">
        <f t="shared" ref="BE44:BE50" si="40">BD44</f>
        <v>0</v>
      </c>
      <c r="BF44" s="1020"/>
      <c r="BG44" s="1001"/>
      <c r="BH44" s="1001"/>
      <c r="BI44" s="1001"/>
      <c r="BJ44" s="1043">
        <f t="shared" ref="BJ44:BJ50" si="41">BI44</f>
        <v>0</v>
      </c>
      <c r="BK44" s="1020"/>
      <c r="BL44" s="1001"/>
      <c r="BM44" s="1001"/>
      <c r="BN44" s="1001"/>
      <c r="BO44" s="1043">
        <f t="shared" ref="BO44:BO50" si="42">BN44</f>
        <v>0</v>
      </c>
    </row>
    <row r="45" spans="1:67" s="997" customFormat="1" hidden="1" outlineLevel="1">
      <c r="A45" s="995"/>
      <c r="B45" s="987" t="s">
        <v>246</v>
      </c>
      <c r="C45" s="1002"/>
      <c r="D45" s="1002"/>
      <c r="E45" s="1002"/>
      <c r="F45" s="1002"/>
      <c r="G45" s="1043">
        <f t="shared" si="35"/>
        <v>0</v>
      </c>
      <c r="H45" s="1002">
        <v>4.0000000000000001E-3</v>
      </c>
      <c r="I45" s="1002">
        <v>4.0000000000000001E-3</v>
      </c>
      <c r="J45" s="1002">
        <v>5.0000000000000001E-3</v>
      </c>
      <c r="K45" s="1002">
        <v>5.0000000000000001E-3</v>
      </c>
      <c r="L45" s="1043">
        <f t="shared" si="36"/>
        <v>5.0000000000000001E-3</v>
      </c>
      <c r="M45" s="1002">
        <v>5.0000000000000001E-3</v>
      </c>
      <c r="N45" s="1002">
        <v>5.0000000000000001E-3</v>
      </c>
      <c r="O45" s="1002">
        <v>5.0000000000000001E-3</v>
      </c>
      <c r="P45" s="1002">
        <v>6.0000000000000001E-3</v>
      </c>
      <c r="Q45" s="1043">
        <f t="shared" si="37"/>
        <v>6.0000000000000001E-3</v>
      </c>
      <c r="R45" s="1002">
        <v>6.0000000000000001E-3</v>
      </c>
      <c r="S45" s="1002">
        <v>6.0000000000000001E-3</v>
      </c>
      <c r="T45" s="1000"/>
      <c r="U45" s="1000"/>
      <c r="V45" s="1043">
        <f t="shared" si="30"/>
        <v>0</v>
      </c>
      <c r="W45" s="1002"/>
      <c r="X45" s="1000"/>
      <c r="Y45" s="1000"/>
      <c r="Z45" s="1000"/>
      <c r="AA45" s="1043">
        <f t="shared" si="38"/>
        <v>0</v>
      </c>
      <c r="AB45" s="1002"/>
      <c r="AC45" s="1000"/>
      <c r="AD45" s="1000"/>
      <c r="AE45" s="1000"/>
      <c r="AF45" s="1043">
        <f t="shared" si="31"/>
        <v>0</v>
      </c>
      <c r="AG45" s="1002"/>
      <c r="AH45" s="1000"/>
      <c r="AI45" s="1000"/>
      <c r="AJ45" s="1000"/>
      <c r="AK45" s="1043">
        <f t="shared" si="39"/>
        <v>0</v>
      </c>
      <c r="AL45" s="1020"/>
      <c r="AM45" s="1001"/>
      <c r="AN45" s="1204"/>
      <c r="AO45" s="1000"/>
      <c r="AP45" s="1043">
        <f t="shared" si="32"/>
        <v>0</v>
      </c>
      <c r="AQ45" s="1052"/>
      <c r="AR45" s="1392"/>
      <c r="AS45" s="1001"/>
      <c r="AT45" s="1001"/>
      <c r="AU45" s="1043">
        <f t="shared" si="33"/>
        <v>0</v>
      </c>
      <c r="AV45" s="1020"/>
      <c r="AW45" s="1001"/>
      <c r="AX45" s="1001"/>
      <c r="AY45" s="1001"/>
      <c r="AZ45" s="1043">
        <f t="shared" si="34"/>
        <v>0</v>
      </c>
      <c r="BA45" s="1020"/>
      <c r="BB45" s="1001"/>
      <c r="BC45" s="1001"/>
      <c r="BD45" s="1001"/>
      <c r="BE45" s="1043">
        <f t="shared" si="40"/>
        <v>0</v>
      </c>
      <c r="BF45" s="1020"/>
      <c r="BG45" s="1001"/>
      <c r="BH45" s="1001"/>
      <c r="BI45" s="1001"/>
      <c r="BJ45" s="1043">
        <f t="shared" si="41"/>
        <v>0</v>
      </c>
      <c r="BK45" s="1020"/>
      <c r="BL45" s="1001"/>
      <c r="BM45" s="1001"/>
      <c r="BN45" s="1001"/>
      <c r="BO45" s="1043">
        <f t="shared" si="42"/>
        <v>0</v>
      </c>
    </row>
    <row r="46" spans="1:67" s="997" customFormat="1" hidden="1" outlineLevel="1">
      <c r="A46" s="995"/>
      <c r="B46" s="987" t="s">
        <v>247</v>
      </c>
      <c r="C46" s="1002"/>
      <c r="D46" s="1002"/>
      <c r="E46" s="1002"/>
      <c r="F46" s="1002"/>
      <c r="G46" s="1043">
        <f t="shared" si="35"/>
        <v>0</v>
      </c>
      <c r="H46" s="1002">
        <v>15.914999999999999</v>
      </c>
      <c r="I46" s="1002">
        <v>20.454999999999998</v>
      </c>
      <c r="J46" s="1002">
        <v>29.51</v>
      </c>
      <c r="K46" s="1002">
        <v>39.295999999999999</v>
      </c>
      <c r="L46" s="1043">
        <f t="shared" si="36"/>
        <v>39.295999999999999</v>
      </c>
      <c r="M46" s="1002">
        <v>62.374000000000002</v>
      </c>
      <c r="N46" s="1002">
        <v>82.935000000000002</v>
      </c>
      <c r="O46" s="1002">
        <v>127.36799999999999</v>
      </c>
      <c r="P46" s="1002">
        <v>155.34</v>
      </c>
      <c r="Q46" s="1043">
        <f t="shared" si="37"/>
        <v>155.34</v>
      </c>
      <c r="R46" s="1002">
        <v>188.416</v>
      </c>
      <c r="S46" s="1002">
        <v>219.04599999999999</v>
      </c>
      <c r="T46" s="1002"/>
      <c r="U46" s="1002"/>
      <c r="V46" s="1043">
        <f t="shared" si="30"/>
        <v>0</v>
      </c>
      <c r="W46" s="1002"/>
      <c r="X46" s="1002"/>
      <c r="Y46" s="1002"/>
      <c r="Z46" s="1002"/>
      <c r="AA46" s="1043">
        <f t="shared" si="38"/>
        <v>0</v>
      </c>
      <c r="AB46" s="1002"/>
      <c r="AC46" s="1002"/>
      <c r="AD46" s="1002"/>
      <c r="AE46" s="1002"/>
      <c r="AF46" s="1043">
        <f t="shared" si="31"/>
        <v>0</v>
      </c>
      <c r="AG46" s="1002"/>
      <c r="AH46" s="1002"/>
      <c r="AI46" s="1002"/>
      <c r="AJ46" s="1002"/>
      <c r="AK46" s="1043">
        <f t="shared" si="39"/>
        <v>0</v>
      </c>
      <c r="AL46" s="1020"/>
      <c r="AM46" s="1020"/>
      <c r="AN46" s="1051"/>
      <c r="AO46" s="1002"/>
      <c r="AP46" s="1043">
        <f t="shared" si="32"/>
        <v>0</v>
      </c>
      <c r="AQ46" s="1052"/>
      <c r="AR46" s="1052"/>
      <c r="AS46" s="1020"/>
      <c r="AT46" s="1020"/>
      <c r="AU46" s="1043">
        <f t="shared" si="33"/>
        <v>0</v>
      </c>
      <c r="AV46" s="1020"/>
      <c r="AW46" s="1020"/>
      <c r="AX46" s="1020"/>
      <c r="AY46" s="1020"/>
      <c r="AZ46" s="1043">
        <f t="shared" si="34"/>
        <v>0</v>
      </c>
      <c r="BA46" s="1020"/>
      <c r="BB46" s="1020"/>
      <c r="BC46" s="1020"/>
      <c r="BD46" s="1020"/>
      <c r="BE46" s="1043">
        <f t="shared" si="40"/>
        <v>0</v>
      </c>
      <c r="BF46" s="1020"/>
      <c r="BG46" s="1020"/>
      <c r="BH46" s="1020"/>
      <c r="BI46" s="1020"/>
      <c r="BJ46" s="1043">
        <f t="shared" si="41"/>
        <v>0</v>
      </c>
      <c r="BK46" s="1020"/>
      <c r="BL46" s="1020"/>
      <c r="BM46" s="1020"/>
      <c r="BN46" s="1020"/>
      <c r="BO46" s="1043">
        <f t="shared" si="42"/>
        <v>0</v>
      </c>
    </row>
    <row r="47" spans="1:67" s="997" customFormat="1" hidden="1" outlineLevel="1">
      <c r="A47" s="995"/>
      <c r="B47" s="987" t="s">
        <v>248</v>
      </c>
      <c r="C47" s="1002"/>
      <c r="D47" s="1002"/>
      <c r="E47" s="1002"/>
      <c r="F47" s="1002"/>
      <c r="G47" s="1043">
        <f t="shared" si="35"/>
        <v>0</v>
      </c>
      <c r="H47" s="1002">
        <v>-4.5999999999999999E-2</v>
      </c>
      <c r="I47" s="1002">
        <v>-1.9E-2</v>
      </c>
      <c r="J47" s="1002">
        <v>-9.0999999999999998E-2</v>
      </c>
      <c r="K47" s="1002">
        <v>1.6E-2</v>
      </c>
      <c r="L47" s="1043">
        <f t="shared" si="36"/>
        <v>1.6E-2</v>
      </c>
      <c r="M47" s="1002">
        <v>4.2999999999999997E-2</v>
      </c>
      <c r="N47" s="1002">
        <v>8.4000000000000005E-2</v>
      </c>
      <c r="O47" s="1002">
        <v>0.254</v>
      </c>
      <c r="P47" s="1002">
        <v>0.216</v>
      </c>
      <c r="Q47" s="1043">
        <f t="shared" si="37"/>
        <v>0.216</v>
      </c>
      <c r="R47" s="1002">
        <v>1.4950000000000001</v>
      </c>
      <c r="S47" s="1002">
        <v>1.1459999999999999</v>
      </c>
      <c r="T47" s="1000"/>
      <c r="U47" s="1000"/>
      <c r="V47" s="1043">
        <f t="shared" si="30"/>
        <v>0</v>
      </c>
      <c r="W47" s="1002"/>
      <c r="X47" s="1000"/>
      <c r="Y47" s="1000"/>
      <c r="Z47" s="1000"/>
      <c r="AA47" s="1043">
        <f t="shared" si="38"/>
        <v>0</v>
      </c>
      <c r="AB47" s="1002"/>
      <c r="AC47" s="1000"/>
      <c r="AD47" s="1000"/>
      <c r="AE47" s="1000"/>
      <c r="AF47" s="1043">
        <f t="shared" si="31"/>
        <v>0</v>
      </c>
      <c r="AG47" s="1002"/>
      <c r="AH47" s="1000"/>
      <c r="AI47" s="1000"/>
      <c r="AJ47" s="1000"/>
      <c r="AK47" s="1043">
        <f t="shared" si="39"/>
        <v>0</v>
      </c>
      <c r="AL47" s="1020"/>
      <c r="AM47" s="1001"/>
      <c r="AN47" s="1204"/>
      <c r="AO47" s="1000"/>
      <c r="AP47" s="1043">
        <f t="shared" si="32"/>
        <v>0</v>
      </c>
      <c r="AQ47" s="1052"/>
      <c r="AR47" s="1001"/>
      <c r="AS47" s="1001"/>
      <c r="AT47" s="1001"/>
      <c r="AU47" s="1043">
        <f t="shared" si="33"/>
        <v>0</v>
      </c>
      <c r="AV47" s="1020"/>
      <c r="AW47" s="1001"/>
      <c r="AX47" s="1001"/>
      <c r="AY47" s="1001"/>
      <c r="AZ47" s="1043">
        <f t="shared" si="34"/>
        <v>0</v>
      </c>
      <c r="BA47" s="1020"/>
      <c r="BB47" s="1001"/>
      <c r="BC47" s="1001"/>
      <c r="BD47" s="1001"/>
      <c r="BE47" s="1043">
        <f t="shared" si="40"/>
        <v>0</v>
      </c>
      <c r="BF47" s="1020"/>
      <c r="BG47" s="1001"/>
      <c r="BH47" s="1001"/>
      <c r="BI47" s="1001"/>
      <c r="BJ47" s="1043">
        <f t="shared" si="41"/>
        <v>0</v>
      </c>
      <c r="BK47" s="1020"/>
      <c r="BL47" s="1001"/>
      <c r="BM47" s="1001"/>
      <c r="BN47" s="1001"/>
      <c r="BO47" s="1043">
        <f t="shared" si="42"/>
        <v>0</v>
      </c>
    </row>
    <row r="48" spans="1:67" s="1053" customFormat="1" hidden="1" outlineLevel="1">
      <c r="A48" s="1050"/>
      <c r="B48" s="1041" t="s">
        <v>249</v>
      </c>
      <c r="C48" s="1051"/>
      <c r="D48" s="1051"/>
      <c r="E48" s="1051"/>
      <c r="F48" s="1051"/>
      <c r="G48" s="1043">
        <f t="shared" si="35"/>
        <v>0</v>
      </c>
      <c r="H48" s="1002">
        <v>-199.46700000000001</v>
      </c>
      <c r="I48" s="1002">
        <v>-231.072</v>
      </c>
      <c r="J48" s="1002">
        <v>-268.42</v>
      </c>
      <c r="K48" s="1002">
        <v>-351.78399999999999</v>
      </c>
      <c r="L48" s="1043">
        <f t="shared" si="36"/>
        <v>-351.78399999999999</v>
      </c>
      <c r="M48" s="1002">
        <v>-435.59300000000002</v>
      </c>
      <c r="N48" s="1002">
        <v>-529.00800000000004</v>
      </c>
      <c r="O48" s="1002">
        <v>-617.06500000000005</v>
      </c>
      <c r="P48" s="1002">
        <v>-700.31899999999996</v>
      </c>
      <c r="Q48" s="1043">
        <f t="shared" si="37"/>
        <v>-700.31899999999996</v>
      </c>
      <c r="R48" s="1002">
        <v>-793.96299999999997</v>
      </c>
      <c r="S48" s="1002">
        <v>-871.59699999999998</v>
      </c>
      <c r="T48" s="1051"/>
      <c r="U48" s="1051"/>
      <c r="V48" s="1043">
        <f t="shared" si="30"/>
        <v>0</v>
      </c>
      <c r="W48" s="1051"/>
      <c r="X48" s="1051"/>
      <c r="Y48" s="1051"/>
      <c r="Z48" s="1051"/>
      <c r="AA48" s="1043">
        <f t="shared" si="38"/>
        <v>0</v>
      </c>
      <c r="AB48" s="1051"/>
      <c r="AC48" s="1051"/>
      <c r="AD48" s="1051"/>
      <c r="AE48" s="1051"/>
      <c r="AF48" s="1043">
        <f t="shared" si="31"/>
        <v>0</v>
      </c>
      <c r="AG48" s="1051"/>
      <c r="AH48" s="1051"/>
      <c r="AI48" s="1051"/>
      <c r="AJ48" s="1051"/>
      <c r="AK48" s="1043">
        <f t="shared" si="39"/>
        <v>0</v>
      </c>
      <c r="AL48" s="1052"/>
      <c r="AM48" s="1052"/>
      <c r="AN48" s="1051"/>
      <c r="AO48" s="1051"/>
      <c r="AP48" s="1043">
        <f t="shared" si="32"/>
        <v>0</v>
      </c>
      <c r="AQ48" s="1052"/>
      <c r="AR48" s="1052"/>
      <c r="AS48" s="1020"/>
      <c r="AT48" s="1052"/>
      <c r="AU48" s="1043">
        <f t="shared" si="33"/>
        <v>0</v>
      </c>
      <c r="AV48" s="1052"/>
      <c r="AW48" s="1052"/>
      <c r="AX48" s="1052"/>
      <c r="AY48" s="1052"/>
      <c r="AZ48" s="1043">
        <f t="shared" si="34"/>
        <v>0</v>
      </c>
      <c r="BA48" s="1052"/>
      <c r="BB48" s="1052"/>
      <c r="BC48" s="1052"/>
      <c r="BD48" s="1052"/>
      <c r="BE48" s="1043">
        <f t="shared" si="40"/>
        <v>0</v>
      </c>
      <c r="BF48" s="1052"/>
      <c r="BG48" s="1052"/>
      <c r="BH48" s="1052"/>
      <c r="BI48" s="1052"/>
      <c r="BJ48" s="1043">
        <f t="shared" si="41"/>
        <v>0</v>
      </c>
      <c r="BK48" s="1052"/>
      <c r="BL48" s="1052"/>
      <c r="BM48" s="1052"/>
      <c r="BN48" s="1052"/>
      <c r="BO48" s="1043">
        <f t="shared" si="42"/>
        <v>0</v>
      </c>
    </row>
    <row r="49" spans="1:67" s="983" customFormat="1" collapsed="1">
      <c r="A49" s="1380"/>
      <c r="B49" s="985" t="s">
        <v>250</v>
      </c>
      <c r="C49" s="1381"/>
      <c r="D49" s="1381"/>
      <c r="E49" s="1381"/>
      <c r="F49" s="1381">
        <f>SUM(F44:F48)</f>
        <v>0</v>
      </c>
      <c r="G49" s="1382">
        <f t="shared" si="35"/>
        <v>0</v>
      </c>
      <c r="H49" s="1381">
        <f>SUM(H42:H48)</f>
        <v>-183.59400000000002</v>
      </c>
      <c r="I49" s="1381">
        <f>SUM(I42:I48)</f>
        <v>-210.63200000000001</v>
      </c>
      <c r="J49" s="1381">
        <f>SUM(J42:J48)</f>
        <v>-238.99600000000001</v>
      </c>
      <c r="K49" s="1381">
        <f>SUM(K42:K48)</f>
        <v>-312.46699999999998</v>
      </c>
      <c r="L49" s="1382">
        <f t="shared" si="36"/>
        <v>-312.46699999999998</v>
      </c>
      <c r="M49" s="1381">
        <f>SUM(M42:M48)</f>
        <v>-373.17099999999999</v>
      </c>
      <c r="N49" s="1381">
        <f>SUM(N42:N48)</f>
        <v>-445.98400000000004</v>
      </c>
      <c r="O49" s="1381">
        <f>SUM(O42:O48)</f>
        <v>-489.43800000000005</v>
      </c>
      <c r="P49" s="1381">
        <f>SUM(P42:P48)</f>
        <v>-544.75699999999995</v>
      </c>
      <c r="Q49" s="1382">
        <f t="shared" si="37"/>
        <v>-544.75699999999995</v>
      </c>
      <c r="R49" s="1381">
        <f>SUM(R42:R48)</f>
        <v>-604.04599999999994</v>
      </c>
      <c r="S49" s="1381">
        <f>SUM(S42:S48)</f>
        <v>-651.399</v>
      </c>
      <c r="T49" s="1381">
        <f>SUM(T42:T48)</f>
        <v>4967.8149999999996</v>
      </c>
      <c r="U49" s="1381">
        <f>SUM(U42:U48)</f>
        <v>4936.4709999999995</v>
      </c>
      <c r="V49" s="1382">
        <f t="shared" si="30"/>
        <v>4936.4709999999995</v>
      </c>
      <c r="W49" s="1381">
        <f>SUM(W42:W48)</f>
        <v>4958.3209999999999</v>
      </c>
      <c r="X49" s="1381">
        <f>SUM(X42:X48)</f>
        <v>4964.9650000000001</v>
      </c>
      <c r="Y49" s="1381">
        <f>SUM(Y42:Y48)</f>
        <v>5006.6819999999998</v>
      </c>
      <c r="Z49" s="1381">
        <f>SUM(Z42:Z48)</f>
        <v>5049.0450000000001</v>
      </c>
      <c r="AA49" s="1382">
        <f t="shared" si="38"/>
        <v>5049.0450000000001</v>
      </c>
      <c r="AB49" s="1381">
        <f>SUM(AB42:AB48)</f>
        <v>5457.9939999999997</v>
      </c>
      <c r="AC49" s="1381">
        <f>SUM(AC42:AC48)</f>
        <v>5426.3230000000003</v>
      </c>
      <c r="AD49" s="1381">
        <f>SUM(AD42:AD48)</f>
        <v>5423.2709999999997</v>
      </c>
      <c r="AE49" s="1381">
        <f>SUM(AE42:AE48)</f>
        <v>5468.6149999999998</v>
      </c>
      <c r="AF49" s="1382">
        <f t="shared" si="31"/>
        <v>5468.6149999999998</v>
      </c>
      <c r="AG49" s="1381">
        <f>SUM(AG42:AG48)</f>
        <v>5297.9850000000006</v>
      </c>
      <c r="AH49" s="1381">
        <f>SUM(AH42:AH48)</f>
        <v>5298.2269999999999</v>
      </c>
      <c r="AI49" s="1381">
        <f>SUM(AI42:AI48)</f>
        <v>4940.7669999999998</v>
      </c>
      <c r="AJ49" s="1381">
        <f>SUM(AJ42:AJ48)</f>
        <v>5190.5940000000001</v>
      </c>
      <c r="AK49" s="1382">
        <f t="shared" si="39"/>
        <v>5190.5940000000001</v>
      </c>
      <c r="AL49" s="1381">
        <f>SUM(AL42:AL48)</f>
        <v>4567.692</v>
      </c>
      <c r="AM49" s="1381">
        <f>SUM(AM42:AM48)</f>
        <v>4137.5880000000006</v>
      </c>
      <c r="AN49" s="1381">
        <f>SUM(AN42:AN48)</f>
        <v>2934.4090000000001</v>
      </c>
      <c r="AO49" s="1381">
        <f>SUM(AO42:AO48)</f>
        <v>3006.643</v>
      </c>
      <c r="AP49" s="1382">
        <f t="shared" si="32"/>
        <v>3006.643</v>
      </c>
      <c r="AQ49" s="1381">
        <f>SUM(AQ42:AQ48)</f>
        <v>2414.8539999999998</v>
      </c>
      <c r="AR49" s="1381">
        <f>SUM(AR42:AR48)</f>
        <v>2379.5889999999999</v>
      </c>
      <c r="AS49" s="1381">
        <f>SUM(AS42:AS48)</f>
        <v>2132.933</v>
      </c>
      <c r="AT49" s="1381">
        <f>SUM(AT42:AT48)</f>
        <v>1977.2901770292212</v>
      </c>
      <c r="AU49" s="1382">
        <f t="shared" si="33"/>
        <v>1977.2901770292212</v>
      </c>
      <c r="AV49" s="1381">
        <f>SUM(AV42:AV48)</f>
        <v>1856.0457052452939</v>
      </c>
      <c r="AW49" s="1381">
        <f>SUM(AW42:AW48)</f>
        <v>1767.0297832557039</v>
      </c>
      <c r="AX49" s="1381">
        <f>SUM(AX42:AX48)</f>
        <v>1681.5501623441764</v>
      </c>
      <c r="AY49" s="1381">
        <f>SUM(AY42:AY48)</f>
        <v>1553.942552698569</v>
      </c>
      <c r="AZ49" s="1382">
        <f t="shared" si="34"/>
        <v>1553.942552698569</v>
      </c>
      <c r="BA49" s="1381">
        <f>SUM(BA42:BA48)</f>
        <v>1685.8825676078186</v>
      </c>
      <c r="BB49" s="1381">
        <f>SUM(BB42:BB48)</f>
        <v>1930.5514028479797</v>
      </c>
      <c r="BC49" s="1381">
        <f>SUM(BC42:BC48)</f>
        <v>2185.8686266447053</v>
      </c>
      <c r="BD49" s="1381">
        <f>SUM(BD42:BD48)</f>
        <v>2390.8459019901816</v>
      </c>
      <c r="BE49" s="1382">
        <f t="shared" si="40"/>
        <v>2390.8459019901816</v>
      </c>
      <c r="BF49" s="1381">
        <f>SUM(BF42:BF48)</f>
        <v>2694.1316304632646</v>
      </c>
      <c r="BG49" s="1381">
        <f>SUM(BG42:BG48)</f>
        <v>3056.5969343708916</v>
      </c>
      <c r="BH49" s="1381">
        <f>SUM(BH42:BH48)</f>
        <v>3441.0815830561214</v>
      </c>
      <c r="BI49" s="1381">
        <f>SUM(BI42:BI48)</f>
        <v>3765.3423499266701</v>
      </c>
      <c r="BJ49" s="1382">
        <f t="shared" si="41"/>
        <v>3765.3423499266701</v>
      </c>
      <c r="BK49" s="1381">
        <f>SUM(BK42:BK48)</f>
        <v>4199.6266659797066</v>
      </c>
      <c r="BL49" s="1381">
        <f>SUM(BL42:BL48)</f>
        <v>4705.3678152795601</v>
      </c>
      <c r="BM49" s="1381">
        <f>SUM(BM42:BM48)</f>
        <v>5245.9380214808525</v>
      </c>
      <c r="BN49" s="1381">
        <f>SUM(BN42:BN48)</f>
        <v>5709.4802931393842</v>
      </c>
      <c r="BO49" s="1382">
        <f t="shared" si="42"/>
        <v>5709.4802931393842</v>
      </c>
    </row>
    <row r="50" spans="1:67" s="983" customFormat="1">
      <c r="A50" s="1380"/>
      <c r="B50" s="985" t="s">
        <v>251</v>
      </c>
      <c r="C50" s="1381"/>
      <c r="D50" s="1381"/>
      <c r="E50" s="1381"/>
      <c r="F50" s="1381">
        <f>SUM(F32:F37,F49)</f>
        <v>0</v>
      </c>
      <c r="G50" s="1382">
        <f t="shared" si="35"/>
        <v>0</v>
      </c>
      <c r="H50" s="1381">
        <f>SUM(H32:H38,H49)</f>
        <v>351.00199999999995</v>
      </c>
      <c r="I50" s="1381">
        <f>SUM(I32:I38,I49)</f>
        <v>355.40899999999993</v>
      </c>
      <c r="J50" s="1381">
        <f>SUM(J32:J38,J49)</f>
        <v>784.505</v>
      </c>
      <c r="K50" s="1381">
        <f>SUM(K32:K38,K49)</f>
        <v>764.2879999999999</v>
      </c>
      <c r="L50" s="1382">
        <f t="shared" si="36"/>
        <v>764.2879999999999</v>
      </c>
      <c r="M50" s="1381">
        <f>SUM(M32:M38,M49)</f>
        <v>891.77600000000007</v>
      </c>
      <c r="N50" s="1381">
        <f>SUM(N32:N38,N49)</f>
        <v>925.12399999999991</v>
      </c>
      <c r="O50" s="1381">
        <f>SUM(O32:O38,O49)</f>
        <v>940.86200000000008</v>
      </c>
      <c r="P50" s="1381">
        <f>SUM(P32:P38,P49)</f>
        <v>1012.7200000000001</v>
      </c>
      <c r="Q50" s="1382">
        <f t="shared" si="37"/>
        <v>1012.7200000000001</v>
      </c>
      <c r="R50" s="1381">
        <f>SUM(R32:R38,R49)</f>
        <v>1416.181</v>
      </c>
      <c r="S50" s="1381">
        <f>SUM(S32:S38,S49)</f>
        <v>1437.241</v>
      </c>
      <c r="T50" s="1381">
        <f>SUM(T32:T37,T49)</f>
        <v>5712.8889999999992</v>
      </c>
      <c r="U50" s="1381">
        <f>SUM(U32:U37,U49)</f>
        <v>5921.7389999999996</v>
      </c>
      <c r="V50" s="1382">
        <f t="shared" si="30"/>
        <v>5921.7389999999996</v>
      </c>
      <c r="W50" s="1381">
        <f>SUM(W32:W37,W49)</f>
        <v>5929.01</v>
      </c>
      <c r="X50" s="1381">
        <f>SUM(X32:X37,X49)</f>
        <v>6032.4160000000002</v>
      </c>
      <c r="Y50" s="1381">
        <f>SUM(Y32:Y37,Y49)</f>
        <v>6163.4709999999995</v>
      </c>
      <c r="Z50" s="1381">
        <f>SUM(Z32:Z37,Z49)</f>
        <v>6649.6980000000003</v>
      </c>
      <c r="AA50" s="1382">
        <f t="shared" si="38"/>
        <v>6649.6980000000003</v>
      </c>
      <c r="AB50" s="1381">
        <f>SUM(AB32:AB37,AB49)</f>
        <v>7022.6989999999996</v>
      </c>
      <c r="AC50" s="1381">
        <f>SUM(AC32:AC37,AC49)</f>
        <v>7064.1149999999998</v>
      </c>
      <c r="AD50" s="1381">
        <f>SUM(AD32:AD37,AD49)</f>
        <v>7155.6880000000001</v>
      </c>
      <c r="AE50" s="1381">
        <f>SUM(AE32:AE37,AE49)</f>
        <v>7722.3220000000001</v>
      </c>
      <c r="AF50" s="1382">
        <f t="shared" si="31"/>
        <v>7722.3220000000001</v>
      </c>
      <c r="AG50" s="1381">
        <f>SUM(AG32:AG37,AG49)</f>
        <v>7446.7740000000013</v>
      </c>
      <c r="AH50" s="1381">
        <f>SUM(AH32:AH37,AH49)</f>
        <v>7509.8159999999989</v>
      </c>
      <c r="AI50" s="1381">
        <f>SUM(AI32:AI37,AI49)</f>
        <v>7264.3789999999999</v>
      </c>
      <c r="AJ50" s="1381">
        <f>SUM(AJ32:AJ37,AJ49)</f>
        <v>8223.3829999999998</v>
      </c>
      <c r="AK50" s="1382">
        <f t="shared" si="39"/>
        <v>8223.3829999999998</v>
      </c>
      <c r="AL50" s="1381">
        <f>SUM(AL32:AL37,AL49)</f>
        <v>7298.018</v>
      </c>
      <c r="AM50" s="1381">
        <f>SUM(AM32:AM37,AM49)</f>
        <v>6943.8860000000004</v>
      </c>
      <c r="AN50" s="1381">
        <f>SUM(AN32:AN38,AN49)</f>
        <v>8202.2579999999998</v>
      </c>
      <c r="AO50" s="1381">
        <f>SUM(AO32:AO37,AO49)</f>
        <v>9033.9380000000001</v>
      </c>
      <c r="AP50" s="1382">
        <f>AO50</f>
        <v>9033.9380000000001</v>
      </c>
      <c r="AQ50" s="1381">
        <f>SUM(AQ32:AQ37,AQ49)</f>
        <v>8157.4069999999992</v>
      </c>
      <c r="AR50" s="1381">
        <f>SUM(AR32:AR37,AR49)</f>
        <v>8196.7270000000008</v>
      </c>
      <c r="AS50" s="1381">
        <f>SUM(AS32:AS38,AS49)</f>
        <v>8230.1910000000007</v>
      </c>
      <c r="AT50" s="1381">
        <f>SUM(AT32:AT37,AT49)</f>
        <v>8920.4851575915272</v>
      </c>
      <c r="AU50" s="1382">
        <f t="shared" si="33"/>
        <v>8920.4851575915272</v>
      </c>
      <c r="AV50" s="1381">
        <f>SUM(AV32:AV37,AV49)</f>
        <v>8602.5372890554027</v>
      </c>
      <c r="AW50" s="1381">
        <f>SUM(AW32:AW37,AW49)</f>
        <v>8589.538088076406</v>
      </c>
      <c r="AX50" s="1381">
        <f>SUM(AX32:AX37,AX49)</f>
        <v>8754.9111985192139</v>
      </c>
      <c r="AY50" s="1381">
        <f>SUM(AY32:AY37,AY49)</f>
        <v>9557.4811632372257</v>
      </c>
      <c r="AZ50" s="1382">
        <f t="shared" si="34"/>
        <v>9557.4811632372257</v>
      </c>
      <c r="BA50" s="1381">
        <f>SUM(BA32:BA37,BA49)</f>
        <v>9441.7593070244257</v>
      </c>
      <c r="BB50" s="1381">
        <f>SUM(BB32:BB37,BB49)</f>
        <v>9803.9736729709821</v>
      </c>
      <c r="BC50" s="1381">
        <f>SUM(BC32:BC37,BC49)</f>
        <v>10382.550980952965</v>
      </c>
      <c r="BD50" s="1381">
        <f>SUM(BD32:BD37,BD49)</f>
        <v>11672.900292683662</v>
      </c>
      <c r="BE50" s="1382">
        <f t="shared" si="40"/>
        <v>11672.900292683662</v>
      </c>
      <c r="BF50" s="1381">
        <f>SUM(BF32:BF37,BF49)</f>
        <v>11572.884249988787</v>
      </c>
      <c r="BG50" s="1381">
        <f>SUM(BG32:BG37,BG49)</f>
        <v>12088.50830650175</v>
      </c>
      <c r="BH50" s="1381">
        <f>SUM(BH32:BH37,BH49)</f>
        <v>12928.113018060933</v>
      </c>
      <c r="BI50" s="1381">
        <f>SUM(BI32:BI37,BI49)</f>
        <v>14558.777766433375</v>
      </c>
      <c r="BJ50" s="1382">
        <f t="shared" si="41"/>
        <v>14558.777766433375</v>
      </c>
      <c r="BK50" s="1381">
        <f>SUM(BK32:BK37,BK49)</f>
        <v>14487.435689336075</v>
      </c>
      <c r="BL50" s="1381">
        <f>SUM(BL32:BL37,BL49)</f>
        <v>15145.093170200094</v>
      </c>
      <c r="BM50" s="1381">
        <f>SUM(BM32:BM37,BM49)</f>
        <v>16276.343962201558</v>
      </c>
      <c r="BN50" s="1381">
        <f>SUM(BN32:BN37,BN49)</f>
        <v>18242.739296488689</v>
      </c>
      <c r="BO50" s="1382">
        <f t="shared" si="42"/>
        <v>18242.739296488689</v>
      </c>
    </row>
    <row r="51" spans="1:67">
      <c r="A51" s="319"/>
      <c r="B51" s="1054"/>
      <c r="C51" s="394"/>
      <c r="D51" s="395"/>
      <c r="E51" s="395"/>
      <c r="F51" s="395"/>
      <c r="G51" s="371"/>
      <c r="H51" s="394"/>
      <c r="I51" s="395"/>
      <c r="J51" s="395"/>
      <c r="K51" s="395"/>
      <c r="L51" s="371"/>
      <c r="M51" s="394"/>
      <c r="N51" s="395"/>
      <c r="O51" s="395"/>
      <c r="P51" s="395"/>
      <c r="Q51" s="371"/>
      <c r="R51" s="394"/>
      <c r="S51" s="395"/>
      <c r="T51" s="395"/>
      <c r="U51" s="395"/>
      <c r="V51" s="371"/>
      <c r="W51" s="394"/>
      <c r="X51" s="395"/>
      <c r="Y51" s="395"/>
      <c r="Z51" s="395"/>
      <c r="AA51" s="371"/>
      <c r="AB51" s="394"/>
      <c r="AC51" s="395"/>
      <c r="AD51" s="395"/>
      <c r="AE51" s="395"/>
      <c r="AF51" s="371"/>
      <c r="AG51" s="394"/>
      <c r="AH51" s="395"/>
      <c r="AI51" s="395"/>
      <c r="AJ51" s="395"/>
      <c r="AK51" s="371"/>
      <c r="AL51" s="394"/>
      <c r="AM51" s="395"/>
      <c r="AN51" s="395"/>
      <c r="AO51" s="395"/>
      <c r="AP51" s="371"/>
      <c r="AQ51" s="394"/>
      <c r="AR51" s="395"/>
      <c r="AS51" s="395"/>
      <c r="AT51" s="395"/>
      <c r="AU51" s="371"/>
      <c r="AV51" s="394"/>
      <c r="AW51" s="395"/>
      <c r="AX51" s="395"/>
      <c r="AY51" s="395"/>
      <c r="AZ51" s="371"/>
      <c r="BA51" s="394"/>
      <c r="BB51" s="395"/>
      <c r="BC51" s="395"/>
      <c r="BD51" s="395"/>
      <c r="BE51" s="371"/>
      <c r="BF51" s="394"/>
      <c r="BG51" s="395"/>
      <c r="BH51" s="395"/>
      <c r="BI51" s="395"/>
      <c r="BJ51" s="371"/>
      <c r="BK51" s="394"/>
      <c r="BL51" s="395"/>
      <c r="BM51" s="395"/>
      <c r="BN51" s="395"/>
      <c r="BO51" s="371"/>
    </row>
    <row r="52" spans="1:67" s="399" customFormat="1">
      <c r="A52" s="396"/>
      <c r="B52" s="1055" t="s">
        <v>224</v>
      </c>
      <c r="C52" s="397" t="str">
        <f t="shared" ref="C52:AH52" si="43">IF(AND(C25-C50&lt;0.001,C25-C50&gt;-0.001),"OK",C25-C50)</f>
        <v>OK</v>
      </c>
      <c r="D52" s="397" t="str">
        <f t="shared" si="43"/>
        <v>OK</v>
      </c>
      <c r="E52" s="397" t="str">
        <f t="shared" si="43"/>
        <v>OK</v>
      </c>
      <c r="F52" s="397" t="str">
        <f t="shared" si="43"/>
        <v>OK</v>
      </c>
      <c r="G52" s="398" t="str">
        <f t="shared" si="43"/>
        <v>OK</v>
      </c>
      <c r="H52" s="397" t="str">
        <f t="shared" si="43"/>
        <v>OK</v>
      </c>
      <c r="I52" s="397" t="str">
        <f t="shared" si="43"/>
        <v>OK</v>
      </c>
      <c r="J52" s="397" t="str">
        <f t="shared" si="43"/>
        <v>OK</v>
      </c>
      <c r="K52" s="397" t="str">
        <f t="shared" si="43"/>
        <v>OK</v>
      </c>
      <c r="L52" s="398" t="str">
        <f t="shared" si="43"/>
        <v>OK</v>
      </c>
      <c r="M52" s="397" t="str">
        <f t="shared" si="43"/>
        <v>OK</v>
      </c>
      <c r="N52" s="397" t="str">
        <f t="shared" si="43"/>
        <v>OK</v>
      </c>
      <c r="O52" s="397" t="str">
        <f t="shared" si="43"/>
        <v>OK</v>
      </c>
      <c r="P52" s="397" t="str">
        <f t="shared" si="43"/>
        <v>OK</v>
      </c>
      <c r="Q52" s="398" t="str">
        <f t="shared" si="43"/>
        <v>OK</v>
      </c>
      <c r="R52" s="397" t="str">
        <f t="shared" si="43"/>
        <v>OK</v>
      </c>
      <c r="S52" s="397" t="str">
        <f t="shared" si="43"/>
        <v>OK</v>
      </c>
      <c r="T52" s="397" t="str">
        <f t="shared" si="43"/>
        <v>OK</v>
      </c>
      <c r="U52" s="397" t="str">
        <f t="shared" si="43"/>
        <v>OK</v>
      </c>
      <c r="V52" s="398" t="str">
        <f t="shared" si="43"/>
        <v>OK</v>
      </c>
      <c r="W52" s="397" t="str">
        <f t="shared" si="43"/>
        <v>OK</v>
      </c>
      <c r="X52" s="397" t="str">
        <f t="shared" si="43"/>
        <v>OK</v>
      </c>
      <c r="Y52" s="397" t="str">
        <f t="shared" si="43"/>
        <v>OK</v>
      </c>
      <c r="Z52" s="397" t="str">
        <f t="shared" si="43"/>
        <v>OK</v>
      </c>
      <c r="AA52" s="398" t="str">
        <f t="shared" si="43"/>
        <v>OK</v>
      </c>
      <c r="AB52" s="397" t="str">
        <f t="shared" si="43"/>
        <v>OK</v>
      </c>
      <c r="AC52" s="397" t="str">
        <f t="shared" si="43"/>
        <v>OK</v>
      </c>
      <c r="AD52" s="397" t="str">
        <f t="shared" si="43"/>
        <v>OK</v>
      </c>
      <c r="AE52" s="397" t="str">
        <f t="shared" si="43"/>
        <v>OK</v>
      </c>
      <c r="AF52" s="398" t="str">
        <f t="shared" si="43"/>
        <v>OK</v>
      </c>
      <c r="AG52" s="397" t="str">
        <f t="shared" si="43"/>
        <v>OK</v>
      </c>
      <c r="AH52" s="397" t="str">
        <f t="shared" si="43"/>
        <v>OK</v>
      </c>
      <c r="AI52" s="397" t="str">
        <f t="shared" ref="AI52:AZ52" si="44">IF(AND(AI25-AI50&lt;0.001,AI25-AI50&gt;-0.001),"OK",AI25-AI50)</f>
        <v>OK</v>
      </c>
      <c r="AJ52" s="397" t="str">
        <f t="shared" si="44"/>
        <v>OK</v>
      </c>
      <c r="AK52" s="398" t="str">
        <f t="shared" si="44"/>
        <v>OK</v>
      </c>
      <c r="AL52" s="397" t="str">
        <f t="shared" si="44"/>
        <v>OK</v>
      </c>
      <c r="AM52" s="397" t="str">
        <f t="shared" si="44"/>
        <v>OK</v>
      </c>
      <c r="AN52" s="397" t="str">
        <f>IF(AND(AN25-AN50&lt;0.001,AN25-AN50&gt;-0.001),"OK",AN25-AN50)</f>
        <v>OK</v>
      </c>
      <c r="AO52" s="397" t="str">
        <f>IF(AND(AO25-AO50&lt;0.001,AO25-AO50&gt;-0.001),"OK",AO25-AO50)</f>
        <v>OK</v>
      </c>
      <c r="AP52" s="398" t="str">
        <f>IF(AND(AP25-AP50&lt;0.001,AP25-AP50&gt;-0.001),"OK",AP25-AP50)</f>
        <v>OK</v>
      </c>
      <c r="AQ52" s="397" t="str">
        <f t="shared" ref="AQ52" si="45">IF(AND(AQ25-AQ50&lt;0.001,AQ25-AQ50&gt;-0.001),"OK",AQ25-AQ50)</f>
        <v>OK</v>
      </c>
      <c r="AR52" s="397" t="str">
        <f t="shared" si="44"/>
        <v>OK</v>
      </c>
      <c r="AS52" s="397" t="str">
        <f>IF(AND(AS25-AS50&lt;0.001,AS25-AS50&gt;-0.001),"OK",AS25-AS50)</f>
        <v>OK</v>
      </c>
      <c r="AT52" s="397" t="str">
        <f t="shared" si="44"/>
        <v>OK</v>
      </c>
      <c r="AU52" s="398" t="str">
        <f t="shared" si="44"/>
        <v>OK</v>
      </c>
      <c r="AV52" s="397" t="str">
        <f t="shared" si="44"/>
        <v>OK</v>
      </c>
      <c r="AW52" s="397" t="str">
        <f t="shared" si="44"/>
        <v>OK</v>
      </c>
      <c r="AX52" s="397" t="str">
        <f t="shared" si="44"/>
        <v>OK</v>
      </c>
      <c r="AY52" s="397" t="str">
        <f t="shared" si="44"/>
        <v>OK</v>
      </c>
      <c r="AZ52" s="398" t="str">
        <f t="shared" si="44"/>
        <v>OK</v>
      </c>
      <c r="BA52" s="397" t="str">
        <f t="shared" ref="BA52:BJ52" si="46">IF(AND(BA25-BA50&lt;0.001,BA25-BA50&gt;-0.001),"OK",BA25-BA50)</f>
        <v>OK</v>
      </c>
      <c r="BB52" s="397" t="str">
        <f t="shared" si="46"/>
        <v>OK</v>
      </c>
      <c r="BC52" s="397" t="str">
        <f t="shared" si="46"/>
        <v>OK</v>
      </c>
      <c r="BD52" s="397" t="str">
        <f t="shared" si="46"/>
        <v>OK</v>
      </c>
      <c r="BE52" s="398" t="str">
        <f t="shared" si="46"/>
        <v>OK</v>
      </c>
      <c r="BF52" s="397" t="str">
        <f t="shared" si="46"/>
        <v>OK</v>
      </c>
      <c r="BG52" s="397" t="str">
        <f t="shared" si="46"/>
        <v>OK</v>
      </c>
      <c r="BH52" s="397" t="str">
        <f t="shared" si="46"/>
        <v>OK</v>
      </c>
      <c r="BI52" s="397" t="str">
        <f t="shared" si="46"/>
        <v>OK</v>
      </c>
      <c r="BJ52" s="398" t="str">
        <f t="shared" si="46"/>
        <v>OK</v>
      </c>
      <c r="BK52" s="397" t="str">
        <f>IF(AND(BK25-BK50&lt;0.001,BK25-BK50&gt;-0.001),"OK",BK25-BK50)</f>
        <v>OK</v>
      </c>
      <c r="BL52" s="397" t="str">
        <f>IF(AND(BL25-BL50&lt;0.001,BL25-BL50&gt;-0.001),"OK",BL25-BL50)</f>
        <v>OK</v>
      </c>
      <c r="BM52" s="397" t="str">
        <f>IF(AND(BM25-BM50&lt;0.001,BM25-BM50&gt;-0.001),"OK",BM25-BM50)</f>
        <v>OK</v>
      </c>
      <c r="BN52" s="397" t="str">
        <f>IF(AND(BN25-BN50&lt;0.001,BN25-BN50&gt;-0.001),"OK",BN25-BN50)</f>
        <v>OK</v>
      </c>
      <c r="BO52" s="398" t="str">
        <f>IF(AND(BO25-BO50&lt;0.001,BO25-BO50&gt;-0.001),"OK",BO25-BO50)</f>
        <v>OK</v>
      </c>
    </row>
    <row r="53" spans="1:67">
      <c r="A53" s="400"/>
      <c r="B53" s="1056"/>
      <c r="C53" s="402"/>
      <c r="D53" s="402"/>
      <c r="E53" s="402"/>
      <c r="F53" s="402"/>
      <c r="G53" s="371"/>
      <c r="H53" s="402"/>
      <c r="I53" s="402"/>
      <c r="J53" s="402"/>
      <c r="K53" s="402"/>
      <c r="L53" s="371"/>
      <c r="M53" s="402"/>
      <c r="N53" s="402"/>
      <c r="O53" s="402"/>
      <c r="P53" s="402"/>
      <c r="Q53" s="371"/>
      <c r="R53" s="402"/>
      <c r="S53" s="402"/>
      <c r="T53" s="402"/>
      <c r="U53" s="402"/>
      <c r="V53" s="371"/>
      <c r="W53" s="402"/>
      <c r="X53" s="402"/>
      <c r="Y53" s="402"/>
      <c r="Z53" s="402"/>
      <c r="AA53" s="371"/>
      <c r="AB53" s="402"/>
      <c r="AC53" s="402"/>
      <c r="AD53" s="402"/>
      <c r="AE53" s="402"/>
      <c r="AF53" s="371"/>
      <c r="AG53" s="402"/>
      <c r="AH53" s="402"/>
      <c r="AI53" s="402"/>
      <c r="AJ53" s="402"/>
      <c r="AK53" s="371"/>
      <c r="AL53" s="402"/>
      <c r="AM53" s="397"/>
      <c r="AN53" s="402"/>
      <c r="AO53" s="397"/>
      <c r="AP53" s="371"/>
      <c r="AQ53" s="402"/>
      <c r="AR53" s="402"/>
      <c r="AS53" s="402"/>
      <c r="AT53" s="402"/>
      <c r="AU53" s="371"/>
      <c r="AV53" s="402"/>
      <c r="AW53" s="402"/>
      <c r="AX53" s="402"/>
      <c r="AY53" s="402"/>
      <c r="AZ53" s="371"/>
      <c r="BA53" s="402"/>
      <c r="BB53" s="402"/>
      <c r="BC53" s="402"/>
      <c r="BD53" s="402"/>
      <c r="BE53" s="371"/>
      <c r="BF53" s="402"/>
      <c r="BG53" s="402"/>
      <c r="BH53" s="402"/>
      <c r="BI53" s="402"/>
      <c r="BJ53" s="371"/>
      <c r="BK53" s="402"/>
      <c r="BL53" s="402"/>
      <c r="BM53" s="402"/>
      <c r="BN53" s="402"/>
      <c r="BO53" s="371"/>
    </row>
    <row r="54" spans="1:67">
      <c r="A54" s="400"/>
      <c r="B54" s="986" t="s">
        <v>252</v>
      </c>
      <c r="C54" s="402"/>
      <c r="D54" s="402"/>
      <c r="E54" s="402"/>
      <c r="F54" s="402"/>
      <c r="G54" s="371"/>
      <c r="H54" s="402"/>
      <c r="I54" s="402"/>
      <c r="J54" s="402"/>
      <c r="K54" s="402"/>
      <c r="L54" s="371"/>
      <c r="M54" s="402"/>
      <c r="N54" s="402"/>
      <c r="O54" s="402"/>
      <c r="P54" s="402"/>
      <c r="Q54" s="371"/>
      <c r="R54" s="402"/>
      <c r="S54" s="402"/>
      <c r="T54" s="402"/>
      <c r="U54" s="402"/>
      <c r="V54" s="371"/>
      <c r="W54" s="402"/>
      <c r="X54" s="402"/>
      <c r="Y54" s="402"/>
      <c r="Z54" s="402"/>
      <c r="AA54" s="371"/>
      <c r="AB54" s="402"/>
      <c r="AC54" s="402"/>
      <c r="AD54" s="402"/>
      <c r="AE54" s="402"/>
      <c r="AF54" s="371"/>
      <c r="AG54" s="402"/>
      <c r="AH54" s="402"/>
      <c r="AI54" s="402"/>
      <c r="AJ54" s="402"/>
      <c r="AK54" s="371"/>
      <c r="AL54" s="402"/>
      <c r="AM54" s="402"/>
      <c r="AN54" s="402"/>
      <c r="AO54" s="402"/>
      <c r="AP54" s="371"/>
      <c r="AQ54" s="402"/>
      <c r="AR54" s="402"/>
      <c r="AS54" s="402"/>
      <c r="AT54" s="402"/>
      <c r="AU54" s="371"/>
      <c r="AV54" s="402"/>
      <c r="AW54" s="402"/>
      <c r="AX54" s="402"/>
      <c r="AY54" s="402"/>
      <c r="AZ54" s="371"/>
      <c r="BA54" s="402"/>
      <c r="BB54" s="402"/>
      <c r="BC54" s="402"/>
      <c r="BD54" s="402"/>
      <c r="BE54" s="371"/>
      <c r="BF54" s="402"/>
      <c r="BG54" s="402"/>
      <c r="BH54" s="402"/>
      <c r="BI54" s="402"/>
      <c r="BJ54" s="371"/>
      <c r="BK54" s="402"/>
      <c r="BL54" s="402"/>
      <c r="BM54" s="402"/>
      <c r="BN54" s="402"/>
      <c r="BO54" s="371"/>
    </row>
    <row r="55" spans="1:67" hidden="1" outlineLevel="1">
      <c r="A55" s="403"/>
      <c r="B55" s="1057" t="s">
        <v>2</v>
      </c>
      <c r="C55" s="404"/>
      <c r="D55" s="404"/>
      <c r="E55" s="404"/>
      <c r="F55" s="404"/>
      <c r="G55" s="405"/>
      <c r="H55" s="404">
        <f>'IS (GAAP)'!H10</f>
        <v>13.403</v>
      </c>
      <c r="I55" s="404">
        <f>'IS (GAAP)'!I10</f>
        <v>17.905000000000001</v>
      </c>
      <c r="J55" s="404">
        <f>'IS (GAAP)'!J10</f>
        <v>28.68</v>
      </c>
      <c r="K55" s="404">
        <f>'IS (GAAP)'!K10</f>
        <v>36.678000000000004</v>
      </c>
      <c r="L55" s="405">
        <f>'IS (GAAP)'!L10</f>
        <v>96.665999999999997</v>
      </c>
      <c r="M55" s="404">
        <f>'IS (GAAP)'!M10</f>
        <v>43.704999999999998</v>
      </c>
      <c r="N55" s="404">
        <f>'IS (GAAP)'!N10</f>
        <v>60.338999999999999</v>
      </c>
      <c r="O55" s="404">
        <f>'IS (GAAP)'!O10</f>
        <v>73.012</v>
      </c>
      <c r="P55" s="404">
        <f>'IS (GAAP)'!P10</f>
        <v>87.692000000000007</v>
      </c>
      <c r="Q55" s="405">
        <f>'IS (GAAP)'!Q10</f>
        <v>264.74799999999999</v>
      </c>
      <c r="R55" s="404">
        <f>'IS (GAAP)'!R10</f>
        <v>108.815</v>
      </c>
      <c r="S55" s="404">
        <f>'IS (GAAP)'!S10</f>
        <v>133.14499999999998</v>
      </c>
      <c r="T55" s="404">
        <f>'IS (GAAP)'!T10</f>
        <v>159.62400000000002</v>
      </c>
      <c r="U55" s="404">
        <f>'IS (GAAP)'!U10</f>
        <v>190.465</v>
      </c>
      <c r="V55" s="405">
        <f>'IS (GAAP)'!V10</f>
        <v>592.04899999999998</v>
      </c>
      <c r="W55" s="404">
        <f>'IS (GAAP)'!W10</f>
        <v>228.91400000000002</v>
      </c>
      <c r="X55" s="404">
        <f>'IS (GAAP)'!X10</f>
        <v>272.19799999999998</v>
      </c>
      <c r="Y55" s="404">
        <f>'IS (GAAP)'!Y10</f>
        <v>334.44100000000003</v>
      </c>
      <c r="Z55" s="404">
        <f>'IS (GAAP)'!Z10</f>
        <v>383.774</v>
      </c>
      <c r="AA55" s="405">
        <f>'IS (GAAP)'!AA10</f>
        <v>1219.327</v>
      </c>
      <c r="AB55" s="404">
        <f>'IS (GAAP)'!AB10</f>
        <v>422.37100000000004</v>
      </c>
      <c r="AC55" s="404">
        <f>'IS (GAAP)'!AC10</f>
        <v>497.24799999999999</v>
      </c>
      <c r="AD55" s="404">
        <f>'IS (GAAP)'!AD10</f>
        <v>557.02799999999991</v>
      </c>
      <c r="AE55" s="404">
        <f>'IS (GAAP)'!AE10</f>
        <v>589.01199999999994</v>
      </c>
      <c r="AF55" s="405">
        <f>'IS (GAAP)'!AF10</f>
        <v>2065.6589999999997</v>
      </c>
      <c r="AG55" s="404">
        <f>'IS (GAAP)'!AG10</f>
        <v>623.59900000000005</v>
      </c>
      <c r="AH55" s="404">
        <f>'IS (GAAP)'!AH10</f>
        <v>674.01799999999992</v>
      </c>
      <c r="AI55" s="404">
        <f>'IS (GAAP)'!AI10</f>
        <v>734.173</v>
      </c>
      <c r="AJ55" s="404">
        <f>'IS (GAAP)'!AJ10</f>
        <v>774.69900000000007</v>
      </c>
      <c r="AK55" s="405">
        <f>'IS (GAAP)'!AK10</f>
        <v>2806.489</v>
      </c>
      <c r="AL55" s="404">
        <f>'IS (GAAP)'!AL10</f>
        <v>828.70899999999995</v>
      </c>
      <c r="AM55" s="404">
        <f>'IS (GAAP)'!AM10</f>
        <v>868.82299999999998</v>
      </c>
      <c r="AN55" s="404">
        <f>'IS (GAAP)'!AN10</f>
        <v>942.09400000000005</v>
      </c>
      <c r="AO55" s="404">
        <f>'IS (GAAP)'!AO10</f>
        <v>986.77</v>
      </c>
      <c r="AP55" s="405">
        <f>'IS (GAAP)'!AP10</f>
        <v>3626.3960000000002</v>
      </c>
      <c r="AQ55" s="404">
        <f>'IS (GAAP)'!AQ10</f>
        <v>1042.0740000000001</v>
      </c>
      <c r="AR55" s="404">
        <f>'IS (GAAP)'!AR10</f>
        <v>1144.9690000000001</v>
      </c>
      <c r="AS55" s="404">
        <f>'IS (GAAP)'!AS10</f>
        <v>1212.9089999999999</v>
      </c>
      <c r="AT55" s="404">
        <f>'IS (GAAP)'!AT10</f>
        <v>1248.8030560010045</v>
      </c>
      <c r="AU55" s="405">
        <f>'IS (GAAP)'!AU10</f>
        <v>4648.755056001005</v>
      </c>
      <c r="AV55" s="404">
        <f>'IS (GAAP)'!AV10</f>
        <v>1313.0109719722818</v>
      </c>
      <c r="AW55" s="404">
        <f>'IS (GAAP)'!AW10</f>
        <v>1415.0354199515693</v>
      </c>
      <c r="AX55" s="404">
        <f>'IS (GAAP)'!AX10</f>
        <v>1502.3143250154637</v>
      </c>
      <c r="AY55" s="404">
        <f>'IS (GAAP)'!AY10</f>
        <v>1549.2271503589259</v>
      </c>
      <c r="AZ55" s="405">
        <f>'IS (GAAP)'!AZ10</f>
        <v>5779.5878672982399</v>
      </c>
      <c r="BA55" s="404">
        <f>'IS (GAAP)'!BA10</f>
        <v>1629.2553267969927</v>
      </c>
      <c r="BB55" s="404">
        <f>'IS (GAAP)'!BB10</f>
        <v>1760.8179210723133</v>
      </c>
      <c r="BC55" s="404">
        <f>'IS (GAAP)'!BC10</f>
        <v>1874.5413502166089</v>
      </c>
      <c r="BD55" s="404">
        <f>'IS (GAAP)'!BD10</f>
        <v>1913.7313599297675</v>
      </c>
      <c r="BE55" s="405">
        <f>'IS (GAAP)'!BE10</f>
        <v>7178.3459580156823</v>
      </c>
      <c r="BF55" s="404">
        <f>'IS (GAAP)'!BF10</f>
        <v>1996.5101842221654</v>
      </c>
      <c r="BG55" s="404">
        <f>'IS (GAAP)'!BG10</f>
        <v>2152.7279867089919</v>
      </c>
      <c r="BH55" s="404">
        <f>'IS (GAAP)'!BH10</f>
        <v>2332.7605630627686</v>
      </c>
      <c r="BI55" s="404">
        <f>'IS (GAAP)'!BI10</f>
        <v>2391.9908531909532</v>
      </c>
      <c r="BJ55" s="405">
        <f>'IS (GAAP)'!BJ10</f>
        <v>8873.9895871848785</v>
      </c>
      <c r="BK55" s="404">
        <f>'IS (GAAP)'!BK10</f>
        <v>2482.3191606008099</v>
      </c>
      <c r="BL55" s="404">
        <f>'IS (GAAP)'!BL10</f>
        <v>2642.738930392944</v>
      </c>
      <c r="BM55" s="404">
        <f>'IS (GAAP)'!BM10</f>
        <v>2883.1165247796034</v>
      </c>
      <c r="BN55" s="404">
        <f>'IS (GAAP)'!BN10</f>
        <v>2925.8127729876887</v>
      </c>
      <c r="BO55" s="405">
        <f>'IS (GAAP)'!BO10</f>
        <v>10933.987388761047</v>
      </c>
    </row>
    <row r="56" spans="1:67" hidden="1" outlineLevel="1">
      <c r="A56" s="406" t="s">
        <v>84</v>
      </c>
      <c r="B56" s="1057" t="s">
        <v>253</v>
      </c>
      <c r="C56" s="407"/>
      <c r="D56" s="407"/>
      <c r="E56" s="407"/>
      <c r="F56" s="407">
        <f t="shared" ref="F56:AZ56" si="47">F10+F12</f>
        <v>0</v>
      </c>
      <c r="G56" s="408">
        <f t="shared" si="47"/>
        <v>0</v>
      </c>
      <c r="H56" s="407">
        <f t="shared" si="47"/>
        <v>293.54300000000001</v>
      </c>
      <c r="I56" s="407">
        <f t="shared" si="47"/>
        <v>271.19200000000001</v>
      </c>
      <c r="J56" s="407">
        <f t="shared" si="47"/>
        <v>695.26</v>
      </c>
      <c r="K56" s="407">
        <f t="shared" si="47"/>
        <v>608.798</v>
      </c>
      <c r="L56" s="408">
        <f t="shared" si="47"/>
        <v>608.798</v>
      </c>
      <c r="M56" s="407">
        <f t="shared" si="47"/>
        <v>575.56899999999996</v>
      </c>
      <c r="N56" s="407">
        <f t="shared" si="47"/>
        <v>464.416</v>
      </c>
      <c r="O56" s="407">
        <f t="shared" si="47"/>
        <v>469.91800000000001</v>
      </c>
      <c r="P56" s="407">
        <f t="shared" si="47"/>
        <v>434.05</v>
      </c>
      <c r="Q56" s="408">
        <f t="shared" si="47"/>
        <v>434.05</v>
      </c>
      <c r="R56" s="407">
        <f t="shared" si="47"/>
        <v>810.06299999999999</v>
      </c>
      <c r="S56" s="407">
        <f t="shared" si="47"/>
        <v>590.87599999999998</v>
      </c>
      <c r="T56" s="407">
        <f t="shared" si="47"/>
        <v>4754.0480000000007</v>
      </c>
      <c r="U56" s="407">
        <f t="shared" si="47"/>
        <v>3908.0640000000003</v>
      </c>
      <c r="V56" s="408">
        <f t="shared" si="47"/>
        <v>3908.0640000000003</v>
      </c>
      <c r="W56" s="407">
        <f t="shared" si="47"/>
        <v>3930.4250000000002</v>
      </c>
      <c r="X56" s="407">
        <f t="shared" si="47"/>
        <v>4135.4889999999996</v>
      </c>
      <c r="Y56" s="407">
        <f t="shared" si="47"/>
        <v>3890.83</v>
      </c>
      <c r="Z56" s="407">
        <f t="shared" si="47"/>
        <v>3852.0929999999998</v>
      </c>
      <c r="AA56" s="408">
        <f t="shared" si="47"/>
        <v>3852.0929999999998</v>
      </c>
      <c r="AB56" s="407">
        <f t="shared" si="47"/>
        <v>3815.08</v>
      </c>
      <c r="AC56" s="407">
        <f t="shared" si="47"/>
        <v>3953.14</v>
      </c>
      <c r="AD56" s="407">
        <f t="shared" si="47"/>
        <v>3942.8820000000001</v>
      </c>
      <c r="AE56" s="407">
        <f t="shared" si="47"/>
        <v>4007.8679999999999</v>
      </c>
      <c r="AF56" s="408">
        <f t="shared" si="47"/>
        <v>4007.8679999999999</v>
      </c>
      <c r="AG56" s="407">
        <f t="shared" si="47"/>
        <v>3945.5280000000002</v>
      </c>
      <c r="AH56" s="407">
        <f t="shared" si="47"/>
        <v>3752.1329999999998</v>
      </c>
      <c r="AI56" s="407">
        <f t="shared" si="47"/>
        <v>3548.5389999999998</v>
      </c>
      <c r="AJ56" s="407">
        <f t="shared" si="47"/>
        <v>3846.2479999999996</v>
      </c>
      <c r="AK56" s="408">
        <f t="shared" si="47"/>
        <v>3846.2479999999996</v>
      </c>
      <c r="AL56" s="407">
        <f>AL10+AL12</f>
        <v>3531.346</v>
      </c>
      <c r="AM56" s="407">
        <f t="shared" si="47"/>
        <v>3230.5070000000001</v>
      </c>
      <c r="AN56" s="407">
        <f>AN10+AN12</f>
        <v>4156.99</v>
      </c>
      <c r="AO56" s="407">
        <f>AO10+AO12</f>
        <v>4637.6710000000003</v>
      </c>
      <c r="AP56" s="408">
        <f>AP10+AP12</f>
        <v>4637.6710000000003</v>
      </c>
      <c r="AQ56" s="407">
        <f>AQ10+AQ12</f>
        <v>3910.6840000000002</v>
      </c>
      <c r="AR56" s="407">
        <f t="shared" si="47"/>
        <v>3586.7080000000001</v>
      </c>
      <c r="AS56" s="407">
        <f>AS10+AS12</f>
        <v>3353.105</v>
      </c>
      <c r="AT56" s="407">
        <f t="shared" si="47"/>
        <v>3873.7199126561791</v>
      </c>
      <c r="AU56" s="408">
        <f t="shared" si="47"/>
        <v>3873.7199126561791</v>
      </c>
      <c r="AV56" s="407">
        <f t="shared" si="47"/>
        <v>4117.171264456998</v>
      </c>
      <c r="AW56" s="407">
        <f t="shared" si="47"/>
        <v>3930.2458560159284</v>
      </c>
      <c r="AX56" s="407">
        <f t="shared" si="47"/>
        <v>3810.4845425106214</v>
      </c>
      <c r="AY56" s="407">
        <f t="shared" si="47"/>
        <v>4354.0192394301594</v>
      </c>
      <c r="AZ56" s="408">
        <f t="shared" si="47"/>
        <v>4354.0192394301594</v>
      </c>
      <c r="BA56" s="407">
        <f t="shared" ref="BA56:BJ56" si="48">BA10+BA12</f>
        <v>4866.2061527186597</v>
      </c>
      <c r="BB56" s="407">
        <f t="shared" si="48"/>
        <v>5000.3619844009017</v>
      </c>
      <c r="BC56" s="407">
        <f t="shared" si="48"/>
        <v>5211.2355638362906</v>
      </c>
      <c r="BD56" s="407">
        <f t="shared" si="48"/>
        <v>6193.4131276927346</v>
      </c>
      <c r="BE56" s="408">
        <f t="shared" si="48"/>
        <v>6193.4131276927346</v>
      </c>
      <c r="BF56" s="407">
        <f t="shared" si="48"/>
        <v>6880.7947380516889</v>
      </c>
      <c r="BG56" s="407">
        <f t="shared" si="48"/>
        <v>7076.1518872430679</v>
      </c>
      <c r="BH56" s="407">
        <f t="shared" si="48"/>
        <v>7416.1272668714646</v>
      </c>
      <c r="BI56" s="407">
        <f t="shared" si="48"/>
        <v>8637.5468638793664</v>
      </c>
      <c r="BJ56" s="408">
        <f t="shared" si="48"/>
        <v>8637.5468638793664</v>
      </c>
      <c r="BK56" s="407">
        <f>BK10+BK12</f>
        <v>9447.1092840917809</v>
      </c>
      <c r="BL56" s="407">
        <f>BL10+BL12</f>
        <v>9755.6080868684694</v>
      </c>
      <c r="BM56" s="407">
        <f>BM10+BM12</f>
        <v>10261.746740902894</v>
      </c>
      <c r="BN56" s="407">
        <f>BN10+BN12</f>
        <v>11761.506109239554</v>
      </c>
      <c r="BO56" s="408">
        <f>BO10+BO12</f>
        <v>11761.506109239554</v>
      </c>
    </row>
    <row r="57" spans="1:67" hidden="1" outlineLevel="1">
      <c r="A57" s="235" t="s">
        <v>85</v>
      </c>
      <c r="B57" s="1057" t="s">
        <v>181</v>
      </c>
      <c r="C57" s="407"/>
      <c r="D57" s="407"/>
      <c r="E57" s="407"/>
      <c r="F57" s="409">
        <v>0</v>
      </c>
      <c r="G57" s="408">
        <f>F57</f>
        <v>0</v>
      </c>
      <c r="H57" s="409">
        <v>0</v>
      </c>
      <c r="I57" s="409">
        <v>0</v>
      </c>
      <c r="J57" s="409">
        <v>0</v>
      </c>
      <c r="K57" s="409">
        <v>0</v>
      </c>
      <c r="L57" s="408">
        <f>K57</f>
        <v>0</v>
      </c>
      <c r="M57" s="409">
        <v>0</v>
      </c>
      <c r="N57" s="409">
        <v>0</v>
      </c>
      <c r="O57" s="409">
        <v>0</v>
      </c>
      <c r="P57" s="409">
        <v>0</v>
      </c>
      <c r="Q57" s="408">
        <f>P57</f>
        <v>0</v>
      </c>
      <c r="R57" s="409">
        <v>0</v>
      </c>
      <c r="S57" s="409">
        <v>0</v>
      </c>
      <c r="T57" s="409">
        <v>0</v>
      </c>
      <c r="U57" s="409">
        <v>0</v>
      </c>
      <c r="V57" s="408">
        <f>U57</f>
        <v>0</v>
      </c>
      <c r="W57" s="409">
        <v>0</v>
      </c>
      <c r="X57" s="409">
        <v>0</v>
      </c>
      <c r="Y57" s="409">
        <v>0</v>
      </c>
      <c r="Z57" s="409">
        <v>0</v>
      </c>
      <c r="AA57" s="408">
        <f>Z57</f>
        <v>0</v>
      </c>
      <c r="AB57" s="409">
        <v>0</v>
      </c>
      <c r="AC57" s="409">
        <v>0</v>
      </c>
      <c r="AD57" s="409">
        <v>0</v>
      </c>
      <c r="AE57" s="409">
        <v>0</v>
      </c>
      <c r="AF57" s="408">
        <f>AE57</f>
        <v>0</v>
      </c>
      <c r="AG57" s="409">
        <v>0</v>
      </c>
      <c r="AH57" s="409">
        <v>0</v>
      </c>
      <c r="AI57" s="409">
        <v>0</v>
      </c>
      <c r="AJ57" s="409">
        <v>0</v>
      </c>
      <c r="AK57" s="408">
        <f>AJ57</f>
        <v>0</v>
      </c>
      <c r="AL57" s="409">
        <v>0</v>
      </c>
      <c r="AM57" s="409">
        <v>0</v>
      </c>
      <c r="AN57" s="407">
        <f t="shared" ref="AN57:BJ57" si="49">AN34</f>
        <v>2269.4589999999998</v>
      </c>
      <c r="AO57" s="407">
        <f t="shared" si="49"/>
        <v>2271.529</v>
      </c>
      <c r="AP57" s="408">
        <f t="shared" si="49"/>
        <v>2271.529</v>
      </c>
      <c r="AQ57" s="407">
        <f t="shared" si="49"/>
        <v>2273.6</v>
      </c>
      <c r="AR57" s="407">
        <f t="shared" si="49"/>
        <v>2275.674</v>
      </c>
      <c r="AS57" s="407">
        <f t="shared" ref="AS57" si="50">AS34</f>
        <v>2277.7489999999998</v>
      </c>
      <c r="AT57" s="407">
        <f t="shared" si="49"/>
        <v>2277.7489999999998</v>
      </c>
      <c r="AU57" s="408">
        <f t="shared" si="49"/>
        <v>2277.7489999999998</v>
      </c>
      <c r="AV57" s="407">
        <f t="shared" si="49"/>
        <v>2277.7489999999998</v>
      </c>
      <c r="AW57" s="407">
        <f t="shared" si="49"/>
        <v>2277.7489999999998</v>
      </c>
      <c r="AX57" s="407">
        <f t="shared" si="49"/>
        <v>2277.7489999999998</v>
      </c>
      <c r="AY57" s="407">
        <f t="shared" si="49"/>
        <v>2277.7489999999998</v>
      </c>
      <c r="AZ57" s="408">
        <f t="shared" si="49"/>
        <v>2277.7489999999998</v>
      </c>
      <c r="BA57" s="407">
        <f t="shared" si="49"/>
        <v>2277.7489999999998</v>
      </c>
      <c r="BB57" s="407">
        <f t="shared" si="49"/>
        <v>2277.7489999999998</v>
      </c>
      <c r="BC57" s="407">
        <f t="shared" si="49"/>
        <v>2277.7489999999998</v>
      </c>
      <c r="BD57" s="407">
        <f t="shared" si="49"/>
        <v>2277.7489999999998</v>
      </c>
      <c r="BE57" s="408">
        <f t="shared" si="49"/>
        <v>2277.7489999999998</v>
      </c>
      <c r="BF57" s="407">
        <f t="shared" si="49"/>
        <v>2277.7489999999998</v>
      </c>
      <c r="BG57" s="407">
        <f t="shared" si="49"/>
        <v>2277.7489999999998</v>
      </c>
      <c r="BH57" s="407">
        <f t="shared" si="49"/>
        <v>2277.7489999999998</v>
      </c>
      <c r="BI57" s="407">
        <f t="shared" si="49"/>
        <v>2277.7489999999998</v>
      </c>
      <c r="BJ57" s="408">
        <f t="shared" si="49"/>
        <v>2277.7489999999998</v>
      </c>
      <c r="BK57" s="407">
        <f>BK34</f>
        <v>2277.7489999999998</v>
      </c>
      <c r="BL57" s="407">
        <f>BL34</f>
        <v>2277.7489999999998</v>
      </c>
      <c r="BM57" s="407">
        <f>BM34</f>
        <v>2277.7489999999998</v>
      </c>
      <c r="BN57" s="407">
        <f>BN34</f>
        <v>2277.7489999999998</v>
      </c>
      <c r="BO57" s="408">
        <f>BO34</f>
        <v>2277.7489999999998</v>
      </c>
    </row>
    <row r="58" spans="1:67" hidden="1" outlineLevel="1">
      <c r="A58" s="234" t="s">
        <v>254</v>
      </c>
      <c r="B58" s="1057" t="s">
        <v>182</v>
      </c>
      <c r="C58" s="407"/>
      <c r="D58" s="407"/>
      <c r="E58" s="407"/>
      <c r="F58" s="407">
        <f t="shared" ref="F58:AK58" si="51">F57-F56</f>
        <v>0</v>
      </c>
      <c r="G58" s="408">
        <f t="shared" si="51"/>
        <v>0</v>
      </c>
      <c r="H58" s="407">
        <f t="shared" si="51"/>
        <v>-293.54300000000001</v>
      </c>
      <c r="I58" s="407">
        <f t="shared" si="51"/>
        <v>-271.19200000000001</v>
      </c>
      <c r="J58" s="407">
        <f t="shared" si="51"/>
        <v>-695.26</v>
      </c>
      <c r="K58" s="407">
        <f t="shared" si="51"/>
        <v>-608.798</v>
      </c>
      <c r="L58" s="408">
        <f t="shared" si="51"/>
        <v>-608.798</v>
      </c>
      <c r="M58" s="407">
        <f t="shared" si="51"/>
        <v>-575.56899999999996</v>
      </c>
      <c r="N58" s="407">
        <f t="shared" si="51"/>
        <v>-464.416</v>
      </c>
      <c r="O58" s="407">
        <f t="shared" si="51"/>
        <v>-469.91800000000001</v>
      </c>
      <c r="P58" s="407">
        <f t="shared" si="51"/>
        <v>-434.05</v>
      </c>
      <c r="Q58" s="408">
        <f t="shared" si="51"/>
        <v>-434.05</v>
      </c>
      <c r="R58" s="407">
        <f t="shared" si="51"/>
        <v>-810.06299999999999</v>
      </c>
      <c r="S58" s="407">
        <f t="shared" si="51"/>
        <v>-590.87599999999998</v>
      </c>
      <c r="T58" s="407">
        <f t="shared" si="51"/>
        <v>-4754.0480000000007</v>
      </c>
      <c r="U58" s="407">
        <f t="shared" si="51"/>
        <v>-3908.0640000000003</v>
      </c>
      <c r="V58" s="408">
        <f t="shared" si="51"/>
        <v>-3908.0640000000003</v>
      </c>
      <c r="W58" s="407">
        <f t="shared" si="51"/>
        <v>-3930.4250000000002</v>
      </c>
      <c r="X58" s="407">
        <f t="shared" si="51"/>
        <v>-4135.4889999999996</v>
      </c>
      <c r="Y58" s="407">
        <f t="shared" si="51"/>
        <v>-3890.83</v>
      </c>
      <c r="Z58" s="407">
        <f t="shared" si="51"/>
        <v>-3852.0929999999998</v>
      </c>
      <c r="AA58" s="408">
        <f t="shared" si="51"/>
        <v>-3852.0929999999998</v>
      </c>
      <c r="AB58" s="407">
        <f t="shared" si="51"/>
        <v>-3815.08</v>
      </c>
      <c r="AC58" s="407">
        <f t="shared" si="51"/>
        <v>-3953.14</v>
      </c>
      <c r="AD58" s="407">
        <f t="shared" si="51"/>
        <v>-3942.8820000000001</v>
      </c>
      <c r="AE58" s="407">
        <f t="shared" si="51"/>
        <v>-4007.8679999999999</v>
      </c>
      <c r="AF58" s="408">
        <f t="shared" si="51"/>
        <v>-4007.8679999999999</v>
      </c>
      <c r="AG58" s="407">
        <f t="shared" si="51"/>
        <v>-3945.5280000000002</v>
      </c>
      <c r="AH58" s="407">
        <f t="shared" si="51"/>
        <v>-3752.1329999999998</v>
      </c>
      <c r="AI58" s="407">
        <f t="shared" si="51"/>
        <v>-3548.5389999999998</v>
      </c>
      <c r="AJ58" s="407">
        <f t="shared" si="51"/>
        <v>-3846.2479999999996</v>
      </c>
      <c r="AK58" s="408">
        <f t="shared" si="51"/>
        <v>-3846.2479999999996</v>
      </c>
      <c r="AL58" s="407">
        <f t="shared" ref="AL58:BJ58" si="52">AL57-AL56</f>
        <v>-3531.346</v>
      </c>
      <c r="AM58" s="407">
        <f t="shared" si="52"/>
        <v>-3230.5070000000001</v>
      </c>
      <c r="AN58" s="407">
        <f t="shared" si="52"/>
        <v>-1887.5309999999999</v>
      </c>
      <c r="AO58" s="407">
        <f t="shared" si="52"/>
        <v>-2366.1420000000003</v>
      </c>
      <c r="AP58" s="408">
        <f t="shared" si="52"/>
        <v>-2366.1420000000003</v>
      </c>
      <c r="AQ58" s="407">
        <f t="shared" ref="AQ58" si="53">AQ57-AQ56</f>
        <v>-1637.0840000000003</v>
      </c>
      <c r="AR58" s="407">
        <f t="shared" si="52"/>
        <v>-1311.0340000000001</v>
      </c>
      <c r="AS58" s="407">
        <f t="shared" ref="AS58" si="54">AS57-AS56</f>
        <v>-1075.3560000000002</v>
      </c>
      <c r="AT58" s="407">
        <f t="shared" si="52"/>
        <v>-1595.9709126561793</v>
      </c>
      <c r="AU58" s="408">
        <f t="shared" si="52"/>
        <v>-1595.9709126561793</v>
      </c>
      <c r="AV58" s="407">
        <f t="shared" si="52"/>
        <v>-1839.4222644569982</v>
      </c>
      <c r="AW58" s="407">
        <f t="shared" si="52"/>
        <v>-1652.4968560159286</v>
      </c>
      <c r="AX58" s="407">
        <f t="shared" si="52"/>
        <v>-1532.7355425106216</v>
      </c>
      <c r="AY58" s="407">
        <f t="shared" si="52"/>
        <v>-2076.2702394301596</v>
      </c>
      <c r="AZ58" s="408">
        <f t="shared" si="52"/>
        <v>-2076.2702394301596</v>
      </c>
      <c r="BA58" s="407">
        <f t="shared" si="52"/>
        <v>-2588.4571527186599</v>
      </c>
      <c r="BB58" s="407">
        <f t="shared" si="52"/>
        <v>-2722.612984400902</v>
      </c>
      <c r="BC58" s="407">
        <f t="shared" si="52"/>
        <v>-2933.4865638362908</v>
      </c>
      <c r="BD58" s="407">
        <f t="shared" si="52"/>
        <v>-3915.6641276927348</v>
      </c>
      <c r="BE58" s="408">
        <f t="shared" si="52"/>
        <v>-3915.6641276927348</v>
      </c>
      <c r="BF58" s="407">
        <f t="shared" si="52"/>
        <v>-4603.0457380516891</v>
      </c>
      <c r="BG58" s="407">
        <f t="shared" si="52"/>
        <v>-4798.4028872430681</v>
      </c>
      <c r="BH58" s="407">
        <f t="shared" si="52"/>
        <v>-5138.3782668714648</v>
      </c>
      <c r="BI58" s="407">
        <f t="shared" si="52"/>
        <v>-6359.7978638793666</v>
      </c>
      <c r="BJ58" s="408">
        <f t="shared" si="52"/>
        <v>-6359.7978638793666</v>
      </c>
      <c r="BK58" s="407">
        <f>BK57-BK56</f>
        <v>-7169.3602840917811</v>
      </c>
      <c r="BL58" s="407">
        <f>BL57-BL56</f>
        <v>-7477.8590868684696</v>
      </c>
      <c r="BM58" s="407">
        <f>BM57-BM56</f>
        <v>-7983.9977409028943</v>
      </c>
      <c r="BN58" s="407">
        <f>BN57-BN56</f>
        <v>-9483.7571092395538</v>
      </c>
      <c r="BO58" s="408">
        <f>BO57-BO56</f>
        <v>-9483.7571092395538</v>
      </c>
    </row>
    <row r="59" spans="1:67" collapsed="1">
      <c r="A59" s="319"/>
      <c r="B59" s="1058"/>
      <c r="C59" s="410"/>
      <c r="D59" s="411"/>
      <c r="E59" s="411"/>
      <c r="F59" s="411"/>
      <c r="G59" s="412"/>
      <c r="H59" s="410"/>
      <c r="I59" s="411"/>
      <c r="J59" s="411"/>
      <c r="K59" s="411"/>
      <c r="L59" s="412"/>
      <c r="M59" s="410"/>
      <c r="N59" s="411"/>
      <c r="O59" s="411"/>
      <c r="P59" s="411"/>
      <c r="Q59" s="412"/>
      <c r="R59" s="410"/>
      <c r="S59" s="411"/>
      <c r="T59" s="411"/>
      <c r="U59" s="411"/>
      <c r="V59" s="412"/>
      <c r="W59" s="410"/>
      <c r="X59" s="411"/>
      <c r="Y59" s="411"/>
      <c r="Z59" s="411"/>
      <c r="AA59" s="412"/>
      <c r="AB59" s="410"/>
      <c r="AC59" s="411"/>
      <c r="AD59" s="411"/>
      <c r="AE59" s="411"/>
      <c r="AF59" s="412"/>
      <c r="AG59" s="410"/>
      <c r="AH59" s="411"/>
      <c r="AI59" s="411"/>
      <c r="AJ59" s="411"/>
      <c r="AK59" s="412"/>
      <c r="AL59" s="410"/>
      <c r="AM59" s="411"/>
      <c r="AN59" s="411"/>
      <c r="AO59" s="411"/>
      <c r="AP59" s="412"/>
      <c r="AQ59" s="410"/>
      <c r="AR59" s="411"/>
      <c r="AS59" s="411"/>
      <c r="AT59" s="411"/>
      <c r="AU59" s="412"/>
      <c r="AV59" s="410"/>
      <c r="AW59" s="411"/>
      <c r="AX59" s="411"/>
      <c r="AY59" s="411"/>
      <c r="AZ59" s="412"/>
      <c r="BA59" s="410"/>
      <c r="BB59" s="411"/>
      <c r="BC59" s="411"/>
      <c r="BD59" s="411"/>
      <c r="BE59" s="412"/>
      <c r="BF59" s="410"/>
      <c r="BG59" s="411"/>
      <c r="BH59" s="411"/>
      <c r="BI59" s="411"/>
      <c r="BJ59" s="412"/>
      <c r="BK59" s="410"/>
      <c r="BL59" s="411"/>
      <c r="BM59" s="411"/>
      <c r="BN59" s="411"/>
      <c r="BO59" s="412"/>
    </row>
    <row r="60" spans="1:67">
      <c r="A60" s="319"/>
      <c r="B60" s="986" t="s">
        <v>255</v>
      </c>
      <c r="C60" s="383"/>
      <c r="D60" s="384"/>
      <c r="E60" s="384"/>
      <c r="F60" s="384"/>
      <c r="G60" s="413"/>
      <c r="H60" s="383"/>
      <c r="I60" s="384"/>
      <c r="J60" s="384"/>
      <c r="K60" s="384"/>
      <c r="L60" s="413"/>
      <c r="M60" s="383"/>
      <c r="N60" s="384"/>
      <c r="O60" s="384"/>
      <c r="P60" s="384"/>
      <c r="Q60" s="413"/>
      <c r="R60" s="383"/>
      <c r="S60" s="384"/>
      <c r="T60" s="384"/>
      <c r="U60" s="384"/>
      <c r="V60" s="414"/>
      <c r="W60" s="383"/>
      <c r="X60" s="384"/>
      <c r="Y60" s="384"/>
      <c r="Z60" s="384"/>
      <c r="AA60" s="414"/>
      <c r="AB60" s="383"/>
      <c r="AC60" s="384"/>
      <c r="AD60" s="384"/>
      <c r="AE60" s="384"/>
      <c r="AF60" s="414"/>
      <c r="AG60" s="383"/>
      <c r="AH60" s="384"/>
      <c r="AI60" s="384"/>
      <c r="AJ60" s="384"/>
      <c r="AK60" s="414"/>
      <c r="AL60" s="383"/>
      <c r="AM60" s="384"/>
      <c r="AN60" s="384"/>
      <c r="AO60" s="384"/>
      <c r="AP60" s="414"/>
      <c r="AQ60" s="383"/>
      <c r="AR60" s="384"/>
      <c r="AS60" s="384"/>
      <c r="AT60" s="384"/>
      <c r="AU60" s="414"/>
      <c r="AV60" s="383"/>
      <c r="AW60" s="384"/>
      <c r="AX60" s="384"/>
      <c r="AY60" s="384"/>
      <c r="AZ60" s="414"/>
      <c r="BA60" s="383"/>
      <c r="BB60" s="384"/>
      <c r="BC60" s="384"/>
      <c r="BD60" s="384"/>
      <c r="BE60" s="414"/>
      <c r="BF60" s="383"/>
      <c r="BG60" s="384"/>
      <c r="BH60" s="384"/>
      <c r="BI60" s="384"/>
      <c r="BJ60" s="414"/>
      <c r="BK60" s="383"/>
      <c r="BL60" s="384"/>
      <c r="BM60" s="384"/>
      <c r="BN60" s="384"/>
      <c r="BO60" s="414"/>
    </row>
    <row r="61" spans="1:67" hidden="1" outlineLevel="1">
      <c r="A61" s="415"/>
      <c r="B61" s="1059" t="s">
        <v>148</v>
      </c>
      <c r="C61" s="416"/>
      <c r="D61" s="416"/>
      <c r="E61" s="416"/>
      <c r="F61" s="416"/>
      <c r="G61" s="417"/>
      <c r="H61" s="416"/>
      <c r="I61" s="416"/>
      <c r="J61" s="416"/>
      <c r="K61" s="416">
        <f t="shared" ref="K61:Q61" si="55">(K13/K55)*K62</f>
        <v>158.92436883145209</v>
      </c>
      <c r="L61" s="417">
        <f t="shared" si="55"/>
        <v>239.23649473444644</v>
      </c>
      <c r="M61" s="416">
        <f t="shared" si="55"/>
        <v>103.73932044388515</v>
      </c>
      <c r="N61" s="416">
        <f t="shared" si="55"/>
        <v>163.95757304562557</v>
      </c>
      <c r="O61" s="416">
        <f t="shared" si="55"/>
        <v>127.31463321097901</v>
      </c>
      <c r="P61" s="416">
        <f t="shared" si="55"/>
        <v>188.27519043926469</v>
      </c>
      <c r="Q61" s="417">
        <f t="shared" si="55"/>
        <v>247.41465469049814</v>
      </c>
      <c r="R61" s="416">
        <f t="shared" ref="R61:AK61" si="56">(R13/R55)*R62</f>
        <v>79.518264945090294</v>
      </c>
      <c r="S61" s="416">
        <f t="shared" si="56"/>
        <v>104.482481505126</v>
      </c>
      <c r="T61" s="416">
        <f t="shared" si="56"/>
        <v>97.393524783240608</v>
      </c>
      <c r="U61" s="416">
        <f t="shared" si="56"/>
        <v>142.01855459008215</v>
      </c>
      <c r="V61" s="417">
        <f t="shared" si="56"/>
        <v>181.75897940879895</v>
      </c>
      <c r="W61" s="416">
        <f t="shared" si="56"/>
        <v>64.670544396585612</v>
      </c>
      <c r="X61" s="416">
        <f t="shared" si="56"/>
        <v>80.257915194086664</v>
      </c>
      <c r="Y61" s="416">
        <f t="shared" si="56"/>
        <v>69.938661826749694</v>
      </c>
      <c r="Z61" s="416">
        <f t="shared" si="56"/>
        <v>130.80059618421259</v>
      </c>
      <c r="AA61" s="417">
        <f t="shared" si="56"/>
        <v>163.33156323119229</v>
      </c>
      <c r="AB61" s="416">
        <f t="shared" si="56"/>
        <v>58.485906939633644</v>
      </c>
      <c r="AC61" s="416">
        <f t="shared" si="56"/>
        <v>56.423933329043052</v>
      </c>
      <c r="AD61" s="416">
        <f t="shared" si="56"/>
        <v>65.08433328306657</v>
      </c>
      <c r="AE61" s="416">
        <f t="shared" si="56"/>
        <v>111.8067747346404</v>
      </c>
      <c r="AF61" s="417">
        <f t="shared" si="56"/>
        <v>126.4848965874813</v>
      </c>
      <c r="AG61" s="416">
        <f t="shared" si="56"/>
        <v>50.379133064677774</v>
      </c>
      <c r="AH61" s="416">
        <f t="shared" si="56"/>
        <v>55.472061576990534</v>
      </c>
      <c r="AI61" s="416">
        <f t="shared" si="56"/>
        <v>64.038214426300073</v>
      </c>
      <c r="AJ61" s="416">
        <f t="shared" si="56"/>
        <v>110.07498912480847</v>
      </c>
      <c r="AK61" s="417">
        <f t="shared" si="56"/>
        <v>120.54892429651426</v>
      </c>
      <c r="AL61" s="416">
        <f t="shared" ref="AL61:AQ61" si="57">(AL13/AL55)*AL62</f>
        <v>37.522761307045059</v>
      </c>
      <c r="AM61" s="416">
        <f t="shared" si="57"/>
        <v>45.701971517789005</v>
      </c>
      <c r="AN61" s="416">
        <f t="shared" si="57"/>
        <v>58.23663456088245</v>
      </c>
      <c r="AO61" s="416">
        <f t="shared" si="57"/>
        <v>86.036320520486029</v>
      </c>
      <c r="AP61" s="417">
        <f t="shared" si="57"/>
        <v>93.135617290555132</v>
      </c>
      <c r="AQ61" s="416">
        <f t="shared" si="57"/>
        <v>45.309654592668089</v>
      </c>
      <c r="AR61" s="416">
        <f t="shared" ref="AR61:AS61" si="58">(AR13/AR55)*AR62</f>
        <v>51.961881937414901</v>
      </c>
      <c r="AS61" s="416">
        <f t="shared" si="58"/>
        <v>71.158957514537363</v>
      </c>
      <c r="AT61" s="1065">
        <f>AO61</f>
        <v>86.036320520486029</v>
      </c>
      <c r="AU61" s="417">
        <f>(AU13/AU55)*AU62</f>
        <v>91.694683342868828</v>
      </c>
      <c r="AV61" s="1065">
        <f>AQ61-6</f>
        <v>39.309654592668089</v>
      </c>
      <c r="AW61" s="1065">
        <f>AR61-2</f>
        <v>49.961881937414901</v>
      </c>
      <c r="AX61" s="1065">
        <f>AS61-2</f>
        <v>69.158957514537363</v>
      </c>
      <c r="AY61" s="1065">
        <f>AT61-5</f>
        <v>81.036320520486029</v>
      </c>
      <c r="AZ61" s="417">
        <f>(AZ13/AZ55)*AZ62</f>
        <v>86.179303410577162</v>
      </c>
      <c r="BA61" s="1065">
        <f>AV61-3</f>
        <v>36.309654592668089</v>
      </c>
      <c r="BB61" s="1065">
        <f t="shared" ref="BB61:BD61" si="59">AW61-3</f>
        <v>46.961881937414901</v>
      </c>
      <c r="BC61" s="1065">
        <f t="shared" si="59"/>
        <v>66.158957514537363</v>
      </c>
      <c r="BD61" s="1065">
        <f t="shared" si="59"/>
        <v>78.036320520486029</v>
      </c>
      <c r="BE61" s="417">
        <f>(BE13/BE55)*BE62</f>
        <v>82.538849196248677</v>
      </c>
      <c r="BF61" s="1065">
        <f>BA61-3</f>
        <v>33.309654592668089</v>
      </c>
      <c r="BG61" s="1065">
        <f>BB61-1.5</f>
        <v>45.461881937414901</v>
      </c>
      <c r="BH61" s="1065">
        <f>BC61-1.5</f>
        <v>64.658957514537363</v>
      </c>
      <c r="BI61" s="1065">
        <f>BD61-1.5</f>
        <v>76.536320520486029</v>
      </c>
      <c r="BJ61" s="417">
        <f>(BJ13/BJ55)*BJ62</f>
        <v>82.073213393336715</v>
      </c>
      <c r="BK61" s="1065">
        <f>BF61-1.5</f>
        <v>31.809654592668089</v>
      </c>
      <c r="BL61" s="1065">
        <f>BG61-1.5</f>
        <v>43.961881937414901</v>
      </c>
      <c r="BM61" s="1065">
        <f>BH61-1.5</f>
        <v>63.158957514537363</v>
      </c>
      <c r="BN61" s="1065">
        <f>BI61-1.5</f>
        <v>75.036320520486029</v>
      </c>
      <c r="BO61" s="417">
        <f>(BO13/BO55)*BO62</f>
        <v>79.660775479243156</v>
      </c>
    </row>
    <row r="62" spans="1:67" hidden="1" outlineLevel="1">
      <c r="A62" s="418"/>
      <c r="B62" s="983" t="s">
        <v>256</v>
      </c>
      <c r="C62" s="419"/>
      <c r="D62" s="419"/>
      <c r="E62" s="419"/>
      <c r="F62" s="419"/>
      <c r="G62" s="420"/>
      <c r="H62" s="421">
        <f>H$8-G$8</f>
        <v>89</v>
      </c>
      <c r="I62" s="419">
        <f>I$8-H$8</f>
        <v>92</v>
      </c>
      <c r="J62" s="419">
        <f>J$8-I$8</f>
        <v>92</v>
      </c>
      <c r="K62" s="419">
        <f>K$8-J$8</f>
        <v>92</v>
      </c>
      <c r="L62" s="422">
        <f>L$8-G$8</f>
        <v>365</v>
      </c>
      <c r="M62" s="421">
        <f>M8-L8</f>
        <v>89</v>
      </c>
      <c r="N62" s="419">
        <f>N8-M8</f>
        <v>92</v>
      </c>
      <c r="O62" s="419">
        <f>O8-N8</f>
        <v>92</v>
      </c>
      <c r="P62" s="419">
        <f>P8-O8</f>
        <v>92</v>
      </c>
      <c r="Q62" s="422">
        <f>Q8-L8</f>
        <v>365</v>
      </c>
      <c r="R62" s="421">
        <f>R8-Q8</f>
        <v>90</v>
      </c>
      <c r="S62" s="419">
        <f>S8-R8</f>
        <v>92</v>
      </c>
      <c r="T62" s="419">
        <f>T8-S8</f>
        <v>92</v>
      </c>
      <c r="U62" s="419">
        <f>U8-T8</f>
        <v>92</v>
      </c>
      <c r="V62" s="422">
        <f>V8-Q8</f>
        <v>366</v>
      </c>
      <c r="W62" s="421">
        <f>W8-V8</f>
        <v>89</v>
      </c>
      <c r="X62" s="419">
        <f>X8-W8</f>
        <v>92</v>
      </c>
      <c r="Y62" s="419">
        <f>Y8-X8</f>
        <v>92</v>
      </c>
      <c r="Z62" s="419">
        <f>Z8-Y8</f>
        <v>92</v>
      </c>
      <c r="AA62" s="422">
        <f>AA8-V8</f>
        <v>365</v>
      </c>
      <c r="AB62" s="421">
        <f>AB8-AA8</f>
        <v>89</v>
      </c>
      <c r="AC62" s="419">
        <f>AC8-AB8</f>
        <v>92</v>
      </c>
      <c r="AD62" s="419">
        <f>AD8-AC8</f>
        <v>92</v>
      </c>
      <c r="AE62" s="419">
        <f>AE8-AD8</f>
        <v>92</v>
      </c>
      <c r="AF62" s="422">
        <f>AF8-AA8</f>
        <v>365</v>
      </c>
      <c r="AG62" s="421">
        <f t="shared" ref="AG62:AN62" si="60">AG8-AF8</f>
        <v>89</v>
      </c>
      <c r="AH62" s="419">
        <f t="shared" si="60"/>
        <v>92</v>
      </c>
      <c r="AI62" s="419">
        <f t="shared" si="60"/>
        <v>92</v>
      </c>
      <c r="AJ62" s="419">
        <f t="shared" si="60"/>
        <v>92</v>
      </c>
      <c r="AK62" s="422">
        <f>AK8-AF8</f>
        <v>365</v>
      </c>
      <c r="AL62" s="421">
        <f t="shared" si="60"/>
        <v>90</v>
      </c>
      <c r="AM62" s="419">
        <f t="shared" si="60"/>
        <v>92</v>
      </c>
      <c r="AN62" s="419">
        <f t="shared" si="60"/>
        <v>92</v>
      </c>
      <c r="AO62" s="419">
        <f>AO8-AN8</f>
        <v>92</v>
      </c>
      <c r="AP62" s="422">
        <f>AP8-AK8</f>
        <v>366</v>
      </c>
      <c r="AQ62" s="421">
        <f t="shared" ref="AQ62:AS62" si="61">AQ8-AP8</f>
        <v>89</v>
      </c>
      <c r="AR62" s="419">
        <f t="shared" si="61"/>
        <v>92</v>
      </c>
      <c r="AS62" s="419">
        <f t="shared" si="61"/>
        <v>92</v>
      </c>
      <c r="AT62" s="419">
        <f>AT8-AS8</f>
        <v>92</v>
      </c>
      <c r="AU62" s="422">
        <f>AU8-AP8</f>
        <v>365</v>
      </c>
      <c r="AV62" s="421">
        <f>AV8-AU8</f>
        <v>89</v>
      </c>
      <c r="AW62" s="419">
        <f>AW8-AV8</f>
        <v>92</v>
      </c>
      <c r="AX62" s="419">
        <f>AX8-AW8</f>
        <v>92</v>
      </c>
      <c r="AY62" s="419">
        <f>AY8-AX8</f>
        <v>92</v>
      </c>
      <c r="AZ62" s="422">
        <f>AZ8-AU8</f>
        <v>365</v>
      </c>
      <c r="BA62" s="421">
        <f>BA8-AZ8</f>
        <v>89</v>
      </c>
      <c r="BB62" s="419">
        <f>BB8-BA8</f>
        <v>92</v>
      </c>
      <c r="BC62" s="419">
        <f>BC8-BB8</f>
        <v>92</v>
      </c>
      <c r="BD62" s="419">
        <f>BD8-BC8</f>
        <v>92</v>
      </c>
      <c r="BE62" s="422">
        <f>BE8-AZ8</f>
        <v>365</v>
      </c>
      <c r="BF62" s="421">
        <f>BF8-BE8</f>
        <v>90</v>
      </c>
      <c r="BG62" s="419">
        <f>BG8-BF8</f>
        <v>92</v>
      </c>
      <c r="BH62" s="419">
        <f>BH8-BG8</f>
        <v>92</v>
      </c>
      <c r="BI62" s="419">
        <f>BI8-BH8</f>
        <v>92</v>
      </c>
      <c r="BJ62" s="422">
        <f>BJ8-BE8</f>
        <v>366</v>
      </c>
      <c r="BK62" s="421">
        <f>BK8-BJ8</f>
        <v>89</v>
      </c>
      <c r="BL62" s="419">
        <f>BL8-BK8</f>
        <v>92</v>
      </c>
      <c r="BM62" s="419">
        <f>BM8-BL8</f>
        <v>92</v>
      </c>
      <c r="BN62" s="419">
        <f>BN8-BM8</f>
        <v>92</v>
      </c>
      <c r="BO62" s="422">
        <f>BO8-BJ8</f>
        <v>365</v>
      </c>
    </row>
    <row r="63" spans="1:67" hidden="1" outlineLevel="1">
      <c r="A63" s="418"/>
      <c r="B63" s="983" t="s">
        <v>257</v>
      </c>
      <c r="C63" s="419"/>
      <c r="D63" s="419"/>
      <c r="E63" s="419"/>
      <c r="F63" s="419"/>
      <c r="G63" s="423"/>
      <c r="H63" s="419"/>
      <c r="I63" s="419"/>
      <c r="J63" s="419"/>
      <c r="K63" s="419">
        <f>IFERROR(K61-F61,"--")</f>
        <v>158.92436883145209</v>
      </c>
      <c r="L63" s="423">
        <f t="shared" ref="L63:R63" si="62">IFERROR(L61-G61,"--")</f>
        <v>239.23649473444644</v>
      </c>
      <c r="M63" s="419">
        <f>IFERROR(M61-H61,"--")</f>
        <v>103.73932044388515</v>
      </c>
      <c r="N63" s="419">
        <f t="shared" si="62"/>
        <v>163.95757304562557</v>
      </c>
      <c r="O63" s="419">
        <f t="shared" si="62"/>
        <v>127.31463321097901</v>
      </c>
      <c r="P63" s="419">
        <f t="shared" si="62"/>
        <v>29.350821607812605</v>
      </c>
      <c r="Q63" s="423">
        <f t="shared" si="62"/>
        <v>8.1781599560517009</v>
      </c>
      <c r="R63" s="419">
        <f t="shared" si="62"/>
        <v>-24.221055498794854</v>
      </c>
      <c r="S63" s="419">
        <f t="shared" ref="S63:BJ63" si="63">IFERROR(S61-N61,"--")</f>
        <v>-59.475091540499562</v>
      </c>
      <c r="T63" s="419">
        <f t="shared" si="63"/>
        <v>-29.921108427738403</v>
      </c>
      <c r="U63" s="419">
        <f t="shared" si="63"/>
        <v>-46.256635849182544</v>
      </c>
      <c r="V63" s="423">
        <f t="shared" si="63"/>
        <v>-65.655675281699189</v>
      </c>
      <c r="W63" s="419">
        <f t="shared" si="63"/>
        <v>-14.847720548504682</v>
      </c>
      <c r="X63" s="419">
        <f t="shared" si="63"/>
        <v>-24.224566311039339</v>
      </c>
      <c r="Y63" s="419">
        <f t="shared" si="63"/>
        <v>-27.454862956490913</v>
      </c>
      <c r="Z63" s="419">
        <f t="shared" si="63"/>
        <v>-11.217958405869553</v>
      </c>
      <c r="AA63" s="423">
        <f t="shared" si="63"/>
        <v>-18.427416177606659</v>
      </c>
      <c r="AB63" s="419">
        <f t="shared" si="63"/>
        <v>-6.1846374569519682</v>
      </c>
      <c r="AC63" s="419">
        <f t="shared" si="63"/>
        <v>-23.833981865043611</v>
      </c>
      <c r="AD63" s="419">
        <f t="shared" si="63"/>
        <v>-4.8543285436831241</v>
      </c>
      <c r="AE63" s="419">
        <f t="shared" si="63"/>
        <v>-18.993821449572195</v>
      </c>
      <c r="AF63" s="423">
        <f t="shared" si="63"/>
        <v>-36.846666643710989</v>
      </c>
      <c r="AG63" s="419">
        <f t="shared" si="63"/>
        <v>-8.10677387495587</v>
      </c>
      <c r="AH63" s="419">
        <f t="shared" si="63"/>
        <v>-0.95187175205251862</v>
      </c>
      <c r="AI63" s="419">
        <f t="shared" si="63"/>
        <v>-1.0461188567664976</v>
      </c>
      <c r="AJ63" s="419">
        <f t="shared" si="63"/>
        <v>-1.7317856098319311</v>
      </c>
      <c r="AK63" s="423">
        <f t="shared" si="63"/>
        <v>-5.9359722909670438</v>
      </c>
      <c r="AL63" s="419">
        <f t="shared" si="63"/>
        <v>-12.856371757632715</v>
      </c>
      <c r="AM63" s="419">
        <f t="shared" si="63"/>
        <v>-9.7700900592015287</v>
      </c>
      <c r="AN63" s="419">
        <f t="shared" si="63"/>
        <v>-5.8015798654176223</v>
      </c>
      <c r="AO63" s="419">
        <f>IFERROR(AO61-AJ61,"--")</f>
        <v>-24.038668604322439</v>
      </c>
      <c r="AP63" s="423">
        <f>IFERROR(AP61-AK61,"--")</f>
        <v>-27.413307005959126</v>
      </c>
      <c r="AQ63" s="419">
        <f t="shared" si="63"/>
        <v>7.7868932856230302</v>
      </c>
      <c r="AR63" s="419">
        <f t="shared" si="63"/>
        <v>6.2599104196258963</v>
      </c>
      <c r="AS63" s="419">
        <f t="shared" si="63"/>
        <v>12.922322953654913</v>
      </c>
      <c r="AT63" s="419">
        <f t="shared" si="63"/>
        <v>0</v>
      </c>
      <c r="AU63" s="423">
        <f t="shared" si="63"/>
        <v>-1.4409339476863039</v>
      </c>
      <c r="AV63" s="419">
        <f t="shared" si="63"/>
        <v>-6</v>
      </c>
      <c r="AW63" s="419">
        <f t="shared" si="63"/>
        <v>-2</v>
      </c>
      <c r="AX63" s="419">
        <f t="shared" si="63"/>
        <v>-2</v>
      </c>
      <c r="AY63" s="419">
        <f t="shared" si="63"/>
        <v>-5</v>
      </c>
      <c r="AZ63" s="423">
        <f t="shared" si="63"/>
        <v>-5.5153799322916655</v>
      </c>
      <c r="BA63" s="419">
        <f t="shared" si="63"/>
        <v>-3</v>
      </c>
      <c r="BB63" s="419">
        <f t="shared" si="63"/>
        <v>-3</v>
      </c>
      <c r="BC63" s="419">
        <f t="shared" si="63"/>
        <v>-3</v>
      </c>
      <c r="BD63" s="419">
        <f t="shared" si="63"/>
        <v>-3</v>
      </c>
      <c r="BE63" s="423">
        <f t="shared" si="63"/>
        <v>-3.6404542143284857</v>
      </c>
      <c r="BF63" s="419">
        <f t="shared" si="63"/>
        <v>-3</v>
      </c>
      <c r="BG63" s="419">
        <f t="shared" si="63"/>
        <v>-1.5</v>
      </c>
      <c r="BH63" s="419">
        <f t="shared" si="63"/>
        <v>-1.5</v>
      </c>
      <c r="BI63" s="419">
        <f t="shared" si="63"/>
        <v>-1.5</v>
      </c>
      <c r="BJ63" s="423">
        <f t="shared" si="63"/>
        <v>-0.4656358029119616</v>
      </c>
      <c r="BK63" s="419">
        <f>IFERROR(BK61-BF61,"--")</f>
        <v>-1.5</v>
      </c>
      <c r="BL63" s="419">
        <f>IFERROR(BL61-BG61,"--")</f>
        <v>-1.5</v>
      </c>
      <c r="BM63" s="419">
        <f>IFERROR(BM61-BH61,"--")</f>
        <v>-1.5</v>
      </c>
      <c r="BN63" s="419">
        <f>IFERROR(BN61-BI61,"--")</f>
        <v>-1.5</v>
      </c>
      <c r="BO63" s="423">
        <f>IFERROR(BO61-BJ61,"--")</f>
        <v>-2.4124379140935588</v>
      </c>
    </row>
    <row r="64" spans="1:67" hidden="1" outlineLevel="1">
      <c r="A64" s="319"/>
      <c r="B64" s="1060" t="s">
        <v>258</v>
      </c>
      <c r="C64" s="384"/>
      <c r="D64" s="384"/>
      <c r="E64" s="384"/>
      <c r="F64" s="384"/>
      <c r="G64" s="424"/>
      <c r="H64" s="384"/>
      <c r="I64" s="384"/>
      <c r="J64" s="384"/>
      <c r="K64" s="384" t="str">
        <f>IFERROR(K61/F61-1,"--")</f>
        <v>--</v>
      </c>
      <c r="L64" s="424" t="str">
        <f t="shared" ref="L64:R64" si="64">IFERROR(L61/G61-1,"--")</f>
        <v>--</v>
      </c>
      <c r="M64" s="384" t="str">
        <f>IFERROR(M61/H61-1,"--")</f>
        <v>--</v>
      </c>
      <c r="N64" s="384" t="str">
        <f t="shared" si="64"/>
        <v>--</v>
      </c>
      <c r="O64" s="384" t="str">
        <f t="shared" si="64"/>
        <v>--</v>
      </c>
      <c r="P64" s="384">
        <f t="shared" si="64"/>
        <v>0.18468421063191842</v>
      </c>
      <c r="Q64" s="424">
        <f t="shared" si="64"/>
        <v>3.4184416408246987E-2</v>
      </c>
      <c r="R64" s="384">
        <f t="shared" si="64"/>
        <v>-0.23347998998987607</v>
      </c>
      <c r="S64" s="384">
        <f t="shared" ref="S64:BJ64" si="65">IFERROR(S61/N61-1,"--")</f>
        <v>-0.36274684014717051</v>
      </c>
      <c r="T64" s="384">
        <f t="shared" si="65"/>
        <v>-0.23501704142802449</v>
      </c>
      <c r="U64" s="384">
        <f t="shared" si="65"/>
        <v>-0.24568630493088983</v>
      </c>
      <c r="V64" s="424">
        <f t="shared" si="65"/>
        <v>-0.26536696204932064</v>
      </c>
      <c r="W64" s="384">
        <f t="shared" si="65"/>
        <v>-0.18672088178429791</v>
      </c>
      <c r="X64" s="384">
        <f t="shared" si="65"/>
        <v>-0.23185289975957224</v>
      </c>
      <c r="Y64" s="384">
        <f t="shared" si="65"/>
        <v>-0.28189618373084413</v>
      </c>
      <c r="Z64" s="384">
        <f t="shared" si="65"/>
        <v>-7.8989385846438998E-2</v>
      </c>
      <c r="AA64" s="424">
        <f t="shared" si="65"/>
        <v>-0.10138380088590326</v>
      </c>
      <c r="AB64" s="384">
        <f t="shared" si="65"/>
        <v>-9.5632988938910146E-2</v>
      </c>
      <c r="AC64" s="384">
        <f t="shared" si="65"/>
        <v>-0.29696736835745363</v>
      </c>
      <c r="AD64" s="384">
        <f t="shared" si="65"/>
        <v>-6.9408370376146777E-2</v>
      </c>
      <c r="AE64" s="384">
        <f t="shared" si="65"/>
        <v>-0.14521204033980328</v>
      </c>
      <c r="AF64" s="424">
        <f t="shared" si="65"/>
        <v>-0.22559428144060145</v>
      </c>
      <c r="AG64" s="384">
        <f t="shared" si="65"/>
        <v>-0.13861072349144377</v>
      </c>
      <c r="AH64" s="384">
        <f t="shared" si="65"/>
        <v>-1.6869999943136982E-2</v>
      </c>
      <c r="AI64" s="384">
        <f t="shared" si="65"/>
        <v>-1.6073282217038187E-2</v>
      </c>
      <c r="AJ64" s="384">
        <f t="shared" si="65"/>
        <v>-1.5489093697068967E-2</v>
      </c>
      <c r="AK64" s="424">
        <f t="shared" si="65"/>
        <v>-4.6930285363055324E-2</v>
      </c>
      <c r="AL64" s="384">
        <f t="shared" si="65"/>
        <v>-0.255192397636685</v>
      </c>
      <c r="AM64" s="384">
        <f t="shared" si="65"/>
        <v>-0.17612631983474181</v>
      </c>
      <c r="AN64" s="384">
        <f t="shared" si="65"/>
        <v>-9.0595590732694631E-2</v>
      </c>
      <c r="AO64" s="384">
        <f>IFERROR(AO61/AJ61-1,"--")</f>
        <v>-0.21838447403402605</v>
      </c>
      <c r="AP64" s="424">
        <f>IFERROR(AP61/AK61-1,"--")</f>
        <v>-0.22740399523209842</v>
      </c>
      <c r="AQ64" s="384">
        <f t="shared" si="65"/>
        <v>0.20752452683062561</v>
      </c>
      <c r="AR64" s="384">
        <f t="shared" si="65"/>
        <v>0.13697243711224338</v>
      </c>
      <c r="AS64" s="384">
        <f t="shared" si="65"/>
        <v>0.22189336748409638</v>
      </c>
      <c r="AT64" s="384">
        <f t="shared" si="65"/>
        <v>0</v>
      </c>
      <c r="AU64" s="424">
        <f t="shared" si="65"/>
        <v>-1.5471352309729403E-2</v>
      </c>
      <c r="AV64" s="384">
        <f t="shared" si="65"/>
        <v>-0.13242210857574943</v>
      </c>
      <c r="AW64" s="384">
        <f t="shared" si="65"/>
        <v>-3.8489752977170499E-2</v>
      </c>
      <c r="AX64" s="384">
        <f t="shared" si="65"/>
        <v>-2.8106089097657327E-2</v>
      </c>
      <c r="AY64" s="384">
        <f t="shared" si="65"/>
        <v>-5.8114991084601941E-2</v>
      </c>
      <c r="AZ64" s="424">
        <f t="shared" si="65"/>
        <v>-6.014939723024415E-2</v>
      </c>
      <c r="BA64" s="384">
        <f t="shared" si="65"/>
        <v>-7.6317129496211611E-2</v>
      </c>
      <c r="BB64" s="384">
        <f t="shared" si="65"/>
        <v>-6.0045776573387943E-2</v>
      </c>
      <c r="BC64" s="384">
        <f t="shared" si="65"/>
        <v>-4.3378328821243373E-2</v>
      </c>
      <c r="BD64" s="384">
        <f t="shared" si="65"/>
        <v>-3.7020437018010943E-2</v>
      </c>
      <c r="BE64" s="424">
        <f t="shared" si="65"/>
        <v>-4.2242789976899231E-2</v>
      </c>
      <c r="BF64" s="384">
        <f t="shared" si="65"/>
        <v>-8.2622653221432252E-2</v>
      </c>
      <c r="BG64" s="384">
        <f t="shared" si="65"/>
        <v>-3.1940798326587916E-2</v>
      </c>
      <c r="BH64" s="384">
        <f t="shared" si="65"/>
        <v>-2.2672666806613395E-2</v>
      </c>
      <c r="BI64" s="384">
        <f t="shared" si="65"/>
        <v>-1.9221818635160037E-2</v>
      </c>
      <c r="BJ64" s="424">
        <f t="shared" si="65"/>
        <v>-5.6414138002438552E-3</v>
      </c>
      <c r="BK64" s="384">
        <f>IFERROR(BK61/BF61-1,"--")</f>
        <v>-4.5031989023691987E-2</v>
      </c>
      <c r="BL64" s="384">
        <f>IFERROR(BL61/BG61-1,"--")</f>
        <v>-3.2994674572974669E-2</v>
      </c>
      <c r="BM64" s="384">
        <f>IFERROR(BM61/BH61-1,"--")</f>
        <v>-2.3198641884424998E-2</v>
      </c>
      <c r="BN64" s="384">
        <f>IFERROR(BN61/BI61-1,"--")</f>
        <v>-1.9598538181601066E-2</v>
      </c>
      <c r="BO64" s="424">
        <f>IFERROR(BO61/BJ61-1,"--")</f>
        <v>-2.9393730479784219E-2</v>
      </c>
    </row>
    <row r="65" spans="1:67" hidden="1" outlineLevel="1">
      <c r="A65" s="425"/>
      <c r="B65" s="983" t="s">
        <v>259</v>
      </c>
      <c r="C65" s="426"/>
      <c r="D65" s="427"/>
      <c r="E65" s="427"/>
      <c r="F65" s="427"/>
      <c r="G65" s="428"/>
      <c r="H65" s="426"/>
      <c r="I65" s="427"/>
      <c r="J65" s="427"/>
      <c r="K65" s="427">
        <f>CF!K24</f>
        <v>-36.069000000000003</v>
      </c>
      <c r="L65" s="428">
        <f>CF!L24</f>
        <v>-51.421000000000006</v>
      </c>
      <c r="M65" s="426">
        <f>CF!M24</f>
        <v>12.199</v>
      </c>
      <c r="N65" s="427">
        <f>CF!N24</f>
        <v>-56.871000000000002</v>
      </c>
      <c r="O65" s="427">
        <f>CF!O24</f>
        <v>6.4790000000000001</v>
      </c>
      <c r="P65" s="427">
        <f>CF!P24</f>
        <v>-78.676000000000002</v>
      </c>
      <c r="Q65" s="428">
        <f>CF!Q24</f>
        <v>-116.869</v>
      </c>
      <c r="R65" s="426">
        <f>CF!R24</f>
        <v>82.700999999999993</v>
      </c>
      <c r="S65" s="427">
        <f>CF!S24</f>
        <v>-55.572000000000003</v>
      </c>
      <c r="T65" s="427">
        <f>CF!T24</f>
        <v>-17.908000000000001</v>
      </c>
      <c r="U65" s="427">
        <f>CF!U24</f>
        <v>-125.51</v>
      </c>
      <c r="V65" s="428">
        <f>CF!V24</f>
        <v>-116.28900000000002</v>
      </c>
      <c r="W65" s="426">
        <f>CF!W24</f>
        <v>127.179</v>
      </c>
      <c r="X65" s="427">
        <f>CF!X24</f>
        <v>-71.283000000000001</v>
      </c>
      <c r="Y65" s="427">
        <f>CF!Y24</f>
        <v>-16.754000000000001</v>
      </c>
      <c r="Z65" s="427">
        <f>CF!Z24</f>
        <v>-290.79399999999998</v>
      </c>
      <c r="AA65" s="428">
        <f>CF!AA24</f>
        <v>-251.65199999999999</v>
      </c>
      <c r="AB65" s="426">
        <f>CF!AB24</f>
        <v>266.65600000000001</v>
      </c>
      <c r="AC65" s="427">
        <f>CF!AC24</f>
        <v>-27.087</v>
      </c>
      <c r="AD65" s="427">
        <f>CF!AD24</f>
        <v>-88.846000000000004</v>
      </c>
      <c r="AE65" s="427">
        <f>CF!AE24</f>
        <v>-317.68799999999999</v>
      </c>
      <c r="AF65" s="428">
        <f>CF!AF24</f>
        <v>-166.96499999999997</v>
      </c>
      <c r="AG65" s="426">
        <f>CF!AG24</f>
        <v>362.89299999999997</v>
      </c>
      <c r="AH65" s="427">
        <f>CF!AH24</f>
        <v>-53.05</v>
      </c>
      <c r="AI65" s="427">
        <f>CF!AI24</f>
        <v>-104.705</v>
      </c>
      <c r="AJ65" s="427">
        <f>CF!AJ24</f>
        <v>-417.221</v>
      </c>
      <c r="AK65" s="428">
        <f>CF!AK24</f>
        <v>-212.08300000000003</v>
      </c>
      <c r="AL65" s="426">
        <f>CF!AL24</f>
        <v>579.31899999999996</v>
      </c>
      <c r="AM65" s="427">
        <f>CF!AM24</f>
        <v>-87.126999999999995</v>
      </c>
      <c r="AN65" s="427">
        <f>CF!AN24</f>
        <v>-163.488</v>
      </c>
      <c r="AO65" s="427">
        <f>CF!AO24</f>
        <v>-328.16800000000001</v>
      </c>
      <c r="AP65" s="428">
        <f>CF!AP24</f>
        <v>0.53599999999994452</v>
      </c>
      <c r="AQ65" s="426">
        <f>CF!AQ24</f>
        <v>393.65699999999998</v>
      </c>
      <c r="AR65" s="427">
        <f>CF!AR24</f>
        <v>-117.60599999999999</v>
      </c>
      <c r="AS65" s="427">
        <f>CF!AS24</f>
        <v>-288.67599999999999</v>
      </c>
      <c r="AT65" s="427">
        <f>CF!AT24</f>
        <v>-229.70739122896612</v>
      </c>
      <c r="AU65" s="428">
        <f>CF!AU24</f>
        <v>-242.33239122896612</v>
      </c>
      <c r="AV65" s="426">
        <f>CF!AV24</f>
        <v>587.91971949173239</v>
      </c>
      <c r="AW65" s="427">
        <f>CF!AW24</f>
        <v>-188.52203031581655</v>
      </c>
      <c r="AX65" s="427">
        <f>CF!AX24</f>
        <v>-360.87673900374682</v>
      </c>
      <c r="AY65" s="427">
        <f>CF!AY24</f>
        <v>-235.27364498151951</v>
      </c>
      <c r="AZ65" s="428">
        <f>CF!AZ24</f>
        <v>-196.75269480935049</v>
      </c>
      <c r="BA65" s="426">
        <f>CF!BA24</f>
        <v>699.91184829378426</v>
      </c>
      <c r="BB65" s="427">
        <f>CF!BB24</f>
        <v>-234.12549402375373</v>
      </c>
      <c r="BC65" s="427">
        <f>CF!BC24</f>
        <v>-449.19976332110662</v>
      </c>
      <c r="BD65" s="427">
        <f>CF!BD24</f>
        <v>-275.24839397131336</v>
      </c>
      <c r="BE65" s="428">
        <f>CF!BE24</f>
        <v>-258.66180302238945</v>
      </c>
      <c r="BF65" s="426">
        <f>CF!BF24</f>
        <v>884.34394875865644</v>
      </c>
      <c r="BG65" s="427">
        <f>CF!BG24</f>
        <v>-324.84951160157073</v>
      </c>
      <c r="BH65" s="427">
        <f>CF!BH24</f>
        <v>-575.72609308185588</v>
      </c>
      <c r="BI65" s="427">
        <f>CF!BI24</f>
        <v>-350.43817916554144</v>
      </c>
      <c r="BJ65" s="428">
        <f>CF!BJ24</f>
        <v>-366.66983509031161</v>
      </c>
      <c r="BK65" s="426">
        <f>CF!BK24</f>
        <v>1102.7264422692924</v>
      </c>
      <c r="BL65" s="427">
        <f>CF!BL24</f>
        <v>-375.61337952419569</v>
      </c>
      <c r="BM65" s="427">
        <f>CF!BM24</f>
        <v>-716.4658396594657</v>
      </c>
      <c r="BN65" s="427">
        <f>CF!BN24</f>
        <v>-407.03903172631158</v>
      </c>
      <c r="BO65" s="428">
        <f>CF!BO24</f>
        <v>-396.39180864068055</v>
      </c>
    </row>
    <row r="66" spans="1:67" hidden="1" outlineLevel="1">
      <c r="A66" s="425"/>
      <c r="C66" s="426"/>
      <c r="D66" s="427"/>
      <c r="E66" s="427"/>
      <c r="F66" s="427"/>
      <c r="G66" s="428"/>
      <c r="H66" s="426"/>
      <c r="I66" s="427"/>
      <c r="J66" s="427"/>
      <c r="K66" s="427"/>
      <c r="L66" s="428"/>
      <c r="M66" s="426"/>
      <c r="N66" s="427"/>
      <c r="O66" s="427"/>
      <c r="P66" s="427"/>
      <c r="Q66" s="428"/>
      <c r="R66" s="426"/>
      <c r="S66" s="427"/>
      <c r="T66" s="427"/>
      <c r="U66" s="427"/>
      <c r="V66" s="428"/>
      <c r="W66" s="426"/>
      <c r="X66" s="427"/>
      <c r="Y66" s="427"/>
      <c r="Z66" s="427"/>
      <c r="AA66" s="428"/>
      <c r="AB66" s="426"/>
      <c r="AC66" s="427"/>
      <c r="AD66" s="427"/>
      <c r="AE66" s="427"/>
      <c r="AF66" s="428"/>
      <c r="AG66" s="426"/>
      <c r="AH66" s="427"/>
      <c r="AI66" s="427"/>
      <c r="AJ66" s="427"/>
      <c r="AK66" s="428"/>
      <c r="AL66" s="426"/>
      <c r="AM66" s="427"/>
      <c r="AN66" s="427"/>
      <c r="AO66" s="427"/>
      <c r="AP66" s="428"/>
      <c r="AQ66" s="426"/>
      <c r="AR66" s="427"/>
      <c r="AS66" s="427"/>
      <c r="AT66" s="427"/>
      <c r="AU66" s="428"/>
      <c r="AV66" s="426"/>
      <c r="AW66" s="427"/>
      <c r="AX66" s="427"/>
      <c r="AY66" s="427"/>
      <c r="AZ66" s="428"/>
      <c r="BA66" s="426"/>
      <c r="BB66" s="427"/>
      <c r="BC66" s="427"/>
      <c r="BD66" s="427"/>
      <c r="BE66" s="428"/>
      <c r="BF66" s="426"/>
      <c r="BG66" s="427"/>
      <c r="BH66" s="427"/>
      <c r="BI66" s="427"/>
      <c r="BJ66" s="428"/>
      <c r="BK66" s="426"/>
      <c r="BL66" s="427"/>
      <c r="BM66" s="427"/>
      <c r="BN66" s="427"/>
      <c r="BO66" s="428"/>
    </row>
    <row r="67" spans="1:67" hidden="1" outlineLevel="1">
      <c r="A67" s="319"/>
      <c r="B67" s="1061" t="s">
        <v>314</v>
      </c>
      <c r="C67" s="437"/>
      <c r="D67" s="438"/>
      <c r="E67" s="438"/>
      <c r="F67" s="438"/>
      <c r="G67" s="439"/>
      <c r="H67" s="437"/>
      <c r="I67" s="438"/>
      <c r="J67" s="438"/>
      <c r="K67" s="438">
        <f t="shared" ref="K67:Q67" si="66">K14/K55</f>
        <v>0.31645673155570092</v>
      </c>
      <c r="L67" s="439">
        <f t="shared" si="66"/>
        <v>0.12007324188442679</v>
      </c>
      <c r="M67" s="438">
        <f t="shared" si="66"/>
        <v>0.29584715707584947</v>
      </c>
      <c r="N67" s="438">
        <f t="shared" si="66"/>
        <v>0.25959992707867219</v>
      </c>
      <c r="O67" s="438">
        <f t="shared" si="66"/>
        <v>0.26034076590149563</v>
      </c>
      <c r="P67" s="438">
        <f t="shared" si="66"/>
        <v>0.30057473885873282</v>
      </c>
      <c r="Q67" s="439">
        <f t="shared" si="66"/>
        <v>9.9558825751280472E-2</v>
      </c>
      <c r="R67" s="438">
        <f t="shared" ref="R67:AK67" si="67">R14/R55</f>
        <v>0.23972797867941001</v>
      </c>
      <c r="S67" s="438">
        <f t="shared" si="67"/>
        <v>0.19737128694280673</v>
      </c>
      <c r="T67" s="438">
        <f t="shared" si="67"/>
        <v>0.17580689620608425</v>
      </c>
      <c r="U67" s="438">
        <f t="shared" si="67"/>
        <v>0.16995773501693226</v>
      </c>
      <c r="V67" s="439">
        <f t="shared" si="67"/>
        <v>5.4676217677928692E-2</v>
      </c>
      <c r="W67" s="438">
        <f t="shared" si="67"/>
        <v>0.15485291419485045</v>
      </c>
      <c r="X67" s="438">
        <f t="shared" si="67"/>
        <v>0.14425161095966907</v>
      </c>
      <c r="Y67" s="438">
        <f t="shared" si="67"/>
        <v>0.12826178608484007</v>
      </c>
      <c r="Z67" s="438">
        <f t="shared" si="67"/>
        <v>0.13392778041243025</v>
      </c>
      <c r="AA67" s="439">
        <f t="shared" si="67"/>
        <v>4.2152761318333808E-2</v>
      </c>
      <c r="AB67" s="438">
        <f t="shared" si="67"/>
        <v>0.12771473420286902</v>
      </c>
      <c r="AC67" s="438">
        <f t="shared" si="67"/>
        <v>0.11645697921359162</v>
      </c>
      <c r="AD67" s="438">
        <f t="shared" si="67"/>
        <v>0.11083464385991371</v>
      </c>
      <c r="AE67" s="438">
        <f t="shared" si="67"/>
        <v>0.1152794849680482</v>
      </c>
      <c r="AF67" s="439">
        <f t="shared" si="67"/>
        <v>3.287135001469265E-2</v>
      </c>
      <c r="AG67" s="438">
        <f t="shared" si="67"/>
        <v>0.1109767655175842</v>
      </c>
      <c r="AH67" s="438">
        <f t="shared" si="67"/>
        <v>0.10677608016403123</v>
      </c>
      <c r="AI67" s="438">
        <f t="shared" si="67"/>
        <v>0.10157551421803852</v>
      </c>
      <c r="AJ67" s="438">
        <f t="shared" si="67"/>
        <v>0.1111347762163111</v>
      </c>
      <c r="AK67" s="439">
        <f t="shared" si="67"/>
        <v>3.0677476377067574E-2</v>
      </c>
      <c r="AL67" s="438">
        <f t="shared" ref="AL67:AQ67" si="68">AL14/AL55</f>
        <v>0.10310977677327023</v>
      </c>
      <c r="AM67" s="438">
        <f t="shared" si="68"/>
        <v>0.10001922140643146</v>
      </c>
      <c r="AN67" s="438">
        <f t="shared" si="68"/>
        <v>9.5352480750328525E-2</v>
      </c>
      <c r="AO67" s="438">
        <f t="shared" si="68"/>
        <v>9.8971391509672976E-2</v>
      </c>
      <c r="AP67" s="439">
        <f t="shared" si="68"/>
        <v>2.6930870208328048E-2</v>
      </c>
      <c r="AQ67" s="438">
        <f t="shared" si="68"/>
        <v>9.998042365513389E-2</v>
      </c>
      <c r="AR67" s="438">
        <f t="shared" ref="AR67:AS67" si="69">AR14/AR55</f>
        <v>0.11342927188421693</v>
      </c>
      <c r="AS67" s="438">
        <f t="shared" si="69"/>
        <v>0.13844896855411248</v>
      </c>
      <c r="AT67" s="1064">
        <f t="shared" ref="AT67" si="70">AO67-2%</f>
        <v>7.8971391509672972E-2</v>
      </c>
      <c r="AU67" s="607">
        <f>AP67</f>
        <v>2.6930870208328048E-2</v>
      </c>
      <c r="AV67" s="1064">
        <f>AQ67-1.6%</f>
        <v>8.398042365513389E-2</v>
      </c>
      <c r="AW67" s="1064">
        <f t="shared" ref="AW67:AY67" si="71">AR67-1.6%</f>
        <v>9.7429271884216934E-2</v>
      </c>
      <c r="AX67" s="1064">
        <f t="shared" si="71"/>
        <v>0.12244896855411248</v>
      </c>
      <c r="AY67" s="1064">
        <f t="shared" si="71"/>
        <v>6.2971391509672972E-2</v>
      </c>
      <c r="AZ67" s="607">
        <f t="shared" ref="AZ67:BE67" si="72">AU67</f>
        <v>2.6930870208328048E-2</v>
      </c>
      <c r="BA67" s="1064">
        <f t="shared" ref="BA67:BD67" si="73">AV67-1%</f>
        <v>7.3980423655133895E-2</v>
      </c>
      <c r="BB67" s="1064">
        <f t="shared" si="73"/>
        <v>8.7429271884216939E-2</v>
      </c>
      <c r="BC67" s="1064">
        <f t="shared" si="73"/>
        <v>0.11244896855411249</v>
      </c>
      <c r="BD67" s="1064">
        <f t="shared" si="73"/>
        <v>5.297139150967297E-2</v>
      </c>
      <c r="BE67" s="607">
        <f t="shared" si="72"/>
        <v>2.6930870208328048E-2</v>
      </c>
      <c r="BF67" s="1064">
        <f t="shared" ref="BF67" si="74">BA67-1%</f>
        <v>6.39804236551339E-2</v>
      </c>
      <c r="BG67" s="1064">
        <f t="shared" ref="BG67" si="75">BB67-1%</f>
        <v>7.7429271884216944E-2</v>
      </c>
      <c r="BH67" s="1064">
        <f t="shared" ref="BH67" si="76">BC67-1%</f>
        <v>0.10244896855411249</v>
      </c>
      <c r="BI67" s="1064">
        <f t="shared" ref="BI67" si="77">BD67-1%</f>
        <v>4.2971391509672968E-2</v>
      </c>
      <c r="BJ67" s="607">
        <f>BE67</f>
        <v>2.6930870208328048E-2</v>
      </c>
      <c r="BK67" s="1064">
        <f t="shared" ref="BK67" si="78">BF67-1%</f>
        <v>5.3980423655133898E-2</v>
      </c>
      <c r="BL67" s="1064">
        <f t="shared" ref="BL67" si="79">BG67-1%</f>
        <v>6.7429271884216949E-2</v>
      </c>
      <c r="BM67" s="1064">
        <f t="shared" ref="BM67" si="80">BH67-1%</f>
        <v>9.2448968554112498E-2</v>
      </c>
      <c r="BN67" s="1064">
        <f t="shared" ref="BN67" si="81">BI67-1%</f>
        <v>3.2971391509672966E-2</v>
      </c>
      <c r="BO67" s="607">
        <f>BJ67</f>
        <v>2.6930870208328048E-2</v>
      </c>
    </row>
    <row r="68" spans="1:67" hidden="1" outlineLevel="1">
      <c r="A68" s="425"/>
      <c r="B68" s="983" t="s">
        <v>259</v>
      </c>
      <c r="C68" s="426"/>
      <c r="D68" s="427"/>
      <c r="E68" s="427"/>
      <c r="F68" s="427"/>
      <c r="G68" s="428"/>
      <c r="H68" s="426"/>
      <c r="I68" s="427"/>
      <c r="J68" s="427"/>
      <c r="K68" s="427">
        <f>(K14/SUM(K14+K23))*CF!K25</f>
        <v>-5.201058285327008</v>
      </c>
      <c r="L68" s="428">
        <f>(L14/SUM(L14+L23))*CF!L25</f>
        <v>-9.5299854964418849</v>
      </c>
      <c r="M68" s="426">
        <f>(M14/SUM(M14+M23))*CF!M25</f>
        <v>-1.7817068100207891</v>
      </c>
      <c r="N68" s="427">
        <f>(N14/SUM(N14+N23))*CF!N25</f>
        <v>-3.5164025206079113</v>
      </c>
      <c r="O68" s="427">
        <f>(O14/SUM(O14+O23))*CF!O25</f>
        <v>-4.4043234258263215</v>
      </c>
      <c r="P68" s="427">
        <f>(P14/SUM(P14+P23))*CF!P25</f>
        <v>-9.2349498091244762</v>
      </c>
      <c r="Q68" s="428">
        <f>(Q14/SUM(Q14+Q23))*CF!Q25</f>
        <v>-18.858366293259902</v>
      </c>
      <c r="R68" s="426">
        <f>(R14/SUM(R14+R23))*CF!R25</f>
        <v>-1.535382877526754</v>
      </c>
      <c r="S68" s="427">
        <f>(S14/SUM(S14+S23))*CF!S25</f>
        <v>-2.3857176551408292</v>
      </c>
      <c r="T68" s="427">
        <f>(T14/SUM(T14+T23))*CF!T25</f>
        <v>-3.5787196031481225</v>
      </c>
      <c r="U68" s="427">
        <f>(U14/SUM(U14+U23))*CF!U25</f>
        <v>-6.6041919517442116</v>
      </c>
      <c r="V68" s="428">
        <f>(V14/SUM(V14+V23))*CF!V25</f>
        <v>-14.048962112456238</v>
      </c>
      <c r="W68" s="426">
        <f>(W14/SUM(W14+W23))*CF!W25</f>
        <v>-4.1723664628988235</v>
      </c>
      <c r="X68" s="427">
        <f>(X14/SUM(X14+X23))*CF!X25</f>
        <v>-5.561036555201972</v>
      </c>
      <c r="Y68" s="427">
        <f>(Y14/SUM(Y14+Y23))*CF!Y25</f>
        <v>-5.6307923044438439</v>
      </c>
      <c r="Z68" s="427">
        <f>(Z14/SUM(Z14+Z23))*CF!Z25</f>
        <v>-12.559150896739904</v>
      </c>
      <c r="AA68" s="428">
        <f>(AA14/SUM(AA14+AA23))*CF!AA25</f>
        <v>-28.01288148253418</v>
      </c>
      <c r="AB68" s="426">
        <f>(AB14/SUM(AB14+AB23))*CF!AB25</f>
        <v>-5.0583570727438953</v>
      </c>
      <c r="AC68" s="427">
        <f>(AC14/SUM(AC14+AC23))*CF!AC25</f>
        <v>-7.1756036124619245</v>
      </c>
      <c r="AD68" s="427">
        <f>(AD14/SUM(AD14+AD23))*CF!AD25</f>
        <v>-7.4842066160049479</v>
      </c>
      <c r="AE68" s="427">
        <f>(AE14/SUM(AE14+AE23))*CF!AE25</f>
        <v>-10.026518877792734</v>
      </c>
      <c r="AF68" s="428">
        <f>(AF14/SUM(AF14+AF23))*CF!AF25</f>
        <v>-30.29199907592864</v>
      </c>
      <c r="AG68" s="426">
        <f>(AG14/SUM(AG14+AG23))*CF!AG25</f>
        <v>-5.3677659514238805</v>
      </c>
      <c r="AH68" s="427">
        <f>(AH14/SUM(AH14+AH23))*CF!AH25</f>
        <v>-8.0932861624993695</v>
      </c>
      <c r="AI68" s="427">
        <f>(AI14/SUM(AI14+AI23))*CF!AI25</f>
        <v>-8.4468309741437562</v>
      </c>
      <c r="AJ68" s="427">
        <f>(AJ14/SUM(AJ14+AJ23))*CF!AJ25</f>
        <v>-21.530224247682007</v>
      </c>
      <c r="AK68" s="428">
        <f>(AK14/SUM(AK14+AK23))*CF!AK25</f>
        <v>-42.478363155178279</v>
      </c>
      <c r="AL68" s="426">
        <f>(AL14/SUM(AL14+AL23))*CF!AL25</f>
        <v>-4.8107064609123276</v>
      </c>
      <c r="AM68" s="427">
        <f>(AM14/SUM(AM14+AM23))*CF!AM25</f>
        <v>-7.1706894717729126</v>
      </c>
      <c r="AN68" s="427">
        <f>(AN14/SUM(AN14+AN23))*CF!AN25</f>
        <v>-8.7534935538934935</v>
      </c>
      <c r="AO68" s="427">
        <f>(AO14/SUM(AO14+AO23))*CF!AO25</f>
        <v>-13.449335856747707</v>
      </c>
      <c r="AP68" s="428">
        <f>(AP14/SUM(AP14+AP23))*CF!AP25</f>
        <v>-35.221627311107873</v>
      </c>
      <c r="AQ68" s="426">
        <f>(AQ14/SUM(AQ14+AQ23))*CF!AQ25</f>
        <v>-11.297079324476909</v>
      </c>
      <c r="AR68" s="427">
        <f>(AR14/SUM(AR14+AR23))*CF!AR25</f>
        <v>-22.015566309973227</v>
      </c>
      <c r="AS68" s="427">
        <f>(AS14/SUM(AS14+AS23))*CF!AS25</f>
        <v>-43.074535925200756</v>
      </c>
      <c r="AT68" s="603">
        <f>(AT14/SUM(AT14+AT23))*CF!AT25</f>
        <v>25.365795388820359</v>
      </c>
      <c r="AU68" s="604">
        <f>(AU14/SUM(AU14+AU23))*CF!AU25</f>
        <v>-34.314860024504611</v>
      </c>
      <c r="AV68" s="603">
        <f>(AV14/SUM(AV14+AV23))*CF!AV25</f>
        <v>-4.9354416661440341</v>
      </c>
      <c r="AW68" s="603">
        <f>(AW14/SUM(AW14+AW23))*CF!AW25</f>
        <v>-10.773769170841115</v>
      </c>
      <c r="AX68" s="603">
        <f>(AX14/SUM(AX14+AX23))*CF!AX25</f>
        <v>-32.253344427811115</v>
      </c>
      <c r="AY68" s="603">
        <f>(AY14/SUM(AY14+AY23))*CF!AY25</f>
        <v>29.803530410354657</v>
      </c>
      <c r="AZ68" s="604">
        <f>(AZ14/SUM(AZ14+AZ23))*CF!AZ25</f>
        <v>-5.0681662144872606</v>
      </c>
      <c r="BA68" s="603">
        <f>(BA14/SUM(BA14+BA23))*CF!BA25</f>
        <v>-8.6344289993415764</v>
      </c>
      <c r="BB68" s="603">
        <f>(BB14/SUM(BB14+BB23))*CF!BB25</f>
        <v>-12.562648182253968</v>
      </c>
      <c r="BC68" s="603">
        <f>(BC14/SUM(BC14+BC23))*CF!BC25</f>
        <v>-40.448003973271717</v>
      </c>
      <c r="BD68" s="603">
        <f>(BD14/SUM(BD14+BD23))*CF!BD25</f>
        <v>38.221566762277369</v>
      </c>
      <c r="BE68" s="604">
        <f>(BE14/SUM(BE14+BE23))*CF!BE25</f>
        <v>-5.1920551099205143</v>
      </c>
      <c r="BF68" s="603">
        <f>(BF14/SUM(BF14+BF23))*CF!BF25</f>
        <v>-11.277645469408867</v>
      </c>
      <c r="BG68" s="603">
        <f>(BG14/SUM(BG14+BG23))*CF!BG25</f>
        <v>-14.23257454368456</v>
      </c>
      <c r="BH68" s="603">
        <f>(BH14/SUM(BH14+BH23))*CF!BH25</f>
        <v>-52.751273286297213</v>
      </c>
      <c r="BI68" s="603">
        <f>(BI14/SUM(BI14+BI23))*CF!BI25</f>
        <v>44.942946437280128</v>
      </c>
      <c r="BJ68" s="604">
        <f>(BJ14/SUM(BJ14+BJ23))*CF!BJ25</f>
        <v>-6.7909339874563903</v>
      </c>
      <c r="BK68" s="603">
        <f>(BK14/SUM(BK14+BK23))*CF!BK25</f>
        <v>-15.907882351711287</v>
      </c>
      <c r="BL68" s="603">
        <f>(BL14/SUM(BL14+BL23))*CF!BL25</f>
        <v>-13.409410456108509</v>
      </c>
      <c r="BM68" s="603">
        <f>(BM14/SUM(BM14+BM23))*CF!BM25</f>
        <v>-64.024982304320176</v>
      </c>
      <c r="BN68" s="603">
        <f>(BN14/SUM(BN14+BN23))*CF!BN25</f>
        <v>50.585774529387855</v>
      </c>
      <c r="BO68" s="604">
        <f>(BO14/SUM(BO14+BO23))*CF!BO25</f>
        <v>-5.4116279697403131</v>
      </c>
    </row>
    <row r="69" spans="1:67" hidden="1" outlineLevel="1">
      <c r="A69" s="425"/>
      <c r="C69" s="440"/>
      <c r="D69" s="441"/>
      <c r="E69" s="441"/>
      <c r="F69" s="441"/>
      <c r="G69" s="442"/>
      <c r="H69" s="440"/>
      <c r="I69" s="441"/>
      <c r="J69" s="441"/>
      <c r="K69" s="441"/>
      <c r="L69" s="442"/>
      <c r="M69" s="440"/>
      <c r="N69" s="441"/>
      <c r="O69" s="441"/>
      <c r="P69" s="441"/>
      <c r="Q69" s="442"/>
      <c r="R69" s="440"/>
      <c r="S69" s="441"/>
      <c r="T69" s="441"/>
      <c r="U69" s="441"/>
      <c r="V69" s="442"/>
      <c r="W69" s="440"/>
      <c r="X69" s="441"/>
      <c r="Y69" s="441"/>
      <c r="Z69" s="441"/>
      <c r="AA69" s="442"/>
      <c r="AB69" s="440"/>
      <c r="AC69" s="441"/>
      <c r="AD69" s="441"/>
      <c r="AE69" s="441"/>
      <c r="AF69" s="442"/>
      <c r="AG69" s="440"/>
      <c r="AH69" s="441"/>
      <c r="AI69" s="441"/>
      <c r="AJ69" s="441"/>
      <c r="AK69" s="442"/>
      <c r="AL69" s="440"/>
      <c r="AM69" s="441"/>
      <c r="AN69" s="441"/>
      <c r="AO69" s="441"/>
      <c r="AP69" s="442"/>
      <c r="AQ69" s="440"/>
      <c r="AR69" s="441"/>
      <c r="AS69" s="441"/>
      <c r="AT69" s="605"/>
      <c r="AU69" s="606"/>
      <c r="AV69" s="605"/>
      <c r="AW69" s="605"/>
      <c r="AX69" s="605"/>
      <c r="AY69" s="605"/>
      <c r="AZ69" s="606"/>
      <c r="BA69" s="605"/>
      <c r="BB69" s="605"/>
      <c r="BC69" s="605"/>
      <c r="BD69" s="605"/>
      <c r="BE69" s="606"/>
      <c r="BF69" s="605"/>
      <c r="BG69" s="605"/>
      <c r="BH69" s="605"/>
      <c r="BI69" s="605"/>
      <c r="BJ69" s="606"/>
      <c r="BK69" s="605"/>
      <c r="BL69" s="605"/>
      <c r="BM69" s="605"/>
      <c r="BN69" s="605"/>
      <c r="BO69" s="606"/>
    </row>
    <row r="70" spans="1:67" hidden="1" outlineLevel="1">
      <c r="A70" s="319"/>
      <c r="B70" s="1061" t="s">
        <v>315</v>
      </c>
      <c r="C70" s="437"/>
      <c r="D70" s="438"/>
      <c r="E70" s="438"/>
      <c r="F70" s="438"/>
      <c r="G70" s="439"/>
      <c r="H70" s="437"/>
      <c r="I70" s="438"/>
      <c r="J70" s="438"/>
      <c r="K70" s="438">
        <f t="shared" ref="K70:Q70" si="82">K23/K55</f>
        <v>0.89039751349582852</v>
      </c>
      <c r="L70" s="594">
        <f t="shared" si="82"/>
        <v>0.3378437092669605</v>
      </c>
      <c r="M70" s="438">
        <f t="shared" si="82"/>
        <v>0.79375357510582323</v>
      </c>
      <c r="N70" s="438">
        <f t="shared" si="82"/>
        <v>0.6793118878337393</v>
      </c>
      <c r="O70" s="438">
        <f t="shared" si="82"/>
        <v>0.66910918753081683</v>
      </c>
      <c r="P70" s="438">
        <f t="shared" si="82"/>
        <v>0.79272909729507823</v>
      </c>
      <c r="Q70" s="594">
        <f t="shared" si="82"/>
        <v>0.26257422152386423</v>
      </c>
      <c r="R70" s="438">
        <f t="shared" ref="R70:AK70" si="83">R23/R55</f>
        <v>0.62588797500344617</v>
      </c>
      <c r="S70" s="438">
        <f t="shared" si="83"/>
        <v>0.52420293664801543</v>
      </c>
      <c r="T70" s="438">
        <f t="shared" si="83"/>
        <v>0.46258081491505026</v>
      </c>
      <c r="U70" s="438">
        <f t="shared" si="83"/>
        <v>0.452387577770194</v>
      </c>
      <c r="V70" s="594">
        <f t="shared" si="83"/>
        <v>0.14553525130521291</v>
      </c>
      <c r="W70" s="438">
        <f t="shared" si="83"/>
        <v>0.39254043003049177</v>
      </c>
      <c r="X70" s="438">
        <f t="shared" si="83"/>
        <v>0.3533236834951029</v>
      </c>
      <c r="Y70" s="438">
        <f t="shared" si="83"/>
        <v>0.30364399101784767</v>
      </c>
      <c r="Z70" s="438">
        <f t="shared" si="83"/>
        <v>0.32445397551684063</v>
      </c>
      <c r="AA70" s="594">
        <f t="shared" si="83"/>
        <v>0.10211944785935191</v>
      </c>
      <c r="AB70" s="438">
        <f t="shared" si="83"/>
        <v>0.29438574144531704</v>
      </c>
      <c r="AC70" s="438">
        <f t="shared" si="83"/>
        <v>0.25987434841366885</v>
      </c>
      <c r="AD70" s="438">
        <f t="shared" si="83"/>
        <v>0.24045290362423435</v>
      </c>
      <c r="AE70" s="438">
        <f t="shared" si="83"/>
        <v>0.24666050946330467</v>
      </c>
      <c r="AF70" s="594">
        <f t="shared" si="83"/>
        <v>7.0333970902264134E-2</v>
      </c>
      <c r="AG70" s="438">
        <f t="shared" si="83"/>
        <v>0.22891473527058254</v>
      </c>
      <c r="AH70" s="438">
        <f t="shared" si="83"/>
        <v>0.21714256889281891</v>
      </c>
      <c r="AI70" s="438">
        <f t="shared" si="83"/>
        <v>0.20480458965393714</v>
      </c>
      <c r="AJ70" s="438">
        <f t="shared" si="83"/>
        <v>0.24150411966454063</v>
      </c>
      <c r="AK70" s="594">
        <f t="shared" si="83"/>
        <v>6.6664433746221705E-2</v>
      </c>
      <c r="AL70" s="438">
        <f t="shared" ref="AL70:AQ70" si="84">AL23/AL55</f>
        <v>0.21710515995361462</v>
      </c>
      <c r="AM70" s="438">
        <f t="shared" si="84"/>
        <v>0.20424988749146833</v>
      </c>
      <c r="AN70" s="438">
        <f t="shared" si="84"/>
        <v>0.18820521094497999</v>
      </c>
      <c r="AO70" s="438">
        <f t="shared" si="84"/>
        <v>0.18643351540885922</v>
      </c>
      <c r="AP70" s="594">
        <f t="shared" si="84"/>
        <v>5.0729980950784195E-2</v>
      </c>
      <c r="AQ70" s="438">
        <f t="shared" si="84"/>
        <v>0.1753819786310761</v>
      </c>
      <c r="AR70" s="438">
        <f t="shared" ref="AR70:AS70" si="85">AR23/AR55</f>
        <v>0.16350311667826814</v>
      </c>
      <c r="AS70" s="438">
        <f t="shared" si="85"/>
        <v>0.17273431065314876</v>
      </c>
      <c r="AT70" s="1064">
        <f>AO70-2.5%</f>
        <v>0.16143351540885922</v>
      </c>
      <c r="AU70" s="607">
        <f>AP70</f>
        <v>5.0729980950784195E-2</v>
      </c>
      <c r="AV70" s="1064">
        <f t="shared" ref="AV70:AY70" si="86">AQ70-2%</f>
        <v>0.15538197863107611</v>
      </c>
      <c r="AW70" s="1064">
        <f t="shared" si="86"/>
        <v>0.14350311667826815</v>
      </c>
      <c r="AX70" s="1064">
        <f t="shared" si="86"/>
        <v>0.15273431065314877</v>
      </c>
      <c r="AY70" s="1064">
        <f t="shared" si="86"/>
        <v>0.14143351540885923</v>
      </c>
      <c r="AZ70" s="607">
        <f t="shared" ref="AZ70:BE70" si="87">AU70</f>
        <v>5.0729980950784195E-2</v>
      </c>
      <c r="BA70" s="1064">
        <f>AV70-2%</f>
        <v>0.13538197863107612</v>
      </c>
      <c r="BB70" s="1064">
        <f t="shared" ref="BB70:BD70" si="88">AW70-2%</f>
        <v>0.12350311667826815</v>
      </c>
      <c r="BC70" s="1064">
        <f t="shared" si="88"/>
        <v>0.13273431065314878</v>
      </c>
      <c r="BD70" s="1064">
        <f t="shared" si="88"/>
        <v>0.12143351540885923</v>
      </c>
      <c r="BE70" s="607">
        <f t="shared" si="87"/>
        <v>5.0729980950784195E-2</v>
      </c>
      <c r="BF70" s="1064">
        <f>BA70-1.6%</f>
        <v>0.11938197863107612</v>
      </c>
      <c r="BG70" s="1064">
        <f t="shared" ref="BG70:BI70" si="89">BB70-1.5%</f>
        <v>0.10850311667826815</v>
      </c>
      <c r="BH70" s="1064">
        <f t="shared" si="89"/>
        <v>0.11773431065314878</v>
      </c>
      <c r="BI70" s="1064">
        <f t="shared" si="89"/>
        <v>0.10643351540885923</v>
      </c>
      <c r="BJ70" s="607">
        <f>BE70</f>
        <v>5.0729980950784195E-2</v>
      </c>
      <c r="BK70" s="1064">
        <f t="shared" ref="BK70:BN70" si="90">BF70-1%</f>
        <v>0.10938197863107613</v>
      </c>
      <c r="BL70" s="1064">
        <f t="shared" si="90"/>
        <v>9.8503116678268152E-2</v>
      </c>
      <c r="BM70" s="1064">
        <f t="shared" si="90"/>
        <v>0.10773431065314878</v>
      </c>
      <c r="BN70" s="1064">
        <f t="shared" si="90"/>
        <v>9.6433515408859236E-2</v>
      </c>
      <c r="BO70" s="607">
        <f>BJ70</f>
        <v>5.0729980950784195E-2</v>
      </c>
    </row>
    <row r="71" spans="1:67" hidden="1" outlineLevel="1">
      <c r="A71" s="425"/>
      <c r="B71" s="983" t="s">
        <v>259</v>
      </c>
      <c r="C71" s="426"/>
      <c r="D71" s="427"/>
      <c r="E71" s="427"/>
      <c r="F71" s="427"/>
      <c r="G71" s="428"/>
      <c r="H71" s="426"/>
      <c r="I71" s="427"/>
      <c r="J71" s="427"/>
      <c r="K71" s="427">
        <f>(K23/SUM(K14,K23))*CF!K25</f>
        <v>-14.633941714672993</v>
      </c>
      <c r="L71" s="428">
        <f>(L23/SUM(L14,L23))*CF!L25</f>
        <v>-26.814014503558116</v>
      </c>
      <c r="M71" s="427">
        <f>(M23/SUM(M14,M23))*CF!M25</f>
        <v>-4.7802931899792114</v>
      </c>
      <c r="N71" s="427">
        <f>(N23/SUM(N14,N23))*CF!N25</f>
        <v>-9.2015974793920883</v>
      </c>
      <c r="O71" s="427">
        <f>(O23/SUM(O14,O23))*CF!O25</f>
        <v>-11.319676574173679</v>
      </c>
      <c r="P71" s="427">
        <f>(P23/SUM(P14,P23))*CF!P25</f>
        <v>-24.356050190875525</v>
      </c>
      <c r="Q71" s="428">
        <f>(Q23/SUM(Q14,Q23))*CF!Q25</f>
        <v>-49.736633706740093</v>
      </c>
      <c r="R71" s="427">
        <f>(R23/SUM(R14,R23))*CF!R25</f>
        <v>-4.0086171224732459</v>
      </c>
      <c r="S71" s="427">
        <f>(S23/SUM(S14,S23))*CF!S25</f>
        <v>-6.3362823448591712</v>
      </c>
      <c r="T71" s="427">
        <f>(T23/SUM(T14,T23))*CF!T25</f>
        <v>-9.4162803968518762</v>
      </c>
      <c r="U71" s="427">
        <f>(U23/SUM(U14,U23))*CF!U25</f>
        <v>-17.578808048255791</v>
      </c>
      <c r="V71" s="428">
        <f>(V23/SUM(V14,V23))*CF!V25</f>
        <v>-37.395037887543758</v>
      </c>
      <c r="W71" s="427">
        <f>(W23/SUM(W14,W23))*CF!W25</f>
        <v>-10.576633537101177</v>
      </c>
      <c r="X71" s="427">
        <f>(X23/SUM(X14,X23))*CF!X25</f>
        <v>-13.620963444798026</v>
      </c>
      <c r="Y71" s="427">
        <f>(Y23/SUM(Y14,Y23))*CF!Y25</f>
        <v>-13.330207695556155</v>
      </c>
      <c r="Z71" s="427">
        <f>(Z23/SUM(Z14,Z23))*CF!Z25</f>
        <v>-30.425849103260099</v>
      </c>
      <c r="AA71" s="428">
        <f>(AA23/SUM(AA14,AA23))*CF!AA25</f>
        <v>-67.864118517465826</v>
      </c>
      <c r="AB71" s="427">
        <f>(AB23/SUM(AB14,AB23))*CF!AB25</f>
        <v>-11.659642927256105</v>
      </c>
      <c r="AC71" s="427">
        <f>(AC23/SUM(AC14,AC23))*CF!AC25</f>
        <v>-16.012396387538075</v>
      </c>
      <c r="AD71" s="427">
        <f>(AD23/SUM(AD14,AD23))*CF!AD25</f>
        <v>-16.236793383995053</v>
      </c>
      <c r="AE71" s="427">
        <f>(AE23/SUM(AE14,AE23))*CF!AE25</f>
        <v>-21.453481122207261</v>
      </c>
      <c r="AF71" s="428">
        <f>(AF23/SUM(AF14,AF23))*CF!AF25</f>
        <v>-64.815000924071342</v>
      </c>
      <c r="AG71" s="427">
        <f>(AG23/SUM(AG14,AG23))*CF!AG25</f>
        <v>-11.072234048576119</v>
      </c>
      <c r="AH71" s="427">
        <f>(AH23/SUM(AH14,AH23))*CF!AH25</f>
        <v>-16.458713837500632</v>
      </c>
      <c r="AI71" s="427">
        <f>(AI23/SUM(AI14,AI23))*CF!AI25</f>
        <v>-17.031169025856244</v>
      </c>
      <c r="AJ71" s="427">
        <f>(AJ23/SUM(AJ14,AJ23))*CF!AJ25</f>
        <v>-46.786775752317993</v>
      </c>
      <c r="AK71" s="428">
        <f>(AK23/SUM(AK14,AK23))*CF!AK25</f>
        <v>-92.308636844821706</v>
      </c>
      <c r="AL71" s="427">
        <f>(AL23/SUM(AL14,AL23))*CF!AL25</f>
        <v>-10.129293539087671</v>
      </c>
      <c r="AM71" s="427">
        <f>(AM23/SUM(AM14,AM23))*CF!AM25</f>
        <v>-14.643310528227088</v>
      </c>
      <c r="AN71" s="427">
        <f>(AN23/SUM(AN14,AN23))*CF!AN25</f>
        <v>-17.277506446106507</v>
      </c>
      <c r="AO71" s="427">
        <f>(AO23/SUM(AO14,AO23))*CF!AO25</f>
        <v>-25.33466414325229</v>
      </c>
      <c r="AP71" s="428">
        <f>(AP23/SUM(AP14,AP23))*CF!AP25</f>
        <v>-66.347372688892108</v>
      </c>
      <c r="AQ71" s="427">
        <f>(AQ23/SUM(AQ14,AQ23))*CF!AQ25</f>
        <v>-19.81692067552309</v>
      </c>
      <c r="AR71" s="427">
        <f>(AR23/SUM(AR14,AR23))*CF!AR25</f>
        <v>-31.734433690026776</v>
      </c>
      <c r="AS71" s="427">
        <f>(AS23/SUM(AS14,AS23))*CF!AS25</f>
        <v>-53.741464074799232</v>
      </c>
      <c r="AT71" s="603">
        <f>(AT23/SUM(AT14,AT23))*CF!AT25</f>
        <v>51.852822173679584</v>
      </c>
      <c r="AU71" s="604">
        <f>(AU23/SUM(AU14,AU23))*CF!AU25</f>
        <v>-70.146522412995452</v>
      </c>
      <c r="AV71" s="603">
        <f>(AV23/SUM(AV14,AV23))*CF!AV25</f>
        <v>-9.1316363757928478</v>
      </c>
      <c r="AW71" s="603">
        <f>(AW23/SUM(AW14,AW23))*CF!AW25</f>
        <v>-15.868633979172708</v>
      </c>
      <c r="AX71" s="603">
        <f>(AX23/SUM(AX14,AX23))*CF!AX25</f>
        <v>-40.23057430053673</v>
      </c>
      <c r="AY71" s="603">
        <f>(AY23/SUM(AY14,AY23))*CF!AY25</f>
        <v>66.938620482664803</v>
      </c>
      <c r="AZ71" s="604">
        <f>(AZ23/SUM(AZ14,AZ23))*CF!AZ25</f>
        <v>-11.383082812791828</v>
      </c>
      <c r="BA71" s="603">
        <f>(BA23/SUM(BA14,BA23))*CF!BA25</f>
        <v>-15.800748691701846</v>
      </c>
      <c r="BB71" s="603">
        <f>(BB23/SUM(BB14,BB23))*CF!BB25</f>
        <v>-17.74607257733588</v>
      </c>
      <c r="BC71" s="603">
        <f>(BC23/SUM(BC14,BC23))*CF!BC25</f>
        <v>-47.744661367031227</v>
      </c>
      <c r="BD71" s="603">
        <f>(BD23/SUM(BD14,BD23))*CF!BD25</f>
        <v>87.620488797810808</v>
      </c>
      <c r="BE71" s="604">
        <f>(BE23/SUM(BE14,BE23))*CF!BE25</f>
        <v>-11.902453120927492</v>
      </c>
      <c r="BF71" s="603">
        <f>(BF23/SUM(BF14,BF23))*CF!BF25</f>
        <v>-21.043118402823961</v>
      </c>
      <c r="BG71" s="603">
        <f>(BG23/SUM(BG14,BG23))*CF!BG25</f>
        <v>-19.944378382567979</v>
      </c>
      <c r="BH71" s="603">
        <f>(BH23/SUM(BH14,BH23))*CF!BH25</f>
        <v>-60.621740600127879</v>
      </c>
      <c r="BI71" s="603">
        <f>(BI23/SUM(BI14,BI23))*CF!BI25</f>
        <v>111.31675317228269</v>
      </c>
      <c r="BJ71" s="604">
        <f>(BJ23/SUM(BJ14,BJ23))*CF!BJ25</f>
        <v>-16.820097087891263</v>
      </c>
      <c r="BK71" s="603">
        <f>(BK23/SUM(BK14,BK23))*CF!BK25</f>
        <v>-32.234568194150661</v>
      </c>
      <c r="BL71" s="603">
        <f>(BL23/SUM(BL14,BL23))*CF!BL25</f>
        <v>-19.588951294222991</v>
      </c>
      <c r="BM71" s="603">
        <f>(BM23/SUM(BM14,BM23))*CF!BM25</f>
        <v>-74.610754895535777</v>
      </c>
      <c r="BN71" s="603">
        <f>(BN23/SUM(BN14,BN23))*CF!BN25</f>
        <v>147.95141618811184</v>
      </c>
      <c r="BO71" s="604">
        <f>(BO23/SUM(BO14,BO23))*CF!BO25</f>
        <v>-15.827730808809356</v>
      </c>
    </row>
    <row r="72" spans="1:67" hidden="1" outlineLevel="1">
      <c r="A72" s="425"/>
      <c r="C72" s="426"/>
      <c r="D72" s="427"/>
      <c r="E72" s="427"/>
      <c r="F72" s="427"/>
      <c r="G72" s="428"/>
      <c r="H72" s="426"/>
      <c r="I72" s="427"/>
      <c r="J72" s="427"/>
      <c r="K72" s="427"/>
      <c r="L72" s="428"/>
      <c r="M72" s="426"/>
      <c r="N72" s="427"/>
      <c r="O72" s="427"/>
      <c r="P72" s="427"/>
      <c r="Q72" s="428"/>
      <c r="R72" s="426"/>
      <c r="S72" s="427"/>
      <c r="T72" s="427"/>
      <c r="U72" s="427"/>
      <c r="V72" s="428"/>
      <c r="W72" s="426"/>
      <c r="X72" s="427"/>
      <c r="Y72" s="427"/>
      <c r="Z72" s="427"/>
      <c r="AA72" s="428"/>
      <c r="AB72" s="426"/>
      <c r="AC72" s="427"/>
      <c r="AD72" s="427"/>
      <c r="AE72" s="427"/>
      <c r="AF72" s="428"/>
      <c r="AG72" s="426"/>
      <c r="AH72" s="427"/>
      <c r="AI72" s="427"/>
      <c r="AJ72" s="427"/>
      <c r="AK72" s="428"/>
      <c r="AL72" s="426"/>
      <c r="AM72" s="427"/>
      <c r="AN72" s="427"/>
      <c r="AO72" s="427"/>
      <c r="AP72" s="428"/>
      <c r="AQ72" s="426"/>
      <c r="AR72" s="427"/>
      <c r="AS72" s="427"/>
      <c r="AT72" s="603"/>
      <c r="AU72" s="604"/>
      <c r="AV72" s="603"/>
      <c r="AW72" s="603"/>
      <c r="AX72" s="603"/>
      <c r="AY72" s="603"/>
      <c r="AZ72" s="604"/>
      <c r="BA72" s="603"/>
      <c r="BB72" s="603"/>
      <c r="BC72" s="603"/>
      <c r="BD72" s="603"/>
      <c r="BE72" s="604"/>
      <c r="BF72" s="603"/>
      <c r="BG72" s="603"/>
      <c r="BH72" s="603"/>
      <c r="BI72" s="603"/>
      <c r="BJ72" s="604"/>
      <c r="BK72" s="603"/>
      <c r="BL72" s="603"/>
      <c r="BM72" s="603"/>
      <c r="BN72" s="603"/>
      <c r="BO72" s="604"/>
    </row>
    <row r="73" spans="1:67" hidden="1" outlineLevel="1">
      <c r="A73" s="319"/>
      <c r="B73" s="1062" t="s">
        <v>316</v>
      </c>
      <c r="C73" s="437"/>
      <c r="D73" s="438"/>
      <c r="E73" s="438"/>
      <c r="F73" s="438"/>
      <c r="G73" s="439"/>
      <c r="H73" s="437"/>
      <c r="I73" s="438"/>
      <c r="J73" s="438"/>
      <c r="K73" s="438">
        <f>K15/K55</f>
        <v>0.24971372484868312</v>
      </c>
      <c r="L73" s="439">
        <f t="shared" ref="L73:Q73" si="91">L15/L55</f>
        <v>9.4748929302960722E-2</v>
      </c>
      <c r="M73" s="437">
        <f t="shared" si="91"/>
        <v>8.6534721427754271E-2</v>
      </c>
      <c r="N73" s="438">
        <f t="shared" si="91"/>
        <v>9.0472165597706294E-2</v>
      </c>
      <c r="O73" s="438">
        <f t="shared" si="91"/>
        <v>0.12289760587300719</v>
      </c>
      <c r="P73" s="438">
        <f t="shared" si="91"/>
        <v>0.12038726451671759</v>
      </c>
      <c r="Q73" s="439">
        <f t="shared" si="91"/>
        <v>3.9875655340172546E-2</v>
      </c>
      <c r="R73" s="437">
        <f t="shared" ref="R73:AK73" si="92">R15/R55</f>
        <v>0.17436015255249734</v>
      </c>
      <c r="S73" s="438">
        <f t="shared" si="92"/>
        <v>7.5819595178189203E-2</v>
      </c>
      <c r="T73" s="438">
        <f t="shared" si="92"/>
        <v>0.22351275497418929</v>
      </c>
      <c r="U73" s="438">
        <f t="shared" si="92"/>
        <v>0.34757041976216102</v>
      </c>
      <c r="V73" s="439">
        <f t="shared" si="92"/>
        <v>0.11181506936081305</v>
      </c>
      <c r="W73" s="437">
        <f t="shared" si="92"/>
        <v>0.38934272259451147</v>
      </c>
      <c r="X73" s="438">
        <f t="shared" si="92"/>
        <v>0.35228399914767933</v>
      </c>
      <c r="Y73" s="438">
        <f t="shared" si="92"/>
        <v>0.35966882050944704</v>
      </c>
      <c r="Z73" s="438">
        <f t="shared" si="92"/>
        <v>0.3896121154637886</v>
      </c>
      <c r="AA73" s="439">
        <f t="shared" si="92"/>
        <v>0.12262748220944833</v>
      </c>
      <c r="AB73" s="437">
        <f t="shared" si="92"/>
        <v>0.46203692961874748</v>
      </c>
      <c r="AC73" s="438">
        <f t="shared" si="92"/>
        <v>0.37744747087972202</v>
      </c>
      <c r="AD73" s="438">
        <f t="shared" si="92"/>
        <v>0.2876354510006679</v>
      </c>
      <c r="AE73" s="438">
        <f t="shared" si="92"/>
        <v>0.32783712386165309</v>
      </c>
      <c r="AF73" s="439">
        <f t="shared" si="92"/>
        <v>9.3481063428184435E-2</v>
      </c>
      <c r="AG73" s="437">
        <f t="shared" si="92"/>
        <v>0.32363906933782766</v>
      </c>
      <c r="AH73" s="438">
        <f t="shared" si="92"/>
        <v>0.25881356284253537</v>
      </c>
      <c r="AI73" s="438">
        <f t="shared" si="92"/>
        <v>0.24263491030043327</v>
      </c>
      <c r="AJ73" s="438">
        <f t="shared" si="92"/>
        <v>0.2323715404305414</v>
      </c>
      <c r="AK73" s="439">
        <f t="shared" si="92"/>
        <v>6.4143490318330124E-2</v>
      </c>
      <c r="AL73" s="437">
        <f t="shared" ref="AL73:AQ73" si="93">AL15/AL55</f>
        <v>0.21840115167085192</v>
      </c>
      <c r="AM73" s="438">
        <f t="shared" si="93"/>
        <v>0.1715942142415659</v>
      </c>
      <c r="AN73" s="438">
        <f t="shared" si="93"/>
        <v>0.14955832432857016</v>
      </c>
      <c r="AO73" s="438">
        <f t="shared" si="93"/>
        <v>0.21406609442929964</v>
      </c>
      <c r="AP73" s="439">
        <f t="shared" si="93"/>
        <v>5.8249016378795919E-2</v>
      </c>
      <c r="AQ73" s="437">
        <f t="shared" si="93"/>
        <v>0.23087227970374463</v>
      </c>
      <c r="AR73" s="438">
        <f t="shared" ref="AR73:AS73" si="94">AR15/AR55</f>
        <v>0.20338017885200385</v>
      </c>
      <c r="AS73" s="438">
        <f t="shared" si="94"/>
        <v>0.13547512632852093</v>
      </c>
      <c r="AT73" s="1064">
        <f>AO73-3.5%</f>
        <v>0.17906609442929963</v>
      </c>
      <c r="AU73" s="607">
        <f>AP73</f>
        <v>5.8249016378795919E-2</v>
      </c>
      <c r="AV73" s="1064">
        <f t="shared" ref="AV73:AY73" si="95">AQ73-3%</f>
        <v>0.20087227970374463</v>
      </c>
      <c r="AW73" s="1064">
        <f t="shared" si="95"/>
        <v>0.17338017885200385</v>
      </c>
      <c r="AX73" s="1064">
        <f t="shared" si="95"/>
        <v>0.10547512632852094</v>
      </c>
      <c r="AY73" s="1064">
        <f t="shared" si="95"/>
        <v>0.14906609442929963</v>
      </c>
      <c r="AZ73" s="607">
        <f>AU73</f>
        <v>5.8249016378795919E-2</v>
      </c>
      <c r="BA73" s="1064">
        <f t="shared" ref="BA73:BD73" si="96">AV73-2%</f>
        <v>0.18087227970374464</v>
      </c>
      <c r="BB73" s="1064">
        <f t="shared" si="96"/>
        <v>0.15338017885200386</v>
      </c>
      <c r="BC73" s="1064">
        <f t="shared" si="96"/>
        <v>8.5475126328520931E-2</v>
      </c>
      <c r="BD73" s="1064">
        <f t="shared" si="96"/>
        <v>0.12906609442929964</v>
      </c>
      <c r="BE73" s="607">
        <f>AZ73</f>
        <v>5.8249016378795919E-2</v>
      </c>
      <c r="BF73" s="1064">
        <f t="shared" ref="BF73" si="97">BA73-2%</f>
        <v>0.16087227970374465</v>
      </c>
      <c r="BG73" s="1064">
        <f t="shared" ref="BG73" si="98">BB73-2%</f>
        <v>0.13338017885200387</v>
      </c>
      <c r="BH73" s="1064">
        <f t="shared" ref="BH73" si="99">BC73-2%</f>
        <v>6.5475126328520927E-2</v>
      </c>
      <c r="BI73" s="1064">
        <f t="shared" ref="BI73" si="100">BD73-2%</f>
        <v>0.10906609442929964</v>
      </c>
      <c r="BJ73" s="607">
        <f>BE73</f>
        <v>5.8249016378795919E-2</v>
      </c>
      <c r="BK73" s="1064">
        <f t="shared" ref="BK73" si="101">BF73-1%</f>
        <v>0.15087227970374464</v>
      </c>
      <c r="BL73" s="1064">
        <f t="shared" ref="BL73" si="102">BG73-1%</f>
        <v>0.12338017885200388</v>
      </c>
      <c r="BM73" s="1064">
        <f t="shared" ref="BM73" si="103">BH73-1%</f>
        <v>5.5475126328520925E-2</v>
      </c>
      <c r="BN73" s="1064">
        <f t="shared" ref="BN73" si="104">BI73-1%</f>
        <v>9.9066094429299645E-2</v>
      </c>
      <c r="BO73" s="607">
        <f>BJ73</f>
        <v>5.8249016378795919E-2</v>
      </c>
    </row>
    <row r="74" spans="1:67" hidden="1" outlineLevel="1">
      <c r="A74" s="319"/>
      <c r="B74" s="983" t="s">
        <v>259</v>
      </c>
      <c r="C74" s="426"/>
      <c r="D74" s="427"/>
      <c r="E74" s="427"/>
      <c r="F74" s="427"/>
      <c r="G74" s="428"/>
      <c r="H74" s="426"/>
      <c r="I74" s="427"/>
      <c r="J74" s="427"/>
      <c r="K74" s="427">
        <f>(K15/SUM(K15,K24))*CF!K26</f>
        <v>-2.6692327265096272</v>
      </c>
      <c r="L74" s="428">
        <f>(L15/SUM(L15,L24))*CF!L26</f>
        <v>-4.3683158805938831</v>
      </c>
      <c r="M74" s="426">
        <f>(M15/SUM(M15,M24))*CF!M26</f>
        <v>-0.36811657369764583</v>
      </c>
      <c r="N74" s="427">
        <f>(N15/SUM(N15,N24))*CF!N26</f>
        <v>-0.7223731080027892</v>
      </c>
      <c r="O74" s="427">
        <f>(O15/SUM(O15,O24))*CF!O26</f>
        <v>-1.1463841365246326</v>
      </c>
      <c r="P74" s="427">
        <f>(P15/SUM(P15,P24))*CF!P26</f>
        <v>-0.68615761827188404</v>
      </c>
      <c r="Q74" s="428">
        <f>(Q15/SUM(Q15,Q24))*CF!Q26</f>
        <v>-3.7943989826789455</v>
      </c>
      <c r="R74" s="426">
        <f>(R15/SUM(R15,R24))*CF!R26</f>
        <v>-4.0813825955226388</v>
      </c>
      <c r="S74" s="427">
        <f>(S15/SUM(S15,S24))*CF!S26</f>
        <v>2.2128211653211656</v>
      </c>
      <c r="T74" s="427">
        <f>(T15/SUM(T15,T24))*CF!T26</f>
        <v>-13.444245549879</v>
      </c>
      <c r="U74" s="427">
        <f>(U15/SUM(U15,U24))*CF!U26</f>
        <v>-13.991125371330101</v>
      </c>
      <c r="V74" s="428">
        <f>(V15/SUM(V15,V24))*CF!V26</f>
        <v>-26.5396779876802</v>
      </c>
      <c r="W74" s="426">
        <f>(W15/SUM(W15,W24))*CF!W26</f>
        <v>-20.889734910354701</v>
      </c>
      <c r="X74" s="427">
        <f>(X15/SUM(X15,X24))*CF!X26</f>
        <v>-5.5282330859582576</v>
      </c>
      <c r="Y74" s="427">
        <f>(Y15/SUM(Y15,Y24))*CF!Y26</f>
        <v>-14.718818254484404</v>
      </c>
      <c r="Z74" s="427">
        <f>(Z15/SUM(Z15,Z24))*CF!Z26</f>
        <v>-14.47705924870883</v>
      </c>
      <c r="AA74" s="428">
        <f>(AA15/SUM(AA15,AA24))*CF!AA26</f>
        <v>-49.700271197024406</v>
      </c>
      <c r="AB74" s="426">
        <f>(AB15/SUM(AB15,AB24))*CF!AB26</f>
        <v>-20.512394172572105</v>
      </c>
      <c r="AC74" s="427">
        <f>(AC15/SUM(AC15,AC24))*CF!AC26</f>
        <v>10.910851196122035</v>
      </c>
      <c r="AD74" s="427">
        <f>(AD15/SUM(AD15,AD24))*CF!AD26</f>
        <v>14.588961905055541</v>
      </c>
      <c r="AE74" s="427">
        <f>(AE15/SUM(AE15,AE24))*CF!AE26</f>
        <v>-6.5073693104742407</v>
      </c>
      <c r="AF74" s="428">
        <f>(AF15/SUM(AF15,AF24))*CF!AF26</f>
        <v>-1.17572329232982</v>
      </c>
      <c r="AG74" s="426">
        <f>(AG15/SUM(AG15,AG24))*CF!AG26</f>
        <v>2.3628470868593578</v>
      </c>
      <c r="AH74" s="427">
        <f>(AH15/SUM(AH15,AH24))*CF!AH26</f>
        <v>15.842212315496841</v>
      </c>
      <c r="AI74" s="427">
        <f>(AI15/SUM(AI15,AI24))*CF!AI26</f>
        <v>1.855230681515831</v>
      </c>
      <c r="AJ74" s="427">
        <f>(AJ15/SUM(AJ15,AJ24))*CF!AJ26</f>
        <v>3.2609886961580163</v>
      </c>
      <c r="AK74" s="428">
        <f>(AK15/SUM(AK15,AK24))*CF!AK26</f>
        <v>23.71862536026865</v>
      </c>
      <c r="AL74" s="426">
        <f>(AL15/SUM(AL15,AL24))*CF!AL26</f>
        <v>-0.4616184595959596</v>
      </c>
      <c r="AM74" s="427">
        <f>(AM15/SUM(AM15,AM24))*CF!AM26</f>
        <v>10.030226214394077</v>
      </c>
      <c r="AN74" s="427">
        <f>(AN15/SUM(AN15,AN24))*CF!AN26</f>
        <v>2.7264941866764101</v>
      </c>
      <c r="AO74" s="427">
        <f>(AO15/SUM(AO15,AO24))*CF!AO26</f>
        <v>-4.8864564482564994</v>
      </c>
      <c r="AP74" s="428">
        <f>(AP15/SUM(AP15,AP24))*CF!AP26</f>
        <v>11.570738139017651</v>
      </c>
      <c r="AQ74" s="426">
        <f>(AQ15/SUM(AQ15,AQ24))*CF!AQ26</f>
        <v>-7.0373340542807892</v>
      </c>
      <c r="AR74" s="427">
        <f>(AR15/SUM(AR15,AR24))*CF!AR26</f>
        <v>-1.6648570964112339</v>
      </c>
      <c r="AS74" s="427">
        <f>(AS15/SUM(AS15,AS24))*CF!AS26</f>
        <v>5.7346247603454188</v>
      </c>
      <c r="AT74" s="603">
        <f>(AT15/SUM(AT15,AT24))*CF!AT26</f>
        <v>-15.93754381970493</v>
      </c>
      <c r="AU74" s="604">
        <f>(AU15/SUM(AU15,AU24))*CF!AU26</f>
        <v>-16.857108025048841</v>
      </c>
      <c r="AV74" s="603">
        <f>(AV15/SUM(AV15,AV24))*CF!AV26</f>
        <v>-15.894869253778618</v>
      </c>
      <c r="AW74" s="603">
        <f>(AW15/SUM(AW15,AW24))*CF!AW26</f>
        <v>6.5253178956160465</v>
      </c>
      <c r="AX74" s="603">
        <f>(AX15/SUM(AX15,AX24))*CF!AX26</f>
        <v>39.197554738214102</v>
      </c>
      <c r="AY74" s="603">
        <f>(AY15/SUM(AY15,AY24))*CF!AY26</f>
        <v>-50.445769986508061</v>
      </c>
      <c r="AZ74" s="604">
        <f>(AZ15/SUM(AZ15,AZ24))*CF!AZ26</f>
        <v>-13.738439037589005</v>
      </c>
      <c r="BA74" s="603">
        <f>(BA15/SUM(BA15,BA24))*CF!BA26</f>
        <v>-24.715899114566653</v>
      </c>
      <c r="BB74" s="603">
        <f>(BB15/SUM(BB15,BB24))*CF!BB26</f>
        <v>10.51165275300176</v>
      </c>
      <c r="BC74" s="603">
        <f>(BC15/SUM(BC15,BC24))*CF!BC26</f>
        <v>49.613080821606751</v>
      </c>
      <c r="BD74" s="603">
        <f>(BD15/SUM(BD15,BD24))*CF!BD26</f>
        <v>-59.832140577422223</v>
      </c>
      <c r="BE74" s="604">
        <f>(BE15/SUM(BE15,BE24))*CF!BE26</f>
        <v>-13.695987830425574</v>
      </c>
      <c r="BF74" s="603">
        <f>(BF15/SUM(BF15,BF24))*CF!BF26</f>
        <v>-26.365600358103723</v>
      </c>
      <c r="BG74" s="603">
        <f>(BG15/SUM(BG15,BG24))*CF!BG26</f>
        <v>17.850823566139375</v>
      </c>
      <c r="BH74" s="603">
        <f>(BH15/SUM(BH15,BH24))*CF!BH26</f>
        <v>59.051211974902323</v>
      </c>
      <c r="BI74" s="603">
        <f>(BI15/SUM(BI15,BI24))*CF!BI26</f>
        <v>-75.590646467485882</v>
      </c>
      <c r="BJ74" s="604">
        <f>(BJ15/SUM(BJ15,BJ24))*CF!BJ26</f>
        <v>-10.381628066628252</v>
      </c>
      <c r="BK74" s="603">
        <f>(BK15/SUM(BK15,BK24))*CF!BK26</f>
        <v>-70.371019847301795</v>
      </c>
      <c r="BL74" s="603">
        <f>(BL15/SUM(BL15,BL24))*CF!BL26</f>
        <v>27.591114813224141</v>
      </c>
      <c r="BM74" s="603">
        <f>(BM15/SUM(BM15,BM24))*CF!BM26</f>
        <v>67.777887194643242</v>
      </c>
      <c r="BN74" s="603">
        <f>(BN15/SUM(BN15,BN24))*CF!BN26</f>
        <v>-87.384588992256127</v>
      </c>
      <c r="BO74" s="604">
        <f>(BO15/SUM(BO15,BO24))*CF!BO26</f>
        <v>-35.942089696868507</v>
      </c>
    </row>
    <row r="75" spans="1:67" hidden="1" outlineLevel="1">
      <c r="A75" s="425"/>
      <c r="C75" s="440"/>
      <c r="D75" s="441"/>
      <c r="E75" s="441"/>
      <c r="F75" s="441"/>
      <c r="G75" s="442"/>
      <c r="H75" s="440"/>
      <c r="I75" s="441"/>
      <c r="J75" s="441"/>
      <c r="K75" s="441"/>
      <c r="L75" s="442"/>
      <c r="M75" s="440"/>
      <c r="N75" s="441"/>
      <c r="O75" s="441"/>
      <c r="P75" s="441"/>
      <c r="Q75" s="442"/>
      <c r="R75" s="440"/>
      <c r="S75" s="441"/>
      <c r="T75" s="441"/>
      <c r="U75" s="441"/>
      <c r="V75" s="442"/>
      <c r="W75" s="440"/>
      <c r="X75" s="441"/>
      <c r="Y75" s="441"/>
      <c r="Z75" s="441"/>
      <c r="AA75" s="442"/>
      <c r="AB75" s="440"/>
      <c r="AC75" s="441"/>
      <c r="AD75" s="441"/>
      <c r="AE75" s="441"/>
      <c r="AF75" s="442"/>
      <c r="AG75" s="440"/>
      <c r="AH75" s="441"/>
      <c r="AI75" s="441"/>
      <c r="AJ75" s="441"/>
      <c r="AK75" s="442"/>
      <c r="AL75" s="440"/>
      <c r="AM75" s="441"/>
      <c r="AN75" s="441"/>
      <c r="AO75" s="441"/>
      <c r="AP75" s="442"/>
      <c r="AQ75" s="440"/>
      <c r="AR75" s="441"/>
      <c r="AS75" s="441"/>
      <c r="AT75" s="441"/>
      <c r="AU75" s="606"/>
      <c r="AV75" s="605"/>
      <c r="AW75" s="441"/>
      <c r="AX75" s="441"/>
      <c r="AY75" s="441"/>
      <c r="AZ75" s="606"/>
      <c r="BA75" s="605"/>
      <c r="BB75" s="441"/>
      <c r="BC75" s="441"/>
      <c r="BD75" s="441"/>
      <c r="BE75" s="606"/>
      <c r="BF75" s="605"/>
      <c r="BG75" s="441"/>
      <c r="BH75" s="441"/>
      <c r="BI75" s="441"/>
      <c r="BJ75" s="606"/>
      <c r="BK75" s="605"/>
      <c r="BL75" s="441"/>
      <c r="BM75" s="441"/>
      <c r="BN75" s="441"/>
      <c r="BO75" s="606"/>
    </row>
    <row r="76" spans="1:67" hidden="1" outlineLevel="1">
      <c r="A76" s="319"/>
      <c r="B76" s="1062" t="s">
        <v>317</v>
      </c>
      <c r="C76" s="437"/>
      <c r="D76" s="438"/>
      <c r="E76" s="438"/>
      <c r="F76" s="438"/>
      <c r="G76" s="439"/>
      <c r="H76" s="437"/>
      <c r="I76" s="438"/>
      <c r="J76" s="438"/>
      <c r="K76" s="438">
        <f>K24/K55</f>
        <v>0.26997109984186701</v>
      </c>
      <c r="L76" s="439">
        <f t="shared" ref="L76:Q76" si="105">L24/L55</f>
        <v>0.10243518920820144</v>
      </c>
      <c r="M76" s="437">
        <f t="shared" si="105"/>
        <v>0.39748312550051484</v>
      </c>
      <c r="N76" s="438">
        <f t="shared" si="105"/>
        <v>0.31356170967367708</v>
      </c>
      <c r="O76" s="438">
        <f t="shared" si="105"/>
        <v>0.25992987454117134</v>
      </c>
      <c r="P76" s="438">
        <f t="shared" si="105"/>
        <v>0.22262007936869951</v>
      </c>
      <c r="Q76" s="439">
        <f t="shared" si="105"/>
        <v>7.3738045235469202E-2</v>
      </c>
      <c r="R76" s="437">
        <f t="shared" ref="R76:AK76" si="106">R24/R55</f>
        <v>0.20782061296696228</v>
      </c>
      <c r="S76" s="438">
        <f t="shared" si="106"/>
        <v>0.18095309624845096</v>
      </c>
      <c r="T76" s="438">
        <f t="shared" si="106"/>
        <v>0.24245727459529889</v>
      </c>
      <c r="U76" s="438">
        <f t="shared" si="106"/>
        <v>0.46896805187304752</v>
      </c>
      <c r="V76" s="439">
        <f t="shared" si="106"/>
        <v>0.1508692692665641</v>
      </c>
      <c r="W76" s="437">
        <f t="shared" si="106"/>
        <v>0.62376263574967017</v>
      </c>
      <c r="X76" s="438">
        <f t="shared" si="106"/>
        <v>0.65016642297151339</v>
      </c>
      <c r="Y76" s="438">
        <f t="shared" si="106"/>
        <v>0.68399209427073826</v>
      </c>
      <c r="Z76" s="438">
        <f t="shared" si="106"/>
        <v>0.85807271988201383</v>
      </c>
      <c r="AA76" s="439">
        <f t="shared" si="106"/>
        <v>0.27007193312376415</v>
      </c>
      <c r="AB76" s="437">
        <f t="shared" si="106"/>
        <v>0.83392562462858477</v>
      </c>
      <c r="AC76" s="438">
        <f t="shared" si="106"/>
        <v>0.63815641289658276</v>
      </c>
      <c r="AD76" s="438">
        <f t="shared" si="106"/>
        <v>0.52754080584818008</v>
      </c>
      <c r="AE76" s="438">
        <f t="shared" si="106"/>
        <v>0.48191038552695026</v>
      </c>
      <c r="AF76" s="439">
        <f t="shared" si="106"/>
        <v>0.13741425859737741</v>
      </c>
      <c r="AG76" s="437">
        <f t="shared" si="106"/>
        <v>0.43339389575672826</v>
      </c>
      <c r="AH76" s="438">
        <f t="shared" si="106"/>
        <v>0.41735680649478207</v>
      </c>
      <c r="AI76" s="438">
        <f t="shared" si="106"/>
        <v>0.36655801834172602</v>
      </c>
      <c r="AJ76" s="438">
        <f t="shared" si="106"/>
        <v>0.3534404975351717</v>
      </c>
      <c r="AK76" s="439">
        <f t="shared" si="106"/>
        <v>9.7563183037596091E-2</v>
      </c>
      <c r="AL76" s="437">
        <f t="shared" ref="AL76:AQ76" si="107">AL24/AL55</f>
        <v>0.3072357124153352</v>
      </c>
      <c r="AM76" s="438">
        <f t="shared" si="107"/>
        <v>0.41790330136287829</v>
      </c>
      <c r="AN76" s="438">
        <f t="shared" si="107"/>
        <v>0.35010412973652311</v>
      </c>
      <c r="AO76" s="438">
        <f t="shared" si="107"/>
        <v>0.33817809621289663</v>
      </c>
      <c r="AP76" s="439">
        <f t="shared" si="107"/>
        <v>9.2020838319918724E-2</v>
      </c>
      <c r="AQ76" s="437">
        <f t="shared" si="107"/>
        <v>0.35479438120517348</v>
      </c>
      <c r="AR76" s="438">
        <f t="shared" ref="AR76:AS76" si="108">AR24/AR55</f>
        <v>0.34463291145873814</v>
      </c>
      <c r="AS76" s="438">
        <f t="shared" si="108"/>
        <v>0.33282463894653269</v>
      </c>
      <c r="AT76" s="1064">
        <f>AO76-2.75%</f>
        <v>0.3106780962128966</v>
      </c>
      <c r="AU76" s="607">
        <f>AP76</f>
        <v>9.2020838319918724E-2</v>
      </c>
      <c r="AV76" s="1064">
        <f>AQ76-6%</f>
        <v>0.29479438120517348</v>
      </c>
      <c r="AW76" s="1064">
        <f>AR76-7%</f>
        <v>0.27463291145873814</v>
      </c>
      <c r="AX76" s="1064">
        <f>AS76-10%</f>
        <v>0.23282463894653269</v>
      </c>
      <c r="AY76" s="1064">
        <f t="shared" ref="AY76" si="109">AT76-4%</f>
        <v>0.27067809621289662</v>
      </c>
      <c r="AZ76" s="607">
        <f t="shared" ref="AZ76:BJ76" si="110">AU76</f>
        <v>9.2020838319918724E-2</v>
      </c>
      <c r="BA76" s="1064">
        <f t="shared" ref="BA76:BD76" si="111">AV76-4%</f>
        <v>0.2547943812051735</v>
      </c>
      <c r="BB76" s="1064">
        <f t="shared" si="111"/>
        <v>0.23463291145873813</v>
      </c>
      <c r="BC76" s="1064">
        <f t="shared" si="111"/>
        <v>0.19282463894653268</v>
      </c>
      <c r="BD76" s="1064">
        <f t="shared" si="111"/>
        <v>0.23067809621289662</v>
      </c>
      <c r="BE76" s="607">
        <f t="shared" si="110"/>
        <v>9.2020838319918724E-2</v>
      </c>
      <c r="BF76" s="1064">
        <f t="shared" ref="BF76" si="112">BA76-4%</f>
        <v>0.2147943812051735</v>
      </c>
      <c r="BG76" s="1064">
        <f t="shared" ref="BG76" si="113">BB76-4%</f>
        <v>0.19463291145873812</v>
      </c>
      <c r="BH76" s="1064">
        <f t="shared" ref="BH76" si="114">BC76-4%</f>
        <v>0.15282463894653267</v>
      </c>
      <c r="BI76" s="1064">
        <f t="shared" ref="BI76" si="115">BD76-4%</f>
        <v>0.19067809621289661</v>
      </c>
      <c r="BJ76" s="607">
        <f t="shared" si="110"/>
        <v>9.2020838319918724E-2</v>
      </c>
      <c r="BK76" s="1064">
        <f t="shared" ref="BK76" si="116">BF76-1%</f>
        <v>0.20479438120517349</v>
      </c>
      <c r="BL76" s="1064">
        <f t="shared" ref="BL76" si="117">BG76-1%</f>
        <v>0.18463291145873811</v>
      </c>
      <c r="BM76" s="1064">
        <f t="shared" ref="BM76" si="118">BH76-1%</f>
        <v>0.14282463894653266</v>
      </c>
      <c r="BN76" s="1064">
        <f t="shared" ref="BN76" si="119">BI76-1%</f>
        <v>0.1806780962128966</v>
      </c>
      <c r="BO76" s="607">
        <f>BJ76</f>
        <v>9.2020838319918724E-2</v>
      </c>
    </row>
    <row r="77" spans="1:67" hidden="1" outlineLevel="1">
      <c r="A77" s="319"/>
      <c r="B77" s="983" t="s">
        <v>259</v>
      </c>
      <c r="C77" s="426"/>
      <c r="D77" s="427"/>
      <c r="E77" s="427"/>
      <c r="F77" s="427"/>
      <c r="G77" s="428"/>
      <c r="H77" s="426"/>
      <c r="I77" s="427"/>
      <c r="J77" s="427"/>
      <c r="K77" s="427">
        <f>(K24/SUM(K15,K24))*CF!K26</f>
        <v>-2.885767273490373</v>
      </c>
      <c r="L77" s="428">
        <f>(L24/SUM(L15,L24))*CF!L26</f>
        <v>-4.7226841194061171</v>
      </c>
      <c r="M77" s="426">
        <f>(M24/SUM(M15,M24))*CF!M26</f>
        <v>-1.6908834263023544</v>
      </c>
      <c r="N77" s="427">
        <f>(N24/SUM(N15,N24))*CF!N26</f>
        <v>-2.5036268919972109</v>
      </c>
      <c r="O77" s="427">
        <f>(O24/SUM(O15,O24))*CF!O26</f>
        <v>-2.4246158634753678</v>
      </c>
      <c r="P77" s="427">
        <f>(P24/SUM(P15,P24))*CF!P26</f>
        <v>-1.2688423817281158</v>
      </c>
      <c r="Q77" s="428">
        <f>(Q24/SUM(Q15,Q24))*CF!Q26</f>
        <v>-7.0166010173210536</v>
      </c>
      <c r="R77" s="426">
        <f>(R24/SUM(R15,R24))*CF!R26</f>
        <v>-4.86461740447736</v>
      </c>
      <c r="S77" s="427">
        <f>(S24/SUM(S15,S24))*CF!S26</f>
        <v>5.2811788346788342</v>
      </c>
      <c r="T77" s="427">
        <f>(T24/SUM(T15,T24))*CF!T26</f>
        <v>-14.583754450120999</v>
      </c>
      <c r="U77" s="427">
        <f>(U24/SUM(U15,U24))*CF!U26</f>
        <v>-18.8778746286699</v>
      </c>
      <c r="V77" s="428">
        <f>(V24/SUM(V15,V24))*CF!V26</f>
        <v>-35.809322012319804</v>
      </c>
      <c r="W77" s="426">
        <f>(W24/SUM(W15,W24))*CF!W26</f>
        <v>-33.467265089645295</v>
      </c>
      <c r="X77" s="427">
        <f>(X24/SUM(X15,X24))*CF!X26</f>
        <v>-10.202766914041742</v>
      </c>
      <c r="Y77" s="427">
        <f>(Y24/SUM(Y15,Y24))*CF!Y26</f>
        <v>-27.991181745515593</v>
      </c>
      <c r="Z77" s="427">
        <f>(Z24/SUM(Z15,Z24))*CF!Z26</f>
        <v>-31.883940751291174</v>
      </c>
      <c r="AA77" s="428">
        <f>(AA24/SUM(AA15,AA24))*CF!AA26</f>
        <v>-109.4587288029756</v>
      </c>
      <c r="AB77" s="426">
        <f>(AB24/SUM(AB15,AB24))*CF!AB26</f>
        <v>-37.022605827427903</v>
      </c>
      <c r="AC77" s="427">
        <f>(AC24/SUM(AC15,AC24))*CF!AC26</f>
        <v>18.447148803877969</v>
      </c>
      <c r="AD77" s="427">
        <f>(AD24/SUM(AD15,AD24))*CF!AD26</f>
        <v>26.757038094944456</v>
      </c>
      <c r="AE77" s="427">
        <f>(AE24/SUM(AE15,AE24))*CF!AE26</f>
        <v>-9.5656306895257579</v>
      </c>
      <c r="AF77" s="428">
        <f>(AF24/SUM(AF15,AF24))*CF!AF26</f>
        <v>-1.7282767076701797</v>
      </c>
      <c r="AG77" s="426">
        <f>(AG24/SUM(AG15,AG24))*CF!AG26</f>
        <v>3.1641529131406423</v>
      </c>
      <c r="AH77" s="427">
        <f>(AH24/SUM(AH15,AH24))*CF!AH26</f>
        <v>25.546787684503162</v>
      </c>
      <c r="AI77" s="427">
        <f>(AI24/SUM(AI15,AI24))*CF!AI26</f>
        <v>2.8027693184841693</v>
      </c>
      <c r="AJ77" s="427">
        <f>(AJ24/SUM(AJ15,AJ24))*CF!AJ26</f>
        <v>4.9600113038419842</v>
      </c>
      <c r="AK77" s="428">
        <f>(AK24/SUM(AK15,AK24))*CF!AK26</f>
        <v>36.076374639731355</v>
      </c>
      <c r="AL77" s="426">
        <f>(AL24/SUM(AL15,AL24))*CF!AL26</f>
        <v>-0.64938154040404039</v>
      </c>
      <c r="AM77" s="427">
        <f>(AM24/SUM(AM15,AM24))*CF!AM26</f>
        <v>24.427773785605922</v>
      </c>
      <c r="AN77" s="427">
        <f>(AN24/SUM(AN15,AN24))*CF!AN26</f>
        <v>6.382505813323589</v>
      </c>
      <c r="AO77" s="427">
        <f>(AO24/SUM(AO15,AO24))*CF!AO26</f>
        <v>-7.7195435517435014</v>
      </c>
      <c r="AP77" s="428">
        <f>(AP24/SUM(AP15,AP24))*CF!AP26</f>
        <v>18.279261860982352</v>
      </c>
      <c r="AQ77" s="426">
        <f>(AQ24/SUM(AQ15,AQ24))*CF!AQ26</f>
        <v>-10.814665945719211</v>
      </c>
      <c r="AR77" s="427">
        <f>(AR24/SUM(AR15,AR24))*CF!AR26</f>
        <v>-2.8211429035887661</v>
      </c>
      <c r="AS77" s="427">
        <f>(AS24/SUM(AS15,AS24))*CF!AS26</f>
        <v>14.08837523965458</v>
      </c>
      <c r="AT77" s="603">
        <f>(AT24/SUM(AT15,AT24))*CF!AT26</f>
        <v>-27.651498113008291</v>
      </c>
      <c r="AU77" s="428">
        <f>(AU24/SUM(AU15,AU24))*CF!AU26</f>
        <v>-29.246933907664381</v>
      </c>
      <c r="AV77" s="603">
        <f>(AV24/SUM(AV15,AV24))*CF!AV26</f>
        <v>-23.326853027782185</v>
      </c>
      <c r="AW77" s="603">
        <f>(AW24/SUM(AW15,AW24))*CF!AW26</f>
        <v>10.336054926996804</v>
      </c>
      <c r="AX77" s="603">
        <f>(AX24/SUM(AX15,AX24))*CF!AX26</f>
        <v>86.524253131365029</v>
      </c>
      <c r="AY77" s="603">
        <f>(AY24/SUM(AY15,AY24))*CF!AY26</f>
        <v>-91.600742839733329</v>
      </c>
      <c r="AZ77" s="604">
        <f>(AZ24/SUM(AZ15,AZ24))*CF!AZ26</f>
        <v>-24.946615378021228</v>
      </c>
      <c r="BA77" s="603">
        <f>(BA24/SUM(BA15,BA24))*CF!BA26</f>
        <v>-34.817232530823944</v>
      </c>
      <c r="BB77" s="603">
        <f>(BB24/SUM(BB15,BB24))*CF!BB26</f>
        <v>16.080172210907818</v>
      </c>
      <c r="BC77" s="603">
        <f>(BC24/SUM(BC15,BC24))*CF!BC26</f>
        <v>111.92290444453337</v>
      </c>
      <c r="BD77" s="603">
        <f>(BD24/SUM(BD15,BD24))*CF!BD26</f>
        <v>-106.9371808434372</v>
      </c>
      <c r="BE77" s="604">
        <f>(BE24/SUM(BE15,BE24))*CF!BE26</f>
        <v>-24.478655005774744</v>
      </c>
      <c r="BF77" s="603">
        <f>(BF24/SUM(BF15,BF24))*CF!BF26</f>
        <v>-35.202974834762458</v>
      </c>
      <c r="BG77" s="603">
        <f>(BG24/SUM(BG15,BG24))*CF!BG26</f>
        <v>26.048531292412214</v>
      </c>
      <c r="BH77" s="603">
        <f>(BH24/SUM(BH15,BH24))*CF!BH26</f>
        <v>137.83066418443175</v>
      </c>
      <c r="BI77" s="603">
        <f>(BI24/SUM(BI15,BI24))*CF!BI26</f>
        <v>-132.15363248626855</v>
      </c>
      <c r="BJ77" s="604">
        <f>(BJ24/SUM(BJ15,BJ24))*CF!BJ26</f>
        <v>-18.149995062106683</v>
      </c>
      <c r="BK77" s="603">
        <f>(BK24/SUM(BK15,BK24))*CF!BK26</f>
        <v>-95.52178500055804</v>
      </c>
      <c r="BL77" s="603">
        <f>(BL24/SUM(BL15,BL24))*CF!BL26</f>
        <v>41.288867513058825</v>
      </c>
      <c r="BM77" s="603">
        <f>(BM24/SUM(BM15,BM24))*CF!BM26</f>
        <v>174.49896751576875</v>
      </c>
      <c r="BN77" s="603">
        <f>(BN24/SUM(BN15,BN24))*CF!BN26</f>
        <v>-159.37320703336118</v>
      </c>
      <c r="BO77" s="604">
        <f>(BO24/SUM(BO15,BO24))*CF!BO26</f>
        <v>-65.551674139913686</v>
      </c>
    </row>
    <row r="78" spans="1:67" hidden="1" outlineLevel="1">
      <c r="A78" s="425"/>
      <c r="C78" s="440"/>
      <c r="D78" s="441"/>
      <c r="E78" s="441"/>
      <c r="F78" s="441"/>
      <c r="G78" s="442"/>
      <c r="H78" s="440"/>
      <c r="I78" s="441"/>
      <c r="J78" s="441"/>
      <c r="K78" s="441"/>
      <c r="L78" s="442"/>
      <c r="M78" s="440"/>
      <c r="N78" s="441"/>
      <c r="O78" s="441"/>
      <c r="P78" s="441"/>
      <c r="Q78" s="442"/>
      <c r="R78" s="440"/>
      <c r="S78" s="441"/>
      <c r="T78" s="441"/>
      <c r="U78" s="441"/>
      <c r="V78" s="442"/>
      <c r="W78" s="440"/>
      <c r="X78" s="441"/>
      <c r="Y78" s="441"/>
      <c r="Z78" s="441"/>
      <c r="AA78" s="442"/>
      <c r="AB78" s="440"/>
      <c r="AC78" s="441"/>
      <c r="AD78" s="441"/>
      <c r="AE78" s="441"/>
      <c r="AF78" s="442"/>
      <c r="AG78" s="440"/>
      <c r="AH78" s="441"/>
      <c r="AI78" s="441"/>
      <c r="AJ78" s="441"/>
      <c r="AK78" s="442"/>
      <c r="AL78" s="440"/>
      <c r="AM78" s="441"/>
      <c r="AN78" s="441"/>
      <c r="AO78" s="441"/>
      <c r="AP78" s="442"/>
      <c r="AQ78" s="440"/>
      <c r="AR78" s="441"/>
      <c r="AS78" s="441"/>
      <c r="AT78" s="441"/>
      <c r="AU78" s="442"/>
      <c r="AV78" s="440"/>
      <c r="AW78" s="441"/>
      <c r="AX78" s="441"/>
      <c r="AY78" s="441"/>
      <c r="AZ78" s="442"/>
      <c r="BA78" s="440"/>
      <c r="BB78" s="441"/>
      <c r="BC78" s="441"/>
      <c r="BD78" s="441"/>
      <c r="BE78" s="442"/>
      <c r="BF78" s="440"/>
      <c r="BG78" s="441"/>
      <c r="BH78" s="441"/>
      <c r="BI78" s="441"/>
      <c r="BJ78" s="442"/>
      <c r="BK78" s="440"/>
      <c r="BL78" s="441"/>
      <c r="BM78" s="441"/>
      <c r="BN78" s="441"/>
      <c r="BO78" s="442"/>
    </row>
    <row r="79" spans="1:67" hidden="1" outlineLevel="1">
      <c r="A79" s="415"/>
      <c r="B79" s="1059" t="s">
        <v>260</v>
      </c>
      <c r="C79" s="416"/>
      <c r="D79" s="416"/>
      <c r="E79" s="416"/>
      <c r="F79" s="416"/>
      <c r="G79" s="417"/>
      <c r="H79" s="416"/>
      <c r="I79" s="416"/>
      <c r="J79" s="416"/>
      <c r="K79" s="416">
        <f t="shared" ref="K79:AN79" si="120">(K28*K80)/K81</f>
        <v>38.594665989331972</v>
      </c>
      <c r="L79" s="417">
        <f t="shared" si="120"/>
        <v>59.810893937890661</v>
      </c>
      <c r="M79" s="416">
        <f t="shared" si="120"/>
        <v>70.358668927511658</v>
      </c>
      <c r="N79" s="416">
        <f t="shared" si="120"/>
        <v>42.475893795051981</v>
      </c>
      <c r="O79" s="416">
        <f t="shared" si="120"/>
        <v>61.890851056447978</v>
      </c>
      <c r="P79" s="416">
        <f t="shared" si="120"/>
        <v>23.124640942876603</v>
      </c>
      <c r="Q79" s="417">
        <f t="shared" si="120"/>
        <v>27.226884848271798</v>
      </c>
      <c r="R79" s="416">
        <f t="shared" si="120"/>
        <v>12.046087373979836</v>
      </c>
      <c r="S79" s="416">
        <f t="shared" si="120"/>
        <v>14.320229254116887</v>
      </c>
      <c r="T79" s="416">
        <f t="shared" si="120"/>
        <v>8.8542958201802762</v>
      </c>
      <c r="U79" s="416">
        <f t="shared" si="120"/>
        <v>8.1859922792090121</v>
      </c>
      <c r="V79" s="417">
        <f t="shared" si="120"/>
        <v>9.9718811365270223</v>
      </c>
      <c r="W79" s="416">
        <f t="shared" si="120"/>
        <v>5.3691118625353678</v>
      </c>
      <c r="X79" s="416">
        <f t="shared" si="120"/>
        <v>10.572211711056129</v>
      </c>
      <c r="Y79" s="416">
        <f t="shared" si="120"/>
        <v>9.9234666775630274</v>
      </c>
      <c r="Z79" s="416">
        <f t="shared" si="120"/>
        <v>11.1209518584803</v>
      </c>
      <c r="AA79" s="417">
        <f t="shared" si="120"/>
        <v>13.478222048836241</v>
      </c>
      <c r="AB79" s="416">
        <f t="shared" si="120"/>
        <v>13.401631379977628</v>
      </c>
      <c r="AC79" s="416">
        <f t="shared" si="120"/>
        <v>12.873603178544824</v>
      </c>
      <c r="AD79" s="416">
        <f t="shared" si="120"/>
        <v>14.245513963161024</v>
      </c>
      <c r="AE79" s="416">
        <f t="shared" si="120"/>
        <v>12.680936299056713</v>
      </c>
      <c r="AF79" s="417">
        <f t="shared" si="120"/>
        <v>14.422822040829956</v>
      </c>
      <c r="AG79" s="416">
        <f t="shared" si="120"/>
        <v>11.656179457407749</v>
      </c>
      <c r="AH79" s="416">
        <f t="shared" si="120"/>
        <v>21.85903550609433</v>
      </c>
      <c r="AI79" s="416">
        <f t="shared" si="120"/>
        <v>37.677626651324857</v>
      </c>
      <c r="AJ79" s="416">
        <f t="shared" si="120"/>
        <v>24.268165428182353</v>
      </c>
      <c r="AK79" s="417">
        <f t="shared" si="120"/>
        <v>26.089588026368524</v>
      </c>
      <c r="AL79" s="416">
        <f t="shared" si="120"/>
        <v>26.328298260873524</v>
      </c>
      <c r="AM79" s="416">
        <f t="shared" si="120"/>
        <v>53.210284893793556</v>
      </c>
      <c r="AN79" s="416">
        <f t="shared" si="120"/>
        <v>53.744650303427328</v>
      </c>
      <c r="AO79" s="416">
        <f>(AO28*AO80)/AO81</f>
        <v>57.727230390526252</v>
      </c>
      <c r="AP79" s="417">
        <f>(AP28*AP80)/AP81</f>
        <v>63.552905076788534</v>
      </c>
      <c r="AQ79" s="416">
        <f t="shared" ref="AQ79:AS79" si="121">(AQ28*AQ80)/AQ81</f>
        <v>47.657896188998102</v>
      </c>
      <c r="AR79" s="416">
        <f t="shared" si="121"/>
        <v>49.548607926841086</v>
      </c>
      <c r="AS79" s="416">
        <f t="shared" si="121"/>
        <v>53.57964525935035</v>
      </c>
      <c r="AT79" s="1065">
        <f t="shared" ref="AT79" si="122">AO79+1</f>
        <v>58.727230390526252</v>
      </c>
      <c r="AU79" s="417">
        <f>(AU28*AU80)/AU81</f>
        <v>64.989916786587088</v>
      </c>
      <c r="AV79" s="1065">
        <f>AQ79+3</f>
        <v>50.657896188998102</v>
      </c>
      <c r="AW79" s="1065">
        <f>AR79+2</f>
        <v>51.548607926841086</v>
      </c>
      <c r="AX79" s="1065">
        <f>AS79+2</f>
        <v>55.57964525935035</v>
      </c>
      <c r="AY79" s="1065">
        <f>AT79+1</f>
        <v>59.727230390526252</v>
      </c>
      <c r="AZ79" s="417">
        <f>(AZ28*AZ80)/AZ81</f>
        <v>66.220413030132036</v>
      </c>
      <c r="BA79" s="1065">
        <f>AV79+3</f>
        <v>53.657896188998102</v>
      </c>
      <c r="BB79" s="1065">
        <f t="shared" ref="BB79:BD79" si="123">AW79+3</f>
        <v>54.548607926841086</v>
      </c>
      <c r="BC79" s="1065">
        <f t="shared" si="123"/>
        <v>58.57964525935035</v>
      </c>
      <c r="BD79" s="1065">
        <f t="shared" si="123"/>
        <v>62.727230390526252</v>
      </c>
      <c r="BE79" s="417">
        <f>(BE28*BE80)/BE81</f>
        <v>69.330398752280303</v>
      </c>
      <c r="BF79" s="1065">
        <f>BA79+3</f>
        <v>56.657896188998102</v>
      </c>
      <c r="BG79" s="1065">
        <f t="shared" ref="BG79" si="124">BB79+3</f>
        <v>57.548607926841086</v>
      </c>
      <c r="BH79" s="1065">
        <f t="shared" ref="BH79" si="125">BC79+3</f>
        <v>61.57964525935035</v>
      </c>
      <c r="BI79" s="1065">
        <f t="shared" ref="BI79" si="126">BD79+3</f>
        <v>65.727230390526245</v>
      </c>
      <c r="BJ79" s="417">
        <f>(BJ28*BJ80)/BJ81</f>
        <v>73.690726532832372</v>
      </c>
      <c r="BK79" s="1065">
        <f>BF79+3</f>
        <v>59.657896188998102</v>
      </c>
      <c r="BL79" s="1065">
        <f t="shared" ref="BL79" si="127">BG79+3</f>
        <v>60.548607926841086</v>
      </c>
      <c r="BM79" s="1065">
        <f t="shared" ref="BM79" si="128">BH79+3</f>
        <v>64.579645259350343</v>
      </c>
      <c r="BN79" s="1065">
        <f t="shared" ref="BN79" si="129">BI79+3</f>
        <v>68.727230390526245</v>
      </c>
      <c r="BO79" s="417">
        <f>(BO28*BO80)/BO81</f>
        <v>76.456679331219405</v>
      </c>
    </row>
    <row r="80" spans="1:67" hidden="1" outlineLevel="1">
      <c r="A80" s="418"/>
      <c r="B80" s="983" t="s">
        <v>256</v>
      </c>
      <c r="C80" s="419"/>
      <c r="D80" s="419"/>
      <c r="E80" s="419"/>
      <c r="F80" s="419"/>
      <c r="G80" s="420"/>
      <c r="H80" s="421"/>
      <c r="I80" s="419"/>
      <c r="J80" s="419"/>
      <c r="K80" s="419">
        <f>K$8-J$8</f>
        <v>92</v>
      </c>
      <c r="L80" s="422">
        <f>L$8-G$8</f>
        <v>365</v>
      </c>
      <c r="M80" s="419">
        <f>M$8-L$8</f>
        <v>89</v>
      </c>
      <c r="N80" s="419">
        <f>N$8-M$8</f>
        <v>92</v>
      </c>
      <c r="O80" s="419">
        <f>O$8-N$8</f>
        <v>92</v>
      </c>
      <c r="P80" s="419">
        <f>P$8-O$8</f>
        <v>92</v>
      </c>
      <c r="Q80" s="422">
        <f>Q$8-L$8</f>
        <v>365</v>
      </c>
      <c r="R80" s="419">
        <f>R$8-Q$8</f>
        <v>90</v>
      </c>
      <c r="S80" s="419">
        <f>S$8-R$8</f>
        <v>92</v>
      </c>
      <c r="T80" s="419">
        <f>T$8-S$8</f>
        <v>92</v>
      </c>
      <c r="U80" s="419">
        <f>U$8-T$8</f>
        <v>92</v>
      </c>
      <c r="V80" s="422">
        <f>V$8-Q$8</f>
        <v>366</v>
      </c>
      <c r="W80" s="419">
        <f>W$8-V$8</f>
        <v>89</v>
      </c>
      <c r="X80" s="419">
        <f>X$8-W$8</f>
        <v>92</v>
      </c>
      <c r="Y80" s="419">
        <f>Y$8-X$8</f>
        <v>92</v>
      </c>
      <c r="Z80" s="419">
        <f>Z$8-Y$8</f>
        <v>92</v>
      </c>
      <c r="AA80" s="422">
        <f>AA$8-V$8</f>
        <v>365</v>
      </c>
      <c r="AB80" s="419">
        <f>AB$8-AA$8</f>
        <v>89</v>
      </c>
      <c r="AC80" s="419">
        <f>AC$8-AB$8</f>
        <v>92</v>
      </c>
      <c r="AD80" s="419">
        <f>AD$8-AC$8</f>
        <v>92</v>
      </c>
      <c r="AE80" s="419">
        <f>AE$8-AD$8</f>
        <v>92</v>
      </c>
      <c r="AF80" s="422">
        <f>AF$8-AA$8</f>
        <v>365</v>
      </c>
      <c r="AG80" s="419">
        <f>AG$8-AF$8</f>
        <v>89</v>
      </c>
      <c r="AH80" s="419">
        <f>AH$8-AG$8</f>
        <v>92</v>
      </c>
      <c r="AI80" s="419">
        <f>AI$8-AH$8</f>
        <v>92</v>
      </c>
      <c r="AJ80" s="419">
        <f>AJ$8-AI$8</f>
        <v>92</v>
      </c>
      <c r="AK80" s="422">
        <f>AK$8-AF$8</f>
        <v>365</v>
      </c>
      <c r="AL80" s="419">
        <f>AL$8-AK$8</f>
        <v>90</v>
      </c>
      <c r="AM80" s="419">
        <f>AM$8-AL$8</f>
        <v>92</v>
      </c>
      <c r="AN80" s="419">
        <f>AN$8-AM$8</f>
        <v>92</v>
      </c>
      <c r="AO80" s="419">
        <f>AO$8-AN$8</f>
        <v>92</v>
      </c>
      <c r="AP80" s="422">
        <f>AP$8-AK$8</f>
        <v>366</v>
      </c>
      <c r="AQ80" s="419">
        <f>AQ$8-AP$8</f>
        <v>89</v>
      </c>
      <c r="AR80" s="419">
        <f>AR$8-AQ$8</f>
        <v>92</v>
      </c>
      <c r="AS80" s="419">
        <f>AS$8-AR$8</f>
        <v>92</v>
      </c>
      <c r="AT80" s="419">
        <f>AT$8-AS$8</f>
        <v>92</v>
      </c>
      <c r="AU80" s="422">
        <f>AU$8-AP$8</f>
        <v>365</v>
      </c>
      <c r="AV80" s="419">
        <f>AV$8-AU$8</f>
        <v>89</v>
      </c>
      <c r="AW80" s="419">
        <f>AW$8-AV$8</f>
        <v>92</v>
      </c>
      <c r="AX80" s="419">
        <f>AX$8-AW$8</f>
        <v>92</v>
      </c>
      <c r="AY80" s="419">
        <f>AY$8-AX$8</f>
        <v>92</v>
      </c>
      <c r="AZ80" s="422">
        <f>AZ$8-AU$8</f>
        <v>365</v>
      </c>
      <c r="BA80" s="419">
        <f>BA$8-AZ$8</f>
        <v>89</v>
      </c>
      <c r="BB80" s="419">
        <f>BB$8-BA$8</f>
        <v>92</v>
      </c>
      <c r="BC80" s="419">
        <f>BC$8-BB$8</f>
        <v>92</v>
      </c>
      <c r="BD80" s="419">
        <f>BD$8-BC$8</f>
        <v>92</v>
      </c>
      <c r="BE80" s="422">
        <f>BE$8-AZ$8</f>
        <v>365</v>
      </c>
      <c r="BF80" s="419">
        <f>BF$8-BE$8</f>
        <v>90</v>
      </c>
      <c r="BG80" s="419">
        <f>BG$8-BF$8</f>
        <v>92</v>
      </c>
      <c r="BH80" s="419">
        <f>BH$8-BG$8</f>
        <v>92</v>
      </c>
      <c r="BI80" s="419">
        <f>BI$8-BH$8</f>
        <v>92</v>
      </c>
      <c r="BJ80" s="422">
        <f>BJ$8-BE$8</f>
        <v>366</v>
      </c>
      <c r="BK80" s="419">
        <f>BK$8-BJ$8</f>
        <v>89</v>
      </c>
      <c r="BL80" s="419">
        <f>BL$8-BK$8</f>
        <v>92</v>
      </c>
      <c r="BM80" s="419">
        <f>BM$8-BL$8</f>
        <v>92</v>
      </c>
      <c r="BN80" s="419">
        <f>BN$8-BM$8</f>
        <v>92</v>
      </c>
      <c r="BO80" s="422">
        <f>BO$8-BJ$8</f>
        <v>365</v>
      </c>
    </row>
    <row r="81" spans="1:67" s="255" customFormat="1" hidden="1" outlineLevel="1">
      <c r="A81" s="431"/>
      <c r="B81" s="983" t="s">
        <v>319</v>
      </c>
      <c r="C81" s="432"/>
      <c r="D81" s="432"/>
      <c r="E81" s="432"/>
      <c r="F81" s="433"/>
      <c r="G81" s="443"/>
      <c r="H81" s="372"/>
      <c r="I81" s="433"/>
      <c r="J81" s="433"/>
      <c r="K81" s="433">
        <f>'IS (Non-GAAP)'!K24</f>
        <v>19.684999999999999</v>
      </c>
      <c r="L81" s="443">
        <f>'IS (Non-GAAP)'!L24</f>
        <v>50.394999999999996</v>
      </c>
      <c r="M81" s="433">
        <f>'IS (Non-GAAP)'!M24</f>
        <v>23.59</v>
      </c>
      <c r="N81" s="433">
        <f>'IS (Non-GAAP)'!N24</f>
        <v>27.606999999999999</v>
      </c>
      <c r="O81" s="433">
        <f>'IS (Non-GAAP)'!O24</f>
        <v>28.823</v>
      </c>
      <c r="P81" s="433">
        <f>'IS (Non-GAAP)'!P24</f>
        <v>33.768999999999998</v>
      </c>
      <c r="Q81" s="443">
        <f>'IS (Non-GAAP)'!Q24</f>
        <v>113.78900000000002</v>
      </c>
      <c r="R81" s="433">
        <f>'IS (Non-GAAP)'!R24</f>
        <v>41.660000000000004</v>
      </c>
      <c r="S81" s="433">
        <f>'IS (Non-GAAP)'!S24</f>
        <v>49.552</v>
      </c>
      <c r="T81" s="433">
        <f>'IS (Non-GAAP)'!T24</f>
        <v>52.585999999999999</v>
      </c>
      <c r="U81" s="433">
        <f>'IS (Non-GAAP)'!U24</f>
        <v>63.465000000000003</v>
      </c>
      <c r="V81" s="443">
        <f>'IS (Non-GAAP)'!V24</f>
        <v>207.26300000000001</v>
      </c>
      <c r="W81" s="433">
        <f>'IS (Non-GAAP)'!W24</f>
        <v>72.454999999999998</v>
      </c>
      <c r="X81" s="433">
        <f>'IS (Non-GAAP)'!X24</f>
        <v>82.451999999999998</v>
      </c>
      <c r="Y81" s="433">
        <f>'IS (Non-GAAP)'!Y24</f>
        <v>97.891999999999996</v>
      </c>
      <c r="Z81" s="433">
        <f>'IS (Non-GAAP)'!Z24</f>
        <v>111.19300000000001</v>
      </c>
      <c r="AA81" s="443">
        <f>'IS (Non-GAAP)'!AA24</f>
        <v>363.99199999999996</v>
      </c>
      <c r="AB81" s="433">
        <f>'IS (Non-GAAP)'!AB24</f>
        <v>122.473</v>
      </c>
      <c r="AC81" s="433">
        <f>'IS (Non-GAAP)'!AC24</f>
        <v>144.97199999999998</v>
      </c>
      <c r="AD81" s="433">
        <f>'IS (Non-GAAP)'!AD24</f>
        <v>159.88499999999999</v>
      </c>
      <c r="AE81" s="433">
        <f>'IS (Non-GAAP)'!AE24</f>
        <v>171.74</v>
      </c>
      <c r="AF81" s="443">
        <f>'IS (Non-GAAP)'!AF24</f>
        <v>599.06999999999994</v>
      </c>
      <c r="AG81" s="433">
        <f>'IS (Non-GAAP)'!AG24</f>
        <v>169.66699999999997</v>
      </c>
      <c r="AH81" s="433">
        <f>'IS (Non-GAAP)'!AH24</f>
        <v>173.60399999999998</v>
      </c>
      <c r="AI81" s="433">
        <f>'IS (Non-GAAP)'!AI24</f>
        <v>184.24600000000001</v>
      </c>
      <c r="AJ81" s="433">
        <f>'IS (Non-GAAP)'!AJ24</f>
        <v>196.07300000000004</v>
      </c>
      <c r="AK81" s="443">
        <f>'IS (Non-GAAP)'!AK24</f>
        <v>723.58999999999992</v>
      </c>
      <c r="AL81" s="433">
        <f>'IS (Non-GAAP)'!AL24</f>
        <v>219.59300000000002</v>
      </c>
      <c r="AM81" s="433">
        <f>'IS (Non-GAAP)'!AM24</f>
        <v>232.613</v>
      </c>
      <c r="AN81" s="433">
        <f>'IS (Non-GAAP)'!AN24</f>
        <v>254.92100000000002</v>
      </c>
      <c r="AO81" s="433">
        <f>'IS (Non-GAAP)'!AO24</f>
        <v>270.55799999999999</v>
      </c>
      <c r="AP81" s="443">
        <f>'IS (Non-GAAP)'!AP24</f>
        <v>977.68500000000006</v>
      </c>
      <c r="AQ81" s="433">
        <f>'IS (Non-GAAP)'!AQ24</f>
        <v>289.95000000000005</v>
      </c>
      <c r="AR81" s="433">
        <f>'IS (Non-GAAP)'!AR24</f>
        <v>309.68199999999996</v>
      </c>
      <c r="AS81" s="433">
        <f>'IS (Non-GAAP)'!AS24</f>
        <v>332.58100000000002</v>
      </c>
      <c r="AT81" s="433">
        <f>'IS (Non-GAAP)'!AT24</f>
        <v>360.61314137853304</v>
      </c>
      <c r="AU81" s="443">
        <f>'IS (Non-GAAP)'!AU24</f>
        <v>1292.8261413785331</v>
      </c>
      <c r="AV81" s="433">
        <f>'IS (Non-GAAP)'!AV24</f>
        <v>353.8410196557158</v>
      </c>
      <c r="AW81" s="433">
        <f>'IS (Non-GAAP)'!AW24</f>
        <v>375.33565152568099</v>
      </c>
      <c r="AX81" s="433">
        <f>'IS (Non-GAAP)'!AX24</f>
        <v>403.63094337358882</v>
      </c>
      <c r="AY81" s="433">
        <f>'IS (Non-GAAP)'!AY24</f>
        <v>439.3498937142985</v>
      </c>
      <c r="AZ81" s="443">
        <f>'IS (Non-GAAP)'!AZ24</f>
        <v>1572.1575082692843</v>
      </c>
      <c r="BA81" s="433">
        <f>'IS (Non-GAAP)'!BA24</f>
        <v>430.98548779122979</v>
      </c>
      <c r="BB81" s="433">
        <f>'IS (Non-GAAP)'!BB24</f>
        <v>457.61569578691024</v>
      </c>
      <c r="BC81" s="433">
        <f>'IS (Non-GAAP)'!BC24</f>
        <v>493.79494204166099</v>
      </c>
      <c r="BD81" s="433">
        <f>'IS (Non-GAAP)'!BD24</f>
        <v>533.84078383100336</v>
      </c>
      <c r="BE81" s="443">
        <f>'IS (Non-GAAP)'!BE24</f>
        <v>1916.2369094508044</v>
      </c>
      <c r="BF81" s="433">
        <f>'IS (Non-GAAP)'!BF24</f>
        <v>519.04303300392371</v>
      </c>
      <c r="BG81" s="433">
        <f>'IS (Non-GAAP)'!BG24</f>
        <v>549.2424154538212</v>
      </c>
      <c r="BH81" s="433">
        <f>'IS (Non-GAAP)'!BH24</f>
        <v>602.73321815398128</v>
      </c>
      <c r="BI81" s="433">
        <f>'IS (Non-GAAP)'!BI24</f>
        <v>655.72720024161674</v>
      </c>
      <c r="BJ81" s="443">
        <f>'IS (Non-GAAP)'!BJ24</f>
        <v>2326.7458668533427</v>
      </c>
      <c r="BK81" s="433">
        <f>'IS (Non-GAAP)'!BK24</f>
        <v>633.64686760890947</v>
      </c>
      <c r="BL81" s="433">
        <f>'IS (Non-GAAP)'!BL24</f>
        <v>661.89244874580493</v>
      </c>
      <c r="BM81" s="433">
        <f>'IS (Non-GAAP)'!BM24</f>
        <v>731.51867920309599</v>
      </c>
      <c r="BN81" s="433">
        <f>'IS (Non-GAAP)'!BN24</f>
        <v>789.87424265016978</v>
      </c>
      <c r="BO81" s="443">
        <f>'IS (Non-GAAP)'!BO24</f>
        <v>2816.9322382079804</v>
      </c>
    </row>
    <row r="82" spans="1:67" hidden="1" outlineLevel="1">
      <c r="A82" s="418"/>
      <c r="B82" s="983" t="s">
        <v>257</v>
      </c>
      <c r="C82" s="419"/>
      <c r="D82" s="419"/>
      <c r="E82" s="419"/>
      <c r="F82" s="419"/>
      <c r="G82" s="423"/>
      <c r="H82" s="419"/>
      <c r="I82" s="419"/>
      <c r="J82" s="419"/>
      <c r="K82" s="419">
        <f t="shared" ref="K82:AN82" si="130">IFERROR(K79-F79,"--")</f>
        <v>38.594665989331972</v>
      </c>
      <c r="L82" s="423">
        <f t="shared" si="130"/>
        <v>59.810893937890661</v>
      </c>
      <c r="M82" s="419">
        <f t="shared" si="130"/>
        <v>70.358668927511658</v>
      </c>
      <c r="N82" s="419">
        <f t="shared" si="130"/>
        <v>42.475893795051981</v>
      </c>
      <c r="O82" s="419">
        <f t="shared" si="130"/>
        <v>61.890851056447978</v>
      </c>
      <c r="P82" s="419">
        <f t="shared" si="130"/>
        <v>-15.470025046455369</v>
      </c>
      <c r="Q82" s="423">
        <f t="shared" si="130"/>
        <v>-32.58400908961886</v>
      </c>
      <c r="R82" s="419">
        <f t="shared" si="130"/>
        <v>-58.312581553531821</v>
      </c>
      <c r="S82" s="419">
        <f t="shared" si="130"/>
        <v>-28.155664540935092</v>
      </c>
      <c r="T82" s="419">
        <f t="shared" si="130"/>
        <v>-53.036555236267702</v>
      </c>
      <c r="U82" s="419">
        <f t="shared" si="130"/>
        <v>-14.938648663667591</v>
      </c>
      <c r="V82" s="423">
        <f t="shared" si="130"/>
        <v>-17.255003711744777</v>
      </c>
      <c r="W82" s="419">
        <f t="shared" si="130"/>
        <v>-6.6769755114444678</v>
      </c>
      <c r="X82" s="419">
        <f t="shared" si="130"/>
        <v>-3.7480175430607581</v>
      </c>
      <c r="Y82" s="419">
        <f t="shared" si="130"/>
        <v>1.0691708573827512</v>
      </c>
      <c r="Z82" s="419">
        <f t="shared" si="130"/>
        <v>2.9349595792712879</v>
      </c>
      <c r="AA82" s="423">
        <f t="shared" si="130"/>
        <v>3.5063409123092182</v>
      </c>
      <c r="AB82" s="419">
        <f t="shared" si="130"/>
        <v>8.0325195174422603</v>
      </c>
      <c r="AC82" s="419">
        <f t="shared" si="130"/>
        <v>2.3013914674886955</v>
      </c>
      <c r="AD82" s="419">
        <f t="shared" si="130"/>
        <v>4.3220472855979963</v>
      </c>
      <c r="AE82" s="419">
        <f t="shared" si="130"/>
        <v>1.5599844405764127</v>
      </c>
      <c r="AF82" s="423">
        <f t="shared" si="130"/>
        <v>0.9445999919937158</v>
      </c>
      <c r="AG82" s="419">
        <f t="shared" si="130"/>
        <v>-1.7454519225698792</v>
      </c>
      <c r="AH82" s="419">
        <f t="shared" si="130"/>
        <v>8.9854323275495052</v>
      </c>
      <c r="AI82" s="419">
        <f t="shared" si="130"/>
        <v>23.432112688163834</v>
      </c>
      <c r="AJ82" s="419">
        <f t="shared" si="130"/>
        <v>11.587229129125641</v>
      </c>
      <c r="AK82" s="423">
        <f t="shared" si="130"/>
        <v>11.666765985538568</v>
      </c>
      <c r="AL82" s="419">
        <f t="shared" si="130"/>
        <v>14.672118803465775</v>
      </c>
      <c r="AM82" s="419">
        <f t="shared" si="130"/>
        <v>31.351249387699227</v>
      </c>
      <c r="AN82" s="419">
        <f t="shared" si="130"/>
        <v>16.067023652102471</v>
      </c>
      <c r="AO82" s="419">
        <f>IFERROR(AO79-AJ79,"--")</f>
        <v>33.459064962343902</v>
      </c>
      <c r="AP82" s="423">
        <f>IFERROR(AP79-AK79,"--")</f>
        <v>37.463317050420009</v>
      </c>
      <c r="AQ82" s="419">
        <f t="shared" ref="AQ82:AS82" si="131">IFERROR(AQ79-AL79,"--")</f>
        <v>21.329597928124578</v>
      </c>
      <c r="AR82" s="419">
        <f t="shared" si="131"/>
        <v>-3.66167696695247</v>
      </c>
      <c r="AS82" s="419">
        <f t="shared" si="131"/>
        <v>-0.16500504407697747</v>
      </c>
      <c r="AT82" s="419">
        <f t="shared" ref="AT82:BJ82" si="132">IFERROR(AT79-AO79,"--")</f>
        <v>1</v>
      </c>
      <c r="AU82" s="423">
        <f t="shared" si="132"/>
        <v>1.4370117097985542</v>
      </c>
      <c r="AV82" s="419">
        <f t="shared" si="132"/>
        <v>3</v>
      </c>
      <c r="AW82" s="419">
        <f t="shared" si="132"/>
        <v>2</v>
      </c>
      <c r="AX82" s="419">
        <f t="shared" si="132"/>
        <v>2</v>
      </c>
      <c r="AY82" s="419">
        <f t="shared" si="132"/>
        <v>1</v>
      </c>
      <c r="AZ82" s="423">
        <f t="shared" si="132"/>
        <v>1.2304962435449482</v>
      </c>
      <c r="BA82" s="419">
        <f t="shared" si="132"/>
        <v>3</v>
      </c>
      <c r="BB82" s="419">
        <f t="shared" si="132"/>
        <v>3</v>
      </c>
      <c r="BC82" s="419">
        <f t="shared" si="132"/>
        <v>3</v>
      </c>
      <c r="BD82" s="419">
        <f t="shared" si="132"/>
        <v>3</v>
      </c>
      <c r="BE82" s="423">
        <f t="shared" si="132"/>
        <v>3.1099857221482665</v>
      </c>
      <c r="BF82" s="419">
        <f t="shared" ref="BF82" si="133">IFERROR(BF79-BA79,"--")</f>
        <v>3</v>
      </c>
      <c r="BG82" s="419">
        <f t="shared" ref="BG82" si="134">IFERROR(BG79-BB79,"--")</f>
        <v>3</v>
      </c>
      <c r="BH82" s="419">
        <f t="shared" ref="BH82" si="135">IFERROR(BH79-BC79,"--")</f>
        <v>3</v>
      </c>
      <c r="BI82" s="419">
        <f t="shared" ref="BI82" si="136">IFERROR(BI79-BD79,"--")</f>
        <v>2.9999999999999929</v>
      </c>
      <c r="BJ82" s="423">
        <f t="shared" si="132"/>
        <v>4.360327780552069</v>
      </c>
      <c r="BK82" s="419">
        <f t="shared" ref="BK82" si="137">IFERROR(BK79-BF79,"--")</f>
        <v>3</v>
      </c>
      <c r="BL82" s="419">
        <f t="shared" ref="BL82" si="138">IFERROR(BL79-BG79,"--")</f>
        <v>3</v>
      </c>
      <c r="BM82" s="419">
        <f t="shared" ref="BM82" si="139">IFERROR(BM79-BH79,"--")</f>
        <v>2.9999999999999929</v>
      </c>
      <c r="BN82" s="419">
        <f t="shared" ref="BN82" si="140">IFERROR(BN79-BI79,"--")</f>
        <v>3</v>
      </c>
      <c r="BO82" s="423">
        <f>IFERROR(BO79-BJ79,"--")</f>
        <v>2.7659527983870333</v>
      </c>
    </row>
    <row r="83" spans="1:67" hidden="1" outlineLevel="1">
      <c r="A83" s="319"/>
      <c r="B83" s="1060" t="s">
        <v>258</v>
      </c>
      <c r="C83" s="384"/>
      <c r="D83" s="384"/>
      <c r="E83" s="384"/>
      <c r="F83" s="384"/>
      <c r="G83" s="424"/>
      <c r="H83" s="384"/>
      <c r="I83" s="384"/>
      <c r="J83" s="384"/>
      <c r="K83" s="384" t="str">
        <f t="shared" ref="K83:AN83" si="141">IFERROR(K79/F79-1,"--")</f>
        <v>--</v>
      </c>
      <c r="L83" s="424" t="str">
        <f t="shared" si="141"/>
        <v>--</v>
      </c>
      <c r="M83" s="384" t="str">
        <f t="shared" si="141"/>
        <v>--</v>
      </c>
      <c r="N83" s="384" t="str">
        <f t="shared" si="141"/>
        <v>--</v>
      </c>
      <c r="O83" s="384" t="str">
        <f t="shared" si="141"/>
        <v>--</v>
      </c>
      <c r="P83" s="384">
        <f t="shared" si="141"/>
        <v>-0.40083324080927318</v>
      </c>
      <c r="Q83" s="424">
        <f t="shared" si="141"/>
        <v>-0.54478385030417753</v>
      </c>
      <c r="R83" s="384">
        <f t="shared" si="141"/>
        <v>-0.82879028899209928</v>
      </c>
      <c r="S83" s="384">
        <f t="shared" si="141"/>
        <v>-0.66286220313073074</v>
      </c>
      <c r="T83" s="384">
        <f t="shared" si="141"/>
        <v>-0.85693691928545856</v>
      </c>
      <c r="U83" s="384">
        <f t="shared" si="141"/>
        <v>-0.64600564828529139</v>
      </c>
      <c r="V83" s="424">
        <f t="shared" si="141"/>
        <v>-0.63374873063526471</v>
      </c>
      <c r="W83" s="384">
        <f t="shared" si="141"/>
        <v>-0.55428582776736923</v>
      </c>
      <c r="X83" s="384">
        <f t="shared" si="141"/>
        <v>-0.26172887853616245</v>
      </c>
      <c r="Y83" s="384">
        <f t="shared" si="141"/>
        <v>0.12075165310672697</v>
      </c>
      <c r="Z83" s="384">
        <f t="shared" si="141"/>
        <v>0.35853436934280669</v>
      </c>
      <c r="AA83" s="424">
        <f t="shared" si="141"/>
        <v>0.35162281462275802</v>
      </c>
      <c r="AB83" s="384">
        <f t="shared" si="141"/>
        <v>1.4960611220435989</v>
      </c>
      <c r="AC83" s="384">
        <f t="shared" si="141"/>
        <v>0.21768306674013749</v>
      </c>
      <c r="AD83" s="384">
        <f t="shared" si="141"/>
        <v>0.43553804593007306</v>
      </c>
      <c r="AE83" s="384">
        <f t="shared" si="141"/>
        <v>0.14027436324048503</v>
      </c>
      <c r="AF83" s="424">
        <f t="shared" si="141"/>
        <v>7.0083427070061877E-2</v>
      </c>
      <c r="AG83" s="384">
        <f t="shared" si="141"/>
        <v>-0.13024174990946458</v>
      </c>
      <c r="AH83" s="384">
        <f t="shared" si="141"/>
        <v>0.69797338032949829</v>
      </c>
      <c r="AI83" s="384">
        <f t="shared" si="141"/>
        <v>1.6448766080858439</v>
      </c>
      <c r="AJ83" s="384">
        <f t="shared" si="141"/>
        <v>0.91375185994645935</v>
      </c>
      <c r="AK83" s="424">
        <f t="shared" si="141"/>
        <v>0.80891006992326497</v>
      </c>
      <c r="AL83" s="384">
        <f t="shared" si="141"/>
        <v>1.2587416706373142</v>
      </c>
      <c r="AM83" s="384">
        <f t="shared" si="141"/>
        <v>1.4342466930418065</v>
      </c>
      <c r="AN83" s="384">
        <f t="shared" si="141"/>
        <v>0.42643406923661709</v>
      </c>
      <c r="AO83" s="384">
        <f>IFERROR(AO79/AJ79-1,"--")</f>
        <v>1.378722469210147</v>
      </c>
      <c r="AP83" s="424">
        <f>IFERROR(AP79/AK79-1,"--")</f>
        <v>1.4359489698555667</v>
      </c>
      <c r="AQ83" s="384">
        <f t="shared" ref="AQ83:AS83" si="142">IFERROR(AQ79/AL79-1,"--")</f>
        <v>0.81013963442606873</v>
      </c>
      <c r="AR83" s="384">
        <f t="shared" si="142"/>
        <v>-6.8815210710882146E-2</v>
      </c>
      <c r="AS83" s="384">
        <f t="shared" si="142"/>
        <v>-3.0701668565225049E-3</v>
      </c>
      <c r="AT83" s="384">
        <f t="shared" ref="AT83:BJ83" si="143">IFERROR(AT79/AO79-1,"--")</f>
        <v>1.7322847350114801E-2</v>
      </c>
      <c r="AU83" s="424">
        <f t="shared" si="143"/>
        <v>2.2611267070518082E-2</v>
      </c>
      <c r="AV83" s="384">
        <f t="shared" si="143"/>
        <v>6.2948645238195766E-2</v>
      </c>
      <c r="AW83" s="384">
        <f t="shared" si="143"/>
        <v>4.0364403434966611E-2</v>
      </c>
      <c r="AX83" s="384">
        <f t="shared" si="143"/>
        <v>3.7327608092944109E-2</v>
      </c>
      <c r="AY83" s="384">
        <f t="shared" si="143"/>
        <v>1.7027876052559732E-2</v>
      </c>
      <c r="AZ83" s="424">
        <f t="shared" si="143"/>
        <v>1.8933648547137416E-2</v>
      </c>
      <c r="BA83" s="384">
        <f t="shared" si="143"/>
        <v>5.9220777523160129E-2</v>
      </c>
      <c r="BB83" s="384">
        <f t="shared" si="143"/>
        <v>5.8197497869538317E-2</v>
      </c>
      <c r="BC83" s="384">
        <f t="shared" si="143"/>
        <v>5.3976594956681501E-2</v>
      </c>
      <c r="BD83" s="384">
        <f t="shared" si="143"/>
        <v>5.0228346105863464E-2</v>
      </c>
      <c r="BE83" s="424">
        <f t="shared" si="143"/>
        <v>4.6964154704579375E-2</v>
      </c>
      <c r="BF83" s="384">
        <f t="shared" ref="BF83" si="144">IFERROR(BF79/BA79-1,"--")</f>
        <v>5.5909758173021906E-2</v>
      </c>
      <c r="BG83" s="384">
        <f t="shared" ref="BG83" si="145">IFERROR(BG79/BB79-1,"--")</f>
        <v>5.4996820524247036E-2</v>
      </c>
      <c r="BH83" s="384">
        <f t="shared" ref="BH83" si="146">IFERROR(BH79/BC79-1,"--")</f>
        <v>5.1212327878020769E-2</v>
      </c>
      <c r="BI83" s="384">
        <f t="shared" ref="BI83" si="147">IFERROR(BI79/BD79-1,"--")</f>
        <v>4.7826119235978348E-2</v>
      </c>
      <c r="BJ83" s="424">
        <f t="shared" si="143"/>
        <v>6.2892004936127011E-2</v>
      </c>
      <c r="BK83" s="384">
        <f t="shared" ref="BK83" si="148">IFERROR(BK79/BF79-1,"--")</f>
        <v>5.2949371610846008E-2</v>
      </c>
      <c r="BL83" s="384">
        <f t="shared" ref="BL83" si="149">IFERROR(BL79/BG79-1,"--")</f>
        <v>5.2129844805520964E-2</v>
      </c>
      <c r="BM83" s="384">
        <f t="shared" ref="BM83" si="150">IFERROR(BM79/BH79-1,"--")</f>
        <v>4.8717396590466144E-2</v>
      </c>
      <c r="BN83" s="384">
        <f t="shared" ref="BN83" si="151">IFERROR(BN79/BI79-1,"--")</f>
        <v>4.5643182927002091E-2</v>
      </c>
      <c r="BO83" s="424">
        <f>IFERROR(BO79/BJ79-1,"--")</f>
        <v>3.7534611592608957E-2</v>
      </c>
    </row>
    <row r="84" spans="1:67" hidden="1" outlineLevel="1">
      <c r="A84" s="425"/>
      <c r="B84" s="983" t="s">
        <v>259</v>
      </c>
      <c r="C84" s="426"/>
      <c r="D84" s="427"/>
      <c r="E84" s="427"/>
      <c r="F84" s="427"/>
      <c r="G84" s="428"/>
      <c r="H84" s="426"/>
      <c r="I84" s="427"/>
      <c r="J84" s="427"/>
      <c r="K84" s="427">
        <f>CF!K27</f>
        <v>-0.35699999999999998</v>
      </c>
      <c r="L84" s="428">
        <f>CF!L27</f>
        <v>5.17</v>
      </c>
      <c r="M84" s="427">
        <f>CF!M27</f>
        <v>9.8529999999999998</v>
      </c>
      <c r="N84" s="427">
        <f>CF!N27</f>
        <v>-5.8529999999999998</v>
      </c>
      <c r="O84" s="427">
        <f>CF!O27</f>
        <v>6.5659999999999998</v>
      </c>
      <c r="P84" s="427">
        <f>CF!P27</f>
        <v>-9.4499999999999993</v>
      </c>
      <c r="Q84" s="428">
        <f>CF!Q27</f>
        <v>1.1159999999999997</v>
      </c>
      <c r="R84" s="427">
        <f>CF!R27</f>
        <v>-2.8570000000000002</v>
      </c>
      <c r="S84" s="427">
        <f>CF!S27</f>
        <v>1.4E-2</v>
      </c>
      <c r="T84" s="427">
        <f>CF!T27</f>
        <v>-0.96299999999999997</v>
      </c>
      <c r="U84" s="427">
        <f>CF!U27</f>
        <v>0.92800000000000005</v>
      </c>
      <c r="V84" s="428">
        <f>CF!V27</f>
        <v>-2.8780000000000006</v>
      </c>
      <c r="W84" s="427">
        <f>CF!W27</f>
        <v>-1.2450000000000001</v>
      </c>
      <c r="X84" s="427">
        <f>CF!X27</f>
        <v>4.9669999999999996</v>
      </c>
      <c r="Y84" s="427">
        <f>CF!Y27</f>
        <v>0.86899999999999999</v>
      </c>
      <c r="Z84" s="427">
        <f>CF!Z27</f>
        <v>2.78</v>
      </c>
      <c r="AA84" s="428">
        <f>CF!AA27</f>
        <v>7.3709999999999987</v>
      </c>
      <c r="AB84" s="427">
        <f>CF!AB27</f>
        <v>4.1580000000000004</v>
      </c>
      <c r="AC84" s="427">
        <f>CF!AC27</f>
        <v>2.0670000000000002</v>
      </c>
      <c r="AD84" s="427">
        <f>CF!AD27</f>
        <v>4.0789999999999997</v>
      </c>
      <c r="AE84" s="427">
        <f>CF!AE27</f>
        <v>-2.2799999999999998</v>
      </c>
      <c r="AF84" s="428">
        <f>CF!AF27</f>
        <v>8.0240000000000009</v>
      </c>
      <c r="AG84" s="427">
        <f>CF!AG27</f>
        <v>-3.093</v>
      </c>
      <c r="AH84" s="427">
        <f>CF!AH27</f>
        <v>20.562000000000001</v>
      </c>
      <c r="AI84" s="427">
        <f>CF!AI27</f>
        <v>34.203000000000003</v>
      </c>
      <c r="AJ84" s="427">
        <f>CF!AJ27</f>
        <v>-32.46</v>
      </c>
      <c r="AK84" s="428">
        <f>CF!AK27</f>
        <v>19.212000000000003</v>
      </c>
      <c r="AL84" s="427">
        <f>CF!AL27</f>
        <v>21.244</v>
      </c>
      <c r="AM84" s="427">
        <f>CF!AM27</f>
        <v>70.180999999999997</v>
      </c>
      <c r="AN84" s="427">
        <f>CF!AN27</f>
        <v>11.295999999999999</v>
      </c>
      <c r="AO84" s="427">
        <f>CF!AO27</f>
        <v>6.1310000000000002</v>
      </c>
      <c r="AP84" s="428">
        <f>CF!AP27</f>
        <v>108.852</v>
      </c>
      <c r="AQ84" s="427">
        <f>CF!AQ27</f>
        <v>-4.423</v>
      </c>
      <c r="AR84" s="427">
        <f>CF!AR27</f>
        <v>11.771000000000001</v>
      </c>
      <c r="AS84" s="427">
        <f>CF!AS27</f>
        <v>28.948</v>
      </c>
      <c r="AT84" s="427">
        <f>CF!AT27</f>
        <v>36.502598212918741</v>
      </c>
      <c r="AU84" s="428">
        <f>CF!AU27</f>
        <v>72.798598212918733</v>
      </c>
      <c r="AV84" s="427">
        <f>CF!AV27</f>
        <v>-28.790883144059308</v>
      </c>
      <c r="AW84" s="427">
        <f>CF!AW27</f>
        <v>8.90196255573602</v>
      </c>
      <c r="AX84" s="427">
        <f>CF!AX27</f>
        <v>33.539503336284923</v>
      </c>
      <c r="AY84" s="427">
        <f>CF!AY27</f>
        <v>41.38573560354493</v>
      </c>
      <c r="AZ84" s="428">
        <f>CF!AZ27</f>
        <v>55.036318351506566</v>
      </c>
      <c r="BA84" s="427">
        <f>CF!BA27</f>
        <v>-25.389752936711602</v>
      </c>
      <c r="BB84" s="427">
        <f>CF!BB27</f>
        <v>11.489175183685745</v>
      </c>
      <c r="BC84" s="427">
        <f>CF!BC27</f>
        <v>43.087319184926287</v>
      </c>
      <c r="BD84" s="427">
        <f>CF!BD27</f>
        <v>49.565448951788028</v>
      </c>
      <c r="BE84" s="428">
        <f>CF!BE27</f>
        <v>78.752190383688458</v>
      </c>
      <c r="BF84" s="427">
        <f>CF!BF27</f>
        <v>-37.227814930791283</v>
      </c>
      <c r="BG84" s="427">
        <f>CF!BG27</f>
        <v>16.812408240754905</v>
      </c>
      <c r="BH84" s="427">
        <f>CF!BH27</f>
        <v>59.869144958757374</v>
      </c>
      <c r="BI84" s="427">
        <f>CF!BI27</f>
        <v>65.032989170290023</v>
      </c>
      <c r="BJ84" s="428">
        <f>CF!BJ27</f>
        <v>104.48672743901102</v>
      </c>
      <c r="BK84" s="427">
        <f>CF!BK27</f>
        <v>-43.726822608516443</v>
      </c>
      <c r="BL84" s="427">
        <f>CF!BL27</f>
        <v>10.873927013201467</v>
      </c>
      <c r="BM84" s="427">
        <f>CF!BM27</f>
        <v>77.875548203021083</v>
      </c>
      <c r="BN84" s="427">
        <f>CF!BN27</f>
        <v>76.57230707213273</v>
      </c>
      <c r="BO84" s="428">
        <f>CF!BO27</f>
        <v>121.59495967983884</v>
      </c>
    </row>
    <row r="85" spans="1:67" hidden="1" outlineLevel="1">
      <c r="A85" s="425"/>
      <c r="C85" s="440"/>
      <c r="D85" s="441"/>
      <c r="E85" s="441"/>
      <c r="F85" s="441"/>
      <c r="G85" s="442"/>
      <c r="H85" s="440"/>
      <c r="I85" s="441"/>
      <c r="J85" s="441"/>
      <c r="K85" s="441"/>
      <c r="L85" s="442"/>
      <c r="M85" s="440"/>
      <c r="N85" s="441"/>
      <c r="O85" s="441"/>
      <c r="P85" s="441"/>
      <c r="Q85" s="442"/>
      <c r="R85" s="440"/>
      <c r="S85" s="441"/>
      <c r="T85" s="441"/>
      <c r="U85" s="441"/>
      <c r="V85" s="442"/>
      <c r="W85" s="440"/>
      <c r="X85" s="441"/>
      <c r="Y85" s="441"/>
      <c r="Z85" s="441"/>
      <c r="AA85" s="442"/>
      <c r="AB85" s="440"/>
      <c r="AC85" s="441"/>
      <c r="AD85" s="441"/>
      <c r="AE85" s="441"/>
      <c r="AF85" s="442"/>
      <c r="AG85" s="440"/>
      <c r="AH85" s="441"/>
      <c r="AI85" s="441"/>
      <c r="AJ85" s="441"/>
      <c r="AK85" s="442"/>
      <c r="AL85" s="440"/>
      <c r="AM85" s="441"/>
      <c r="AN85" s="441"/>
      <c r="AO85" s="441"/>
      <c r="AP85" s="442"/>
      <c r="AQ85" s="440"/>
      <c r="AR85" s="441"/>
      <c r="AS85" s="441"/>
      <c r="AT85" s="441"/>
      <c r="AU85" s="442"/>
      <c r="AV85" s="440"/>
      <c r="AW85" s="441"/>
      <c r="AX85" s="441"/>
      <c r="AY85" s="441"/>
      <c r="AZ85" s="442"/>
      <c r="BA85" s="440"/>
      <c r="BB85" s="441"/>
      <c r="BC85" s="441"/>
      <c r="BD85" s="441"/>
      <c r="BE85" s="442"/>
      <c r="BF85" s="440"/>
      <c r="BG85" s="441"/>
      <c r="BH85" s="441"/>
      <c r="BI85" s="441"/>
      <c r="BJ85" s="442"/>
      <c r="BK85" s="440"/>
      <c r="BL85" s="441"/>
      <c r="BM85" s="441"/>
      <c r="BN85" s="441"/>
      <c r="BO85" s="442"/>
    </row>
    <row r="86" spans="1:67" hidden="1" outlineLevel="1">
      <c r="A86" s="319"/>
      <c r="B86" s="1062" t="s">
        <v>261</v>
      </c>
      <c r="C86" s="437"/>
      <c r="D86" s="438"/>
      <c r="E86" s="438"/>
      <c r="F86" s="438"/>
      <c r="G86" s="439"/>
      <c r="H86" s="437"/>
      <c r="I86" s="438"/>
      <c r="J86" s="438"/>
      <c r="K86" s="438">
        <f>K29/K55</f>
        <v>0.77730519657560382</v>
      </c>
      <c r="L86" s="439">
        <f t="shared" ref="L86:Q86" si="152">L29/L55</f>
        <v>0.29493306850392076</v>
      </c>
      <c r="M86" s="437">
        <f t="shared" si="152"/>
        <v>0.53467566639972541</v>
      </c>
      <c r="N86" s="438">
        <f t="shared" si="152"/>
        <v>0.64560234674091377</v>
      </c>
      <c r="O86" s="438">
        <f t="shared" si="152"/>
        <v>0.567810770832192</v>
      </c>
      <c r="P86" s="438">
        <f t="shared" si="152"/>
        <v>0.71633672398850512</v>
      </c>
      <c r="Q86" s="439">
        <f t="shared" si="152"/>
        <v>0.23727091422786953</v>
      </c>
      <c r="R86" s="437">
        <f t="shared" ref="R86:AK86" si="153">R29/R55</f>
        <v>0.52973395212057162</v>
      </c>
      <c r="S86" s="438">
        <f t="shared" si="153"/>
        <v>0.59451725562356839</v>
      </c>
      <c r="T86" s="438">
        <f t="shared" si="153"/>
        <v>0.53273943767854448</v>
      </c>
      <c r="U86" s="438">
        <f t="shared" si="153"/>
        <v>0.65794240411624183</v>
      </c>
      <c r="V86" s="439">
        <f t="shared" si="153"/>
        <v>0.21166322382100131</v>
      </c>
      <c r="W86" s="437">
        <f t="shared" si="153"/>
        <v>0.51026586403627561</v>
      </c>
      <c r="X86" s="438">
        <f t="shared" si="153"/>
        <v>0.5285270281192368</v>
      </c>
      <c r="Y86" s="438">
        <f t="shared" si="153"/>
        <v>0.48809207005121974</v>
      </c>
      <c r="Z86" s="438">
        <f t="shared" si="153"/>
        <v>0.52287023091715434</v>
      </c>
      <c r="AA86" s="439">
        <f t="shared" si="153"/>
        <v>0.164569471519945</v>
      </c>
      <c r="AB86" s="437">
        <f t="shared" si="153"/>
        <v>0.43866884800329564</v>
      </c>
      <c r="AC86" s="438">
        <f t="shared" si="153"/>
        <v>0.42186595018984491</v>
      </c>
      <c r="AD86" s="438">
        <f t="shared" si="153"/>
        <v>0.40450569809776177</v>
      </c>
      <c r="AE86" s="438">
        <f t="shared" si="153"/>
        <v>0.45681412263247617</v>
      </c>
      <c r="AF86" s="439">
        <f t="shared" si="153"/>
        <v>0.13025818879108317</v>
      </c>
      <c r="AG86" s="437">
        <f t="shared" si="153"/>
        <v>0.44208698217925296</v>
      </c>
      <c r="AH86" s="438">
        <f t="shared" si="153"/>
        <v>0.46754389348652414</v>
      </c>
      <c r="AI86" s="438">
        <f t="shared" si="153"/>
        <v>0.43352316143470271</v>
      </c>
      <c r="AJ86" s="438">
        <f t="shared" si="153"/>
        <v>0.57681757689115387</v>
      </c>
      <c r="AK86" s="439">
        <f t="shared" si="153"/>
        <v>0.15922385585690876</v>
      </c>
      <c r="AL86" s="437">
        <f t="shared" ref="AL86:AQ86" si="154">AL29/AL55</f>
        <v>0.48026750041329347</v>
      </c>
      <c r="AM86" s="438">
        <f t="shared" si="154"/>
        <v>0.51670593435026468</v>
      </c>
      <c r="AN86" s="438">
        <f t="shared" si="154"/>
        <v>0.51494861446946905</v>
      </c>
      <c r="AO86" s="438">
        <f t="shared" si="154"/>
        <v>0.52236488746111043</v>
      </c>
      <c r="AP86" s="439">
        <f t="shared" si="154"/>
        <v>0.14213946849709738</v>
      </c>
      <c r="AQ86" s="437">
        <f t="shared" si="154"/>
        <v>0.5070465245270489</v>
      </c>
      <c r="AR86" s="438">
        <f t="shared" ref="AR86:AS86" si="155">AR29/AR55</f>
        <v>0.54394485789571589</v>
      </c>
      <c r="AS86" s="438">
        <f t="shared" si="155"/>
        <v>0.59839031617376082</v>
      </c>
      <c r="AT86" s="1064">
        <f>AO86+2.55%</f>
        <v>0.54786488746111039</v>
      </c>
      <c r="AU86" s="607">
        <f>AP86</f>
        <v>0.14213946849709738</v>
      </c>
      <c r="AV86" s="1064">
        <f t="shared" ref="AV86:AY86" si="156">AQ86+3%</f>
        <v>0.53704652452704893</v>
      </c>
      <c r="AW86" s="1064">
        <f t="shared" si="156"/>
        <v>0.57394485789571592</v>
      </c>
      <c r="AX86" s="1064">
        <f t="shared" si="156"/>
        <v>0.62839031617376084</v>
      </c>
      <c r="AY86" s="1064">
        <f t="shared" si="156"/>
        <v>0.57786488746111042</v>
      </c>
      <c r="AZ86" s="607">
        <f>AU86</f>
        <v>0.14213946849709738</v>
      </c>
      <c r="BA86" s="1064">
        <f t="shared" ref="BA86:BC86" si="157">AV86+2%</f>
        <v>0.55704652452704895</v>
      </c>
      <c r="BB86" s="1064">
        <f t="shared" si="157"/>
        <v>0.59394485789571594</v>
      </c>
      <c r="BC86" s="1064">
        <f t="shared" si="157"/>
        <v>0.64839031617376086</v>
      </c>
      <c r="BD86" s="1064">
        <f>AY86+2.25%</f>
        <v>0.60036488746111039</v>
      </c>
      <c r="BE86" s="607">
        <f>AZ86</f>
        <v>0.14213946849709738</v>
      </c>
      <c r="BF86" s="1064">
        <f>BA86+2.3%</f>
        <v>0.58004652452704897</v>
      </c>
      <c r="BG86" s="1064">
        <f t="shared" ref="BG86:BI86" si="158">BB86+2.3%</f>
        <v>0.61694485789571596</v>
      </c>
      <c r="BH86" s="1064">
        <f t="shared" si="158"/>
        <v>0.67139031617376088</v>
      </c>
      <c r="BI86" s="1064">
        <f t="shared" si="158"/>
        <v>0.62336488746111041</v>
      </c>
      <c r="BJ86" s="607">
        <f>BE86</f>
        <v>0.14213946849709738</v>
      </c>
      <c r="BK86" s="1064">
        <f>BF86+1.6%</f>
        <v>0.59604652452704898</v>
      </c>
      <c r="BL86" s="1064">
        <f t="shared" ref="BL86:BN86" si="159">BG86+1.6%</f>
        <v>0.63294485789571597</v>
      </c>
      <c r="BM86" s="1064">
        <f t="shared" si="159"/>
        <v>0.6873903161737609</v>
      </c>
      <c r="BN86" s="1064">
        <f t="shared" si="159"/>
        <v>0.63936488746111042</v>
      </c>
      <c r="BO86" s="607">
        <f>BJ86</f>
        <v>0.14213946849709738</v>
      </c>
    </row>
    <row r="87" spans="1:67" hidden="1" outlineLevel="1">
      <c r="A87" s="319"/>
      <c r="B87" s="983" t="s">
        <v>259</v>
      </c>
      <c r="C87" s="426"/>
      <c r="D87" s="427"/>
      <c r="E87" s="427"/>
      <c r="F87" s="427"/>
      <c r="G87" s="428"/>
      <c r="H87" s="426"/>
      <c r="I87" s="427"/>
      <c r="J87" s="427"/>
      <c r="K87" s="427">
        <f>(K29/SUM(K29,K37))*CF!K28</f>
        <v>6.2079308416715717</v>
      </c>
      <c r="L87" s="428">
        <f>(L29/SUM(L29,L37))*CF!L28</f>
        <v>17.46090670982931</v>
      </c>
      <c r="M87" s="426">
        <f>(M29/SUM(M29,M37))*CF!M28</f>
        <v>-6.3586785714285705</v>
      </c>
      <c r="N87" s="427">
        <f>(N29/SUM(N29,N37))*CF!N28</f>
        <v>14.593081023454157</v>
      </c>
      <c r="O87" s="427">
        <f>(O29/SUM(O29,O37))*CF!O28</f>
        <v>4.0346662488061131</v>
      </c>
      <c r="P87" s="427">
        <f>(P29/SUM(P29,P37))*CF!P28</f>
        <v>18.176331551702372</v>
      </c>
      <c r="Q87" s="428">
        <f>(Q29/SUM(Q29,Q37))*CF!Q28</f>
        <v>30.837901014267079</v>
      </c>
      <c r="R87" s="426">
        <f>(R29/SUM(R29,R37))*CF!R28</f>
        <v>-4.542808778340035</v>
      </c>
      <c r="S87" s="427">
        <f>(S29/SUM(S29,S37))*CF!S28</f>
        <v>14.574830800104902</v>
      </c>
      <c r="T87" s="427">
        <f>(T29/SUM(T29,T37))*CF!T28</f>
        <v>10.585275986906284</v>
      </c>
      <c r="U87" s="427">
        <f>(U29/SUM(U29,U37))*CF!U28</f>
        <v>33.902086578744388</v>
      </c>
      <c r="V87" s="428">
        <f>(V29/SUM(V29,V37))*CF!V28</f>
        <v>55.202357718658781</v>
      </c>
      <c r="W87" s="426">
        <f>(W29/SUM(W29,W37))*CF!W28</f>
        <v>-6.037461582659069</v>
      </c>
      <c r="X87" s="427">
        <f>(X29/SUM(X29,X37))*CF!X28</f>
        <v>28.253019809234797</v>
      </c>
      <c r="Y87" s="427">
        <f>(Y29/SUM(Y29,Y37))*CF!Y28</f>
        <v>18.035322934179856</v>
      </c>
      <c r="Z87" s="427">
        <f>(Z29/SUM(Z29,Z37))*CF!Z28</f>
        <v>34.73030769230769</v>
      </c>
      <c r="AA87" s="428">
        <f>(AA29/SUM(AA29,AA37))*CF!AA28</f>
        <v>75.560631245043609</v>
      </c>
      <c r="AB87" s="426">
        <f>(AB29/SUM(AB29,AB37))*CF!AB28</f>
        <v>-13.399632608109552</v>
      </c>
      <c r="AC87" s="427">
        <f>(AC29/SUM(AC29,AC37))*CF!AC28</f>
        <v>23.293837890387653</v>
      </c>
      <c r="AD87" s="427">
        <f>(AD29/SUM(AD29,AD37))*CF!AD28</f>
        <v>15.797622537040795</v>
      </c>
      <c r="AE87" s="427">
        <f>(AE29/SUM(AE29,AE37))*CF!AE28</f>
        <v>42.686790634510068</v>
      </c>
      <c r="AF87" s="428">
        <f>(AF29/SUM(AF29,AF37))*CF!AF28</f>
        <v>68.11107357917659</v>
      </c>
      <c r="AG87" s="426">
        <f>(AG29/SUM(AG29,AG37))*CF!AG28</f>
        <v>-7.9255447820467948</v>
      </c>
      <c r="AH87" s="427">
        <f>(AH29/SUM(AH29,AH37))*CF!AH28</f>
        <v>33.243455491866591</v>
      </c>
      <c r="AI87" s="427">
        <f>(AI29/SUM(AI29,AI37))*CF!AI28</f>
        <v>6.1073768358954981</v>
      </c>
      <c r="AJ87" s="427">
        <f>(AJ29/SUM(AJ29,AJ37))*CF!AJ28</f>
        <v>127.86221413392225</v>
      </c>
      <c r="AK87" s="428">
        <f>(AK29/SUM(AK29,AK37))*CF!AK28</f>
        <v>159.24519621650902</v>
      </c>
      <c r="AL87" s="426">
        <f>(AL29/SUM(AL29,AL37))*CF!AL28</f>
        <v>-49.772092638665306</v>
      </c>
      <c r="AM87" s="427">
        <f>(AM29/SUM(AM29,AM37))*CF!AM28</f>
        <v>53.447539800880207</v>
      </c>
      <c r="AN87" s="427">
        <f>(AN29/SUM(AN29,AN37))*CF!AN28</f>
        <v>30.809355529703907</v>
      </c>
      <c r="AO87" s="427">
        <f>(AO29/SUM(AO29,AO37))*CF!AO28</f>
        <v>28.756197996247732</v>
      </c>
      <c r="AP87" s="428">
        <f>(AP29/SUM(AP29,AP37))*CF!AP28</f>
        <v>63.346935077455541</v>
      </c>
      <c r="AQ87" s="426">
        <f>(AQ29/SUM(AQ29,AQ37))*CF!AQ28</f>
        <v>3.6096793402777778</v>
      </c>
      <c r="AR87" s="427">
        <f>(AR29/SUM(AR29,AR37))*CF!AR28</f>
        <v>85.683494372478222</v>
      </c>
      <c r="AS87" s="427">
        <f>(AS29/SUM(AS29,AS37))*CF!AS28</f>
        <v>111.74369600457466</v>
      </c>
      <c r="AT87" s="603">
        <f>(AT29/SUM(AT29,AT37))*CF!AT28</f>
        <v>-8.1746223657499257</v>
      </c>
      <c r="AU87" s="604">
        <f>(AU29/SUM(AU29,AU37))*CF!AU28</f>
        <v>184.34109811955389</v>
      </c>
      <c r="AV87" s="603">
        <f>(AV29/SUM(AV29,AV37))*CF!AV28</f>
        <v>15.337273359014931</v>
      </c>
      <c r="AW87" s="603">
        <f>(AW29/SUM(AW29,AW37))*CF!AW28</f>
        <v>104.90023608543389</v>
      </c>
      <c r="AX87" s="603">
        <f>(AX29/SUM(AX29,AX37))*CF!AX28</f>
        <v>123.43771419942041</v>
      </c>
      <c r="AY87" s="603">
        <f>(AY29/SUM(AY29,AY37))*CF!AY28</f>
        <v>-6.5468810010033467</v>
      </c>
      <c r="AZ87" s="604">
        <f>(AZ29/SUM(AZ29,AZ37))*CF!AZ28</f>
        <v>227.4622217866002</v>
      </c>
      <c r="BA87" s="603">
        <f>(BA29/SUM(BA29,BA37))*CF!BA28</f>
        <v>28.564004138534848</v>
      </c>
      <c r="BB87" s="603">
        <f>(BB29/SUM(BB29,BB37))*CF!BB28</f>
        <v>132.95646663156472</v>
      </c>
      <c r="BC87" s="603">
        <f>(BC29/SUM(BC29,BC37))*CF!BC28</f>
        <v>155.35716604625563</v>
      </c>
      <c r="BD87" s="603">
        <f>(BD29/SUM(BD29,BD37))*CF!BD28</f>
        <v>-12.785620874402261</v>
      </c>
      <c r="BE87" s="604">
        <f>(BE29/SUM(BE29,BE37))*CF!BE28</f>
        <v>292.35373714404801</v>
      </c>
      <c r="BF87" s="603">
        <f>(BF29/SUM(BF29,BF37))*CF!BF28</f>
        <v>-10.973130933779643</v>
      </c>
      <c r="BG87" s="603">
        <f>(BG29/SUM(BG29,BG37))*CF!BG28</f>
        <v>162.99751499794883</v>
      </c>
      <c r="BH87" s="603">
        <f>(BH29/SUM(BH29,BH37))*CF!BH28</f>
        <v>219.84856906922207</v>
      </c>
      <c r="BI87" s="603">
        <f>(BI29/SUM(BI29,BI37))*CF!BI28</f>
        <v>-7.9636056866899798</v>
      </c>
      <c r="BJ87" s="604">
        <f>(BJ29/SUM(BJ29,BJ37))*CF!BJ28</f>
        <v>349.89877597942183</v>
      </c>
      <c r="BK87" s="603">
        <f>(BK29/SUM(BK29,BK37))*CF!BK28</f>
        <v>-33.100389835533619</v>
      </c>
      <c r="BL87" s="603">
        <f>(BL29/SUM(BL29,BL37))*CF!BL28</f>
        <v>183.59366312662692</v>
      </c>
      <c r="BM87" s="603">
        <f>(BM29/SUM(BM29,BM37))*CF!BM28</f>
        <v>285.64112211085086</v>
      </c>
      <c r="BN87" s="603">
        <f>(BN29/SUM(BN29,BN37))*CF!BN28</f>
        <v>-27.719660570762212</v>
      </c>
      <c r="BO87" s="604">
        <f>(BO29/SUM(BO29,BO37))*CF!BO28</f>
        <v>391.86737697036864</v>
      </c>
    </row>
    <row r="88" spans="1:67" hidden="1" outlineLevel="1">
      <c r="A88" s="425"/>
      <c r="C88" s="440"/>
      <c r="D88" s="441"/>
      <c r="E88" s="441"/>
      <c r="F88" s="441"/>
      <c r="G88" s="442"/>
      <c r="H88" s="440"/>
      <c r="I88" s="441"/>
      <c r="J88" s="441"/>
      <c r="K88" s="441"/>
      <c r="L88" s="442"/>
      <c r="M88" s="440"/>
      <c r="N88" s="441"/>
      <c r="O88" s="441"/>
      <c r="P88" s="441"/>
      <c r="Q88" s="442"/>
      <c r="R88" s="440"/>
      <c r="S88" s="441"/>
      <c r="T88" s="441"/>
      <c r="U88" s="441"/>
      <c r="V88" s="442"/>
      <c r="W88" s="440"/>
      <c r="X88" s="441"/>
      <c r="Y88" s="441"/>
      <c r="Z88" s="441"/>
      <c r="AA88" s="442"/>
      <c r="AB88" s="440"/>
      <c r="AC88" s="441"/>
      <c r="AD88" s="441"/>
      <c r="AE88" s="441"/>
      <c r="AF88" s="442"/>
      <c r="AG88" s="440"/>
      <c r="AH88" s="441"/>
      <c r="AI88" s="441"/>
      <c r="AJ88" s="441"/>
      <c r="AK88" s="442"/>
      <c r="AL88" s="440"/>
      <c r="AM88" s="441"/>
      <c r="AN88" s="441"/>
      <c r="AO88" s="441"/>
      <c r="AP88" s="442"/>
      <c r="AQ88" s="440"/>
      <c r="AR88" s="441"/>
      <c r="AS88" s="441"/>
      <c r="AT88" s="605"/>
      <c r="AU88" s="606"/>
      <c r="AV88" s="605"/>
      <c r="AW88" s="605"/>
      <c r="AX88" s="605"/>
      <c r="AY88" s="605"/>
      <c r="AZ88" s="606"/>
      <c r="BA88" s="605"/>
      <c r="BB88" s="605"/>
      <c r="BC88" s="605"/>
      <c r="BD88" s="605"/>
      <c r="BE88" s="606"/>
      <c r="BF88" s="605"/>
      <c r="BG88" s="605"/>
      <c r="BH88" s="605"/>
      <c r="BI88" s="605"/>
      <c r="BJ88" s="606"/>
      <c r="BK88" s="605"/>
      <c r="BL88" s="605"/>
      <c r="BM88" s="605"/>
      <c r="BN88" s="605"/>
      <c r="BO88" s="606"/>
    </row>
    <row r="89" spans="1:67" hidden="1" outlineLevel="1">
      <c r="A89" s="444"/>
      <c r="B89" s="1059" t="s">
        <v>318</v>
      </c>
      <c r="C89" s="445"/>
      <c r="D89" s="446"/>
      <c r="E89" s="446"/>
      <c r="F89" s="438"/>
      <c r="G89" s="447"/>
      <c r="H89" s="445"/>
      <c r="I89" s="446"/>
      <c r="J89" s="446"/>
      <c r="K89" s="438">
        <f>K37/K55</f>
        <v>0.14913572168602429</v>
      </c>
      <c r="L89" s="447">
        <f t="shared" ref="L89:Q89" si="160">L37/L55</f>
        <v>5.6586597148945851E-2</v>
      </c>
      <c r="M89" s="438">
        <f t="shared" si="160"/>
        <v>0.11623384052167945</v>
      </c>
      <c r="N89" s="438">
        <f t="shared" si="160"/>
        <v>0.11612721457100714</v>
      </c>
      <c r="O89" s="438">
        <f t="shared" si="160"/>
        <v>0.12051443598312606</v>
      </c>
      <c r="P89" s="438">
        <f t="shared" si="160"/>
        <v>9.6542444008575451E-2</v>
      </c>
      <c r="Q89" s="447">
        <f t="shared" si="160"/>
        <v>3.1977578678592473E-2</v>
      </c>
      <c r="R89" s="438">
        <f t="shared" ref="R89:AK89" si="161">R37/R55</f>
        <v>7.1387216835914161E-2</v>
      </c>
      <c r="S89" s="438">
        <f t="shared" si="161"/>
        <v>6.4170641030455527E-2</v>
      </c>
      <c r="T89" s="438">
        <f t="shared" si="161"/>
        <v>4.5231293539818564E-2</v>
      </c>
      <c r="U89" s="438">
        <f t="shared" si="161"/>
        <v>3.63478854382695E-2</v>
      </c>
      <c r="V89" s="447">
        <f t="shared" si="161"/>
        <v>1.169328890007415E-2</v>
      </c>
      <c r="W89" s="438">
        <f t="shared" si="161"/>
        <v>4.4754798745380353E-2</v>
      </c>
      <c r="X89" s="438">
        <f t="shared" si="161"/>
        <v>3.8049508078678018E-2</v>
      </c>
      <c r="Y89" s="438">
        <f t="shared" si="161"/>
        <v>3.6553532611133199E-2</v>
      </c>
      <c r="Z89" s="438">
        <f t="shared" si="161"/>
        <v>2.9142151370337748E-2</v>
      </c>
      <c r="AA89" s="447">
        <f t="shared" si="161"/>
        <v>9.1722729013628008E-3</v>
      </c>
      <c r="AB89" s="438">
        <f t="shared" si="161"/>
        <v>2.675846589846367E-2</v>
      </c>
      <c r="AC89" s="438">
        <f t="shared" si="161"/>
        <v>2.4959376407748247E-2</v>
      </c>
      <c r="AD89" s="438">
        <f t="shared" si="161"/>
        <v>3.7752141723575841E-2</v>
      </c>
      <c r="AE89" s="438">
        <f t="shared" si="161"/>
        <v>4.1374369282799001E-2</v>
      </c>
      <c r="AF89" s="447">
        <f t="shared" si="161"/>
        <v>1.1797687808103858E-2</v>
      </c>
      <c r="AG89" s="438">
        <f t="shared" si="161"/>
        <v>3.4385879387234426E-2</v>
      </c>
      <c r="AH89" s="438">
        <f t="shared" si="161"/>
        <v>3.3818087944238885E-2</v>
      </c>
      <c r="AI89" s="438">
        <f t="shared" si="161"/>
        <v>3.5181081298277107E-2</v>
      </c>
      <c r="AJ89" s="438">
        <f t="shared" si="161"/>
        <v>4.275208823039657E-2</v>
      </c>
      <c r="AK89" s="447">
        <f t="shared" si="161"/>
        <v>1.1801222096363107E-2</v>
      </c>
      <c r="AL89" s="438">
        <f t="shared" ref="AL89:AQ89" si="162">AL37/AL55</f>
        <v>4.7435227564802611E-2</v>
      </c>
      <c r="AM89" s="438">
        <f t="shared" si="162"/>
        <v>5.6820549179752378E-2</v>
      </c>
      <c r="AN89" s="438">
        <f t="shared" si="162"/>
        <v>5.4414952223451163E-2</v>
      </c>
      <c r="AO89" s="438">
        <f t="shared" si="162"/>
        <v>6.208538970580784E-2</v>
      </c>
      <c r="AP89" s="447">
        <f t="shared" si="162"/>
        <v>1.6893907890919799E-2</v>
      </c>
      <c r="AQ89" s="438">
        <f t="shared" si="162"/>
        <v>4.5697330515875066E-2</v>
      </c>
      <c r="AR89" s="438">
        <f t="shared" ref="AR89:AS89" si="163">AR37/AR55</f>
        <v>4.8294757325307497E-2</v>
      </c>
      <c r="AS89" s="438">
        <f t="shared" si="163"/>
        <v>4.7532832224016809E-2</v>
      </c>
      <c r="AT89" s="1064">
        <f t="shared" ref="AT89" si="164">AO89+1%</f>
        <v>7.2085389705807842E-2</v>
      </c>
      <c r="AU89" s="607">
        <f>AP89</f>
        <v>1.6893907890919799E-2</v>
      </c>
      <c r="AV89" s="1064">
        <f t="shared" ref="AV89:AY89" si="165">AQ89+2%</f>
        <v>6.5697330515875063E-2</v>
      </c>
      <c r="AW89" s="1064">
        <f t="shared" si="165"/>
        <v>6.8294757325307501E-2</v>
      </c>
      <c r="AX89" s="1064">
        <f t="shared" si="165"/>
        <v>6.7532832224016806E-2</v>
      </c>
      <c r="AY89" s="1064">
        <f t="shared" si="165"/>
        <v>9.2085389705807846E-2</v>
      </c>
      <c r="AZ89" s="607">
        <f>AU89</f>
        <v>1.6893907890919799E-2</v>
      </c>
      <c r="BA89" s="1064">
        <f t="shared" ref="BA89:BD89" si="166">AV89+3.5%</f>
        <v>0.10069733051587507</v>
      </c>
      <c r="BB89" s="1064">
        <f t="shared" si="166"/>
        <v>0.1032947573253075</v>
      </c>
      <c r="BC89" s="1064">
        <f t="shared" si="166"/>
        <v>0.10253283222401681</v>
      </c>
      <c r="BD89" s="1064">
        <f t="shared" si="166"/>
        <v>0.12708538970580785</v>
      </c>
      <c r="BE89" s="607">
        <f>AZ89</f>
        <v>1.6893907890919799E-2</v>
      </c>
      <c r="BF89" s="1064">
        <f t="shared" ref="BF89:BI89" si="167">BA89+1%</f>
        <v>0.11069733051587506</v>
      </c>
      <c r="BG89" s="1064">
        <f t="shared" si="167"/>
        <v>0.1132947573253075</v>
      </c>
      <c r="BH89" s="1064">
        <f t="shared" si="167"/>
        <v>0.1125328322240168</v>
      </c>
      <c r="BI89" s="1064">
        <f t="shared" si="167"/>
        <v>0.13708538970580786</v>
      </c>
      <c r="BJ89" s="607">
        <f>BE89</f>
        <v>1.6893907890919799E-2</v>
      </c>
      <c r="BK89" s="1064">
        <f t="shared" ref="BK89" si="168">BF89+1%</f>
        <v>0.12069733051587506</v>
      </c>
      <c r="BL89" s="1064">
        <f t="shared" ref="BL89" si="169">BG89+1%</f>
        <v>0.12329475732530749</v>
      </c>
      <c r="BM89" s="1064">
        <f t="shared" ref="BM89" si="170">BH89+1%</f>
        <v>0.1225328322240168</v>
      </c>
      <c r="BN89" s="1064">
        <f t="shared" ref="BN89" si="171">BI89+1%</f>
        <v>0.14708538970580787</v>
      </c>
      <c r="BO89" s="607">
        <f>BJ89</f>
        <v>1.6893907890919799E-2</v>
      </c>
    </row>
    <row r="90" spans="1:67" hidden="1" outlineLevel="1">
      <c r="A90" s="319"/>
      <c r="B90" s="983" t="s">
        <v>259</v>
      </c>
      <c r="C90" s="448"/>
      <c r="D90" s="384"/>
      <c r="E90" s="384"/>
      <c r="F90" s="427"/>
      <c r="G90" s="449"/>
      <c r="H90" s="448"/>
      <c r="I90" s="384"/>
      <c r="J90" s="384"/>
      <c r="K90" s="427">
        <f>(K37/SUM(K29,K37))*CF!K28</f>
        <v>1.1910691583284283</v>
      </c>
      <c r="L90" s="449">
        <f>(L37/SUM(L29,L37))*CF!L28</f>
        <v>3.3500932901706877</v>
      </c>
      <c r="M90" s="427">
        <f>(M37/SUM(M29,M37))*CF!M28</f>
        <v>-1.3823214285714285</v>
      </c>
      <c r="N90" s="427">
        <f>(N37/SUM(N29,N37))*CF!N28</f>
        <v>2.6249189765458425</v>
      </c>
      <c r="O90" s="427">
        <f>(O37/SUM(O29,O37))*CF!O28</f>
        <v>0.85633375119388722</v>
      </c>
      <c r="P90" s="427">
        <f>(P37/SUM(P29,P37))*CF!P28</f>
        <v>2.4496684482976305</v>
      </c>
      <c r="Q90" s="449">
        <f>(Q37/SUM(Q29,Q37))*CF!Q28</f>
        <v>4.1560989857329229</v>
      </c>
      <c r="R90" s="427">
        <f>(R37/SUM(R29,R37))*CF!R28</f>
        <v>-0.61219122165996542</v>
      </c>
      <c r="S90" s="427">
        <f>(S37/SUM(S29,S37))*CF!S28</f>
        <v>1.5731691998950983</v>
      </c>
      <c r="T90" s="427">
        <f>(T37/SUM(T29,T37))*CF!T28</f>
        <v>0.89872401309371552</v>
      </c>
      <c r="U90" s="427">
        <f>(U37/SUM(U29,U37))*CF!U28</f>
        <v>1.8729134212556149</v>
      </c>
      <c r="V90" s="449">
        <f>(V37/SUM(V29,V37))*CF!V28</f>
        <v>3.0496422813412178</v>
      </c>
      <c r="W90" s="427">
        <f>(W37/SUM(W29,W37))*CF!W28</f>
        <v>-0.52953841734093121</v>
      </c>
      <c r="X90" s="427">
        <f>(X37/SUM(X29,X37))*CF!X28</f>
        <v>2.0339801907652006</v>
      </c>
      <c r="Y90" s="427">
        <f>(Y37/SUM(Y29,Y37))*CF!Y28</f>
        <v>1.3506770658201446</v>
      </c>
      <c r="Z90" s="427">
        <f>(Z37/SUM(Z29,Z37))*CF!Z28</f>
        <v>1.9356923076923076</v>
      </c>
      <c r="AA90" s="449">
        <f>(AA37/SUM(AA29,AA37))*CF!AA28</f>
        <v>4.211368754956383</v>
      </c>
      <c r="AB90" s="427">
        <f>(AB37/SUM(AB29,AB37))*CF!AB28</f>
        <v>-0.81736739189044838</v>
      </c>
      <c r="AC90" s="427">
        <f>(AC37/SUM(AC29,AC37))*CF!AC28</f>
        <v>1.3781621096123466</v>
      </c>
      <c r="AD90" s="427">
        <f>(AD37/SUM(AD29,AD37))*CF!AD28</f>
        <v>1.4743774629592044</v>
      </c>
      <c r="AE90" s="427">
        <f>(AE37/SUM(AE29,AE37))*CF!AE28</f>
        <v>3.8662093654899312</v>
      </c>
      <c r="AF90" s="449">
        <f>(AF37/SUM(AF29,AF37))*CF!AF28</f>
        <v>6.168926420823408</v>
      </c>
      <c r="AG90" s="427">
        <f>(AG37/SUM(AG29,AG37))*CF!AG28</f>
        <v>-0.61645521795320546</v>
      </c>
      <c r="AH90" s="427">
        <f>(AH37/SUM(AH29,AH37))*CF!AH28</f>
        <v>2.404544508133414</v>
      </c>
      <c r="AI90" s="427">
        <f>(AI37/SUM(AI29,AI37))*CF!AI28</f>
        <v>0.49562316410450141</v>
      </c>
      <c r="AJ90" s="427">
        <f>(AJ37/SUM(AJ29,AJ37))*CF!AJ28</f>
        <v>9.4767858660777513</v>
      </c>
      <c r="AK90" s="449">
        <f>(AK37/SUM(AK29,AK37))*CF!AK28</f>
        <v>11.802803783490978</v>
      </c>
      <c r="AL90" s="427">
        <f>(AL37/SUM(AL29,AL37))*CF!AL28</f>
        <v>-4.9159073613346997</v>
      </c>
      <c r="AM90" s="427">
        <f>(AM37/SUM(AM29,AM37))*CF!AM28</f>
        <v>5.8774601991197946</v>
      </c>
      <c r="AN90" s="427">
        <f>(AN37/SUM(AN29,AN37))*CF!AN28</f>
        <v>3.2556444702960885</v>
      </c>
      <c r="AO90" s="427">
        <f>(AO37/SUM(AO29,AO37))*CF!AO28</f>
        <v>3.4178020037522674</v>
      </c>
      <c r="AP90" s="449">
        <f>(AP37/SUM(AP29,AP37))*CF!AP28</f>
        <v>7.5290649225444684</v>
      </c>
      <c r="AQ90" s="427">
        <f>(AQ37/SUM(AQ29,AQ37))*CF!AQ28</f>
        <v>0.32532065972222218</v>
      </c>
      <c r="AR90" s="427">
        <f>(AR37/SUM(AR29,AR37))*CF!AR28</f>
        <v>7.6075056275217667</v>
      </c>
      <c r="AS90" s="427">
        <f>(AS37/SUM(AS29,AS37))*CF!AS28</f>
        <v>8.8763039954253387</v>
      </c>
      <c r="AT90" s="603">
        <f>(AT37/SUM(AT29,AT37))*CF!AT28</f>
        <v>-1.0755769395327877</v>
      </c>
      <c r="AU90" s="449">
        <f>(AU37/SUM(AU29,AU37))*CF!AU28</f>
        <v>24.254702575163407</v>
      </c>
      <c r="AV90" s="603">
        <f>(AV37/SUM(AV29,AV37))*CF!AV28</f>
        <v>1.8762209064976072</v>
      </c>
      <c r="AW90" s="603">
        <f>(AW37/SUM(AW29,AW37))*CF!AW28</f>
        <v>12.482272588151448</v>
      </c>
      <c r="AX90" s="603">
        <f>(AX37/SUM(AX29,AX37))*CF!AX28</f>
        <v>13.265797114608176</v>
      </c>
      <c r="AY90" s="603">
        <f>(AY37/SUM(AY29,AY37))*CF!AY28</f>
        <v>-1.0432751693630373</v>
      </c>
      <c r="AZ90" s="449">
        <f>(AZ37/SUM(AZ29,AZ37))*CF!AZ28</f>
        <v>36.247136296159901</v>
      </c>
      <c r="BA90" s="603">
        <f>(BA37/SUM(BA29,BA37))*CF!BA28</f>
        <v>5.1635165806607581</v>
      </c>
      <c r="BB90" s="603">
        <f>(BB37/SUM(BB29,BB37))*CF!BB28</f>
        <v>23.122863634504551</v>
      </c>
      <c r="BC90" s="603">
        <f>(BC37/SUM(BC29,BC37))*CF!BC28</f>
        <v>24.567316697479193</v>
      </c>
      <c r="BD90" s="603">
        <f>(BD37/SUM(BD29,BD37))*CF!BD28</f>
        <v>-2.706463428142067</v>
      </c>
      <c r="BE90" s="449">
        <f>(BE37/SUM(BE29,BE37))*CF!BE28</f>
        <v>61.885512282407348</v>
      </c>
      <c r="BF90" s="603">
        <f>(BF37/SUM(BF29,BF37))*CF!BF28</f>
        <v>-2.0941359880761317</v>
      </c>
      <c r="BG90" s="603">
        <f>(BG37/SUM(BG29,BG37))*CF!BG28</f>
        <v>29.932600409876947</v>
      </c>
      <c r="BH90" s="603">
        <f>(BH37/SUM(BH29,BH37))*CF!BH28</f>
        <v>36.849179295213418</v>
      </c>
      <c r="BI90" s="603">
        <f>(BI37/SUM(BI29,BI37))*CF!BI28</f>
        <v>-1.7512920778544658</v>
      </c>
      <c r="BJ90" s="449">
        <f>(BJ37/SUM(BJ29,BJ37))*CF!BJ28</f>
        <v>76.946923106439215</v>
      </c>
      <c r="BK90" s="603">
        <f>(BK37/SUM(BK29,BK37))*CF!BK28</f>
        <v>-6.7027128383204095</v>
      </c>
      <c r="BL90" s="603">
        <f>(BL37/SUM(BL29,BL37))*CF!BL28</f>
        <v>35.763204107412548</v>
      </c>
      <c r="BM90" s="603">
        <f>(BM37/SUM(BM29,BM37))*CF!BM28</f>
        <v>50.917818986325749</v>
      </c>
      <c r="BN90" s="603">
        <f>(BN37/SUM(BN29,BN37))*CF!BN28</f>
        <v>-6.3768861217160158</v>
      </c>
      <c r="BO90" s="449">
        <f>(BO37/SUM(BO29,BO37))*CF!BO28</f>
        <v>90.148781994515218</v>
      </c>
    </row>
    <row r="91" spans="1:67" hidden="1" outlineLevel="1">
      <c r="A91" s="319"/>
      <c r="C91" s="448"/>
      <c r="D91" s="384"/>
      <c r="E91" s="384"/>
      <c r="F91" s="427"/>
      <c r="G91" s="449"/>
      <c r="H91" s="448"/>
      <c r="I91" s="384"/>
      <c r="J91" s="384"/>
      <c r="K91" s="427"/>
      <c r="L91" s="449"/>
      <c r="M91" s="427"/>
      <c r="N91" s="427"/>
      <c r="O91" s="427"/>
      <c r="P91" s="427"/>
      <c r="Q91" s="449"/>
      <c r="R91" s="427"/>
      <c r="S91" s="427"/>
      <c r="T91" s="427"/>
      <c r="U91" s="427"/>
      <c r="V91" s="449"/>
      <c r="W91" s="427"/>
      <c r="X91" s="427"/>
      <c r="Y91" s="427"/>
      <c r="Z91" s="427"/>
      <c r="AA91" s="449"/>
      <c r="AB91" s="427"/>
      <c r="AC91" s="427"/>
      <c r="AD91" s="427"/>
      <c r="AE91" s="427"/>
      <c r="AF91" s="449"/>
      <c r="AG91" s="427"/>
      <c r="AH91" s="427"/>
      <c r="AI91" s="427"/>
      <c r="AJ91" s="427"/>
      <c r="AK91" s="449"/>
      <c r="AL91" s="427"/>
      <c r="AM91" s="427"/>
      <c r="AN91" s="427"/>
      <c r="AO91" s="427"/>
      <c r="AP91" s="449"/>
      <c r="AQ91" s="427"/>
      <c r="AR91" s="427"/>
      <c r="AS91" s="427"/>
      <c r="AT91" s="605"/>
      <c r="AU91" s="449"/>
      <c r="AV91" s="605"/>
      <c r="AW91" s="605"/>
      <c r="AX91" s="605"/>
      <c r="AY91" s="605"/>
      <c r="AZ91" s="449"/>
      <c r="BA91" s="605"/>
      <c r="BB91" s="605"/>
      <c r="BC91" s="605"/>
      <c r="BD91" s="605"/>
      <c r="BE91" s="449"/>
      <c r="BF91" s="605"/>
      <c r="BG91" s="605"/>
      <c r="BH91" s="605"/>
      <c r="BI91" s="605"/>
      <c r="BJ91" s="449"/>
      <c r="BK91" s="605"/>
      <c r="BL91" s="605"/>
      <c r="BM91" s="605"/>
      <c r="BN91" s="605"/>
      <c r="BO91" s="449"/>
    </row>
    <row r="92" spans="1:67" hidden="1" outlineLevel="1">
      <c r="A92" s="444"/>
      <c r="B92" s="1059" t="s">
        <v>262</v>
      </c>
      <c r="C92" s="445"/>
      <c r="D92" s="446"/>
      <c r="E92" s="446"/>
      <c r="F92" s="438"/>
      <c r="G92" s="447"/>
      <c r="H92" s="445"/>
      <c r="I92" s="446"/>
      <c r="J92" s="446"/>
      <c r="K92" s="438">
        <f>K30/K55</f>
        <v>0.11224712361633675</v>
      </c>
      <c r="L92" s="447">
        <f t="shared" ref="L92:Q92" si="172">L30/L55</f>
        <v>4.2589948896199284E-2</v>
      </c>
      <c r="M92" s="438">
        <f t="shared" si="172"/>
        <v>0.31586774968539072</v>
      </c>
      <c r="N92" s="438">
        <f t="shared" si="172"/>
        <v>0.2721788561295348</v>
      </c>
      <c r="O92" s="438">
        <f t="shared" si="172"/>
        <v>0.22751054621158168</v>
      </c>
      <c r="P92" s="438">
        <f t="shared" si="172"/>
        <v>0.20631300460703367</v>
      </c>
      <c r="Q92" s="447">
        <f t="shared" si="172"/>
        <v>6.833668243008445E-2</v>
      </c>
      <c r="R92" s="438">
        <f t="shared" ref="R92:AK92" si="173">R30/R55</f>
        <v>0.16774341772733539</v>
      </c>
      <c r="S92" s="438">
        <f t="shared" si="173"/>
        <v>0.12921251267415226</v>
      </c>
      <c r="T92" s="438">
        <f t="shared" si="173"/>
        <v>0.12111587229990475</v>
      </c>
      <c r="U92" s="438">
        <f t="shared" si="173"/>
        <v>0.10316856115296773</v>
      </c>
      <c r="V92" s="447">
        <f t="shared" si="173"/>
        <v>3.3189820437159762E-2</v>
      </c>
      <c r="W92" s="438">
        <f t="shared" si="173"/>
        <v>9.0575499969420825E-2</v>
      </c>
      <c r="X92" s="438">
        <f t="shared" si="173"/>
        <v>7.5830829028868688E-2</v>
      </c>
      <c r="Y92" s="438">
        <f t="shared" si="173"/>
        <v>7.5331672851115736E-2</v>
      </c>
      <c r="Z92" s="438">
        <f t="shared" si="173"/>
        <v>6.5405681468781104E-2</v>
      </c>
      <c r="AA92" s="447">
        <f t="shared" si="173"/>
        <v>2.0585946181787166E-2</v>
      </c>
      <c r="AB92" s="438">
        <f t="shared" si="173"/>
        <v>6.4630384188308368E-2</v>
      </c>
      <c r="AC92" s="438">
        <f t="shared" si="173"/>
        <v>5.3504488705836926E-2</v>
      </c>
      <c r="AD92" s="438">
        <f t="shared" si="173"/>
        <v>5.2534163453183694E-2</v>
      </c>
      <c r="AE92" s="438">
        <f t="shared" si="173"/>
        <v>4.6350498801382659E-2</v>
      </c>
      <c r="AF92" s="447">
        <f t="shared" si="173"/>
        <v>1.3216605451335387E-2</v>
      </c>
      <c r="AG92" s="438">
        <f t="shared" si="173"/>
        <v>4.6808926890517785E-2</v>
      </c>
      <c r="AH92" s="438">
        <f t="shared" si="173"/>
        <v>5.0215276149895106E-2</v>
      </c>
      <c r="AI92" s="438">
        <f t="shared" si="173"/>
        <v>4.5422536650081113E-2</v>
      </c>
      <c r="AJ92" s="438">
        <f t="shared" si="173"/>
        <v>4.3815727140476497E-2</v>
      </c>
      <c r="AK92" s="447">
        <f t="shared" si="173"/>
        <v>1.2094827380403059E-2</v>
      </c>
      <c r="AL92" s="438">
        <f t="shared" ref="AL92:AQ92" si="174">AL30/AL55</f>
        <v>3.7335180382981246E-2</v>
      </c>
      <c r="AM92" s="438">
        <f t="shared" si="174"/>
        <v>3.7801715654396814E-2</v>
      </c>
      <c r="AN92" s="438">
        <f t="shared" si="174"/>
        <v>4.0641379734930906E-2</v>
      </c>
      <c r="AO92" s="438">
        <f t="shared" si="174"/>
        <v>3.6404633298539685E-2</v>
      </c>
      <c r="AP92" s="447">
        <f t="shared" si="174"/>
        <v>9.9059782770552357E-3</v>
      </c>
      <c r="AQ92" s="438">
        <f t="shared" si="174"/>
        <v>3.5600158913858322E-2</v>
      </c>
      <c r="AR92" s="438">
        <f t="shared" ref="AR92:AS92" si="175">AR30/AR55</f>
        <v>3.3283870567674761E-2</v>
      </c>
      <c r="AS92" s="438">
        <f t="shared" si="175"/>
        <v>3.3150054950536273E-2</v>
      </c>
      <c r="AT92" s="1064">
        <f>AO92+2.8%</f>
        <v>6.4404633298539682E-2</v>
      </c>
      <c r="AU92" s="447">
        <f t="shared" ref="AU92" si="176">AU30/AU55</f>
        <v>1.7301127272777314E-2</v>
      </c>
      <c r="AV92" s="1064">
        <f t="shared" ref="AV92:AY92" si="177">AQ92+3%</f>
        <v>6.5600158913858314E-2</v>
      </c>
      <c r="AW92" s="1064">
        <f t="shared" si="177"/>
        <v>6.328387056767476E-2</v>
      </c>
      <c r="AX92" s="1064">
        <f t="shared" si="177"/>
        <v>6.3150054950536272E-2</v>
      </c>
      <c r="AY92" s="1064">
        <f t="shared" si="177"/>
        <v>9.4404633298539681E-2</v>
      </c>
      <c r="AZ92" s="447">
        <f t="shared" ref="AZ92" si="178">AZ30/AZ55</f>
        <v>2.530530279733334E-2</v>
      </c>
      <c r="BA92" s="1064">
        <f t="shared" ref="BA92:BD92" si="179">AV92+1.5%</f>
        <v>8.0600158913858314E-2</v>
      </c>
      <c r="BB92" s="1064">
        <f t="shared" si="179"/>
        <v>7.828387056767476E-2</v>
      </c>
      <c r="BC92" s="1064">
        <f t="shared" si="179"/>
        <v>7.8150054950536271E-2</v>
      </c>
      <c r="BD92" s="1064">
        <f t="shared" si="179"/>
        <v>0.10940463329853968</v>
      </c>
      <c r="BE92" s="447">
        <f t="shared" ref="BE92" si="180">BE30/BE55</f>
        <v>2.9167036374338876E-2</v>
      </c>
      <c r="BF92" s="1064">
        <f t="shared" ref="BF92" si="181">BA92+1%</f>
        <v>9.0600158913858309E-2</v>
      </c>
      <c r="BG92" s="1064">
        <f t="shared" ref="BG92" si="182">BB92+1%</f>
        <v>8.8283870567674755E-2</v>
      </c>
      <c r="BH92" s="1064">
        <f t="shared" ref="BH92" si="183">BC92+1%</f>
        <v>8.8150054950536266E-2</v>
      </c>
      <c r="BI92" s="1064">
        <f t="shared" ref="BI92" si="184">BD92+1%</f>
        <v>0.11940463329853968</v>
      </c>
      <c r="BJ92" s="447">
        <f t="shared" ref="BJ92" si="185">BJ30/BJ55</f>
        <v>3.218561255595672E-2</v>
      </c>
      <c r="BK92" s="1064">
        <f t="shared" ref="BK92" si="186">BF92+1%</f>
        <v>0.1006001589138583</v>
      </c>
      <c r="BL92" s="1064">
        <f t="shared" ref="BL92" si="187">BG92+1%</f>
        <v>9.828387056767475E-2</v>
      </c>
      <c r="BM92" s="1064">
        <f t="shared" ref="BM92" si="188">BH92+1%</f>
        <v>9.8150054950536261E-2</v>
      </c>
      <c r="BN92" s="1064">
        <f t="shared" ref="BN92" si="189">BI92+1%</f>
        <v>0.12940463329853968</v>
      </c>
      <c r="BO92" s="447">
        <f t="shared" ref="BO92" si="190">BO30/BO55</f>
        <v>3.4627233005392825E-2</v>
      </c>
    </row>
    <row r="93" spans="1:67" hidden="1" outlineLevel="1">
      <c r="A93" s="319"/>
      <c r="B93" s="983" t="s">
        <v>259</v>
      </c>
      <c r="C93" s="448"/>
      <c r="D93" s="384"/>
      <c r="E93" s="384"/>
      <c r="F93" s="427"/>
      <c r="G93" s="449"/>
      <c r="H93" s="448"/>
      <c r="I93" s="384"/>
      <c r="J93" s="384"/>
      <c r="K93" s="427">
        <f>(K30/SUM(K30,K35))*CF!K29</f>
        <v>-0.20313169267707082</v>
      </c>
      <c r="L93" s="449">
        <f>(L30/SUM(L30,L35))*CF!L29</f>
        <v>-0.62694051620648261</v>
      </c>
      <c r="M93" s="427">
        <f>(M30/SUM(M30,M35))*CF!M29</f>
        <v>0.23946603836229244</v>
      </c>
      <c r="N93" s="427">
        <f>(N30/SUM(N30,N35))*CF!N29</f>
        <v>-3.1795662695895295E-2</v>
      </c>
      <c r="O93" s="427">
        <f>(O30/SUM(O30,O35))*CF!O29</f>
        <v>-0.683503220477366</v>
      </c>
      <c r="P93" s="427">
        <f>(P30/SUM(P30,P35))*CF!P29</f>
        <v>-0.63396117708870758</v>
      </c>
      <c r="Q93" s="449">
        <f>(Q30/SUM(Q30,Q35))*CF!Q29</f>
        <v>-1.1522285070550533</v>
      </c>
      <c r="R93" s="427">
        <f>(R30/SUM(R30,R35))*CF!R29</f>
        <v>-0.66940665996384352</v>
      </c>
      <c r="S93" s="427">
        <f>(S30/SUM(S30,S35))*CF!S29</f>
        <v>-0.83834263051042646</v>
      </c>
      <c r="T93" s="427">
        <f>(T30/SUM(T30,T35))*CF!T29</f>
        <v>-0.56427128235242729</v>
      </c>
      <c r="U93" s="427">
        <f>(U30/SUM(U30,U35))*CF!U29</f>
        <v>-0.75540342334149813</v>
      </c>
      <c r="V93" s="449">
        <f>(V30/SUM(V30,V35))*CF!V29</f>
        <v>-3.0051856143387257</v>
      </c>
      <c r="W93" s="427">
        <f>(W30/SUM(W30,W35))*CF!W29</f>
        <v>-0.80990087268737854</v>
      </c>
      <c r="X93" s="427">
        <f>(X30/SUM(X30,X35))*CF!X29</f>
        <v>-0.86409703073931365</v>
      </c>
      <c r="Y93" s="427">
        <f>(Y30/SUM(Y30,Y35))*CF!Y29</f>
        <v>-1.0831797578117721</v>
      </c>
      <c r="Z93" s="427">
        <f>(Z30/SUM(Z30,Z35))*CF!Z29</f>
        <v>-1.6415051648836385</v>
      </c>
      <c r="AA93" s="449">
        <f>(AA30/SUM(AA30,AA35))*CF!AA29</f>
        <v>-4.6539123157389586</v>
      </c>
      <c r="AB93" s="427">
        <f>(AB30/SUM(AB30,AB35))*CF!AB29</f>
        <v>-1.1069917937148084</v>
      </c>
      <c r="AC93" s="427">
        <f>(AC30/SUM(AC30,AC35))*CF!AC29</f>
        <v>-1.0795759791857116</v>
      </c>
      <c r="AD93" s="427">
        <f>(AD30/SUM(AD30,AD35))*CF!AD29</f>
        <v>-1.2647688731929085</v>
      </c>
      <c r="AE93" s="427">
        <f>(AE30/SUM(AE30,AE35))*CF!AE29</f>
        <v>-1.4283073297888405</v>
      </c>
      <c r="AF93" s="449">
        <f>(AF30/SUM(AF30,AF35))*CF!AF29</f>
        <v>-4.5934519943733161</v>
      </c>
      <c r="AG93" s="427">
        <f>(AG30/SUM(AG30,AG35))*CF!AG29</f>
        <v>-1.2328059628869541</v>
      </c>
      <c r="AH93" s="427">
        <f>(AH30/SUM(AH30,AH35))*CF!AH29</f>
        <v>-0.5997263282713271</v>
      </c>
      <c r="AI93" s="427">
        <f>(AI30/SUM(AI30,AI35))*CF!AI29</f>
        <v>-1.4807514849307031</v>
      </c>
      <c r="AJ93" s="427">
        <f>(AJ30/SUM(AJ30,AJ35))*CF!AJ29</f>
        <v>-1.3860202443911231</v>
      </c>
      <c r="AK93" s="449">
        <f>(AK30/SUM(AK30,AK35))*CF!AK29</f>
        <v>-4.7734541931585763</v>
      </c>
      <c r="AL93" s="427">
        <f>(AL30/SUM(AL30,AL35))*CF!AL29</f>
        <v>-1.4861014002966517</v>
      </c>
      <c r="AM93" s="427">
        <f>(AM30/SUM(AM30,AM35))*CF!AM29</f>
        <v>-1.2509889166656012</v>
      </c>
      <c r="AN93" s="427">
        <f>(AN30/SUM(AN30,AN35))*CF!AN29</f>
        <v>-1.0629392738120422</v>
      </c>
      <c r="AO93" s="427">
        <f>(AO30/SUM(AO30,AO35))*CF!AO29</f>
        <v>-1.1605877614256264</v>
      </c>
      <c r="AP93" s="449">
        <f>(AP30/SUM(AP30,AP35))*CF!AP29</f>
        <v>-4.1425003879238469</v>
      </c>
      <c r="AQ93" s="427">
        <f>(AQ30/SUM(AQ30,AQ35))*CF!AQ29</f>
        <v>-1.0603702503603651</v>
      </c>
      <c r="AR93" s="427">
        <f>(AR30/SUM(AR30,AR35))*CF!AR29</f>
        <v>-1.3316267199481586</v>
      </c>
      <c r="AS93" s="427">
        <f>(AS30/SUM(AS30,AS35))*CF!AS29</f>
        <v>-1.5763165353326827</v>
      </c>
      <c r="AT93" s="603">
        <f>(AT30/SUM(AT30,AT35))*CF!AT29</f>
        <v>26.521259404019954</v>
      </c>
      <c r="AU93" s="449">
        <f>(AU30/SUM(AU30,AU35))*CF!AU29</f>
        <v>20.91899099532899</v>
      </c>
      <c r="AV93" s="603">
        <f>(AV30/SUM(AV30,AV35))*CF!AV29</f>
        <v>1.6375467105894432</v>
      </c>
      <c r="AW93" s="603">
        <f>(AW30/SUM(AW30,AW35))*CF!AW29</f>
        <v>0.10665664701619415</v>
      </c>
      <c r="AX93" s="603">
        <f>(AX30/SUM(AX30,AX35))*CF!AX29</f>
        <v>-0.4916391047363306</v>
      </c>
      <c r="AY93" s="603">
        <f>(AY30/SUM(AY30,AY35))*CF!AY29</f>
        <v>42.519739082686357</v>
      </c>
      <c r="AZ93" s="449">
        <f>(AZ30/SUM(AZ30,AZ35))*CF!AZ29</f>
        <v>44.086387193813778</v>
      </c>
      <c r="BA93" s="603">
        <f>(BA30/SUM(BA30,BA35))*CF!BA29</f>
        <v>-4.3721427644773154</v>
      </c>
      <c r="BB93" s="603">
        <f>(BB30/SUM(BB30,BB35))*CF!BB29</f>
        <v>1.4588025928261703</v>
      </c>
      <c r="BC93" s="603">
        <f>(BC30/SUM(BC30,BC35))*CF!BC29</f>
        <v>0.55454869596863865</v>
      </c>
      <c r="BD93" s="603">
        <f>(BD30/SUM(BD30,BD35))*CF!BD29</f>
        <v>55.286674687331136</v>
      </c>
      <c r="BE93" s="449">
        <f>(BE30/SUM(BE30,BE35))*CF!BE29</f>
        <v>52.437837974783804</v>
      </c>
      <c r="BF93" s="603">
        <f>(BF30/SUM(BF30,BF35))*CF!BF29</f>
        <v>-15.033669536958444</v>
      </c>
      <c r="BG93" s="603">
        <f>(BG30/SUM(BG30,BG35))*CF!BG29</f>
        <v>2.0594067011006807</v>
      </c>
      <c r="BH93" s="603">
        <f>(BH30/SUM(BH30,BH35))*CF!BH29</f>
        <v>4.8612034627273308</v>
      </c>
      <c r="BI93" s="603">
        <f>(BI30/SUM(BI30,BI35))*CF!BI29</f>
        <v>74.130416668487982</v>
      </c>
      <c r="BJ93" s="449">
        <f>(BJ30/SUM(BJ30,BJ35))*CF!BJ29</f>
        <v>64.391994698421414</v>
      </c>
      <c r="BK93" s="603">
        <f>(BK30/SUM(BK30,BK35))*CF!BK29</f>
        <v>-21.064374019556585</v>
      </c>
      <c r="BL93" s="603">
        <f>(BL30/SUM(BL30,BL35))*CF!BL29</f>
        <v>0.1474710837163167</v>
      </c>
      <c r="BM93" s="603">
        <f>(BM30/SUM(BM30,BM35))*CF!BM29</f>
        <v>9.1518677869078466</v>
      </c>
      <c r="BN93" s="603">
        <f>(BN30/SUM(BN30,BN35))*CF!BN29</f>
        <v>92.569524681028128</v>
      </c>
      <c r="BO93" s="449">
        <f>(BO30/SUM(BO30,BO35))*CF!BO29</f>
        <v>78.643075824411255</v>
      </c>
    </row>
    <row r="94" spans="1:67" hidden="1" outlineLevel="1">
      <c r="A94" s="319"/>
      <c r="C94" s="448"/>
      <c r="D94" s="384"/>
      <c r="E94" s="384"/>
      <c r="F94" s="427"/>
      <c r="G94" s="449"/>
      <c r="H94" s="448"/>
      <c r="I94" s="384"/>
      <c r="J94" s="384"/>
      <c r="K94" s="427"/>
      <c r="L94" s="449"/>
      <c r="M94" s="427"/>
      <c r="N94" s="427"/>
      <c r="O94" s="427"/>
      <c r="P94" s="427"/>
      <c r="Q94" s="449"/>
      <c r="R94" s="427"/>
      <c r="S94" s="427"/>
      <c r="T94" s="427"/>
      <c r="U94" s="427"/>
      <c r="V94" s="449"/>
      <c r="W94" s="427"/>
      <c r="X94" s="427"/>
      <c r="Y94" s="427"/>
      <c r="Z94" s="427"/>
      <c r="AA94" s="449"/>
      <c r="AB94" s="427"/>
      <c r="AC94" s="427"/>
      <c r="AD94" s="427"/>
      <c r="AE94" s="427"/>
      <c r="AF94" s="449"/>
      <c r="AG94" s="427"/>
      <c r="AH94" s="427"/>
      <c r="AI94" s="427"/>
      <c r="AJ94" s="427"/>
      <c r="AK94" s="449"/>
      <c r="AL94" s="427"/>
      <c r="AM94" s="427"/>
      <c r="AN94" s="427"/>
      <c r="AO94" s="427"/>
      <c r="AP94" s="449"/>
      <c r="AQ94" s="427"/>
      <c r="AR94" s="427"/>
      <c r="AS94" s="427"/>
      <c r="AT94" s="605"/>
      <c r="AU94" s="449"/>
      <c r="AV94" s="605"/>
      <c r="AW94" s="605"/>
      <c r="AX94" s="605"/>
      <c r="AY94" s="605"/>
      <c r="AZ94" s="449"/>
      <c r="BA94" s="605"/>
      <c r="BB94" s="605"/>
      <c r="BC94" s="605"/>
      <c r="BD94" s="605"/>
      <c r="BE94" s="449"/>
      <c r="BF94" s="605"/>
      <c r="BG94" s="605"/>
      <c r="BH94" s="605"/>
      <c r="BI94" s="605"/>
      <c r="BJ94" s="449"/>
      <c r="BK94" s="605"/>
      <c r="BL94" s="605"/>
      <c r="BM94" s="605"/>
      <c r="BN94" s="605"/>
      <c r="BO94" s="449"/>
    </row>
    <row r="95" spans="1:67" hidden="1" outlineLevel="1">
      <c r="A95" s="444"/>
      <c r="B95" s="1059" t="s">
        <v>263</v>
      </c>
      <c r="C95" s="445"/>
      <c r="D95" s="446"/>
      <c r="E95" s="446"/>
      <c r="F95" s="438"/>
      <c r="G95" s="447"/>
      <c r="H95" s="445"/>
      <c r="I95" s="446"/>
      <c r="J95" s="446"/>
      <c r="K95" s="438">
        <f t="shared" ref="K95:AK95" si="191">K35/K55</f>
        <v>0.34197611647309006</v>
      </c>
      <c r="L95" s="447">
        <f t="shared" si="191"/>
        <v>0.12975606728322264</v>
      </c>
      <c r="M95" s="438">
        <f t="shared" si="191"/>
        <v>3.6122640430156734</v>
      </c>
      <c r="N95" s="438">
        <f t="shared" si="191"/>
        <v>3.254644591391969</v>
      </c>
      <c r="O95" s="438">
        <f t="shared" si="191"/>
        <v>2.6410727003780203</v>
      </c>
      <c r="P95" s="438">
        <f t="shared" si="191"/>
        <v>2.2028805364229349</v>
      </c>
      <c r="Q95" s="447">
        <f t="shared" si="191"/>
        <v>0.72965612582531325</v>
      </c>
      <c r="R95" s="438">
        <f t="shared" si="191"/>
        <v>1.7334466755502458</v>
      </c>
      <c r="S95" s="438">
        <f t="shared" si="191"/>
        <v>1.3838672124375682</v>
      </c>
      <c r="T95" s="438">
        <f t="shared" si="191"/>
        <v>1.169736380494161</v>
      </c>
      <c r="U95" s="438">
        <f t="shared" si="191"/>
        <v>0.97071377943454173</v>
      </c>
      <c r="V95" s="447">
        <f t="shared" si="191"/>
        <v>0.31228327385064414</v>
      </c>
      <c r="W95" s="438">
        <f t="shared" si="191"/>
        <v>0.78543033628349501</v>
      </c>
      <c r="X95" s="438">
        <f t="shared" si="191"/>
        <v>0.64018104468071046</v>
      </c>
      <c r="Y95" s="438">
        <f t="shared" si="191"/>
        <v>0.53431546969420607</v>
      </c>
      <c r="Z95" s="438">
        <f t="shared" si="191"/>
        <v>0.47214245884296485</v>
      </c>
      <c r="AA95" s="447">
        <f t="shared" si="191"/>
        <v>0.1486032868951479</v>
      </c>
      <c r="AB95" s="438">
        <f t="shared" si="191"/>
        <v>0.42439229966072478</v>
      </c>
      <c r="AC95" s="438">
        <f t="shared" si="191"/>
        <v>0.43268550099749015</v>
      </c>
      <c r="AD95" s="438">
        <f t="shared" si="191"/>
        <v>0.40395276359536691</v>
      </c>
      <c r="AE95" s="438">
        <f t="shared" si="191"/>
        <v>0.38090395441858571</v>
      </c>
      <c r="AF95" s="447">
        <f t="shared" si="191"/>
        <v>0.10861279620692478</v>
      </c>
      <c r="AG95" s="438">
        <f t="shared" si="191"/>
        <v>0.36185593626673546</v>
      </c>
      <c r="AH95" s="438">
        <f t="shared" si="191"/>
        <v>0.39020619627369002</v>
      </c>
      <c r="AI95" s="438">
        <f t="shared" si="191"/>
        <v>0.34464492701311544</v>
      </c>
      <c r="AJ95" s="438">
        <f t="shared" si="191"/>
        <v>0.32791703616501372</v>
      </c>
      <c r="AK95" s="447">
        <f t="shared" si="191"/>
        <v>9.0517725171914087E-2</v>
      </c>
      <c r="AL95" s="438">
        <f t="shared" ref="AL95:AQ95" si="192">AL35/AL55</f>
        <v>0.29865851583607761</v>
      </c>
      <c r="AM95" s="438">
        <f t="shared" si="192"/>
        <v>0.32223939743768293</v>
      </c>
      <c r="AN95" s="438">
        <f t="shared" si="192"/>
        <v>0.30557566442414447</v>
      </c>
      <c r="AO95" s="438">
        <f t="shared" si="192"/>
        <v>0.38288354935800639</v>
      </c>
      <c r="AP95" s="447">
        <f t="shared" si="192"/>
        <v>0.10418553296440873</v>
      </c>
      <c r="AQ95" s="438">
        <f t="shared" si="192"/>
        <v>0.36184090573222244</v>
      </c>
      <c r="AR95" s="438">
        <f t="shared" ref="AR95:AS95" si="193">AR35/AR55</f>
        <v>0.33061681145952421</v>
      </c>
      <c r="AS95" s="438">
        <f t="shared" si="193"/>
        <v>0.30312084418534291</v>
      </c>
      <c r="AT95" s="1064">
        <f>AO95+4%</f>
        <v>0.42288354935800637</v>
      </c>
      <c r="AU95" s="607">
        <f>AP95</f>
        <v>0.10418553296440873</v>
      </c>
      <c r="AV95" s="1064">
        <f t="shared" ref="AV95:AY95" si="194">AQ95+4.5%</f>
        <v>0.40684090573222242</v>
      </c>
      <c r="AW95" s="1064">
        <f t="shared" si="194"/>
        <v>0.37561681145952419</v>
      </c>
      <c r="AX95" s="1064">
        <f t="shared" si="194"/>
        <v>0.34812084418534289</v>
      </c>
      <c r="AY95" s="1064">
        <f t="shared" si="194"/>
        <v>0.46788354935800636</v>
      </c>
      <c r="AZ95" s="607">
        <f>AU95</f>
        <v>0.10418553296440873</v>
      </c>
      <c r="BA95" s="1064">
        <f t="shared" ref="BA95:BD95" si="195">AV95+3%</f>
        <v>0.43684090573222245</v>
      </c>
      <c r="BB95" s="1064">
        <f t="shared" si="195"/>
        <v>0.40561681145952422</v>
      </c>
      <c r="BC95" s="1064">
        <f t="shared" si="195"/>
        <v>0.37812084418534286</v>
      </c>
      <c r="BD95" s="1064">
        <f t="shared" si="195"/>
        <v>0.49788354935800638</v>
      </c>
      <c r="BE95" s="607">
        <f>AZ95</f>
        <v>0.10418553296440873</v>
      </c>
      <c r="BF95" s="1064">
        <f t="shared" ref="BF95" si="196">BA95+1%</f>
        <v>0.44684090573222246</v>
      </c>
      <c r="BG95" s="1064">
        <f t="shared" ref="BG95" si="197">BB95+1%</f>
        <v>0.41561681145952423</v>
      </c>
      <c r="BH95" s="1064">
        <f t="shared" ref="BH95" si="198">BC95+1%</f>
        <v>0.38812084418534287</v>
      </c>
      <c r="BI95" s="1064">
        <f t="shared" ref="BI95" si="199">BD95+1%</f>
        <v>0.50788354935800639</v>
      </c>
      <c r="BJ95" s="607">
        <f>BE95</f>
        <v>0.10418553296440873</v>
      </c>
      <c r="BK95" s="1064">
        <f t="shared" ref="BK95" si="200">BF95+1%</f>
        <v>0.45684090573222247</v>
      </c>
      <c r="BL95" s="1064">
        <f t="shared" ref="BL95" si="201">BG95+1%</f>
        <v>0.42561681145952424</v>
      </c>
      <c r="BM95" s="1064">
        <f t="shared" ref="BM95" si="202">BH95+1%</f>
        <v>0.39812084418534288</v>
      </c>
      <c r="BN95" s="1064">
        <f t="shared" ref="BN95" si="203">BI95+1%</f>
        <v>0.5178835493580064</v>
      </c>
      <c r="BO95" s="607">
        <f>BJ95</f>
        <v>0.10418553296440873</v>
      </c>
    </row>
    <row r="96" spans="1:67" hidden="1" outlineLevel="1">
      <c r="A96" s="319"/>
      <c r="B96" s="983" t="s">
        <v>259</v>
      </c>
      <c r="C96" s="448"/>
      <c r="D96" s="384"/>
      <c r="E96" s="384"/>
      <c r="F96" s="427"/>
      <c r="G96" s="449"/>
      <c r="H96" s="448"/>
      <c r="I96" s="384"/>
      <c r="J96" s="384"/>
      <c r="K96" s="427">
        <f>(K35/SUM(K30,K35))*CF!K29</f>
        <v>-0.61886830732292908</v>
      </c>
      <c r="L96" s="449">
        <f>(L35/SUM(L30,L35))*CF!L29</f>
        <v>-1.9100594837935172</v>
      </c>
      <c r="M96" s="427">
        <f>(M35/SUM(M30,M35))*CF!M29</f>
        <v>2.7385339616377076</v>
      </c>
      <c r="N96" s="427">
        <f>(N35/SUM(N30,N35))*CF!N29</f>
        <v>-0.38020433730410469</v>
      </c>
      <c r="O96" s="427">
        <f>(O35/SUM(O30,O35))*CF!O29</f>
        <v>-7.9344967795226351</v>
      </c>
      <c r="P96" s="427">
        <f>(P35/SUM(P30,P35))*CF!P29</f>
        <v>-6.769038822911293</v>
      </c>
      <c r="Q96" s="449">
        <f>(Q35/SUM(Q30,Q35))*CF!Q29</f>
        <v>-12.302771492944947</v>
      </c>
      <c r="R96" s="427">
        <f>(R35/SUM(R30,R35))*CF!R29</f>
        <v>-6.9175933400361567</v>
      </c>
      <c r="S96" s="427">
        <f>(S35/SUM(S30,S35))*CF!S29</f>
        <v>-8.9786573694895733</v>
      </c>
      <c r="T96" s="427">
        <f>(T35/SUM(T30,T35))*CF!T29</f>
        <v>-5.4497287176475728</v>
      </c>
      <c r="U96" s="427">
        <f>(U35/SUM(U30,U35))*CF!U29</f>
        <v>-7.1075965766585023</v>
      </c>
      <c r="V96" s="449">
        <f>(V35/SUM(V30,V35))*CF!V29</f>
        <v>-28.27581438566127</v>
      </c>
      <c r="W96" s="427">
        <f>(W35/SUM(W30,W35))*CF!W29</f>
        <v>-7.0230991273126211</v>
      </c>
      <c r="X96" s="427">
        <f>(X35/SUM(X30,X35))*CF!X29</f>
        <v>-7.2949029692606873</v>
      </c>
      <c r="Y96" s="427">
        <f>(Y35/SUM(Y30,Y35))*CF!Y29</f>
        <v>-7.682820242188229</v>
      </c>
      <c r="Z96" s="427">
        <f>(Z35/SUM(Z30,Z35))*CF!Z29</f>
        <v>-11.849494835116362</v>
      </c>
      <c r="AA96" s="449">
        <f>(AA35/SUM(AA30,AA35))*CF!AA29</f>
        <v>-33.595087684261046</v>
      </c>
      <c r="AB96" s="427">
        <f>(AB35/SUM(AB30,AB35))*CF!AB29</f>
        <v>-7.2690082062851902</v>
      </c>
      <c r="AC96" s="427">
        <f>(AC35/SUM(AC30,AC35))*CF!AC29</f>
        <v>-8.73042402081429</v>
      </c>
      <c r="AD96" s="427">
        <f>(AD35/SUM(AD30,AD35))*CF!AD29</f>
        <v>-9.7252311268070919</v>
      </c>
      <c r="AE96" s="427">
        <f>(AE35/SUM(AE30,AE35))*CF!AE29</f>
        <v>-11.73769267021116</v>
      </c>
      <c r="AF96" s="449">
        <f>(AF35/SUM(AF30,AF35))*CF!AF29</f>
        <v>-37.748548005626688</v>
      </c>
      <c r="AG96" s="427">
        <f>(AG35/SUM(AG30,AG35))*CF!AG29</f>
        <v>-9.5301940371130467</v>
      </c>
      <c r="AH96" s="427">
        <f>(AH35/SUM(AH30,AH35))*CF!AH29</f>
        <v>-4.6602736717286728</v>
      </c>
      <c r="AI96" s="427">
        <f>(AI35/SUM(AI30,AI35))*CF!AI29</f>
        <v>-11.235248515069296</v>
      </c>
      <c r="AJ96" s="427">
        <f>(AJ35/SUM(AJ30,AJ35))*CF!AJ29</f>
        <v>-10.372979755608878</v>
      </c>
      <c r="AK96" s="449">
        <f>(AK35/SUM(AK30,AK35))*CF!AK29</f>
        <v>-35.724545806841427</v>
      </c>
      <c r="AL96" s="427">
        <f>(AL35/SUM(AL30,AL35))*CF!AL29</f>
        <v>-11.887898599703348</v>
      </c>
      <c r="AM96" s="427">
        <f>(AM35/SUM(AM30,AM35))*CF!AM29</f>
        <v>-10.664011083334398</v>
      </c>
      <c r="AN96" s="427">
        <f>(AN35/SUM(AN30,AN35))*CF!AN29</f>
        <v>-7.9920607261879573</v>
      </c>
      <c r="AO96" s="427">
        <f>(AO35/SUM(AO30,AO35))*CF!AO29</f>
        <v>-12.206412238574375</v>
      </c>
      <c r="AP96" s="449">
        <f>(AP35/SUM(AP30,AP35))*CF!AP29</f>
        <v>-43.568499612076153</v>
      </c>
      <c r="AQ96" s="427">
        <f>(AQ35/SUM(AQ30,AQ35))*CF!AQ29</f>
        <v>-10.777629749639633</v>
      </c>
      <c r="AR96" s="427">
        <f>(AR35/SUM(AR30,AR35))*CF!AR29</f>
        <v>-13.227373280051841</v>
      </c>
      <c r="AS96" s="427">
        <f>(AS35/SUM(AS30,AS35))*CF!AS29</f>
        <v>-14.413683464667319</v>
      </c>
      <c r="AT96" s="603">
        <f>(AT35/SUM(AT30,AT35))*CF!AT29</f>
        <v>174.13971225065049</v>
      </c>
      <c r="AU96" s="449">
        <f>(AU35/SUM(AU30,AU35))*CF!AU29</f>
        <v>137.35498065934146</v>
      </c>
      <c r="AV96" s="603">
        <f>(AV35/SUM(AV30,AV35))*CF!AV29</f>
        <v>10.155783125310213</v>
      </c>
      <c r="AW96" s="603">
        <f>(AW35/SUM(AW30,AW35))*CF!AW29</f>
        <v>0.63305277180138875</v>
      </c>
      <c r="AX96" s="603">
        <f>(AX35/SUM(AX30,AX35))*CF!AX29</f>
        <v>-2.7102085708301389</v>
      </c>
      <c r="AY96" s="603">
        <f>(AY35/SUM(AY30,AY35))*CF!AY29</f>
        <v>210.73421658099247</v>
      </c>
      <c r="AZ96" s="449">
        <f>(AZ35/SUM(AZ30,AZ35))*CF!AZ29</f>
        <v>218.4987600490158</v>
      </c>
      <c r="BA96" s="603">
        <f>(BA35/SUM(BA30,BA35))*CF!BA29</f>
        <v>-23.696365254888619</v>
      </c>
      <c r="BB96" s="603">
        <f>(BB35/SUM(BB30,BB35))*CF!BB29</f>
        <v>7.558579461646735</v>
      </c>
      <c r="BC96" s="603">
        <f>(BC35/SUM(BC30,BC35))*CF!BC29</f>
        <v>2.6831257021413495</v>
      </c>
      <c r="BD96" s="603">
        <f>(BD35/SUM(BD30,BD35))*CF!BD29</f>
        <v>251.60109764654081</v>
      </c>
      <c r="BE96" s="449">
        <f>(BE35/SUM(BE30,BE35))*CF!BE29</f>
        <v>238.63648279230509</v>
      </c>
      <c r="BF96" s="603">
        <f>(BF35/SUM(BF30,BF35))*CF!BF29</f>
        <v>-74.146211142526937</v>
      </c>
      <c r="BG96" s="603">
        <f>(BG35/SUM(BG30,BG35))*CF!BG29</f>
        <v>9.6951350354958272</v>
      </c>
      <c r="BH96" s="603">
        <f>(BH35/SUM(BH30,BH35))*CF!BH29</f>
        <v>21.403666654197195</v>
      </c>
      <c r="BI96" s="603">
        <f>(BI35/SUM(BI30,BI35))*CF!BI29</f>
        <v>315.31120772212154</v>
      </c>
      <c r="BJ96" s="449">
        <f>(BJ35/SUM(BJ30,BJ35))*CF!BJ29</f>
        <v>273.88916086622379</v>
      </c>
      <c r="BK96" s="603">
        <f>(BK35/SUM(BK30,BK35))*CF!BK29</f>
        <v>-95.656585532996473</v>
      </c>
      <c r="BL96" s="603">
        <f>(BL35/SUM(BL30,BL35))*CF!BL29</f>
        <v>0.63862129229638687</v>
      </c>
      <c r="BM96" s="603">
        <f>(BM35/SUM(BM30,BM35))*CF!BM29</f>
        <v>37.122234226283439</v>
      </c>
      <c r="BN96" s="603">
        <f>(BN35/SUM(BN30,BN35))*CF!BN29</f>
        <v>370.46767787359761</v>
      </c>
      <c r="BO96" s="449">
        <f>(BO35/SUM(BO30,BO35))*CF!BO29</f>
        <v>314.73336156686543</v>
      </c>
    </row>
    <row r="97" spans="1:67" hidden="1" outlineLevel="1">
      <c r="A97" s="319"/>
      <c r="C97" s="448"/>
      <c r="D97" s="384"/>
      <c r="E97" s="384"/>
      <c r="F97" s="427"/>
      <c r="G97" s="449"/>
      <c r="H97" s="448"/>
      <c r="I97" s="384"/>
      <c r="J97" s="384"/>
      <c r="K97" s="427"/>
      <c r="L97" s="449"/>
      <c r="M97" s="427"/>
      <c r="N97" s="427"/>
      <c r="O97" s="427"/>
      <c r="P97" s="427"/>
      <c r="Q97" s="449"/>
      <c r="R97" s="427"/>
      <c r="S97" s="427"/>
      <c r="T97" s="427"/>
      <c r="U97" s="427"/>
      <c r="V97" s="449"/>
      <c r="W97" s="427"/>
      <c r="X97" s="427"/>
      <c r="Y97" s="427"/>
      <c r="Z97" s="427"/>
      <c r="AA97" s="449"/>
      <c r="AB97" s="427"/>
      <c r="AC97" s="427"/>
      <c r="AD97" s="427"/>
      <c r="AE97" s="427"/>
      <c r="AF97" s="449"/>
      <c r="AG97" s="427"/>
      <c r="AH97" s="427"/>
      <c r="AI97" s="427"/>
      <c r="AJ97" s="427"/>
      <c r="AK97" s="449"/>
      <c r="AL97" s="427"/>
      <c r="AM97" s="427"/>
      <c r="AN97" s="427"/>
      <c r="AO97" s="427"/>
      <c r="AP97" s="449"/>
      <c r="AQ97" s="427"/>
      <c r="AR97" s="427"/>
      <c r="AS97" s="427"/>
      <c r="AT97" s="440"/>
      <c r="AU97" s="449"/>
      <c r="AV97" s="440"/>
      <c r="AW97" s="440"/>
      <c r="AX97" s="440"/>
      <c r="AY97" s="440"/>
      <c r="AZ97" s="449"/>
      <c r="BA97" s="440"/>
      <c r="BB97" s="440"/>
      <c r="BC97" s="440"/>
      <c r="BD97" s="440"/>
      <c r="BE97" s="449"/>
      <c r="BF97" s="440"/>
      <c r="BG97" s="440"/>
      <c r="BH97" s="440"/>
      <c r="BI97" s="440"/>
      <c r="BJ97" s="449"/>
      <c r="BK97" s="440"/>
      <c r="BL97" s="440"/>
      <c r="BM97" s="440"/>
      <c r="BN97" s="440"/>
      <c r="BO97" s="449"/>
    </row>
    <row r="98" spans="1:67" s="87" customFormat="1" hidden="1" outlineLevel="1">
      <c r="A98" s="450"/>
      <c r="B98" s="1059" t="s">
        <v>8</v>
      </c>
      <c r="C98" s="451"/>
      <c r="D98" s="452"/>
      <c r="E98" s="452"/>
      <c r="F98" s="453"/>
      <c r="G98" s="454"/>
      <c r="H98" s="451"/>
      <c r="I98" s="452"/>
      <c r="J98" s="452"/>
      <c r="K98" s="453">
        <f>CF!K32</f>
        <v>-70.399000000000029</v>
      </c>
      <c r="L98" s="454">
        <f>CF!L32</f>
        <v>-143.98200000000003</v>
      </c>
      <c r="M98" s="453">
        <f>CF!M32</f>
        <v>-36.663000000000011</v>
      </c>
      <c r="N98" s="453">
        <f>CF!N32</f>
        <v>-73.353000000000009</v>
      </c>
      <c r="O98" s="453">
        <f>CF!O32</f>
        <v>-23.750000000000007</v>
      </c>
      <c r="P98" s="453">
        <f>CF!P32</f>
        <v>-42.791999999999973</v>
      </c>
      <c r="Q98" s="454">
        <f>CF!Q32</f>
        <v>-176.55799999999999</v>
      </c>
      <c r="R98" s="453">
        <f>CF!R32</f>
        <v>-6.5920000000000165</v>
      </c>
      <c r="S98" s="453">
        <f>CF!S32</f>
        <v>-38.685000000000031</v>
      </c>
      <c r="T98" s="453">
        <f>CF!T32</f>
        <v>-19.753999999999976</v>
      </c>
      <c r="U98" s="453">
        <f>CF!U32</f>
        <v>19.613999999999976</v>
      </c>
      <c r="V98" s="454">
        <f>CF!V32</f>
        <v>-45.417000000000044</v>
      </c>
      <c r="W98" s="453">
        <f>CF!W32</f>
        <v>21.854000000000042</v>
      </c>
      <c r="X98" s="453">
        <f>CF!X32</f>
        <v>-6.1110000000000184</v>
      </c>
      <c r="Y98" s="453">
        <f>CF!Y32</f>
        <v>15.538000000000061</v>
      </c>
      <c r="Z98" s="453">
        <f>CF!Z32</f>
        <v>78.897999999999968</v>
      </c>
      <c r="AA98" s="454">
        <f>CF!AA32</f>
        <v>110.17900000000006</v>
      </c>
      <c r="AB98" s="453">
        <f>CF!AB32</f>
        <v>184.61299999999997</v>
      </c>
      <c r="AC98" s="453">
        <f>CF!AC32</f>
        <v>64.433000000000035</v>
      </c>
      <c r="AD98" s="453">
        <f>CF!AD32</f>
        <v>79.276999999999902</v>
      </c>
      <c r="AE98" s="453">
        <f>CF!AE32</f>
        <v>217.31599999999997</v>
      </c>
      <c r="AF98" s="454">
        <f>CF!AF32</f>
        <v>545.6389999999999</v>
      </c>
      <c r="AG98" s="453">
        <f>CF!AG32</f>
        <v>299.44400000000002</v>
      </c>
      <c r="AH98" s="453">
        <f>CF!AH32</f>
        <v>83.190999999999903</v>
      </c>
      <c r="AI98" s="453">
        <f>CF!AI32</f>
        <v>120.90700000000004</v>
      </c>
      <c r="AJ98" s="453">
        <f>CF!AJ32</f>
        <v>344.58000000000004</v>
      </c>
      <c r="AK98" s="454">
        <f>CF!AK32</f>
        <v>848.12200000000007</v>
      </c>
      <c r="AL98" s="453">
        <f>CF!AL32</f>
        <v>355.4679999999999</v>
      </c>
      <c r="AM98" s="453">
        <f>CF!AM32</f>
        <v>69.864999999999824</v>
      </c>
      <c r="AN98" s="453">
        <f>CF!AN32</f>
        <v>101.70600000000007</v>
      </c>
      <c r="AO98" s="453">
        <f>CF!AO32</f>
        <v>432.72500000000014</v>
      </c>
      <c r="AP98" s="454">
        <f>CF!AP32</f>
        <v>959.7639999999999</v>
      </c>
      <c r="AQ98" s="453">
        <f>CF!AQ32</f>
        <v>228.37299999999982</v>
      </c>
      <c r="AR98" s="453">
        <f>CF!AR32</f>
        <v>74.896000000000015</v>
      </c>
      <c r="AS98" s="453">
        <f>CF!AS32</f>
        <v>137.51899999999983</v>
      </c>
      <c r="AT98" s="453">
        <f>CF!AT32</f>
        <v>778.12334199234817</v>
      </c>
      <c r="AU98" s="454">
        <f>CF!AU32</f>
        <v>1218.9113419923478</v>
      </c>
      <c r="AV98" s="453">
        <f>CF!AV32</f>
        <v>516.42904381033372</v>
      </c>
      <c r="AW98" s="453">
        <f>CF!AW32</f>
        <v>87.837711408083067</v>
      </c>
      <c r="AX98" s="453">
        <f>CF!AX32</f>
        <v>156.52918718246411</v>
      </c>
      <c r="AY98" s="453">
        <f>CF!AY32</f>
        <v>820.6461720508189</v>
      </c>
      <c r="AZ98" s="454">
        <f>CF!AZ32</f>
        <v>1581.4421144516998</v>
      </c>
      <c r="BA98" s="453">
        <f>CF!BA32</f>
        <v>607.80288150744786</v>
      </c>
      <c r="BB98" s="453">
        <f>CF!BB32</f>
        <v>164.97014530100705</v>
      </c>
      <c r="BC98" s="453">
        <f>CF!BC32</f>
        <v>243.67805306417969</v>
      </c>
      <c r="BD98" s="453">
        <f>CF!BD32</f>
        <v>1015.6678626552145</v>
      </c>
      <c r="BE98" s="454">
        <f>CF!BE32</f>
        <v>2032.1189425278492</v>
      </c>
      <c r="BF98" s="453">
        <f>CF!BF32</f>
        <v>722.32053858284326</v>
      </c>
      <c r="BG98" s="453">
        <f>CF!BG32</f>
        <v>233.02988895878525</v>
      </c>
      <c r="BH98" s="453">
        <f>CF!BH32</f>
        <v>380.79868948199612</v>
      </c>
      <c r="BI98" s="453">
        <f>CF!BI32</f>
        <v>1263.2794369387429</v>
      </c>
      <c r="BJ98" s="454">
        <f>CF!BJ32</f>
        <v>2599.4285539623675</v>
      </c>
      <c r="BK98" s="453">
        <f>CF!BK32</f>
        <v>853.00300552292833</v>
      </c>
      <c r="BL98" s="453">
        <f>CF!BL32</f>
        <v>354.74673405856493</v>
      </c>
      <c r="BM98" s="453">
        <f>CF!BM32</f>
        <v>556.59319321806754</v>
      </c>
      <c r="BN98" s="453">
        <f>CF!BN32</f>
        <v>1550.9610918639446</v>
      </c>
      <c r="BO98" s="454">
        <f>CF!BO32</f>
        <v>3315.3040246635055</v>
      </c>
    </row>
    <row r="99" spans="1:67" hidden="1" outlineLevel="1">
      <c r="A99" s="319"/>
      <c r="B99" s="987" t="s">
        <v>6</v>
      </c>
      <c r="C99" s="448"/>
      <c r="D99" s="384"/>
      <c r="E99" s="384"/>
      <c r="F99" s="436"/>
      <c r="G99" s="455"/>
      <c r="H99" s="448"/>
      <c r="I99" s="384"/>
      <c r="J99" s="384"/>
      <c r="K99" s="436">
        <f>K98/K55</f>
        <v>-1.9193794645291462</v>
      </c>
      <c r="L99" s="455">
        <f t="shared" ref="L99:Q99" si="204">L98/L55</f>
        <v>-1.4894792377878472</v>
      </c>
      <c r="M99" s="436">
        <f t="shared" si="204"/>
        <v>-0.83887427067841236</v>
      </c>
      <c r="N99" s="436">
        <f t="shared" si="204"/>
        <v>-1.2156814000894944</v>
      </c>
      <c r="O99" s="436">
        <f t="shared" si="204"/>
        <v>-0.32528899359009489</v>
      </c>
      <c r="P99" s="436">
        <f t="shared" si="204"/>
        <v>-0.48798065958126136</v>
      </c>
      <c r="Q99" s="455">
        <f t="shared" si="204"/>
        <v>-0.66689077915602757</v>
      </c>
      <c r="R99" s="436">
        <f t="shared" ref="R99:BJ99" si="205">R98/R55</f>
        <v>-6.0579883288149762E-2</v>
      </c>
      <c r="S99" s="436">
        <f t="shared" si="205"/>
        <v>-0.29054789890720673</v>
      </c>
      <c r="T99" s="436">
        <f t="shared" si="205"/>
        <v>-0.1237533203027112</v>
      </c>
      <c r="U99" s="436">
        <f t="shared" si="205"/>
        <v>0.10297955004856522</v>
      </c>
      <c r="V99" s="455">
        <f t="shared" si="205"/>
        <v>-7.6711555969185066E-2</v>
      </c>
      <c r="W99" s="436">
        <f t="shared" si="205"/>
        <v>9.5468167084582153E-2</v>
      </c>
      <c r="X99" s="436">
        <f t="shared" si="205"/>
        <v>-2.2450569071043942E-2</v>
      </c>
      <c r="Y99" s="436">
        <f t="shared" si="205"/>
        <v>4.6459614700350912E-2</v>
      </c>
      <c r="Z99" s="436">
        <f t="shared" si="205"/>
        <v>0.20558453673255606</v>
      </c>
      <c r="AA99" s="455">
        <f t="shared" si="205"/>
        <v>9.036050214585592E-2</v>
      </c>
      <c r="AB99" s="436">
        <f t="shared" si="205"/>
        <v>0.43708730002770063</v>
      </c>
      <c r="AC99" s="436">
        <f t="shared" si="205"/>
        <v>0.12957920393847747</v>
      </c>
      <c r="AD99" s="436">
        <f t="shared" si="205"/>
        <v>0.14232139138427496</v>
      </c>
      <c r="AE99" s="436">
        <f t="shared" si="205"/>
        <v>0.3689500383693371</v>
      </c>
      <c r="AF99" s="455">
        <f t="shared" si="205"/>
        <v>0.26414766425629788</v>
      </c>
      <c r="AG99" s="436">
        <f t="shared" si="205"/>
        <v>0.48018678670106912</v>
      </c>
      <c r="AH99" s="436">
        <f t="shared" si="205"/>
        <v>0.12342548715316196</v>
      </c>
      <c r="AI99" s="436">
        <f t="shared" si="205"/>
        <v>0.16468461793065128</v>
      </c>
      <c r="AJ99" s="436">
        <f t="shared" si="205"/>
        <v>0.44479210635356442</v>
      </c>
      <c r="AK99" s="455">
        <f t="shared" si="205"/>
        <v>0.30220036493996594</v>
      </c>
      <c r="AL99" s="436">
        <f t="shared" si="205"/>
        <v>0.42894188430438179</v>
      </c>
      <c r="AM99" s="436">
        <f t="shared" si="205"/>
        <v>8.0413386846342499E-2</v>
      </c>
      <c r="AN99" s="436">
        <f t="shared" si="205"/>
        <v>0.10795738004912468</v>
      </c>
      <c r="AO99" s="436">
        <f>AO98/AO55</f>
        <v>0.43852670835149038</v>
      </c>
      <c r="AP99" s="455">
        <f>AP98/AP55</f>
        <v>0.26466056106393232</v>
      </c>
      <c r="AQ99" s="436">
        <f t="shared" ref="AQ99:AS99" si="206">AQ98/AQ55</f>
        <v>0.21915238265228745</v>
      </c>
      <c r="AR99" s="436">
        <f t="shared" si="206"/>
        <v>6.5413124722154062E-2</v>
      </c>
      <c r="AS99" s="436">
        <f t="shared" si="206"/>
        <v>0.11337948683701733</v>
      </c>
      <c r="AT99" s="436">
        <f t="shared" si="205"/>
        <v>0.62309532175882365</v>
      </c>
      <c r="AU99" s="455">
        <f t="shared" si="205"/>
        <v>0.26220167062122884</v>
      </c>
      <c r="AV99" s="436">
        <f t="shared" si="205"/>
        <v>0.39331662479149165</v>
      </c>
      <c r="AW99" s="436">
        <f t="shared" si="205"/>
        <v>6.2074567300293711E-2</v>
      </c>
      <c r="AX99" s="436">
        <f t="shared" si="205"/>
        <v>0.10419203529917277</v>
      </c>
      <c r="AY99" s="436">
        <f t="shared" si="205"/>
        <v>0.52971326500487104</v>
      </c>
      <c r="AZ99" s="455">
        <f t="shared" si="205"/>
        <v>0.27362541253152883</v>
      </c>
      <c r="BA99" s="436">
        <f t="shared" si="205"/>
        <v>0.37305563560890592</v>
      </c>
      <c r="BB99" s="436">
        <f t="shared" si="205"/>
        <v>9.3689496981347486E-2</v>
      </c>
      <c r="BC99" s="436">
        <f t="shared" si="205"/>
        <v>0.12999342641122424</v>
      </c>
      <c r="BD99" s="436">
        <f t="shared" si="205"/>
        <v>0.53072645613775637</v>
      </c>
      <c r="BE99" s="455">
        <f t="shared" si="205"/>
        <v>0.28309013725629767</v>
      </c>
      <c r="BF99" s="436">
        <f t="shared" si="205"/>
        <v>0.36179156224252229</v>
      </c>
      <c r="BG99" s="436">
        <f t="shared" si="205"/>
        <v>0.10824864562430501</v>
      </c>
      <c r="BH99" s="436">
        <f t="shared" si="205"/>
        <v>0.16323950923708658</v>
      </c>
      <c r="BI99" s="436">
        <f t="shared" si="205"/>
        <v>0.52812887442839018</v>
      </c>
      <c r="BJ99" s="455">
        <f t="shared" si="205"/>
        <v>0.29292670770272922</v>
      </c>
      <c r="BK99" s="436">
        <f>BK98/BK55</f>
        <v>0.34363147940914701</v>
      </c>
      <c r="BL99" s="436">
        <f>BL98/BL55</f>
        <v>0.13423449814841085</v>
      </c>
      <c r="BM99" s="436">
        <f>BM98/BM55</f>
        <v>0.19305261803825832</v>
      </c>
      <c r="BN99" s="436">
        <f>BN98/BN55</f>
        <v>0.53009581002005923</v>
      </c>
      <c r="BO99" s="455">
        <f>BO98/BO55</f>
        <v>0.30321088792102308</v>
      </c>
    </row>
    <row r="100" spans="1:67" hidden="1" outlineLevel="1">
      <c r="A100" s="319"/>
      <c r="C100" s="448"/>
      <c r="D100" s="384"/>
      <c r="E100" s="384"/>
      <c r="F100" s="427"/>
      <c r="G100" s="449"/>
      <c r="H100" s="448"/>
      <c r="I100" s="384"/>
      <c r="J100" s="384"/>
      <c r="K100" s="427"/>
      <c r="L100" s="449"/>
      <c r="M100" s="427"/>
      <c r="N100" s="427"/>
      <c r="O100" s="427"/>
      <c r="P100" s="427"/>
      <c r="Q100" s="449"/>
      <c r="R100" s="427"/>
      <c r="S100" s="427"/>
      <c r="T100" s="427"/>
      <c r="U100" s="427"/>
      <c r="V100" s="449"/>
      <c r="W100" s="427"/>
      <c r="X100" s="427"/>
      <c r="Y100" s="427"/>
      <c r="Z100" s="427"/>
      <c r="AA100" s="449"/>
      <c r="AB100" s="427"/>
      <c r="AC100" s="427"/>
      <c r="AD100" s="427"/>
      <c r="AE100" s="427"/>
      <c r="AF100" s="449"/>
      <c r="AG100" s="427"/>
      <c r="AH100" s="427"/>
      <c r="AI100" s="427"/>
      <c r="AJ100" s="427"/>
      <c r="AK100" s="449"/>
      <c r="AL100" s="427"/>
      <c r="AM100" s="427"/>
      <c r="AN100" s="427"/>
      <c r="AO100" s="427"/>
      <c r="AP100" s="449"/>
      <c r="AQ100" s="427"/>
      <c r="AR100" s="427"/>
      <c r="AS100" s="427"/>
      <c r="AT100" s="427"/>
      <c r="AU100" s="449"/>
      <c r="AV100" s="427"/>
      <c r="AW100" s="427"/>
      <c r="AX100" s="427"/>
      <c r="AY100" s="427"/>
      <c r="AZ100" s="449"/>
      <c r="BA100" s="427"/>
      <c r="BB100" s="427"/>
      <c r="BC100" s="427"/>
      <c r="BD100" s="427"/>
      <c r="BE100" s="449"/>
      <c r="BF100" s="427"/>
      <c r="BG100" s="427"/>
      <c r="BH100" s="427"/>
      <c r="BI100" s="427"/>
      <c r="BJ100" s="449"/>
      <c r="BK100" s="427"/>
      <c r="BL100" s="427"/>
      <c r="BM100" s="427"/>
      <c r="BN100" s="427"/>
      <c r="BO100" s="449"/>
    </row>
    <row r="101" spans="1:67" s="87" customFormat="1" ht="12.75" hidden="1" customHeight="1" outlineLevel="1">
      <c r="A101" s="450"/>
      <c r="B101" s="1059" t="s">
        <v>201</v>
      </c>
      <c r="C101" s="451"/>
      <c r="D101" s="452"/>
      <c r="E101" s="452"/>
      <c r="F101" s="453"/>
      <c r="G101" s="454"/>
      <c r="H101" s="451"/>
      <c r="I101" s="452"/>
      <c r="J101" s="452"/>
      <c r="K101" s="453">
        <f>CF!K35</f>
        <v>-0.72099999999999997</v>
      </c>
      <c r="L101" s="454">
        <f>CF!L35</f>
        <v>-2.0579999999999998</v>
      </c>
      <c r="M101" s="453">
        <f>CF!M35</f>
        <v>-1.64</v>
      </c>
      <c r="N101" s="453">
        <f>CF!N35</f>
        <v>-9.7070000000000007</v>
      </c>
      <c r="O101" s="453">
        <f>CF!O35</f>
        <v>-3.157</v>
      </c>
      <c r="P101" s="453">
        <f>CF!P35</f>
        <v>-4.0789999999999997</v>
      </c>
      <c r="Q101" s="454">
        <f>CF!Q35</f>
        <v>-18.583000000000002</v>
      </c>
      <c r="R101" s="453">
        <f>CF!R35</f>
        <v>-2.0329999999999999</v>
      </c>
      <c r="S101" s="453">
        <f>CF!S35</f>
        <v>-4.7149999999999999</v>
      </c>
      <c r="T101" s="453">
        <f>CF!T35</f>
        <v>-17.27</v>
      </c>
      <c r="U101" s="453">
        <f>CF!U35</f>
        <v>-11.019</v>
      </c>
      <c r="V101" s="454">
        <f>CF!V35</f>
        <v>-35.036999999999999</v>
      </c>
      <c r="W101" s="453">
        <f>CF!W35</f>
        <v>-6.43</v>
      </c>
      <c r="X101" s="453">
        <f>CF!X35</f>
        <v>-3.4969999999999999</v>
      </c>
      <c r="Y101" s="453">
        <f>CF!Y35</f>
        <v>-2.282</v>
      </c>
      <c r="Z101" s="453">
        <f>CF!Z35</f>
        <v>-4.0119999999999996</v>
      </c>
      <c r="AA101" s="454">
        <f>CF!AA35</f>
        <v>-16.221</v>
      </c>
      <c r="AB101" s="453">
        <f>CF!AB35</f>
        <v>-7.4130000000000003</v>
      </c>
      <c r="AC101" s="453">
        <f>CF!AC35</f>
        <v>-3.8479999999999999</v>
      </c>
      <c r="AD101" s="453">
        <f>CF!AD35</f>
        <v>-8.5050000000000008</v>
      </c>
      <c r="AE101" s="453">
        <f>CF!AE35</f>
        <v>-5.3620000000000001</v>
      </c>
      <c r="AF101" s="454">
        <f>CF!AF35</f>
        <v>-25.128</v>
      </c>
      <c r="AG101" s="453">
        <f>CF!AG35</f>
        <v>-6.97</v>
      </c>
      <c r="AH101" s="453">
        <f>CF!AH35</f>
        <v>-6.298</v>
      </c>
      <c r="AI101" s="453">
        <f>CF!AI35</f>
        <v>-8.7460000000000004</v>
      </c>
      <c r="AJ101" s="453">
        <f>CF!AJ35</f>
        <v>-13.071999999999999</v>
      </c>
      <c r="AK101" s="454">
        <f>CF!AK35</f>
        <v>-35.085999999999999</v>
      </c>
      <c r="AL101" s="453">
        <f>CF!AL35</f>
        <v>-16.518999999999998</v>
      </c>
      <c r="AM101" s="453">
        <f>CF!AM35</f>
        <v>-5.0430000000000001</v>
      </c>
      <c r="AN101" s="453">
        <f>CF!AN35</f>
        <v>-13.44</v>
      </c>
      <c r="AO101" s="453">
        <f>CF!AO35</f>
        <v>-11.276999999999999</v>
      </c>
      <c r="AP101" s="454">
        <f>CF!AP35</f>
        <v>-46.278999999999996</v>
      </c>
      <c r="AQ101" s="453">
        <f>CF!AQ35</f>
        <v>-44.988999999999997</v>
      </c>
      <c r="AR101" s="453">
        <f>CF!AR35</f>
        <v>-16.664999999999999</v>
      </c>
      <c r="AS101" s="453">
        <f>CF!AS35</f>
        <v>-23.905000000000001</v>
      </c>
      <c r="AT101" s="456">
        <f>-(AT$55*AT102)</f>
        <v>-24.612429336169502</v>
      </c>
      <c r="AU101" s="596">
        <f>SUM(AQ101:AT101)</f>
        <v>-110.1714293361695</v>
      </c>
      <c r="AV101" s="456">
        <f>-(AV$55*AV102)</f>
        <v>-16.412637149653523</v>
      </c>
      <c r="AW101" s="456">
        <f>-(AW$55*AW102)</f>
        <v>-17.687942749394619</v>
      </c>
      <c r="AX101" s="456">
        <f>-(AX$55*AX102)</f>
        <v>-18.778929062693297</v>
      </c>
      <c r="AY101" s="456">
        <f>-(AY$55*AY102)</f>
        <v>-19.365339379486574</v>
      </c>
      <c r="AZ101" s="596">
        <f>SUM(AV101:AY101)</f>
        <v>-72.244848341228007</v>
      </c>
      <c r="BA101" s="456">
        <f t="shared" ref="BA101:BN101" si="207">-(BA$55*BA102)</f>
        <v>-20.365691584962409</v>
      </c>
      <c r="BB101" s="456">
        <f t="shared" si="207"/>
        <v>-22.010224013403917</v>
      </c>
      <c r="BC101" s="456">
        <f t="shared" si="207"/>
        <v>-23.431766877707613</v>
      </c>
      <c r="BD101" s="456">
        <f t="shared" si="207"/>
        <v>-23.921641999122095</v>
      </c>
      <c r="BE101" s="596">
        <f>SUM(BA101:BD101)</f>
        <v>-89.729324475196023</v>
      </c>
      <c r="BF101" s="456">
        <f t="shared" si="207"/>
        <v>-24.956377302777067</v>
      </c>
      <c r="BG101" s="456">
        <f t="shared" si="207"/>
        <v>-26.909099833862395</v>
      </c>
      <c r="BH101" s="456">
        <f t="shared" si="207"/>
        <v>-29.159507038284605</v>
      </c>
      <c r="BI101" s="456">
        <f t="shared" si="207"/>
        <v>-29.899885664886913</v>
      </c>
      <c r="BJ101" s="596">
        <f>SUM(BF101:BI101)</f>
        <v>-110.92486983981098</v>
      </c>
      <c r="BK101" s="456">
        <f t="shared" si="207"/>
        <v>-31.028989507510126</v>
      </c>
      <c r="BL101" s="456">
        <f t="shared" si="207"/>
        <v>-33.034236629911803</v>
      </c>
      <c r="BM101" s="456">
        <f t="shared" si="207"/>
        <v>-36.038956559745046</v>
      </c>
      <c r="BN101" s="456">
        <f t="shared" si="207"/>
        <v>-36.572659662346112</v>
      </c>
      <c r="BO101" s="596">
        <f>SUM(BK101:BN101)</f>
        <v>-136.67484235951309</v>
      </c>
    </row>
    <row r="102" spans="1:67" s="462" customFormat="1" hidden="1" outlineLevel="1">
      <c r="A102" s="457"/>
      <c r="B102" s="983" t="s">
        <v>264</v>
      </c>
      <c r="C102" s="458"/>
      <c r="D102" s="459"/>
      <c r="E102" s="459"/>
      <c r="F102" s="460"/>
      <c r="G102" s="461"/>
      <c r="H102" s="458"/>
      <c r="I102" s="459"/>
      <c r="J102" s="459"/>
      <c r="K102" s="460">
        <f>-K101/K55</f>
        <v>1.9657560390424773E-2</v>
      </c>
      <c r="L102" s="461">
        <f t="shared" ref="L102:Q102" si="208">-L101/L55</f>
        <v>2.1289801998634471E-2</v>
      </c>
      <c r="M102" s="460">
        <f t="shared" si="208"/>
        <v>3.7524310719597297E-2</v>
      </c>
      <c r="N102" s="460">
        <f t="shared" si="208"/>
        <v>0.16087439301281098</v>
      </c>
      <c r="O102" s="460">
        <f t="shared" si="208"/>
        <v>4.3239467484797019E-2</v>
      </c>
      <c r="P102" s="460">
        <f t="shared" si="208"/>
        <v>4.6515075491492947E-2</v>
      </c>
      <c r="Q102" s="461">
        <f t="shared" si="208"/>
        <v>7.01912762324928E-2</v>
      </c>
      <c r="R102" s="460">
        <f t="shared" ref="R102:AN102" si="209">-R101/R55</f>
        <v>1.8683085971603178E-2</v>
      </c>
      <c r="S102" s="460">
        <f t="shared" si="209"/>
        <v>3.541252018476098E-2</v>
      </c>
      <c r="T102" s="460">
        <f t="shared" si="209"/>
        <v>0.10819175061394275</v>
      </c>
      <c r="U102" s="460">
        <f t="shared" si="209"/>
        <v>5.7853148872496256E-2</v>
      </c>
      <c r="V102" s="461">
        <f t="shared" si="209"/>
        <v>5.9179223341311274E-2</v>
      </c>
      <c r="W102" s="460">
        <f t="shared" si="209"/>
        <v>2.8089151384362684E-2</v>
      </c>
      <c r="X102" s="460">
        <f t="shared" si="209"/>
        <v>1.2847265593428314E-2</v>
      </c>
      <c r="Y102" s="460">
        <f t="shared" si="209"/>
        <v>6.8233260874115314E-3</v>
      </c>
      <c r="Z102" s="460">
        <f t="shared" si="209"/>
        <v>1.0454069322048913E-2</v>
      </c>
      <c r="AA102" s="461">
        <f t="shared" si="209"/>
        <v>1.3303240230061337E-2</v>
      </c>
      <c r="AB102" s="460">
        <f t="shared" si="209"/>
        <v>1.7550920872881896E-2</v>
      </c>
      <c r="AC102" s="460">
        <f t="shared" si="209"/>
        <v>7.7385932170667355E-3</v>
      </c>
      <c r="AD102" s="460">
        <f t="shared" si="209"/>
        <v>1.5268532282039686E-2</v>
      </c>
      <c r="AE102" s="460">
        <f t="shared" si="209"/>
        <v>9.1033798971837596E-3</v>
      </c>
      <c r="AF102" s="461">
        <f t="shared" si="209"/>
        <v>1.2164640920887719E-2</v>
      </c>
      <c r="AG102" s="460">
        <f t="shared" si="209"/>
        <v>1.1177054485334324E-2</v>
      </c>
      <c r="AH102" s="460">
        <f t="shared" si="209"/>
        <v>9.3439641077834729E-3</v>
      </c>
      <c r="AI102" s="460">
        <f t="shared" si="209"/>
        <v>1.1912723567878416E-2</v>
      </c>
      <c r="AJ102" s="460">
        <f t="shared" si="209"/>
        <v>1.6873650282238646E-2</v>
      </c>
      <c r="AK102" s="461">
        <f t="shared" si="209"/>
        <v>1.2501741499788525E-2</v>
      </c>
      <c r="AL102" s="460">
        <f t="shared" si="209"/>
        <v>1.9933414503764287E-2</v>
      </c>
      <c r="AM102" s="460">
        <f t="shared" si="209"/>
        <v>5.8044043493323729E-3</v>
      </c>
      <c r="AN102" s="460">
        <f t="shared" si="209"/>
        <v>1.4266092343226896E-2</v>
      </c>
      <c r="AO102" s="460">
        <f>-AO101/AO55</f>
        <v>1.1428195020116137E-2</v>
      </c>
      <c r="AP102" s="461">
        <f>-AP101/AP55</f>
        <v>1.2761706112625316E-2</v>
      </c>
      <c r="AQ102" s="460">
        <f t="shared" ref="AQ102:AS102" si="210">-AQ101/AQ55</f>
        <v>4.3172557802996711E-2</v>
      </c>
      <c r="AR102" s="460">
        <f t="shared" si="210"/>
        <v>1.4554979217777948E-2</v>
      </c>
      <c r="AS102" s="460">
        <f t="shared" si="210"/>
        <v>1.9708815747925032E-2</v>
      </c>
      <c r="AT102" s="595">
        <f t="shared" ref="AT102:AY102" si="211">AS102</f>
        <v>1.9708815747925032E-2</v>
      </c>
      <c r="AU102" s="461">
        <f>-AU101/AU55</f>
        <v>2.3699125466709828E-2</v>
      </c>
      <c r="AV102" s="595">
        <v>1.2500000000000001E-2</v>
      </c>
      <c r="AW102" s="595">
        <f>AV102</f>
        <v>1.2500000000000001E-2</v>
      </c>
      <c r="AX102" s="595">
        <f t="shared" si="211"/>
        <v>1.2500000000000001E-2</v>
      </c>
      <c r="AY102" s="595">
        <f t="shared" si="211"/>
        <v>1.2500000000000001E-2</v>
      </c>
      <c r="AZ102" s="461">
        <f>-AZ101/AZ55</f>
        <v>1.2500000000000001E-2</v>
      </c>
      <c r="BA102" s="595">
        <f>AZ102</f>
        <v>1.2500000000000001E-2</v>
      </c>
      <c r="BB102" s="595">
        <f>BA102</f>
        <v>1.2500000000000001E-2</v>
      </c>
      <c r="BC102" s="595">
        <f>BB102</f>
        <v>1.2500000000000001E-2</v>
      </c>
      <c r="BD102" s="595">
        <f>BC102</f>
        <v>1.2500000000000001E-2</v>
      </c>
      <c r="BE102" s="461">
        <f>-BE101/BE55</f>
        <v>1.2499999999999999E-2</v>
      </c>
      <c r="BF102" s="595">
        <f>BE102</f>
        <v>1.2499999999999999E-2</v>
      </c>
      <c r="BG102" s="595">
        <f>BF102</f>
        <v>1.2499999999999999E-2</v>
      </c>
      <c r="BH102" s="595">
        <f>BG102</f>
        <v>1.2499999999999999E-2</v>
      </c>
      <c r="BI102" s="595">
        <f>BH102</f>
        <v>1.2499999999999999E-2</v>
      </c>
      <c r="BJ102" s="461">
        <f>-BJ101/BJ55</f>
        <v>1.2500000000000001E-2</v>
      </c>
      <c r="BK102" s="595">
        <f>BJ102</f>
        <v>1.2500000000000001E-2</v>
      </c>
      <c r="BL102" s="595">
        <f>BK102</f>
        <v>1.2500000000000001E-2</v>
      </c>
      <c r="BM102" s="595">
        <f>BL102</f>
        <v>1.2500000000000001E-2</v>
      </c>
      <c r="BN102" s="595">
        <f>BM102</f>
        <v>1.2500000000000001E-2</v>
      </c>
      <c r="BO102" s="461">
        <f>-BO101/BO55</f>
        <v>1.2500000000000001E-2</v>
      </c>
    </row>
    <row r="103" spans="1:67" hidden="1" outlineLevel="1">
      <c r="A103" s="319"/>
      <c r="C103" s="448"/>
      <c r="D103" s="384"/>
      <c r="E103" s="384"/>
      <c r="F103" s="436"/>
      <c r="G103" s="455"/>
      <c r="H103" s="448"/>
      <c r="I103" s="384"/>
      <c r="J103" s="384"/>
      <c r="K103" s="436"/>
      <c r="L103" s="455"/>
      <c r="M103" s="436"/>
      <c r="N103" s="436"/>
      <c r="O103" s="436"/>
      <c r="P103" s="436"/>
      <c r="Q103" s="455"/>
      <c r="R103" s="436"/>
      <c r="S103" s="436"/>
      <c r="T103" s="436"/>
      <c r="U103" s="436"/>
      <c r="V103" s="455"/>
      <c r="W103" s="436"/>
      <c r="X103" s="436"/>
      <c r="Y103" s="436"/>
      <c r="Z103" s="436"/>
      <c r="AA103" s="455"/>
      <c r="AB103" s="436"/>
      <c r="AC103" s="436"/>
      <c r="AD103" s="436"/>
      <c r="AE103" s="436"/>
      <c r="AF103" s="455"/>
      <c r="AG103" s="436"/>
      <c r="AH103" s="436"/>
      <c r="AI103" s="436"/>
      <c r="AJ103" s="436"/>
      <c r="AK103" s="455"/>
      <c r="AL103" s="436"/>
      <c r="AM103" s="436"/>
      <c r="AN103" s="436"/>
      <c r="AO103" s="436"/>
      <c r="AP103" s="455"/>
      <c r="AQ103" s="436"/>
      <c r="AR103" s="436"/>
      <c r="AS103" s="436"/>
      <c r="AT103" s="436"/>
      <c r="AU103" s="455"/>
      <c r="AV103" s="436"/>
      <c r="AW103" s="436"/>
      <c r="AX103" s="436"/>
      <c r="AY103" s="436"/>
      <c r="AZ103" s="455"/>
      <c r="BA103" s="436"/>
      <c r="BB103" s="436"/>
      <c r="BC103" s="436"/>
      <c r="BD103" s="436"/>
      <c r="BE103" s="455"/>
      <c r="BF103" s="436"/>
      <c r="BG103" s="436"/>
      <c r="BH103" s="436"/>
      <c r="BI103" s="436"/>
      <c r="BJ103" s="455"/>
      <c r="BK103" s="436"/>
      <c r="BL103" s="436"/>
      <c r="BM103" s="436"/>
      <c r="BN103" s="436"/>
      <c r="BO103" s="455"/>
    </row>
    <row r="104" spans="1:67" s="87" customFormat="1" hidden="1" outlineLevel="1">
      <c r="A104" s="450"/>
      <c r="B104" s="1059" t="s">
        <v>321</v>
      </c>
      <c r="C104" s="451"/>
      <c r="D104" s="452"/>
      <c r="E104" s="452"/>
      <c r="F104" s="453"/>
      <c r="G104" s="454"/>
      <c r="H104" s="451"/>
      <c r="I104" s="452"/>
      <c r="J104" s="452"/>
      <c r="K104" s="453">
        <f>CF!K36</f>
        <v>-0.41899999999999998</v>
      </c>
      <c r="L104" s="454">
        <f>CF!L36</f>
        <v>-1.958</v>
      </c>
      <c r="M104" s="453">
        <f>CF!M36</f>
        <v>-0.55700000000000005</v>
      </c>
      <c r="N104" s="453">
        <f>CF!N36</f>
        <v>-1.0640000000000001</v>
      </c>
      <c r="O104" s="453">
        <f>CF!O36</f>
        <v>-1.319</v>
      </c>
      <c r="P104" s="453">
        <f>CF!P36</f>
        <v>-1.325</v>
      </c>
      <c r="Q104" s="454">
        <f>CF!Q36</f>
        <v>-4.2649999999999997</v>
      </c>
      <c r="R104" s="453">
        <f>CF!R36</f>
        <v>-2.1890000000000001</v>
      </c>
      <c r="S104" s="453">
        <f>CF!S36</f>
        <v>-0.98099999999999998</v>
      </c>
      <c r="T104" s="453">
        <f>CF!T36</f>
        <v>-0.84399999999999997</v>
      </c>
      <c r="U104" s="453">
        <f>CF!U36</f>
        <v>-1.2789999999999999</v>
      </c>
      <c r="V104" s="454">
        <f>CF!V36</f>
        <v>-5.2930000000000001</v>
      </c>
      <c r="W104" s="453">
        <f>CF!W36</f>
        <v>-2.48</v>
      </c>
      <c r="X104" s="453">
        <f>CF!X36</f>
        <v>-2.3439999999999999</v>
      </c>
      <c r="Y104" s="453">
        <f>CF!Y36</f>
        <v>-3.7879999999999998</v>
      </c>
      <c r="Z104" s="453">
        <f>CF!Z36</f>
        <v>-4.16</v>
      </c>
      <c r="AA104" s="454">
        <f>CF!AA36</f>
        <v>-12.772</v>
      </c>
      <c r="AB104" s="453">
        <f>CF!AB36</f>
        <v>-4.8040000000000003</v>
      </c>
      <c r="AC104" s="453">
        <f>CF!AC36</f>
        <v>-6.7359999999999998</v>
      </c>
      <c r="AD104" s="453">
        <f>CF!AD36</f>
        <v>-5.7789999999999999</v>
      </c>
      <c r="AE104" s="453">
        <f>CF!AE36</f>
        <v>-6.6929999999999996</v>
      </c>
      <c r="AF104" s="454">
        <f>CF!AF36</f>
        <v>-24.012</v>
      </c>
      <c r="AG104" s="453">
        <f>CF!AG36</f>
        <v>-9.3409999999999993</v>
      </c>
      <c r="AH104" s="453">
        <f>CF!AH36</f>
        <v>-7.8739999999999997</v>
      </c>
      <c r="AI104" s="453">
        <f>CF!AI36</f>
        <v>-9.8889999999999993</v>
      </c>
      <c r="AJ104" s="453">
        <f>CF!AJ36</f>
        <v>-7.0289999999999999</v>
      </c>
      <c r="AK104" s="454">
        <f>CF!AK36</f>
        <v>-34.132999999999996</v>
      </c>
      <c r="AL104" s="453">
        <f>CF!AL36</f>
        <v>-7.4039999999999999</v>
      </c>
      <c r="AM104" s="453">
        <f>CF!AM36</f>
        <v>-5.992</v>
      </c>
      <c r="AN104" s="453">
        <f>CF!AN36</f>
        <v>-10.032</v>
      </c>
      <c r="AO104" s="453">
        <f>CF!AO36</f>
        <v>-6.0049999999999999</v>
      </c>
      <c r="AP104" s="454">
        <f>CF!AP36</f>
        <v>-29.433</v>
      </c>
      <c r="AQ104" s="453">
        <f>CF!AQ36</f>
        <v>0</v>
      </c>
      <c r="AR104" s="453">
        <f>CF!AR36</f>
        <v>0</v>
      </c>
      <c r="AS104" s="453">
        <f>CF!AS36</f>
        <v>0</v>
      </c>
      <c r="AT104" s="456">
        <f>-(AT$55*AT105)</f>
        <v>0</v>
      </c>
      <c r="AU104" s="596">
        <f>SUM(AQ104:AT104)</f>
        <v>0</v>
      </c>
      <c r="AV104" s="456">
        <f>-(AV$55*AV105)</f>
        <v>-6.5650548598614096</v>
      </c>
      <c r="AW104" s="456">
        <f>-(AW$55*AW105)</f>
        <v>-7.0751770997578465</v>
      </c>
      <c r="AX104" s="456">
        <f>-(AX$55*AX105)</f>
        <v>-7.5115716250773188</v>
      </c>
      <c r="AY104" s="456">
        <f>-(AY$55*AY105)</f>
        <v>-7.7461357517946299</v>
      </c>
      <c r="AZ104" s="596">
        <f>SUM(AV104:AY104)</f>
        <v>-28.897939336491206</v>
      </c>
      <c r="BA104" s="456">
        <f t="shared" ref="BA104:BN104" si="212">-(BA$55*BA105)</f>
        <v>-8.1462766339849644</v>
      </c>
      <c r="BB104" s="456">
        <f t="shared" si="212"/>
        <v>-8.8040896053615665</v>
      </c>
      <c r="BC104" s="456">
        <f t="shared" si="212"/>
        <v>-9.3727067510830437</v>
      </c>
      <c r="BD104" s="456">
        <f t="shared" si="212"/>
        <v>-9.5686567996488368</v>
      </c>
      <c r="BE104" s="596">
        <f>SUM(BA104:BD104)</f>
        <v>-35.891729790078408</v>
      </c>
      <c r="BF104" s="456">
        <f t="shared" si="212"/>
        <v>-9.9825509211108265</v>
      </c>
      <c r="BG104" s="456">
        <f t="shared" si="212"/>
        <v>-10.76363993354496</v>
      </c>
      <c r="BH104" s="456">
        <f t="shared" si="212"/>
        <v>-11.663802815313844</v>
      </c>
      <c r="BI104" s="456">
        <f t="shared" si="212"/>
        <v>-11.959954265954766</v>
      </c>
      <c r="BJ104" s="596">
        <f>SUM(BF104:BI104)</f>
        <v>-44.369947935924394</v>
      </c>
      <c r="BK104" s="456">
        <f t="shared" si="212"/>
        <v>-12.411595803004049</v>
      </c>
      <c r="BL104" s="456">
        <f t="shared" si="212"/>
        <v>-13.213694651964721</v>
      </c>
      <c r="BM104" s="456">
        <f t="shared" si="212"/>
        <v>-14.415582623898018</v>
      </c>
      <c r="BN104" s="456">
        <f t="shared" si="212"/>
        <v>-14.629063864938445</v>
      </c>
      <c r="BO104" s="596">
        <f>SUM(BK104:BN104)</f>
        <v>-54.669936943805233</v>
      </c>
    </row>
    <row r="105" spans="1:67" s="462" customFormat="1" hidden="1" outlineLevel="1">
      <c r="A105" s="457"/>
      <c r="B105" s="983" t="s">
        <v>264</v>
      </c>
      <c r="C105" s="458"/>
      <c r="D105" s="459"/>
      <c r="E105" s="459"/>
      <c r="F105" s="460"/>
      <c r="G105" s="461"/>
      <c r="H105" s="458"/>
      <c r="I105" s="459"/>
      <c r="J105" s="459"/>
      <c r="K105" s="460">
        <f>-K104/K55</f>
        <v>1.142374175254921E-2</v>
      </c>
      <c r="L105" s="461">
        <f t="shared" ref="L105:Q105" si="213">-L104/L55</f>
        <v>2.0255312105600727E-2</v>
      </c>
      <c r="M105" s="460">
        <f t="shared" si="213"/>
        <v>1.2744537238302255E-2</v>
      </c>
      <c r="N105" s="460">
        <f t="shared" si="213"/>
        <v>1.7633702911881207E-2</v>
      </c>
      <c r="O105" s="460">
        <f t="shared" si="213"/>
        <v>1.8065523475593051E-2</v>
      </c>
      <c r="P105" s="460">
        <f t="shared" si="213"/>
        <v>1.510970213930575E-2</v>
      </c>
      <c r="Q105" s="461">
        <f t="shared" si="213"/>
        <v>1.6109658996479672E-2</v>
      </c>
      <c r="R105" s="460">
        <f t="shared" ref="R105:AN105" si="214">-R104/R55</f>
        <v>2.0116711850388276E-2</v>
      </c>
      <c r="S105" s="460">
        <f t="shared" si="214"/>
        <v>7.3679071688760381E-3</v>
      </c>
      <c r="T105" s="460">
        <f t="shared" si="214"/>
        <v>5.2874254498070459E-3</v>
      </c>
      <c r="U105" s="460">
        <f t="shared" si="214"/>
        <v>6.7151445147402402E-3</v>
      </c>
      <c r="V105" s="461">
        <f t="shared" si="214"/>
        <v>8.940138400706699E-3</v>
      </c>
      <c r="W105" s="460">
        <f t="shared" si="214"/>
        <v>1.0833762897856836E-2</v>
      </c>
      <c r="X105" s="460">
        <f t="shared" si="214"/>
        <v>8.6113784818404246E-3</v>
      </c>
      <c r="Y105" s="460">
        <f t="shared" si="214"/>
        <v>1.1326362497421067E-2</v>
      </c>
      <c r="Z105" s="460">
        <f t="shared" si="214"/>
        <v>1.0839712956062683E-2</v>
      </c>
      <c r="AA105" s="461">
        <f t="shared" si="214"/>
        <v>1.0474630677414672E-2</v>
      </c>
      <c r="AB105" s="460">
        <f t="shared" si="214"/>
        <v>1.137388693826044E-2</v>
      </c>
      <c r="AC105" s="460">
        <f t="shared" si="214"/>
        <v>1.3546560267713495E-2</v>
      </c>
      <c r="AD105" s="460">
        <f t="shared" si="214"/>
        <v>1.0374702887467059E-2</v>
      </c>
      <c r="AE105" s="460">
        <f t="shared" si="214"/>
        <v>1.1363096167820011E-2</v>
      </c>
      <c r="AF105" s="461">
        <f t="shared" si="214"/>
        <v>1.1624377498899869E-2</v>
      </c>
      <c r="AG105" s="460">
        <f t="shared" si="214"/>
        <v>1.4979177323889228E-2</v>
      </c>
      <c r="AH105" s="460">
        <f t="shared" si="214"/>
        <v>1.1682180594583529E-2</v>
      </c>
      <c r="AI105" s="460">
        <f t="shared" si="214"/>
        <v>1.3469577333952624E-2</v>
      </c>
      <c r="AJ105" s="460">
        <f t="shared" si="214"/>
        <v>9.0732013336792729E-3</v>
      </c>
      <c r="AK105" s="461">
        <f t="shared" si="214"/>
        <v>1.2162171310844259E-2</v>
      </c>
      <c r="AL105" s="460">
        <f t="shared" si="214"/>
        <v>8.9343786540269261E-3</v>
      </c>
      <c r="AM105" s="460">
        <f t="shared" si="214"/>
        <v>6.8966866669045368E-3</v>
      </c>
      <c r="AN105" s="460">
        <f t="shared" si="214"/>
        <v>1.0648618927622934E-2</v>
      </c>
      <c r="AO105" s="460">
        <f>-AO104/AO55</f>
        <v>6.0855113146933938E-3</v>
      </c>
      <c r="AP105" s="461">
        <f>-AP104/AP55</f>
        <v>8.1163226520214564E-3</v>
      </c>
      <c r="AQ105" s="460">
        <f t="shared" ref="AQ105:AS105" si="215">-AQ104/AQ55</f>
        <v>0</v>
      </c>
      <c r="AR105" s="460">
        <f t="shared" si="215"/>
        <v>0</v>
      </c>
      <c r="AS105" s="460">
        <f t="shared" si="215"/>
        <v>0</v>
      </c>
      <c r="AT105" s="595">
        <f t="shared" ref="AT105:AY105" si="216">AS105</f>
        <v>0</v>
      </c>
      <c r="AU105" s="461">
        <f>-AU104/AU55</f>
        <v>0</v>
      </c>
      <c r="AV105" s="595">
        <v>5.0000000000000001E-3</v>
      </c>
      <c r="AW105" s="595">
        <f>AV105</f>
        <v>5.0000000000000001E-3</v>
      </c>
      <c r="AX105" s="595">
        <f t="shared" si="216"/>
        <v>5.0000000000000001E-3</v>
      </c>
      <c r="AY105" s="595">
        <f t="shared" si="216"/>
        <v>5.0000000000000001E-3</v>
      </c>
      <c r="AZ105" s="461">
        <f>-AZ104/AZ55</f>
        <v>5.000000000000001E-3</v>
      </c>
      <c r="BA105" s="595">
        <v>5.0000000000000001E-3</v>
      </c>
      <c r="BB105" s="595">
        <f>BA105</f>
        <v>5.0000000000000001E-3</v>
      </c>
      <c r="BC105" s="595">
        <f>BB105</f>
        <v>5.0000000000000001E-3</v>
      </c>
      <c r="BD105" s="595">
        <f>BC105</f>
        <v>5.0000000000000001E-3</v>
      </c>
      <c r="BE105" s="461">
        <f>-BE104/BE55</f>
        <v>4.9999999999999992E-3</v>
      </c>
      <c r="BF105" s="595">
        <v>5.0000000000000001E-3</v>
      </c>
      <c r="BG105" s="595">
        <f>BF105</f>
        <v>5.0000000000000001E-3</v>
      </c>
      <c r="BH105" s="595">
        <f>BG105</f>
        <v>5.0000000000000001E-3</v>
      </c>
      <c r="BI105" s="595">
        <f>BH105</f>
        <v>5.0000000000000001E-3</v>
      </c>
      <c r="BJ105" s="461">
        <f>-BJ104/BJ55</f>
        <v>5.0000000000000001E-3</v>
      </c>
      <c r="BK105" s="595">
        <v>5.0000000000000001E-3</v>
      </c>
      <c r="BL105" s="595">
        <f>BK105</f>
        <v>5.0000000000000001E-3</v>
      </c>
      <c r="BM105" s="595">
        <f>BL105</f>
        <v>5.0000000000000001E-3</v>
      </c>
      <c r="BN105" s="595">
        <f>BM105</f>
        <v>5.0000000000000001E-3</v>
      </c>
      <c r="BO105" s="461">
        <f>-BO104/BO55</f>
        <v>5.0000000000000001E-3</v>
      </c>
    </row>
    <row r="106" spans="1:67" hidden="1" outlineLevel="1">
      <c r="A106" s="319"/>
      <c r="C106" s="448"/>
      <c r="D106" s="384"/>
      <c r="E106" s="384"/>
      <c r="F106" s="436"/>
      <c r="G106" s="455"/>
      <c r="H106" s="448"/>
      <c r="I106" s="384"/>
      <c r="J106" s="384"/>
      <c r="K106" s="436"/>
      <c r="L106" s="455"/>
      <c r="M106" s="436"/>
      <c r="N106" s="436"/>
      <c r="O106" s="436"/>
      <c r="P106" s="436"/>
      <c r="Q106" s="455"/>
      <c r="R106" s="436"/>
      <c r="S106" s="436"/>
      <c r="T106" s="436"/>
      <c r="U106" s="436"/>
      <c r="V106" s="455"/>
      <c r="W106" s="436"/>
      <c r="X106" s="436"/>
      <c r="Y106" s="436"/>
      <c r="Z106" s="436"/>
      <c r="AA106" s="455"/>
      <c r="AB106" s="436"/>
      <c r="AC106" s="436"/>
      <c r="AD106" s="436"/>
      <c r="AE106" s="436"/>
      <c r="AF106" s="455"/>
      <c r="AG106" s="436"/>
      <c r="AH106" s="436"/>
      <c r="AI106" s="436"/>
      <c r="AJ106" s="436"/>
      <c r="AK106" s="455"/>
      <c r="AL106" s="436"/>
      <c r="AM106" s="436"/>
      <c r="AN106" s="436"/>
      <c r="AO106" s="436"/>
      <c r="AP106" s="455"/>
      <c r="AQ106" s="436"/>
      <c r="AR106" s="436"/>
      <c r="AS106" s="436"/>
      <c r="AT106" s="436"/>
      <c r="AU106" s="455"/>
      <c r="AV106" s="436"/>
      <c r="AW106" s="436"/>
      <c r="AX106" s="436"/>
      <c r="AY106" s="436"/>
      <c r="AZ106" s="455"/>
      <c r="BA106" s="436"/>
      <c r="BB106" s="436"/>
      <c r="BC106" s="436"/>
      <c r="BD106" s="436"/>
      <c r="BE106" s="455"/>
      <c r="BF106" s="436"/>
      <c r="BG106" s="436"/>
      <c r="BH106" s="436"/>
      <c r="BI106" s="436"/>
      <c r="BJ106" s="455"/>
      <c r="BK106" s="436"/>
      <c r="BL106" s="436"/>
      <c r="BM106" s="436"/>
      <c r="BN106" s="436"/>
      <c r="BO106" s="455"/>
    </row>
    <row r="107" spans="1:67" s="87" customFormat="1" hidden="1" outlineLevel="1">
      <c r="A107" s="450"/>
      <c r="B107" s="1059" t="s">
        <v>47</v>
      </c>
      <c r="C107" s="451"/>
      <c r="D107" s="452"/>
      <c r="E107" s="452"/>
      <c r="F107" s="453"/>
      <c r="G107" s="454"/>
      <c r="H107" s="451"/>
      <c r="I107" s="452"/>
      <c r="J107" s="452"/>
      <c r="K107" s="453">
        <f>CF!K81</f>
        <v>-71.53900000000003</v>
      </c>
      <c r="L107" s="454">
        <f>CF!L81</f>
        <v>-147.99800000000005</v>
      </c>
      <c r="M107" s="453">
        <f>CF!M81</f>
        <v>-38.860000000000014</v>
      </c>
      <c r="N107" s="453">
        <f>CF!N81</f>
        <v>-84.123999999999995</v>
      </c>
      <c r="O107" s="453">
        <f>CF!O81</f>
        <v>-28.226000000000006</v>
      </c>
      <c r="P107" s="453">
        <f>CF!P81</f>
        <v>-48.195999999999977</v>
      </c>
      <c r="Q107" s="454">
        <f>CF!Q81</f>
        <v>-199.40599999999998</v>
      </c>
      <c r="R107" s="453">
        <f>CF!R81</f>
        <v>-10.814000000000016</v>
      </c>
      <c r="S107" s="453">
        <f>CF!S81</f>
        <v>-44.381000000000036</v>
      </c>
      <c r="T107" s="453">
        <f>CF!T81</f>
        <v>-37.867999999999974</v>
      </c>
      <c r="U107" s="453">
        <f>CF!U81</f>
        <v>7.3159999999999759</v>
      </c>
      <c r="V107" s="454">
        <f>CF!V81</f>
        <v>-85.747000000000043</v>
      </c>
      <c r="W107" s="453">
        <f>CF!W81</f>
        <v>12.944000000000042</v>
      </c>
      <c r="X107" s="453">
        <f>CF!X81</f>
        <v>-11.952000000000018</v>
      </c>
      <c r="Y107" s="453">
        <f>CF!Y81</f>
        <v>9.4680000000000604</v>
      </c>
      <c r="Z107" s="453">
        <f>CF!Z81</f>
        <v>70.725999999999971</v>
      </c>
      <c r="AA107" s="454">
        <f>CF!AA81</f>
        <v>81.18600000000005</v>
      </c>
      <c r="AB107" s="453">
        <f>CF!AB81</f>
        <v>172.39599999999996</v>
      </c>
      <c r="AC107" s="453">
        <f>CF!AC81</f>
        <v>53.849000000000039</v>
      </c>
      <c r="AD107" s="453">
        <f>CF!AD81</f>
        <v>64.99299999999991</v>
      </c>
      <c r="AE107" s="453">
        <f>CF!AE81</f>
        <v>205.26099999999997</v>
      </c>
      <c r="AF107" s="454">
        <f>CF!AF81</f>
        <v>496.49899999999991</v>
      </c>
      <c r="AG107" s="453">
        <f>CF!AG81</f>
        <v>283.13299999999998</v>
      </c>
      <c r="AH107" s="453">
        <f>CF!AH81</f>
        <v>69.018999999999906</v>
      </c>
      <c r="AI107" s="453">
        <f>CF!AI81</f>
        <v>102.27200000000005</v>
      </c>
      <c r="AJ107" s="453">
        <f>CF!AJ81</f>
        <v>324.47900000000004</v>
      </c>
      <c r="AK107" s="454">
        <f>CF!AK81</f>
        <v>778.90300000000002</v>
      </c>
      <c r="AL107" s="453">
        <f>CF!AL81</f>
        <v>331.5449999999999</v>
      </c>
      <c r="AM107" s="453">
        <f>CF!AM81</f>
        <v>58.829999999999821</v>
      </c>
      <c r="AN107" s="453">
        <f>CF!AN81</f>
        <v>78.23400000000008</v>
      </c>
      <c r="AO107" s="453">
        <f>CF!AO81</f>
        <v>415.44300000000015</v>
      </c>
      <c r="AP107" s="454">
        <f>CF!AP81</f>
        <v>884.05199999999991</v>
      </c>
      <c r="AQ107" s="453">
        <f>CF!AQ81</f>
        <v>183.38399999999982</v>
      </c>
      <c r="AR107" s="453">
        <f>CF!AR81</f>
        <v>58.231000000000016</v>
      </c>
      <c r="AS107" s="453">
        <f>CF!AS81</f>
        <v>113.61399999999983</v>
      </c>
      <c r="AT107" s="453">
        <f>CF!AT81</f>
        <v>753.51091265617868</v>
      </c>
      <c r="AU107" s="454">
        <f>CF!AU81</f>
        <v>1108.7399126561784</v>
      </c>
      <c r="AV107" s="453">
        <f>CF!AV81</f>
        <v>493.45135180081883</v>
      </c>
      <c r="AW107" s="453">
        <f>CF!AW81</f>
        <v>63.074591558930599</v>
      </c>
      <c r="AX107" s="453">
        <f>CF!AX81</f>
        <v>130.2386864946935</v>
      </c>
      <c r="AY107" s="453">
        <f>CF!AY81</f>
        <v>793.53469691953762</v>
      </c>
      <c r="AZ107" s="454">
        <f>CF!AZ81</f>
        <v>1480.2993267739807</v>
      </c>
      <c r="BA107" s="453">
        <f>CF!BA81</f>
        <v>579.29091328850052</v>
      </c>
      <c r="BB107" s="453">
        <f>CF!BB81</f>
        <v>134.15583168224157</v>
      </c>
      <c r="BC107" s="453">
        <f>CF!BC81</f>
        <v>210.87357943538905</v>
      </c>
      <c r="BD107" s="453">
        <f>CF!BD81</f>
        <v>982.17756385644361</v>
      </c>
      <c r="BE107" s="454">
        <f>CF!BE81</f>
        <v>1906.4978882625746</v>
      </c>
      <c r="BF107" s="453">
        <f>CF!BF81</f>
        <v>687.38161035895541</v>
      </c>
      <c r="BG107" s="453">
        <f>CF!BG81</f>
        <v>195.35714919137789</v>
      </c>
      <c r="BH107" s="453">
        <f>CF!BH81</f>
        <v>339.97537962839766</v>
      </c>
      <c r="BI107" s="453">
        <f>CF!BI81</f>
        <v>1221.4195970079013</v>
      </c>
      <c r="BJ107" s="454">
        <f>CF!BJ81</f>
        <v>2444.1337361866322</v>
      </c>
      <c r="BK107" s="453">
        <f>CF!BK81</f>
        <v>809.56242021241417</v>
      </c>
      <c r="BL107" s="453">
        <f>CF!BL81</f>
        <v>308.49880277668842</v>
      </c>
      <c r="BM107" s="453">
        <f>CF!BM81</f>
        <v>506.13865403442446</v>
      </c>
      <c r="BN107" s="453">
        <f>CF!BN81</f>
        <v>1499.7593683366601</v>
      </c>
      <c r="BO107" s="454">
        <f>CF!BO81</f>
        <v>3123.9592453601872</v>
      </c>
    </row>
    <row r="108" spans="1:67" s="1075" customFormat="1" hidden="1" outlineLevel="1">
      <c r="A108" s="1069"/>
      <c r="B108" s="1070" t="s">
        <v>6</v>
      </c>
      <c r="C108" s="1071"/>
      <c r="D108" s="1072"/>
      <c r="E108" s="1072"/>
      <c r="F108" s="1073"/>
      <c r="G108" s="1074"/>
      <c r="H108" s="1071"/>
      <c r="I108" s="1072"/>
      <c r="J108" s="1072"/>
      <c r="K108" s="1073">
        <f>K107/K55</f>
        <v>-1.9504607666721201</v>
      </c>
      <c r="L108" s="1074">
        <f t="shared" ref="L108:Q108" si="217">L107/L55</f>
        <v>-1.5310243518920825</v>
      </c>
      <c r="M108" s="1073">
        <f t="shared" si="217"/>
        <v>-0.88914311863631201</v>
      </c>
      <c r="N108" s="1073">
        <f t="shared" si="217"/>
        <v>-1.3941894960141865</v>
      </c>
      <c r="O108" s="1073">
        <f t="shared" si="217"/>
        <v>-0.38659398455048494</v>
      </c>
      <c r="P108" s="1073">
        <f t="shared" si="217"/>
        <v>-0.54960543721206012</v>
      </c>
      <c r="Q108" s="1074">
        <f t="shared" si="217"/>
        <v>-0.75319171438499999</v>
      </c>
      <c r="R108" s="1073">
        <f t="shared" ref="R108:BJ108" si="218">R107/R55</f>
        <v>-9.9379681110141213E-2</v>
      </c>
      <c r="S108" s="1073">
        <f t="shared" si="218"/>
        <v>-0.33332832626084374</v>
      </c>
      <c r="T108" s="1073">
        <f t="shared" si="218"/>
        <v>-0.23723249636646099</v>
      </c>
      <c r="U108" s="1073">
        <f t="shared" si="218"/>
        <v>3.8411256661328726E-2</v>
      </c>
      <c r="V108" s="1074">
        <f t="shared" si="218"/>
        <v>-0.14483091771120304</v>
      </c>
      <c r="W108" s="1073">
        <f t="shared" si="218"/>
        <v>5.6545252802362639E-2</v>
      </c>
      <c r="X108" s="1073">
        <f t="shared" si="218"/>
        <v>-4.390921314631268E-2</v>
      </c>
      <c r="Y108" s="1073">
        <f t="shared" si="218"/>
        <v>2.8309926115518313E-2</v>
      </c>
      <c r="Z108" s="1073">
        <f t="shared" si="218"/>
        <v>0.18429075445444446</v>
      </c>
      <c r="AA108" s="1074">
        <f t="shared" si="218"/>
        <v>6.6582631238379902E-2</v>
      </c>
      <c r="AB108" s="1073">
        <f t="shared" si="218"/>
        <v>0.40816249221655831</v>
      </c>
      <c r="AC108" s="1073">
        <f t="shared" si="218"/>
        <v>0.10829405045369724</v>
      </c>
      <c r="AD108" s="1073">
        <f t="shared" si="218"/>
        <v>0.11667815621476824</v>
      </c>
      <c r="AE108" s="1073">
        <f t="shared" si="218"/>
        <v>0.34848356230433336</v>
      </c>
      <c r="AF108" s="1074">
        <f t="shared" si="218"/>
        <v>0.24035864583651029</v>
      </c>
      <c r="AG108" s="1073">
        <f t="shared" si="218"/>
        <v>0.45403055489184552</v>
      </c>
      <c r="AH108" s="1073">
        <f t="shared" si="218"/>
        <v>0.10239934245079496</v>
      </c>
      <c r="AI108" s="1073">
        <f t="shared" si="218"/>
        <v>0.13930231702882026</v>
      </c>
      <c r="AJ108" s="1073">
        <f t="shared" si="218"/>
        <v>0.4188452547376465</v>
      </c>
      <c r="AK108" s="1074">
        <f t="shared" si="218"/>
        <v>0.27753645212933314</v>
      </c>
      <c r="AL108" s="1073">
        <f t="shared" si="218"/>
        <v>0.40007409114659059</v>
      </c>
      <c r="AM108" s="1073">
        <f t="shared" si="218"/>
        <v>6.7712295830105587E-2</v>
      </c>
      <c r="AN108" s="1073">
        <f t="shared" si="218"/>
        <v>8.3042668778274861E-2</v>
      </c>
      <c r="AO108" s="1073">
        <f>AO107/AO55</f>
        <v>0.42101300201668085</v>
      </c>
      <c r="AP108" s="1074">
        <f>AP107/AP55</f>
        <v>0.24378253229928554</v>
      </c>
      <c r="AQ108" s="1383">
        <f t="shared" ref="AQ108:AS108" si="219">AQ107/AQ55</f>
        <v>0.17597982484929076</v>
      </c>
      <c r="AR108" s="1073">
        <f t="shared" si="219"/>
        <v>5.0858145504376111E-2</v>
      </c>
      <c r="AS108" s="1073">
        <f t="shared" si="219"/>
        <v>9.36706710890923E-2</v>
      </c>
      <c r="AT108" s="1073">
        <f t="shared" si="218"/>
        <v>0.6033865060108986</v>
      </c>
      <c r="AU108" s="1074">
        <f t="shared" si="218"/>
        <v>0.23850254515451905</v>
      </c>
      <c r="AV108" s="1073">
        <f t="shared" si="218"/>
        <v>0.37581662479149169</v>
      </c>
      <c r="AW108" s="1073">
        <f t="shared" si="218"/>
        <v>4.4574567300293709E-2</v>
      </c>
      <c r="AX108" s="1073">
        <f t="shared" si="218"/>
        <v>8.6692035299172771E-2</v>
      </c>
      <c r="AY108" s="1073">
        <f t="shared" si="218"/>
        <v>0.51221326500487097</v>
      </c>
      <c r="AZ108" s="1074">
        <f t="shared" si="218"/>
        <v>0.25612541253152887</v>
      </c>
      <c r="BA108" s="1073">
        <f t="shared" si="218"/>
        <v>0.35555563560890596</v>
      </c>
      <c r="BB108" s="1073">
        <f t="shared" si="218"/>
        <v>7.6189496981347485E-2</v>
      </c>
      <c r="BC108" s="1073">
        <f t="shared" si="218"/>
        <v>0.11249342641122426</v>
      </c>
      <c r="BD108" s="1073">
        <f t="shared" si="218"/>
        <v>0.5132264561377563</v>
      </c>
      <c r="BE108" s="1074">
        <f t="shared" si="218"/>
        <v>0.26559013725629765</v>
      </c>
      <c r="BF108" s="1073">
        <f t="shared" si="218"/>
        <v>0.34429156224252233</v>
      </c>
      <c r="BG108" s="1073">
        <f t="shared" si="218"/>
        <v>9.0748645624305013E-2</v>
      </c>
      <c r="BH108" s="1073">
        <f t="shared" si="218"/>
        <v>0.14573950923708659</v>
      </c>
      <c r="BI108" s="1073">
        <f t="shared" si="218"/>
        <v>0.51062887442839022</v>
      </c>
      <c r="BJ108" s="1074">
        <f t="shared" si="218"/>
        <v>0.2754267077027292</v>
      </c>
      <c r="BK108" s="1073">
        <f>BK107/BK55</f>
        <v>0.326131479409147</v>
      </c>
      <c r="BL108" s="1073">
        <f>BL107/BL55</f>
        <v>0.11673449814841086</v>
      </c>
      <c r="BM108" s="1073">
        <f>BM107/BM55</f>
        <v>0.17555261803825833</v>
      </c>
      <c r="BN108" s="1073">
        <f>BN107/BN55</f>
        <v>0.51259581002005927</v>
      </c>
      <c r="BO108" s="1074">
        <f>BO107/BO55</f>
        <v>0.28571088792102306</v>
      </c>
    </row>
    <row r="109" spans="1:67" hidden="1" outlineLevel="1">
      <c r="A109" s="319"/>
      <c r="B109" s="987" t="s">
        <v>442</v>
      </c>
      <c r="C109" s="448"/>
      <c r="D109" s="384"/>
      <c r="E109" s="384"/>
      <c r="F109" s="436"/>
      <c r="G109" s="455"/>
      <c r="H109" s="448"/>
      <c r="I109" s="384"/>
      <c r="J109" s="384"/>
      <c r="K109" s="436"/>
      <c r="L109" s="455"/>
      <c r="M109" s="436">
        <f>M107/Q107</f>
        <v>0.19487879000631886</v>
      </c>
      <c r="N109" s="436">
        <f>N107/Q107</f>
        <v>0.4218729626992167</v>
      </c>
      <c r="O109" s="436">
        <f>O107/Q107</f>
        <v>0.14155040470196489</v>
      </c>
      <c r="P109" s="436">
        <f>P107/Q107</f>
        <v>0.24169784259249963</v>
      </c>
      <c r="Q109" s="455"/>
      <c r="R109" s="436">
        <f>R107/V107</f>
        <v>0.12611519936557561</v>
      </c>
      <c r="S109" s="436">
        <f>S107/V107</f>
        <v>0.51758078999848411</v>
      </c>
      <c r="T109" s="436">
        <f>T107/V107</f>
        <v>0.44162477987568027</v>
      </c>
      <c r="U109" s="436">
        <f>U107/V107</f>
        <v>-8.5320769239739844E-2</v>
      </c>
      <c r="V109" s="455"/>
      <c r="W109" s="436">
        <f>W107/AA107</f>
        <v>0.15943635602197465</v>
      </c>
      <c r="X109" s="436">
        <f>X107/AA107</f>
        <v>-0.1472175005542829</v>
      </c>
      <c r="Y109" s="436">
        <f>Y107/AA107</f>
        <v>0.11662109230655598</v>
      </c>
      <c r="Z109" s="436">
        <f>Z107/AA107</f>
        <v>0.87116005222575232</v>
      </c>
      <c r="AA109" s="455"/>
      <c r="AB109" s="436">
        <f>AB107/AF107</f>
        <v>0.34722325724724518</v>
      </c>
      <c r="AC109" s="436">
        <f>AC107/AF107</f>
        <v>0.10845741884676514</v>
      </c>
      <c r="AD109" s="436">
        <f>AD107/AF107</f>
        <v>0.13090257986420903</v>
      </c>
      <c r="AE109" s="436">
        <f>AE107/AF107</f>
        <v>0.41341674404178058</v>
      </c>
      <c r="AF109" s="455"/>
      <c r="AG109" s="436">
        <f>AG107/AK107</f>
        <v>0.36350225894623589</v>
      </c>
      <c r="AH109" s="436">
        <f>AH107/AK107</f>
        <v>8.8610520180304742E-2</v>
      </c>
      <c r="AI109" s="436">
        <f>AI107/AK107</f>
        <v>0.13130261406105773</v>
      </c>
      <c r="AJ109" s="436">
        <f>AJ107/AK107</f>
        <v>0.41658460681240161</v>
      </c>
      <c r="AK109" s="455"/>
      <c r="AL109" s="436">
        <f>AL107/AP107</f>
        <v>0.37502884445711332</v>
      </c>
      <c r="AM109" s="436">
        <f>AM107/AP107</f>
        <v>6.6545859293344542E-2</v>
      </c>
      <c r="AN109" s="436">
        <f>AN107/AP107</f>
        <v>8.849479442385752E-2</v>
      </c>
      <c r="AO109" s="436">
        <f>AO107/AP107</f>
        <v>0.46993050182568469</v>
      </c>
      <c r="AP109" s="455"/>
      <c r="AQ109" s="436">
        <f>AQ107/AU107</f>
        <v>0.16539857355786147</v>
      </c>
      <c r="AR109" s="436">
        <f>AR107/AU107</f>
        <v>5.2519981769662799E-2</v>
      </c>
      <c r="AS109" s="436">
        <f>AS107/AU107</f>
        <v>0.10247128177050814</v>
      </c>
      <c r="AT109" s="436">
        <f>AT107/AU107</f>
        <v>0.67961016290196752</v>
      </c>
      <c r="AU109" s="455"/>
      <c r="AV109" s="436">
        <f>AV107/AZ107</f>
        <v>0.33334565710855135</v>
      </c>
      <c r="AW109" s="436">
        <f>AW107/AZ107</f>
        <v>4.2609349621464183E-2</v>
      </c>
      <c r="AX109" s="436">
        <f>AX107/AZ107</f>
        <v>8.7981318466531303E-2</v>
      </c>
      <c r="AY109" s="436">
        <f>AY107/AZ107</f>
        <v>0.53606367480345296</v>
      </c>
      <c r="AZ109" s="455"/>
      <c r="BA109" s="436">
        <f>BA107/BE107</f>
        <v>0.30385080248707674</v>
      </c>
      <c r="BB109" s="436">
        <f>BB107/BE107</f>
        <v>7.0367679139943948E-2</v>
      </c>
      <c r="BC109" s="436">
        <f>BC107/BE107</f>
        <v>0.11060782219253433</v>
      </c>
      <c r="BD109" s="436">
        <f>BD107/BE107</f>
        <v>0.51517369618044495</v>
      </c>
      <c r="BE109" s="455"/>
      <c r="BF109" s="436">
        <f>BF107/BJ107</f>
        <v>0.28123731536532726</v>
      </c>
      <c r="BG109" s="436">
        <f>BG107/BJ107</f>
        <v>7.9928993368495682E-2</v>
      </c>
      <c r="BH109" s="436">
        <f>BH107/BJ107</f>
        <v>0.13909851764446879</v>
      </c>
      <c r="BI109" s="436">
        <f>BI107/BJ107</f>
        <v>0.49973517362170833</v>
      </c>
      <c r="BJ109" s="455"/>
      <c r="BK109" s="436">
        <f>BK107/BO107</f>
        <v>0.25914628093013836</v>
      </c>
      <c r="BL109" s="436">
        <f>BL107/BO107</f>
        <v>9.8752505569617011E-2</v>
      </c>
      <c r="BM109" s="436">
        <f>BM107/BO107</f>
        <v>0.16201832811556655</v>
      </c>
      <c r="BN109" s="436">
        <f>BN107/BO107</f>
        <v>0.48008288538467808</v>
      </c>
      <c r="BO109" s="455"/>
    </row>
    <row r="110" spans="1:67" hidden="1" outlineLevel="1">
      <c r="A110" s="319"/>
      <c r="B110" s="1235" t="s">
        <v>482</v>
      </c>
      <c r="C110" s="448"/>
      <c r="D110" s="384"/>
      <c r="E110" s="384"/>
      <c r="F110" s="436"/>
      <c r="G110" s="455"/>
      <c r="H110" s="448"/>
      <c r="I110" s="384"/>
      <c r="J110" s="384"/>
      <c r="K110" s="436"/>
      <c r="L110" s="455"/>
      <c r="M110" s="436"/>
      <c r="N110" s="436"/>
      <c r="O110" s="436"/>
      <c r="P110" s="436"/>
      <c r="Q110" s="1236">
        <f>(Q108-L108)*10000</f>
        <v>7778.3263750708256</v>
      </c>
      <c r="R110" s="1237"/>
      <c r="S110" s="1237"/>
      <c r="T110" s="1237"/>
      <c r="U110" s="1237"/>
      <c r="V110" s="1236">
        <f>(V108-Q108)*10000</f>
        <v>6083.607966737969</v>
      </c>
      <c r="W110" s="1237"/>
      <c r="X110" s="1237"/>
      <c r="Y110" s="1237"/>
      <c r="Z110" s="1237"/>
      <c r="AA110" s="1236">
        <f>(AA108-V108)*10000</f>
        <v>2114.1354894958295</v>
      </c>
      <c r="AB110" s="1237"/>
      <c r="AC110" s="1237"/>
      <c r="AD110" s="1237"/>
      <c r="AE110" s="1237"/>
      <c r="AF110" s="1236">
        <f>(AF108-AA108)*10000</f>
        <v>1737.7601459813038</v>
      </c>
      <c r="AG110" s="436">
        <f>'IS (Non-GAAP)'!AG70-BS!AG108</f>
        <v>-0.40174374878728136</v>
      </c>
      <c r="AH110" s="436">
        <f>'IS (Non-GAAP)'!AH70-BS!AH108</f>
        <v>-2.198605971947333E-2</v>
      </c>
      <c r="AI110" s="436">
        <f>'IS (Non-GAAP)'!AI70-BS!AI108</f>
        <v>-4.1317237217931013E-2</v>
      </c>
      <c r="AJ110" s="1237"/>
      <c r="AK110" s="1236">
        <f>(AK108-AF108)*10000</f>
        <v>371.77806292822856</v>
      </c>
      <c r="AL110" s="436">
        <f>'IS (Non-GAAP)'!AL70-BS!AL108</f>
        <v>-0.35633859412652696</v>
      </c>
      <c r="AM110" s="436">
        <f>'IS (Non-GAAP)'!AM70-BS!AM108</f>
        <v>-1.7361418839049896E-2</v>
      </c>
      <c r="AN110" s="436">
        <f>'IS (Non-GAAP)'!AN70-BS!AN108</f>
        <v>-2.0535105838695555E-2</v>
      </c>
      <c r="AO110" s="436"/>
      <c r="AP110" s="1236">
        <f>(AP108-AK108)*10000</f>
        <v>-337.53919830047607</v>
      </c>
      <c r="AQ110" s="436">
        <f>'IS (Non-GAAP)'!AQ70-BS!AQ108</f>
        <v>-8.8022539666088681E-2</v>
      </c>
      <c r="AR110" s="436">
        <f>'IS (Non-GAAP)'!AR70-BS!AR108</f>
        <v>6.0561464982894823E-2</v>
      </c>
      <c r="AS110" s="436">
        <f>'IS (Non-GAAP)'!AS70-BS!AS108</f>
        <v>1.4592191170153673E-2</v>
      </c>
      <c r="AT110" s="436"/>
      <c r="AU110" s="1236">
        <f>(AU108-AP108)*10000</f>
        <v>-52.799871447664906</v>
      </c>
      <c r="AV110" s="436"/>
      <c r="AW110" s="436"/>
      <c r="AX110" s="436"/>
      <c r="AY110" s="436"/>
      <c r="AZ110" s="1236">
        <f>(AZ108-AU108)*10000</f>
        <v>176.22867377009825</v>
      </c>
      <c r="BA110" s="436"/>
      <c r="BB110" s="436"/>
      <c r="BC110" s="436"/>
      <c r="BD110" s="436"/>
      <c r="BE110" s="1236">
        <f>(BE108-AZ108)*10000</f>
        <v>94.647247247687801</v>
      </c>
      <c r="BF110" s="436"/>
      <c r="BG110" s="436"/>
      <c r="BH110" s="436"/>
      <c r="BI110" s="436"/>
      <c r="BJ110" s="1236">
        <f>(BJ108-BE108)*10000</f>
        <v>98.365704464315471</v>
      </c>
      <c r="BK110" s="436"/>
      <c r="BL110" s="436"/>
      <c r="BM110" s="436"/>
      <c r="BN110" s="436"/>
      <c r="BO110" s="1236">
        <f>(BO108-BJ108)*10000</f>
        <v>102.84180218293859</v>
      </c>
    </row>
    <row r="111" spans="1:67" hidden="1" outlineLevel="1">
      <c r="A111" s="319"/>
      <c r="B111" s="1235" t="s">
        <v>483</v>
      </c>
      <c r="C111" s="448"/>
      <c r="D111" s="384"/>
      <c r="E111" s="384"/>
      <c r="F111" s="436"/>
      <c r="G111" s="455"/>
      <c r="H111" s="448"/>
      <c r="I111" s="384"/>
      <c r="J111" s="384"/>
      <c r="K111" s="436"/>
      <c r="L111" s="455"/>
      <c r="M111" s="436"/>
      <c r="N111" s="436"/>
      <c r="O111" s="436"/>
      <c r="P111" s="436"/>
      <c r="Q111" s="1236"/>
      <c r="R111" s="1238">
        <f>R107/'IS (Non-GAAP)'!R67</f>
        <v>0.14780897187064343</v>
      </c>
      <c r="S111" s="1238">
        <f>S107/'IS (Non-GAAP)'!S67</f>
        <v>0.7540863832534751</v>
      </c>
      <c r="T111" s="1238">
        <f>T107/'IS (Non-GAAP)'!T67</f>
        <v>0.78711286634795208</v>
      </c>
      <c r="U111" s="1238">
        <f>U107/'IS (Non-GAAP)'!U67</f>
        <v>-0.15914380805290237</v>
      </c>
      <c r="V111" s="1239">
        <f>V107/'IS (Non-GAAP)'!V67</f>
        <v>0.37924872952759225</v>
      </c>
      <c r="W111" s="1238">
        <f>W107/'IS (Non-GAAP)'!W67</f>
        <v>-0.3614935627112027</v>
      </c>
      <c r="X111" s="1238">
        <f>X107/'IS (Non-GAAP)'!X67</f>
        <v>0.54580326970499604</v>
      </c>
      <c r="Y111" s="1238">
        <f>Y107/'IS (Non-GAAP)'!Y67</f>
        <v>1.1175637393767728</v>
      </c>
      <c r="Z111" s="1238">
        <f>Z107/'IS (Non-GAAP)'!Z67</f>
        <v>3.9166020600287959</v>
      </c>
      <c r="AA111" s="1239">
        <f>AA107/'IS (Non-GAAP)'!AA67</f>
        <v>-2.6042020850040104</v>
      </c>
      <c r="AB111" s="1238">
        <f>AB107/'IS (Non-GAAP)'!AB67</f>
        <v>102.92298507462614</v>
      </c>
      <c r="AC111" s="1238">
        <f>AC107/'IS (Non-GAAP)'!AC67</f>
        <v>3.0839585361663033</v>
      </c>
      <c r="AD111" s="1238">
        <f>AD107/'IS (Non-GAAP)'!AD67</f>
        <v>1.4985013372682832</v>
      </c>
      <c r="AE111" s="1238">
        <f>AE107/'IS (Non-GAAP)'!AE67</f>
        <v>6.2627307398932253</v>
      </c>
      <c r="AF111" s="1239">
        <f>AF107/'IS (Non-GAAP)'!AF67</f>
        <v>5.2107826159965587</v>
      </c>
      <c r="AG111" s="1238">
        <f>AG107/'IS (Non-GAAP)'!AG67</f>
        <v>8.6834631662883837</v>
      </c>
      <c r="AH111" s="1238">
        <f>AH107/'IS (Non-GAAP)'!AH67</f>
        <v>1.2734132841328412</v>
      </c>
      <c r="AI111" s="1238">
        <f>AI107/'IS (Non-GAAP)'!AI67</f>
        <v>1.4216686591231347</v>
      </c>
      <c r="AJ111" s="1238">
        <f>AJ107/'IS (Non-GAAP)'!AJ67</f>
        <v>4.5723163204915069</v>
      </c>
      <c r="AK111" s="1239">
        <f>AK107/'IS (Non-GAAP)'!AK67</f>
        <v>3.3908101519306957</v>
      </c>
      <c r="AL111" s="1240">
        <f>AL107/'IS (Non-GAAP)'!AL67</f>
        <v>9.1475830482286913</v>
      </c>
      <c r="AM111" s="1240">
        <f>AM107/'IS (Non-GAAP)'!AM67</f>
        <v>1.3448086682210909</v>
      </c>
      <c r="AN111" s="1240">
        <f>AN107/'IS (Non-GAAP)'!AN67</f>
        <v>1.3285219399538113</v>
      </c>
      <c r="AO111" s="1240">
        <f>AO107/'IS (Non-GAAP)'!AO67</f>
        <v>4.4745866767192579</v>
      </c>
      <c r="AP111" s="1239">
        <f>AP107/'IS (Non-GAAP)'!AP67</f>
        <v>3.8151240921272365</v>
      </c>
      <c r="AQ111" s="1240">
        <f>AQ107/'IS (Non-GAAP)'!AQ67</f>
        <v>2.000741888323982</v>
      </c>
      <c r="AR111" s="1240">
        <f>AR107/'IS (Non-GAAP)'!AR67</f>
        <v>0.45645596212334966</v>
      </c>
      <c r="AS111" s="1240">
        <f>AS107/'IS (Non-GAAP)'!AS67</f>
        <v>0.86521517290748096</v>
      </c>
      <c r="AT111" s="1240">
        <f>AT107/'IS (Non-GAAP)'!AT67</f>
        <v>8.6807887137207889</v>
      </c>
      <c r="AU111" s="1239">
        <f>AU107/'IS (Non-GAAP)'!AU67</f>
        <v>2.5351601004177486</v>
      </c>
      <c r="AV111" s="1240">
        <f>AV107/'IS (Non-GAAP)'!AV67</f>
        <v>3.3491589780881901</v>
      </c>
      <c r="AW111" s="1240">
        <f>AW107/'IS (Non-GAAP)'!AW67</f>
        <v>0.33731985718261526</v>
      </c>
      <c r="AX111" s="1240">
        <f>AX107/'IS (Non-GAAP)'!AX67</f>
        <v>0.6705176151556882</v>
      </c>
      <c r="AY111" s="1240">
        <f>AY107/'IS (Non-GAAP)'!AY67</f>
        <v>5.679751663234538</v>
      </c>
      <c r="AZ111" s="1239">
        <f>AZ107/'IS (Non-GAAP)'!AZ67</f>
        <v>2.2151138468350569</v>
      </c>
      <c r="BA111" s="1240">
        <f>BA107/'IS (Non-GAAP)'!BA67</f>
        <v>2.5901662875049869</v>
      </c>
      <c r="BB111" s="1240">
        <f>BB107/'IS (Non-GAAP)'!BB67</f>
        <v>0.48342539988284083</v>
      </c>
      <c r="BC111" s="1240">
        <f>BC107/'IS (Non-GAAP)'!BC67</f>
        <v>0.72744308212798015</v>
      </c>
      <c r="BD111" s="1240">
        <f>BD107/'IS (Non-GAAP)'!BD67</f>
        <v>4.4658503124318045</v>
      </c>
      <c r="BE111" s="1239">
        <f>BE107/'IS (Non-GAAP)'!BE67</f>
        <v>1.8858012569937279</v>
      </c>
      <c r="BF111" s="1240">
        <f>BF107/'IS (Non-GAAP)'!BF67</f>
        <v>2.1209971264591587</v>
      </c>
      <c r="BG111" s="1240">
        <f>BG107/'IS (Non-GAAP)'!BG67</f>
        <v>0.49629099895086748</v>
      </c>
      <c r="BH111" s="1240">
        <f>BH107/'IS (Non-GAAP)'!BH67</f>
        <v>0.80882673257323601</v>
      </c>
      <c r="BI111" s="1240">
        <f>BI107/'IS (Non-GAAP)'!BI67</f>
        <v>3.6410867252824075</v>
      </c>
      <c r="BJ111" s="1239">
        <f>BJ107/'IS (Non-GAAP)'!BJ67</f>
        <v>1.6587214021150469</v>
      </c>
      <c r="BK111" s="1240">
        <f>BK107/'IS (Non-GAAP)'!BK67</f>
        <v>1.7390300937483072</v>
      </c>
      <c r="BL111" s="1240">
        <f>BL107/'IS (Non-GAAP)'!BL67</f>
        <v>0.5611302932217056</v>
      </c>
      <c r="BM111" s="1240">
        <f>BM107/'IS (Non-GAAP)'!BM67</f>
        <v>0.85494046194003359</v>
      </c>
      <c r="BN111" s="1240">
        <f>BN107/'IS (Non-GAAP)'!BN67</f>
        <v>3.1083777818900815</v>
      </c>
      <c r="BO111" s="1239">
        <f>BO107/'IS (Non-GAAP)'!BO67</f>
        <v>1.4948518263780601</v>
      </c>
    </row>
    <row r="112" spans="1:67" hidden="1" outlineLevel="1">
      <c r="A112" s="319"/>
      <c r="B112" s="987"/>
      <c r="C112" s="448"/>
      <c r="D112" s="384"/>
      <c r="E112" s="384"/>
      <c r="F112" s="436"/>
      <c r="G112" s="455"/>
      <c r="H112" s="448"/>
      <c r="I112" s="384"/>
      <c r="J112" s="384"/>
      <c r="K112" s="436"/>
      <c r="L112" s="455"/>
      <c r="M112" s="436"/>
      <c r="N112" s="436"/>
      <c r="O112" s="436"/>
      <c r="P112" s="436"/>
      <c r="Q112" s="455"/>
      <c r="R112" s="436"/>
      <c r="S112" s="436"/>
      <c r="T112" s="436"/>
      <c r="U112" s="436"/>
      <c r="V112" s="455"/>
      <c r="W112" s="436"/>
      <c r="X112" s="436"/>
      <c r="Y112" s="436"/>
      <c r="Z112" s="436"/>
      <c r="AA112" s="455"/>
      <c r="AB112" s="436"/>
      <c r="AC112" s="436"/>
      <c r="AD112" s="436"/>
      <c r="AE112" s="436"/>
      <c r="AF112" s="455"/>
      <c r="AG112" s="436"/>
      <c r="AH112" s="436"/>
      <c r="AI112" s="436"/>
      <c r="AJ112" s="436"/>
      <c r="AK112" s="455"/>
      <c r="AL112" s="436"/>
      <c r="AM112" s="436"/>
      <c r="AN112" s="436"/>
      <c r="AO112" s="436"/>
      <c r="AP112" s="455"/>
      <c r="AQ112" s="436"/>
      <c r="AR112" s="436"/>
      <c r="AS112" s="436"/>
      <c r="AT112" s="436"/>
      <c r="AU112" s="455"/>
      <c r="AV112" s="436"/>
      <c r="AW112" s="436"/>
      <c r="AX112" s="436"/>
      <c r="AY112" s="436"/>
      <c r="AZ112" s="455"/>
      <c r="BA112" s="436"/>
      <c r="BB112" s="436"/>
      <c r="BC112" s="436"/>
      <c r="BD112" s="436"/>
      <c r="BE112" s="455"/>
      <c r="BF112" s="436"/>
      <c r="BG112" s="436"/>
      <c r="BH112" s="436"/>
      <c r="BI112" s="436"/>
      <c r="BJ112" s="455"/>
      <c r="BK112" s="436"/>
      <c r="BL112" s="436"/>
      <c r="BM112" s="436"/>
      <c r="BN112" s="436"/>
      <c r="BO112" s="455"/>
    </row>
    <row r="113" spans="1:67" s="87" customFormat="1" hidden="1" outlineLevel="1">
      <c r="A113" s="450"/>
      <c r="B113" s="1059" t="s">
        <v>152</v>
      </c>
      <c r="C113" s="451"/>
      <c r="D113" s="452"/>
      <c r="E113" s="452"/>
      <c r="F113" s="453"/>
      <c r="G113" s="454"/>
      <c r="H113" s="451"/>
      <c r="I113" s="452"/>
      <c r="J113" s="452"/>
      <c r="K113" s="453">
        <f>CF!K84</f>
        <v>-71.53900000000003</v>
      </c>
      <c r="L113" s="454">
        <f>CF!L84</f>
        <v>-147.99800000000005</v>
      </c>
      <c r="M113" s="453">
        <f>CF!M84</f>
        <v>-38.860000000000014</v>
      </c>
      <c r="N113" s="453">
        <f>CF!N84</f>
        <v>-84.123999999999995</v>
      </c>
      <c r="O113" s="453">
        <f>CF!O84</f>
        <v>-28.202000000000005</v>
      </c>
      <c r="P113" s="453">
        <f>CF!P84</f>
        <v>-48.09099999999998</v>
      </c>
      <c r="Q113" s="454">
        <f>CF!Q84</f>
        <v>-199.27699999999999</v>
      </c>
      <c r="R113" s="453">
        <f>CF!R84</f>
        <v>-7.7950000000000159</v>
      </c>
      <c r="S113" s="453">
        <f>CF!S84</f>
        <v>-44.016000000000034</v>
      </c>
      <c r="T113" s="453">
        <f>CF!T84</f>
        <v>-37.055999999999976</v>
      </c>
      <c r="U113" s="453">
        <f>CF!U84</f>
        <v>17.255999999999975</v>
      </c>
      <c r="V113" s="454">
        <f>CF!V84</f>
        <v>-71.611000000000047</v>
      </c>
      <c r="W113" s="453">
        <f>CF!W84</f>
        <v>23.389000000000042</v>
      </c>
      <c r="X113" s="453">
        <f>CF!X84</f>
        <v>2.8119999999999816</v>
      </c>
      <c r="Y113" s="453">
        <f>CF!Y84</f>
        <v>21.52600000000006</v>
      </c>
      <c r="Z113" s="453">
        <f>CF!Z84</f>
        <v>102.10399999999997</v>
      </c>
      <c r="AA113" s="454">
        <f>CF!AA84</f>
        <v>149.83100000000005</v>
      </c>
      <c r="AB113" s="453">
        <f>CF!AB84</f>
        <v>181.44099999999995</v>
      </c>
      <c r="AC113" s="453">
        <f>CF!AC84</f>
        <v>58.645000000000039</v>
      </c>
      <c r="AD113" s="453">
        <f>CF!AD84</f>
        <v>65.044999999999916</v>
      </c>
      <c r="AE113" s="453">
        <f>CF!AE84</f>
        <v>215.29499999999996</v>
      </c>
      <c r="AF113" s="454">
        <f>CF!AF84</f>
        <v>520.42599999999993</v>
      </c>
      <c r="AG113" s="453">
        <f>CF!AG84</f>
        <v>286.91800000000001</v>
      </c>
      <c r="AH113" s="453">
        <f>CF!AH84</f>
        <v>88.156999999999911</v>
      </c>
      <c r="AI113" s="453">
        <f>CF!AI84</f>
        <v>110.81300000000005</v>
      </c>
      <c r="AJ113" s="453">
        <f>CF!AJ84</f>
        <v>324.29700000000003</v>
      </c>
      <c r="AK113" s="454">
        <f>CF!AK84</f>
        <v>810.18499999999995</v>
      </c>
      <c r="AL113" s="453">
        <f>CF!AL84</f>
        <v>365.69099999999992</v>
      </c>
      <c r="AM113" s="453">
        <f>CF!AM84</f>
        <v>65.950999999999823</v>
      </c>
      <c r="AN113" s="453">
        <f>CF!AN84</f>
        <v>86.797000000000082</v>
      </c>
      <c r="AO113" s="453">
        <f>CF!AO84</f>
        <v>423.08700000000016</v>
      </c>
      <c r="AP113" s="454">
        <f>CF!AP84</f>
        <v>941.52600000000007</v>
      </c>
      <c r="AQ113" s="453">
        <f>CF!AQ84</f>
        <v>206.26899999999981</v>
      </c>
      <c r="AR113" s="453">
        <f>CF!AR84</f>
        <v>67.765000000000015</v>
      </c>
      <c r="AS113" s="453">
        <f>CF!AS84</f>
        <v>136.42399999999984</v>
      </c>
      <c r="AT113" s="453">
        <f>CF!AT84</f>
        <v>761.01091265617868</v>
      </c>
      <c r="AU113" s="454">
        <f>CF!AU84</f>
        <v>1171.4689126561784</v>
      </c>
      <c r="AV113" s="453">
        <f>CF!AV84</f>
        <v>500.95135180081883</v>
      </c>
      <c r="AW113" s="453">
        <f>CF!AW84</f>
        <v>70.574591558930592</v>
      </c>
      <c r="AX113" s="453">
        <f>CF!AX84</f>
        <v>137.7386864946935</v>
      </c>
      <c r="AY113" s="453">
        <f>CF!AY84</f>
        <v>801.03469691953762</v>
      </c>
      <c r="AZ113" s="454">
        <f>CF!AZ84</f>
        <v>1510.2993267739805</v>
      </c>
      <c r="BA113" s="453">
        <f>CF!BA84</f>
        <v>586.79091328850052</v>
      </c>
      <c r="BB113" s="453">
        <f>CF!BB84</f>
        <v>141.65583168224157</v>
      </c>
      <c r="BC113" s="453">
        <f>CF!BC84</f>
        <v>218.37357943538905</v>
      </c>
      <c r="BD113" s="453">
        <f>CF!BD84</f>
        <v>989.67756385644361</v>
      </c>
      <c r="BE113" s="454">
        <f>CF!BE84</f>
        <v>1936.4978882625746</v>
      </c>
      <c r="BF113" s="453">
        <f>CF!BF84</f>
        <v>694.88161035895541</v>
      </c>
      <c r="BG113" s="453">
        <f>CF!BG84</f>
        <v>202.85714919137789</v>
      </c>
      <c r="BH113" s="453">
        <f>CF!BH84</f>
        <v>347.47537962839766</v>
      </c>
      <c r="BI113" s="453">
        <f>CF!BI84</f>
        <v>1228.9195970079013</v>
      </c>
      <c r="BJ113" s="454">
        <f>CF!BJ84</f>
        <v>2474.1337361866322</v>
      </c>
      <c r="BK113" s="453">
        <f>CF!BK84</f>
        <v>817.06242021241417</v>
      </c>
      <c r="BL113" s="453">
        <f>CF!BL84</f>
        <v>315.99880277668842</v>
      </c>
      <c r="BM113" s="453">
        <f>CF!BM84</f>
        <v>513.63865403442446</v>
      </c>
      <c r="BN113" s="453">
        <f>CF!BN84</f>
        <v>1507.2593683366601</v>
      </c>
      <c r="BO113" s="454">
        <f>CF!BO84</f>
        <v>3153.9592453601872</v>
      </c>
    </row>
    <row r="114" spans="1:67" s="462" customFormat="1" hidden="1" outlineLevel="1">
      <c r="A114" s="457"/>
      <c r="B114" s="987" t="s">
        <v>6</v>
      </c>
      <c r="C114" s="458"/>
      <c r="D114" s="459"/>
      <c r="E114" s="459"/>
      <c r="F114" s="460"/>
      <c r="G114" s="461"/>
      <c r="H114" s="458"/>
      <c r="I114" s="459"/>
      <c r="J114" s="459"/>
      <c r="K114" s="460">
        <f t="shared" ref="K114:AP114" si="220">K113/K55</f>
        <v>-1.9504607666721201</v>
      </c>
      <c r="L114" s="461">
        <f t="shared" si="220"/>
        <v>-1.5310243518920825</v>
      </c>
      <c r="M114" s="460">
        <f t="shared" si="220"/>
        <v>-0.88914311863631201</v>
      </c>
      <c r="N114" s="460">
        <f t="shared" si="220"/>
        <v>-1.3941894960141865</v>
      </c>
      <c r="O114" s="460">
        <f t="shared" si="220"/>
        <v>-0.38626527146222545</v>
      </c>
      <c r="P114" s="460">
        <f t="shared" si="220"/>
        <v>-0.54840806458970004</v>
      </c>
      <c r="Q114" s="461">
        <f t="shared" si="220"/>
        <v>-0.75270445857947932</v>
      </c>
      <c r="R114" s="460">
        <f t="shared" si="220"/>
        <v>-7.1635344391857883E-2</v>
      </c>
      <c r="S114" s="460">
        <f t="shared" si="220"/>
        <v>-0.33058695407262789</v>
      </c>
      <c r="T114" s="460">
        <f t="shared" si="220"/>
        <v>-0.23214554202375565</v>
      </c>
      <c r="U114" s="460">
        <f t="shared" si="220"/>
        <v>9.0599322710209096E-2</v>
      </c>
      <c r="V114" s="461">
        <f t="shared" si="220"/>
        <v>-0.12095451558908139</v>
      </c>
      <c r="W114" s="460">
        <f t="shared" si="220"/>
        <v>0.10217374210402178</v>
      </c>
      <c r="X114" s="460">
        <f t="shared" si="220"/>
        <v>1.0330715141183925E-2</v>
      </c>
      <c r="Y114" s="460">
        <f t="shared" si="220"/>
        <v>6.4364118035767318E-2</v>
      </c>
      <c r="Z114" s="460">
        <f t="shared" si="220"/>
        <v>0.26605241626582304</v>
      </c>
      <c r="AA114" s="461">
        <f t="shared" si="220"/>
        <v>0.12288008056903525</v>
      </c>
      <c r="AB114" s="460">
        <f t="shared" si="220"/>
        <v>0.42957731473041455</v>
      </c>
      <c r="AC114" s="460">
        <f t="shared" si="220"/>
        <v>0.1179391370101037</v>
      </c>
      <c r="AD114" s="460">
        <f t="shared" si="220"/>
        <v>0.11677150879309466</v>
      </c>
      <c r="AE114" s="460">
        <f t="shared" si="220"/>
        <v>0.36551886888552354</v>
      </c>
      <c r="AF114" s="461">
        <f t="shared" si="220"/>
        <v>0.25194187423964942</v>
      </c>
      <c r="AG114" s="460">
        <f t="shared" si="220"/>
        <v>0.46010016051982122</v>
      </c>
      <c r="AH114" s="460">
        <f t="shared" si="220"/>
        <v>0.1307932429104266</v>
      </c>
      <c r="AI114" s="460">
        <f t="shared" si="220"/>
        <v>0.15093581485562674</v>
      </c>
      <c r="AJ114" s="460">
        <f t="shared" si="220"/>
        <v>0.41861032478420651</v>
      </c>
      <c r="AK114" s="461">
        <f t="shared" si="220"/>
        <v>0.28868276341008281</v>
      </c>
      <c r="AL114" s="460">
        <f t="shared" si="220"/>
        <v>0.44127793954210698</v>
      </c>
      <c r="AM114" s="460">
        <f t="shared" si="220"/>
        <v>7.5908441650370473E-2</v>
      </c>
      <c r="AN114" s="460">
        <f t="shared" si="220"/>
        <v>9.2131995321061463E-2</v>
      </c>
      <c r="AO114" s="460">
        <f t="shared" si="220"/>
        <v>0.42875948802659197</v>
      </c>
      <c r="AP114" s="461">
        <f t="shared" si="220"/>
        <v>0.25963132542612555</v>
      </c>
      <c r="AQ114" s="460">
        <f t="shared" ref="AQ114:AS114" si="221">AQ113/AQ55</f>
        <v>0.19794083721501524</v>
      </c>
      <c r="AR114" s="460">
        <f t="shared" si="221"/>
        <v>5.9185008502413615E-2</v>
      </c>
      <c r="AS114" s="460">
        <f t="shared" si="221"/>
        <v>0.11247669858167418</v>
      </c>
      <c r="AT114" s="460">
        <f t="shared" ref="AT114:BO114" si="222">AT113/AT55</f>
        <v>0.60939225684883858</v>
      </c>
      <c r="AU114" s="461">
        <f t="shared" si="222"/>
        <v>0.25199626535365582</v>
      </c>
      <c r="AV114" s="460">
        <f t="shared" si="222"/>
        <v>0.38152868673163998</v>
      </c>
      <c r="AW114" s="460">
        <f t="shared" si="222"/>
        <v>4.9874787983290245E-2</v>
      </c>
      <c r="AX114" s="460">
        <f t="shared" si="222"/>
        <v>9.168433276656382E-2</v>
      </c>
      <c r="AY114" s="460">
        <f t="shared" si="222"/>
        <v>0.51705438852782393</v>
      </c>
      <c r="AZ114" s="461">
        <f t="shared" si="222"/>
        <v>0.26131609406260209</v>
      </c>
      <c r="BA114" s="460">
        <f t="shared" si="222"/>
        <v>0.3601589656558572</v>
      </c>
      <c r="BB114" s="460">
        <f t="shared" si="222"/>
        <v>8.044888116312171E-2</v>
      </c>
      <c r="BC114" s="460">
        <f t="shared" si="222"/>
        <v>0.11649440510349655</v>
      </c>
      <c r="BD114" s="460">
        <f t="shared" si="222"/>
        <v>0.51714550149440208</v>
      </c>
      <c r="BE114" s="461">
        <f t="shared" si="222"/>
        <v>0.26976937299882975</v>
      </c>
      <c r="BF114" s="460">
        <f t="shared" si="222"/>
        <v>0.34804811708470162</v>
      </c>
      <c r="BG114" s="460">
        <f t="shared" si="222"/>
        <v>9.4232597171507088E-2</v>
      </c>
      <c r="BH114" s="460">
        <f t="shared" si="222"/>
        <v>0.14895458416537369</v>
      </c>
      <c r="BI114" s="460">
        <f t="shared" si="222"/>
        <v>0.51376433792315856</v>
      </c>
      <c r="BJ114" s="461">
        <f t="shared" si="222"/>
        <v>0.27880737427949909</v>
      </c>
      <c r="BK114" s="460">
        <f t="shared" si="222"/>
        <v>0.32915284753901503</v>
      </c>
      <c r="BL114" s="460">
        <f t="shared" si="222"/>
        <v>0.11957246292569018</v>
      </c>
      <c r="BM114" s="460">
        <f t="shared" si="222"/>
        <v>0.17815396971292688</v>
      </c>
      <c r="BN114" s="460">
        <f t="shared" si="222"/>
        <v>0.51515920029206952</v>
      </c>
      <c r="BO114" s="461">
        <f t="shared" si="222"/>
        <v>0.28845462622374296</v>
      </c>
    </row>
    <row r="115" spans="1:67" hidden="1" outlineLevel="1">
      <c r="A115" s="319"/>
      <c r="B115" s="987" t="s">
        <v>442</v>
      </c>
      <c r="C115" s="448"/>
      <c r="D115" s="384"/>
      <c r="E115" s="384"/>
      <c r="F115" s="436"/>
      <c r="G115" s="455"/>
      <c r="H115" s="448"/>
      <c r="I115" s="384"/>
      <c r="J115" s="384"/>
      <c r="K115" s="436"/>
      <c r="L115" s="455"/>
      <c r="M115" s="436">
        <f>M113/Q113</f>
        <v>0.19500494286846959</v>
      </c>
      <c r="N115" s="436">
        <f>N113/Q113</f>
        <v>0.42214605799966881</v>
      </c>
      <c r="O115" s="436">
        <f>O113/Q113</f>
        <v>0.14152160058611885</v>
      </c>
      <c r="P115" s="436">
        <f>P113/Q113</f>
        <v>0.24132739854574278</v>
      </c>
      <c r="Q115" s="455"/>
      <c r="R115" s="436">
        <f>R113/V113</f>
        <v>0.10885199201240048</v>
      </c>
      <c r="S115" s="436">
        <f>S113/V113</f>
        <v>0.61465417324154115</v>
      </c>
      <c r="T115" s="436">
        <f>T113/V113</f>
        <v>0.51746240102777441</v>
      </c>
      <c r="U115" s="436">
        <f>U113/V113</f>
        <v>-0.24096856628171601</v>
      </c>
      <c r="V115" s="455"/>
      <c r="W115" s="436">
        <f>W113/AA113</f>
        <v>0.1561025421975428</v>
      </c>
      <c r="X115" s="436">
        <f>X113/AA113</f>
        <v>1.8767811734554135E-2</v>
      </c>
      <c r="Y115" s="436">
        <f>Y113/AA113</f>
        <v>0.14366853321408823</v>
      </c>
      <c r="Z115" s="436">
        <f>Z113/AA113</f>
        <v>0.68146111285381494</v>
      </c>
      <c r="AA115" s="455"/>
      <c r="AB115" s="436">
        <f>AB113/AF113</f>
        <v>0.34863938388935212</v>
      </c>
      <c r="AC115" s="436">
        <f>AC113/AF113</f>
        <v>0.11268652988128965</v>
      </c>
      <c r="AD115" s="436">
        <f>AD113/AF113</f>
        <v>0.12498414760215655</v>
      </c>
      <c r="AE115" s="436">
        <f>AE113/AF113</f>
        <v>0.41368993862720155</v>
      </c>
      <c r="AF115" s="455"/>
      <c r="AG115" s="436">
        <f>AG113/AK113</f>
        <v>0.35413886951745593</v>
      </c>
      <c r="AH115" s="436">
        <f>AH113/AK113</f>
        <v>0.10881095058536003</v>
      </c>
      <c r="AI115" s="436">
        <f>AI113/AK113</f>
        <v>0.13677493411998501</v>
      </c>
      <c r="AJ115" s="436">
        <f>AJ113/AK113</f>
        <v>0.40027524577719908</v>
      </c>
      <c r="AK115" s="455"/>
      <c r="AL115" s="436">
        <f>AL113/AP113</f>
        <v>0.38840244454215805</v>
      </c>
      <c r="AM115" s="436">
        <f>AM113/AP113</f>
        <v>7.00469238236648E-2</v>
      </c>
      <c r="AN115" s="436">
        <f>AN113/AP113</f>
        <v>9.2187576338837243E-2</v>
      </c>
      <c r="AO115" s="436">
        <f>AO113/AP113</f>
        <v>0.44936305529533982</v>
      </c>
      <c r="AP115" s="455"/>
      <c r="AQ115" s="436">
        <f>AQ113/AU113</f>
        <v>0.17607722899987782</v>
      </c>
      <c r="AR115" s="436">
        <f>AR113/AU113</f>
        <v>5.7846178646217973E-2</v>
      </c>
      <c r="AS115" s="436">
        <f>AS113/AU113</f>
        <v>0.11645550174325432</v>
      </c>
      <c r="AT115" s="436">
        <f>AT113/AU113</f>
        <v>0.64962109061064977</v>
      </c>
      <c r="AU115" s="455"/>
      <c r="AV115" s="436">
        <f>AV113/AZ113</f>
        <v>0.33169011130453036</v>
      </c>
      <c r="AW115" s="436">
        <f>AW113/AZ113</f>
        <v>4.6728877056231535E-2</v>
      </c>
      <c r="AX115" s="436">
        <f>AX113/AZ113</f>
        <v>9.1199594711404111E-2</v>
      </c>
      <c r="AY115" s="436">
        <f>AY113/AZ113</f>
        <v>0.53038141692783403</v>
      </c>
      <c r="AZ115" s="455"/>
      <c r="BA115" s="436">
        <f>BA113/BE113</f>
        <v>0.30301655211974909</v>
      </c>
      <c r="BB115" s="436">
        <f>BB113/BE113</f>
        <v>7.3150522156951656E-2</v>
      </c>
      <c r="BC115" s="436">
        <f>BC113/BE113</f>
        <v>0.11276726959475993</v>
      </c>
      <c r="BD115" s="436">
        <f>BD113/BE113</f>
        <v>0.51106565612853938</v>
      </c>
      <c r="BE115" s="455"/>
      <c r="BF115" s="436">
        <f>BF113/BJ113</f>
        <v>0.28085854866922932</v>
      </c>
      <c r="BG115" s="436">
        <f>BG113/BJ113</f>
        <v>8.199118189303721E-2</v>
      </c>
      <c r="BH115" s="436">
        <f>BH113/BJ113</f>
        <v>0.14044324870003164</v>
      </c>
      <c r="BI115" s="436">
        <f>BI113/BJ113</f>
        <v>0.49670702073770184</v>
      </c>
      <c r="BJ115" s="455"/>
      <c r="BK115" s="436">
        <f>BK113/BO113</f>
        <v>0.25905928284089302</v>
      </c>
      <c r="BL115" s="436">
        <f>BL113/BO113</f>
        <v>0.10019114966103529</v>
      </c>
      <c r="BM115" s="436">
        <f>BM113/BO113</f>
        <v>0.16285519693700612</v>
      </c>
      <c r="BN115" s="436">
        <f>BN113/BO113</f>
        <v>0.4778943705610656</v>
      </c>
      <c r="BO115" s="455"/>
    </row>
    <row r="116" spans="1:67" hidden="1" outlineLevel="1">
      <c r="A116" s="319"/>
      <c r="B116" s="1235" t="s">
        <v>482</v>
      </c>
      <c r="C116" s="448"/>
      <c r="D116" s="384"/>
      <c r="E116" s="384"/>
      <c r="F116" s="436"/>
      <c r="G116" s="455"/>
      <c r="H116" s="448"/>
      <c r="I116" s="384"/>
      <c r="J116" s="384"/>
      <c r="K116" s="436"/>
      <c r="L116" s="455"/>
      <c r="M116" s="436"/>
      <c r="N116" s="436"/>
      <c r="O116" s="436"/>
      <c r="P116" s="436"/>
      <c r="Q116" s="1236">
        <f>(Q114-L114)*10000</f>
        <v>7783.198933126032</v>
      </c>
      <c r="R116" s="1237"/>
      <c r="S116" s="1237"/>
      <c r="T116" s="1237"/>
      <c r="U116" s="1237"/>
      <c r="V116" s="1236">
        <f>(V114-Q114)*10000</f>
        <v>6317.499429903979</v>
      </c>
      <c r="W116" s="1237"/>
      <c r="X116" s="1237"/>
      <c r="Y116" s="1237"/>
      <c r="Z116" s="1237"/>
      <c r="AA116" s="1236">
        <f>(AA114-V114)*10000</f>
        <v>2438.3459615811666</v>
      </c>
      <c r="AB116" s="1237"/>
      <c r="AC116" s="1237"/>
      <c r="AD116" s="1237"/>
      <c r="AE116" s="1237"/>
      <c r="AF116" s="1236">
        <f>(AF114-AA114)*10000</f>
        <v>1290.6179367061416</v>
      </c>
      <c r="AG116" s="1237"/>
      <c r="AH116" s="1237"/>
      <c r="AI116" s="1237"/>
      <c r="AJ116" s="1237"/>
      <c r="AK116" s="1236">
        <f>(AK114-AF114)*10000</f>
        <v>367.40889170433388</v>
      </c>
      <c r="AL116" s="436"/>
      <c r="AM116" s="436"/>
      <c r="AN116" s="436"/>
      <c r="AO116" s="436"/>
      <c r="AP116" s="1236">
        <f>(AP114-AK114)*10000</f>
        <v>-290.5143798395726</v>
      </c>
      <c r="AQ116" s="436"/>
      <c r="AR116" s="436"/>
      <c r="AS116" s="436"/>
      <c r="AT116" s="436"/>
      <c r="AU116" s="1236">
        <f>(AU114-AP114)*10000</f>
        <v>-76.350600724697244</v>
      </c>
      <c r="AV116" s="436"/>
      <c r="AW116" s="436"/>
      <c r="AX116" s="436"/>
      <c r="AY116" s="436"/>
      <c r="AZ116" s="1236">
        <f>(AZ114-AU114)*10000</f>
        <v>93.198287089462653</v>
      </c>
      <c r="BA116" s="436"/>
      <c r="BB116" s="436"/>
      <c r="BC116" s="436"/>
      <c r="BD116" s="436"/>
      <c r="BE116" s="1236">
        <f>(BE114-AZ114)*10000</f>
        <v>84.532789362276588</v>
      </c>
      <c r="BF116" s="436"/>
      <c r="BG116" s="436"/>
      <c r="BH116" s="436"/>
      <c r="BI116" s="436"/>
      <c r="BJ116" s="1236">
        <f>(BJ114-BE114)*10000</f>
        <v>90.380012806693387</v>
      </c>
      <c r="BK116" s="436"/>
      <c r="BL116" s="436"/>
      <c r="BM116" s="436"/>
      <c r="BN116" s="436"/>
      <c r="BO116" s="1236">
        <f>(BO114-BJ114)*10000</f>
        <v>96.472519442438738</v>
      </c>
    </row>
    <row r="117" spans="1:67" collapsed="1">
      <c r="A117" s="319"/>
      <c r="B117" s="1235"/>
      <c r="C117" s="448"/>
      <c r="D117" s="384"/>
      <c r="E117" s="384"/>
      <c r="F117" s="436"/>
      <c r="G117" s="455"/>
      <c r="H117" s="448"/>
      <c r="I117" s="384"/>
      <c r="J117" s="384"/>
      <c r="K117" s="436"/>
      <c r="L117" s="455"/>
      <c r="M117" s="436"/>
      <c r="N117" s="436"/>
      <c r="O117" s="436"/>
      <c r="P117" s="436"/>
      <c r="Q117" s="1236"/>
      <c r="R117" s="1237"/>
      <c r="S117" s="1237"/>
      <c r="T117" s="1237"/>
      <c r="U117" s="1237"/>
      <c r="V117" s="1236"/>
      <c r="W117" s="1237"/>
      <c r="X117" s="1237"/>
      <c r="Y117" s="1237"/>
      <c r="Z117" s="1237"/>
      <c r="AA117" s="1236"/>
      <c r="AB117" s="1237"/>
      <c r="AC117" s="1237"/>
      <c r="AD117" s="1237"/>
      <c r="AE117" s="1237"/>
      <c r="AF117" s="1236"/>
      <c r="AG117" s="1237"/>
      <c r="AH117" s="1237"/>
      <c r="AI117" s="1237"/>
      <c r="AJ117" s="1237"/>
      <c r="AK117" s="1236"/>
      <c r="AL117" s="436"/>
      <c r="AM117" s="436"/>
      <c r="AN117" s="436"/>
      <c r="AO117" s="436"/>
      <c r="AP117" s="1236"/>
      <c r="AQ117" s="436"/>
      <c r="AR117" s="436"/>
      <c r="AS117" s="436"/>
      <c r="AT117" s="436"/>
      <c r="AU117" s="1236"/>
      <c r="AV117" s="436"/>
      <c r="AW117" s="436"/>
      <c r="AX117" s="436"/>
      <c r="AY117" s="436"/>
      <c r="AZ117" s="1236"/>
      <c r="BA117" s="436"/>
      <c r="BB117" s="436"/>
      <c r="BC117" s="436"/>
      <c r="BD117" s="436"/>
      <c r="BE117" s="1236"/>
      <c r="BF117" s="436"/>
      <c r="BG117" s="436"/>
      <c r="BH117" s="436"/>
      <c r="BI117" s="436"/>
      <c r="BJ117" s="1236"/>
      <c r="BK117" s="436"/>
      <c r="BL117" s="436"/>
      <c r="BM117" s="436"/>
      <c r="BN117" s="436"/>
      <c r="BO117" s="1236"/>
    </row>
    <row r="118" spans="1:67">
      <c r="B118" s="986" t="s">
        <v>265</v>
      </c>
      <c r="C118" s="463"/>
      <c r="D118" s="384"/>
      <c r="E118" s="384"/>
      <c r="F118" s="384"/>
      <c r="G118" s="424"/>
      <c r="H118" s="463"/>
      <c r="I118" s="384"/>
      <c r="J118" s="384"/>
      <c r="K118" s="384"/>
      <c r="L118" s="424"/>
      <c r="M118" s="463"/>
      <c r="N118" s="384"/>
      <c r="O118" s="384"/>
      <c r="P118" s="384"/>
      <c r="Q118" s="424"/>
      <c r="R118" s="463"/>
      <c r="S118" s="384"/>
      <c r="T118" s="384"/>
      <c r="U118" s="384"/>
      <c r="V118" s="424"/>
      <c r="W118" s="463"/>
      <c r="X118" s="384"/>
      <c r="Y118" s="384"/>
      <c r="Z118" s="384"/>
      <c r="AA118" s="424"/>
      <c r="AB118" s="463"/>
      <c r="AC118" s="384"/>
      <c r="AD118" s="384"/>
      <c r="AE118" s="384"/>
      <c r="AF118" s="424"/>
      <c r="AG118" s="463"/>
      <c r="AH118" s="384"/>
      <c r="AI118" s="384"/>
      <c r="AJ118" s="384"/>
      <c r="AK118" s="424"/>
      <c r="AL118" s="463"/>
      <c r="AM118" s="914"/>
      <c r="AN118" s="914"/>
      <c r="AO118" s="384"/>
      <c r="AP118" s="424"/>
      <c r="AQ118" s="463"/>
      <c r="AR118" s="914"/>
      <c r="AS118" s="914"/>
      <c r="AT118" s="914"/>
      <c r="AU118" s="385"/>
      <c r="AV118" s="915"/>
      <c r="AW118" s="914"/>
      <c r="AX118" s="914"/>
      <c r="AY118" s="914"/>
      <c r="AZ118" s="385"/>
      <c r="BA118" s="915"/>
      <c r="BB118" s="914"/>
      <c r="BC118" s="914"/>
      <c r="BD118" s="914"/>
      <c r="BE118" s="385"/>
      <c r="BF118" s="915"/>
      <c r="BG118" s="914"/>
      <c r="BH118" s="914"/>
      <c r="BI118" s="914"/>
      <c r="BJ118" s="385"/>
      <c r="BK118" s="915"/>
      <c r="BL118" s="914"/>
      <c r="BM118" s="914"/>
      <c r="BN118" s="914"/>
      <c r="BO118" s="385"/>
    </row>
    <row r="119" spans="1:67" s="377" customFormat="1" hidden="1" outlineLevel="1">
      <c r="A119" s="351"/>
      <c r="B119" s="1244" t="s">
        <v>266</v>
      </c>
      <c r="C119" s="1245"/>
      <c r="D119" s="641"/>
      <c r="E119" s="641"/>
      <c r="F119" s="641"/>
      <c r="G119" s="1246"/>
      <c r="H119" s="1245"/>
      <c r="I119" s="641"/>
      <c r="J119" s="641"/>
      <c r="K119" s="641"/>
      <c r="L119" s="1246"/>
      <c r="M119" s="1247">
        <f>CF!M11</f>
        <v>0.60899999999999999</v>
      </c>
      <c r="N119" s="1247">
        <f>CF!N11</f>
        <v>0.755</v>
      </c>
      <c r="O119" s="1247">
        <f>CF!O11</f>
        <v>0.89300000000000002</v>
      </c>
      <c r="P119" s="1247">
        <f>CF!P11</f>
        <v>1.2649999999999999</v>
      </c>
      <c r="Q119" s="1246">
        <f>SUM(M119:P119)</f>
        <v>3.5219999999999994</v>
      </c>
      <c r="R119" s="1247">
        <f>CF!R11</f>
        <v>1.522</v>
      </c>
      <c r="S119" s="1247">
        <f>CF!S11</f>
        <v>2.2400000000000002</v>
      </c>
      <c r="T119" s="1247">
        <f>CF!T11</f>
        <v>2.8490000000000002</v>
      </c>
      <c r="U119" s="1247">
        <f>CF!U11</f>
        <v>3.2149999999999999</v>
      </c>
      <c r="V119" s="1246">
        <f>SUM(R119:U119)</f>
        <v>9.8260000000000005</v>
      </c>
      <c r="W119" s="1247">
        <f>CF!W11</f>
        <v>4.6840000000000002</v>
      </c>
      <c r="X119" s="1247">
        <f>CF!X11</f>
        <v>5.3840000000000003</v>
      </c>
      <c r="Y119" s="1247">
        <f>CF!Y11</f>
        <v>5.5179999999999998</v>
      </c>
      <c r="Z119" s="1247">
        <f>CF!Z11</f>
        <v>5.9119999999999999</v>
      </c>
      <c r="AA119" s="1246">
        <f>SUM(W119:Z119)</f>
        <v>21.498000000000001</v>
      </c>
      <c r="AB119" s="1247">
        <f>CF!AB11</f>
        <v>9.9410000000000007</v>
      </c>
      <c r="AC119" s="1247">
        <f>CF!AC11</f>
        <v>16.172000000000001</v>
      </c>
      <c r="AD119" s="1247">
        <f>CF!AD11</f>
        <v>17.696000000000002</v>
      </c>
      <c r="AE119" s="1247">
        <f>CF!AE11</f>
        <v>19.725999999999999</v>
      </c>
      <c r="AF119" s="1246">
        <f>SUM(AB119:AE119)</f>
        <v>63.534999999999997</v>
      </c>
      <c r="AG119" s="1247">
        <f>CF!AG11</f>
        <v>23.163</v>
      </c>
      <c r="AH119" s="1247">
        <f>CF!AH11</f>
        <v>29.283999999999999</v>
      </c>
      <c r="AI119" s="1247">
        <f>CF!AI11</f>
        <v>32.47</v>
      </c>
      <c r="AJ119" s="1247">
        <f>CF!AJ11</f>
        <v>34.985999999999997</v>
      </c>
      <c r="AK119" s="1246">
        <f>SUM(AG119:AJ119)</f>
        <v>119.90299999999999</v>
      </c>
      <c r="AL119" s="1247">
        <f>CF!AL11</f>
        <v>40.220999999999997</v>
      </c>
      <c r="AM119" s="1247">
        <f>CF!AM11</f>
        <v>45.110999999999997</v>
      </c>
      <c r="AN119" s="1247">
        <f>CF!AN11</f>
        <v>47.045999999999999</v>
      </c>
      <c r="AO119" s="1247">
        <f>CF!AO11</f>
        <v>50.13</v>
      </c>
      <c r="AP119" s="1246">
        <f>SUM(AL119:AO119)</f>
        <v>182.50799999999998</v>
      </c>
      <c r="AQ119" s="1247">
        <f>CF!AQ11</f>
        <v>48.804000000000002</v>
      </c>
      <c r="AR119" s="1247">
        <f>CF!AR11</f>
        <v>54.837000000000003</v>
      </c>
      <c r="AS119" s="1247">
        <f>CF!AS11</f>
        <v>57.878</v>
      </c>
      <c r="AT119" s="641">
        <f>SUM(AT120:AT121)</f>
        <v>51.011000000000003</v>
      </c>
      <c r="AU119" s="1246">
        <f>SUM(AQ119:AT119)</f>
        <v>212.53</v>
      </c>
      <c r="AV119" s="1245">
        <f>SUM(AV120:AV121)</f>
        <v>49.745993178223372</v>
      </c>
      <c r="AW119" s="641">
        <f>SUM(AW120:AW121)</f>
        <v>49.139973030296773</v>
      </c>
      <c r="AX119" s="641">
        <f>SUM(AX120:AX121)</f>
        <v>48.794926602172836</v>
      </c>
      <c r="AY119" s="641">
        <f>SUM(AY120:AY121)</f>
        <v>48.654214247548616</v>
      </c>
      <c r="AZ119" s="1246">
        <f>SUM(AV119:AY119)</f>
        <v>196.33510705824159</v>
      </c>
      <c r="BA119" s="1245">
        <f>SUM(BA120:BA121)</f>
        <v>40.477198762895839</v>
      </c>
      <c r="BB119" s="641">
        <f>SUM(BB120:BB121)</f>
        <v>40.598169173886916</v>
      </c>
      <c r="BC119" s="641">
        <f>SUM(BC120:BC121)</f>
        <v>40.957188477464847</v>
      </c>
      <c r="BD119" s="641">
        <f>SUM(BD120:BD121)</f>
        <v>41.494210756602655</v>
      </c>
      <c r="BE119" s="1246">
        <f>SUM(BA119:BD119)</f>
        <v>163.52676717085026</v>
      </c>
      <c r="BF119" s="1245">
        <f>SUM(BF120:BF121)</f>
        <v>31.881971584160713</v>
      </c>
      <c r="BG119" s="641">
        <f>SUM(BG120:BG121)</f>
        <v>32.532942115092858</v>
      </c>
      <c r="BH119" s="641">
        <f>SUM(BH120:BH121)</f>
        <v>33.411208731760134</v>
      </c>
      <c r="BI119" s="641">
        <f>SUM(BI120:BI121)</f>
        <v>34.537447076035917</v>
      </c>
      <c r="BJ119" s="1246">
        <f>SUM(BF119:BI119)</f>
        <v>132.36356950704965</v>
      </c>
      <c r="BK119" s="1245">
        <f>SUM(BK120:BK121)</f>
        <v>35.653895744656502</v>
      </c>
      <c r="BL119" s="641">
        <f>SUM(BL120:BL121)</f>
        <v>36.821012142788859</v>
      </c>
      <c r="BM119" s="641">
        <f>SUM(BM120:BM121)</f>
        <v>38.167123365513731</v>
      </c>
      <c r="BN119" s="641">
        <f>SUM(BN120:BN121)</f>
        <v>39.825394611243368</v>
      </c>
      <c r="BO119" s="1246">
        <f>SUM(BK119:BN119)</f>
        <v>150.46742586420248</v>
      </c>
    </row>
    <row r="120" spans="1:67" s="255" customFormat="1" hidden="1" outlineLevel="1">
      <c r="A120" s="431"/>
      <c r="B120" s="982" t="s">
        <v>127</v>
      </c>
      <c r="C120" s="464"/>
      <c r="D120" s="434"/>
      <c r="E120" s="434"/>
      <c r="F120" s="434"/>
      <c r="G120" s="424"/>
      <c r="H120" s="464"/>
      <c r="I120" s="434"/>
      <c r="J120" s="434"/>
      <c r="K120" s="434"/>
      <c r="L120" s="424"/>
      <c r="M120" s="465">
        <f>'IS (Non-GAAP)'!M152</f>
        <v>9.2999999999999999E-2</v>
      </c>
      <c r="N120" s="465">
        <f>'IS (Non-GAAP)'!N152</f>
        <v>0.21900000000000003</v>
      </c>
      <c r="O120" s="465">
        <f>'IS (Non-GAAP)'!O152</f>
        <v>0.29799999999999999</v>
      </c>
      <c r="P120" s="465">
        <f>'IS (Non-GAAP)'!P152</f>
        <v>0.29700000000000004</v>
      </c>
      <c r="Q120" s="389">
        <f>SUM(M120:P120)</f>
        <v>0.90700000000000014</v>
      </c>
      <c r="R120" s="465">
        <f>'IS (Non-GAAP)'!R152</f>
        <v>0.39599999999999996</v>
      </c>
      <c r="S120" s="465">
        <f>'IS (Non-GAAP)'!S152</f>
        <v>0.58699999999999997</v>
      </c>
      <c r="T120" s="465">
        <f>'IS (Non-GAAP)'!T152</f>
        <v>0.87599999999999989</v>
      </c>
      <c r="U120" s="465">
        <f>'IS (Non-GAAP)'!U152</f>
        <v>0.91799999999999993</v>
      </c>
      <c r="V120" s="389">
        <f>SUM(R120:U120)</f>
        <v>2.7769999999999997</v>
      </c>
      <c r="W120" s="465">
        <f>'IS (Non-GAAP)'!W152</f>
        <v>1.819</v>
      </c>
      <c r="X120" s="465">
        <f>'IS (Non-GAAP)'!X152</f>
        <v>1.909</v>
      </c>
      <c r="Y120" s="465">
        <f>'IS (Non-GAAP)'!Y152</f>
        <v>1.9219999999999999</v>
      </c>
      <c r="Z120" s="465">
        <f>'IS (Non-GAAP)'!Z152</f>
        <v>2.1779999999999999</v>
      </c>
      <c r="AA120" s="389">
        <f>SUM(W120:Z120)</f>
        <v>7.8279999999999994</v>
      </c>
      <c r="AB120" s="465">
        <f>'IS (Non-GAAP)'!AB152</f>
        <v>5.2909999999999995</v>
      </c>
      <c r="AC120" s="465">
        <f>'IS (Non-GAAP)'!AC152</f>
        <v>10.297000000000001</v>
      </c>
      <c r="AD120" s="465">
        <f>'IS (Non-GAAP)'!AD152</f>
        <v>11.088000000000001</v>
      </c>
      <c r="AE120" s="465">
        <f>'IS (Non-GAAP)'!AE152</f>
        <v>12.152000000000001</v>
      </c>
      <c r="AF120" s="389">
        <f>SUM(AB120:AE120)</f>
        <v>38.828000000000003</v>
      </c>
      <c r="AG120" s="465">
        <f>'IS (Non-GAAP)'!AG152</f>
        <v>15.593999999999999</v>
      </c>
      <c r="AH120" s="465">
        <f>'IS (Non-GAAP)'!AH152</f>
        <v>20.797000000000001</v>
      </c>
      <c r="AI120" s="465">
        <f>'IS (Non-GAAP)'!AI152</f>
        <v>22.498000000000001</v>
      </c>
      <c r="AJ120" s="465">
        <f>'IS (Non-GAAP)'!AJ152</f>
        <v>23.355999999999998</v>
      </c>
      <c r="AK120" s="389">
        <f>SUM(AG120:AJ120)</f>
        <v>82.24499999999999</v>
      </c>
      <c r="AL120" s="465">
        <f>'IS (Non-GAAP)'!AL152</f>
        <v>23.445</v>
      </c>
      <c r="AM120" s="465">
        <f>'IS (Non-GAAP)'!AM152</f>
        <v>23.928999999999998</v>
      </c>
      <c r="AN120" s="465">
        <f>'IS (Non-GAAP)'!AN152</f>
        <v>24.024999999999999</v>
      </c>
      <c r="AO120" s="465">
        <f>'IS (Non-GAAP)'!AO152</f>
        <v>25.483000000000001</v>
      </c>
      <c r="AP120" s="389">
        <f>SUM(AL120:AO120)</f>
        <v>96.882000000000005</v>
      </c>
      <c r="AQ120" s="465">
        <f>'IS (Non-GAAP)'!AQ152</f>
        <v>24.085000000000001</v>
      </c>
      <c r="AR120" s="465">
        <f>'IS (Non-GAAP)'!AR152</f>
        <v>27.806999999999999</v>
      </c>
      <c r="AS120" s="465">
        <f>'IS (Non-GAAP)'!AS152</f>
        <v>28.866999999999997</v>
      </c>
      <c r="AT120" s="465">
        <f>'IS (Non-GAAP)'!AT152</f>
        <v>22</v>
      </c>
      <c r="AU120" s="389">
        <f>SUM(AQ120:AT120)</f>
        <v>102.75899999999999</v>
      </c>
      <c r="AV120" s="465">
        <f>'IS (Non-GAAP)'!AV152</f>
        <v>21.215</v>
      </c>
      <c r="AW120" s="465">
        <f>'IS (Non-GAAP)'!AW152</f>
        <v>21.215</v>
      </c>
      <c r="AX120" s="465">
        <f>'IS (Non-GAAP)'!AX152</f>
        <v>21.215</v>
      </c>
      <c r="AY120" s="465">
        <f>'IS (Non-GAAP)'!AY152</f>
        <v>21.215</v>
      </c>
      <c r="AZ120" s="389">
        <f>SUM(AV120:AY120)</f>
        <v>84.86</v>
      </c>
      <c r="BA120" s="465">
        <f>'IS (Non-GAAP)'!BA152</f>
        <v>13.07375</v>
      </c>
      <c r="BB120" s="465">
        <f>'IS (Non-GAAP)'!BB152</f>
        <v>13.07375</v>
      </c>
      <c r="BC120" s="465">
        <f>'IS (Non-GAAP)'!BC152</f>
        <v>13.07375</v>
      </c>
      <c r="BD120" s="465">
        <f>'IS (Non-GAAP)'!BD152</f>
        <v>13.07375</v>
      </c>
      <c r="BE120" s="389">
        <f>SUM(BA120:BD120)</f>
        <v>52.295000000000002</v>
      </c>
      <c r="BF120" s="465">
        <f>'IS (Non-GAAP)'!BF152</f>
        <v>2.9082499999999998</v>
      </c>
      <c r="BG120" s="465">
        <f>'IS (Non-GAAP)'!BG152</f>
        <v>2.9082499999999998</v>
      </c>
      <c r="BH120" s="465">
        <f>'IS (Non-GAAP)'!BH152</f>
        <v>2.9082499999999998</v>
      </c>
      <c r="BI120" s="465">
        <f>'IS (Non-GAAP)'!BI152</f>
        <v>2.9082499999999998</v>
      </c>
      <c r="BJ120" s="389">
        <f>SUM(BF120:BI120)</f>
        <v>11.632999999999999</v>
      </c>
      <c r="BK120" s="465">
        <f>'IS (Non-GAAP)'!BK152</f>
        <v>2.9082499999999998</v>
      </c>
      <c r="BL120" s="465">
        <f>'IS (Non-GAAP)'!BL152</f>
        <v>2.9082499999999998</v>
      </c>
      <c r="BM120" s="465">
        <f>'IS (Non-GAAP)'!BM152</f>
        <v>2.9082499999999998</v>
      </c>
      <c r="BN120" s="465">
        <f>'IS (Non-GAAP)'!BN152</f>
        <v>2.9082499999999998</v>
      </c>
      <c r="BO120" s="389">
        <f>SUM(BK120:BN120)</f>
        <v>11.632999999999999</v>
      </c>
    </row>
    <row r="121" spans="1:67" s="255" customFormat="1" hidden="1" outlineLevel="1">
      <c r="A121" s="431"/>
      <c r="B121" s="982" t="s">
        <v>324</v>
      </c>
      <c r="C121" s="464"/>
      <c r="D121" s="434"/>
      <c r="E121" s="434"/>
      <c r="F121" s="434"/>
      <c r="G121" s="424"/>
      <c r="H121" s="464"/>
      <c r="I121" s="434"/>
      <c r="J121" s="434"/>
      <c r="K121" s="434"/>
      <c r="L121" s="424"/>
      <c r="M121" s="407">
        <f>M119-M120</f>
        <v>0.51600000000000001</v>
      </c>
      <c r="N121" s="407">
        <f>N119-N120</f>
        <v>0.53600000000000003</v>
      </c>
      <c r="O121" s="407">
        <f>O119-O120</f>
        <v>0.59499999999999997</v>
      </c>
      <c r="P121" s="407">
        <f>P119-P120</f>
        <v>0.96799999999999986</v>
      </c>
      <c r="Q121" s="389">
        <f>SUM(M121:P121)</f>
        <v>2.6149999999999998</v>
      </c>
      <c r="R121" s="407">
        <f>R119-R120</f>
        <v>1.1260000000000001</v>
      </c>
      <c r="S121" s="407">
        <f>S119-S120</f>
        <v>1.6530000000000002</v>
      </c>
      <c r="T121" s="407">
        <f>T119-T120</f>
        <v>1.9730000000000003</v>
      </c>
      <c r="U121" s="407">
        <f>U119-U120</f>
        <v>2.2969999999999997</v>
      </c>
      <c r="V121" s="389">
        <f>SUM(R121:U121)</f>
        <v>7.0490000000000004</v>
      </c>
      <c r="W121" s="407">
        <f>W119-W120</f>
        <v>2.8650000000000002</v>
      </c>
      <c r="X121" s="407">
        <f>X119-X120</f>
        <v>3.4750000000000005</v>
      </c>
      <c r="Y121" s="407">
        <f>Y119-Y120</f>
        <v>3.5960000000000001</v>
      </c>
      <c r="Z121" s="407">
        <f>Z119-Z120</f>
        <v>3.734</v>
      </c>
      <c r="AA121" s="389">
        <f>SUM(W121:Z121)</f>
        <v>13.67</v>
      </c>
      <c r="AB121" s="407">
        <f>AB119-AB120</f>
        <v>4.6500000000000012</v>
      </c>
      <c r="AC121" s="407">
        <f>AC119-AC120</f>
        <v>5.875</v>
      </c>
      <c r="AD121" s="407">
        <f>AD119-AD120</f>
        <v>6.6080000000000005</v>
      </c>
      <c r="AE121" s="407">
        <f>AE119-AE120</f>
        <v>7.5739999999999981</v>
      </c>
      <c r="AF121" s="389">
        <f>SUM(AB121:AE121)</f>
        <v>24.707000000000001</v>
      </c>
      <c r="AG121" s="407">
        <f>AG119-AG120</f>
        <v>7.5690000000000008</v>
      </c>
      <c r="AH121" s="407">
        <f>AH119-AH120</f>
        <v>8.4869999999999983</v>
      </c>
      <c r="AI121" s="407">
        <f>AI119-AI120</f>
        <v>9.9719999999999978</v>
      </c>
      <c r="AJ121" s="407">
        <f>AJ119-AJ120</f>
        <v>11.629999999999999</v>
      </c>
      <c r="AK121" s="389">
        <f>SUM(AG121:AJ121)</f>
        <v>37.657999999999994</v>
      </c>
      <c r="AL121" s="407">
        <f>AL119-AL120</f>
        <v>16.775999999999996</v>
      </c>
      <c r="AM121" s="407">
        <f>AM119-AM120</f>
        <v>21.181999999999999</v>
      </c>
      <c r="AN121" s="407">
        <f>AN119-AN120</f>
        <v>23.021000000000001</v>
      </c>
      <c r="AO121" s="407">
        <f>AO119-AO120</f>
        <v>24.647000000000002</v>
      </c>
      <c r="AP121" s="389">
        <f>SUM(AL121:AO121)</f>
        <v>85.626000000000005</v>
      </c>
      <c r="AQ121" s="407">
        <f>AQ119-AQ120</f>
        <v>24.719000000000001</v>
      </c>
      <c r="AR121" s="407">
        <f>AR119-AR120</f>
        <v>27.030000000000005</v>
      </c>
      <c r="AS121" s="407">
        <f>AS119-AS120</f>
        <v>29.011000000000003</v>
      </c>
      <c r="AT121" s="407">
        <f>AS124*AT127</f>
        <v>29.011000000000003</v>
      </c>
      <c r="AU121" s="389">
        <f>SUM(AQ121:AT121)</f>
        <v>109.77100000000002</v>
      </c>
      <c r="AV121" s="407">
        <f>AT124*AV127</f>
        <v>28.530993178223376</v>
      </c>
      <c r="AW121" s="407">
        <f>AV124*AW127</f>
        <v>27.924973030296773</v>
      </c>
      <c r="AX121" s="407">
        <f>AW124*AX127</f>
        <v>27.57992660217284</v>
      </c>
      <c r="AY121" s="407">
        <f>AX124*AY127</f>
        <v>27.439214247548616</v>
      </c>
      <c r="AZ121" s="389">
        <f>SUM(AV121:AY121)</f>
        <v>111.4751070582416</v>
      </c>
      <c r="BA121" s="407">
        <f>AY124*BA127</f>
        <v>27.403448762895838</v>
      </c>
      <c r="BB121" s="407">
        <f>BA124*BB127</f>
        <v>27.524419173886912</v>
      </c>
      <c r="BC121" s="407">
        <f>BB124*BC127</f>
        <v>27.883438477464846</v>
      </c>
      <c r="BD121" s="407">
        <f>BC124*BD127</f>
        <v>28.420460756602658</v>
      </c>
      <c r="BE121" s="389">
        <f>SUM(BA121:BD121)</f>
        <v>111.23176717085025</v>
      </c>
      <c r="BF121" s="407">
        <f>BD124*BF127</f>
        <v>28.973721584160714</v>
      </c>
      <c r="BG121" s="407">
        <f>BF124*BG127</f>
        <v>29.624692115092859</v>
      </c>
      <c r="BH121" s="407">
        <f>BG124*BH127</f>
        <v>30.502958731760131</v>
      </c>
      <c r="BI121" s="407">
        <f>BH124*BI127</f>
        <v>31.629197076035915</v>
      </c>
      <c r="BJ121" s="389">
        <f>SUM(BF121:BI121)</f>
        <v>120.73056950704961</v>
      </c>
      <c r="BK121" s="407">
        <f>BI124*BK127</f>
        <v>32.7456457446565</v>
      </c>
      <c r="BL121" s="407">
        <f>BK124*BL127</f>
        <v>33.912762142788857</v>
      </c>
      <c r="BM121" s="407">
        <f>BL124*BM127</f>
        <v>35.258873365513729</v>
      </c>
      <c r="BN121" s="407">
        <f>BM124*BN127</f>
        <v>36.917144611243366</v>
      </c>
      <c r="BO121" s="389">
        <f>SUM(BK121:BN121)</f>
        <v>138.83442586420244</v>
      </c>
    </row>
    <row r="122" spans="1:67" s="255" customFormat="1" hidden="1" outlineLevel="1">
      <c r="A122" s="431"/>
      <c r="B122" s="987" t="s">
        <v>201</v>
      </c>
      <c r="C122" s="464"/>
      <c r="D122" s="434"/>
      <c r="E122" s="434"/>
      <c r="F122" s="434"/>
      <c r="G122" s="424"/>
      <c r="H122" s="464"/>
      <c r="I122" s="434"/>
      <c r="J122" s="434"/>
      <c r="K122" s="434"/>
      <c r="L122" s="424"/>
      <c r="M122" s="464">
        <f>-M101</f>
        <v>1.64</v>
      </c>
      <c r="N122" s="464">
        <f>-N101</f>
        <v>9.7070000000000007</v>
      </c>
      <c r="O122" s="464">
        <f>-O101</f>
        <v>3.157</v>
      </c>
      <c r="P122" s="464">
        <f>-P101</f>
        <v>4.0789999999999997</v>
      </c>
      <c r="Q122" s="389">
        <f>SUM(M122:P122)</f>
        <v>18.583000000000002</v>
      </c>
      <c r="R122" s="464">
        <f>-R101</f>
        <v>2.0329999999999999</v>
      </c>
      <c r="S122" s="464">
        <f>-S101</f>
        <v>4.7149999999999999</v>
      </c>
      <c r="T122" s="464">
        <f>-T101</f>
        <v>17.27</v>
      </c>
      <c r="U122" s="464">
        <f>-U101</f>
        <v>11.019</v>
      </c>
      <c r="V122" s="389">
        <f>SUM(R122:U122)</f>
        <v>35.036999999999999</v>
      </c>
      <c r="W122" s="464">
        <f>-W101</f>
        <v>6.43</v>
      </c>
      <c r="X122" s="464">
        <f>-X101</f>
        <v>3.4969999999999999</v>
      </c>
      <c r="Y122" s="464">
        <f>-Y101</f>
        <v>2.282</v>
      </c>
      <c r="Z122" s="464">
        <f>-Z101</f>
        <v>4.0119999999999996</v>
      </c>
      <c r="AA122" s="389">
        <f>SUM(W122:Z122)</f>
        <v>16.221</v>
      </c>
      <c r="AB122" s="464">
        <f>-AB101</f>
        <v>7.4130000000000003</v>
      </c>
      <c r="AC122" s="464">
        <f>-AC101</f>
        <v>3.8479999999999999</v>
      </c>
      <c r="AD122" s="464">
        <f>-AD101</f>
        <v>8.5050000000000008</v>
      </c>
      <c r="AE122" s="464">
        <f>-AE101</f>
        <v>5.3620000000000001</v>
      </c>
      <c r="AF122" s="389">
        <f>SUM(AB122:AE122)</f>
        <v>25.128</v>
      </c>
      <c r="AG122" s="464">
        <f>-AG101</f>
        <v>6.97</v>
      </c>
      <c r="AH122" s="464">
        <f>-AH101</f>
        <v>6.298</v>
      </c>
      <c r="AI122" s="464">
        <f>-AI101</f>
        <v>8.7460000000000004</v>
      </c>
      <c r="AJ122" s="464">
        <f>-AJ101</f>
        <v>13.071999999999999</v>
      </c>
      <c r="AK122" s="389">
        <f>SUM(AG122:AJ122)</f>
        <v>35.085999999999999</v>
      </c>
      <c r="AL122" s="464">
        <f>-AL101</f>
        <v>16.518999999999998</v>
      </c>
      <c r="AM122" s="464">
        <f>-AM101</f>
        <v>5.0430000000000001</v>
      </c>
      <c r="AN122" s="464">
        <f>-AN101</f>
        <v>13.44</v>
      </c>
      <c r="AO122" s="464">
        <f>-AO101</f>
        <v>11.276999999999999</v>
      </c>
      <c r="AP122" s="389">
        <f>SUM(AL122:AO122)</f>
        <v>46.278999999999996</v>
      </c>
      <c r="AQ122" s="464">
        <f>-AQ101</f>
        <v>44.988999999999997</v>
      </c>
      <c r="AR122" s="464">
        <f>-AR101</f>
        <v>16.664999999999999</v>
      </c>
      <c r="AS122" s="464">
        <f>-AS101</f>
        <v>23.905000000000001</v>
      </c>
      <c r="AT122" s="464">
        <f>-AT101</f>
        <v>24.612429336169502</v>
      </c>
      <c r="AU122" s="389">
        <f>SUM(AQ122:AT122)</f>
        <v>110.1714293361695</v>
      </c>
      <c r="AV122" s="464">
        <f>-AV101</f>
        <v>16.412637149653523</v>
      </c>
      <c r="AW122" s="464">
        <f>-AW101</f>
        <v>17.687942749394619</v>
      </c>
      <c r="AX122" s="464">
        <f>-AX101</f>
        <v>18.778929062693297</v>
      </c>
      <c r="AY122" s="464">
        <f>-AY101</f>
        <v>19.365339379486574</v>
      </c>
      <c r="AZ122" s="389">
        <f>SUM(AV122:AY122)</f>
        <v>72.244848341228007</v>
      </c>
      <c r="BA122" s="464">
        <f>-BA101</f>
        <v>20.365691584962409</v>
      </c>
      <c r="BB122" s="464">
        <f>-BB101</f>
        <v>22.010224013403917</v>
      </c>
      <c r="BC122" s="464">
        <f>-BC101</f>
        <v>23.431766877707613</v>
      </c>
      <c r="BD122" s="464">
        <f>-BD101</f>
        <v>23.921641999122095</v>
      </c>
      <c r="BE122" s="389">
        <f>SUM(BA122:BD122)</f>
        <v>89.729324475196023</v>
      </c>
      <c r="BF122" s="464">
        <f>-BF101</f>
        <v>24.956377302777067</v>
      </c>
      <c r="BG122" s="464">
        <f>-BG101</f>
        <v>26.909099833862395</v>
      </c>
      <c r="BH122" s="464">
        <f>-BH101</f>
        <v>29.159507038284605</v>
      </c>
      <c r="BI122" s="464">
        <f>-BI101</f>
        <v>29.899885664886913</v>
      </c>
      <c r="BJ122" s="389">
        <f>SUM(BF122:BI122)</f>
        <v>110.92486983981098</v>
      </c>
      <c r="BK122" s="464">
        <f>-BK101</f>
        <v>31.028989507510126</v>
      </c>
      <c r="BL122" s="464">
        <f>-BL101</f>
        <v>33.034236629911803</v>
      </c>
      <c r="BM122" s="464">
        <f>-BM101</f>
        <v>36.038956559745046</v>
      </c>
      <c r="BN122" s="464">
        <f>-BN101</f>
        <v>36.572659662346112</v>
      </c>
      <c r="BO122" s="389">
        <f>SUM(BK122:BN122)</f>
        <v>136.67484235951309</v>
      </c>
    </row>
    <row r="123" spans="1:67" s="255" customFormat="1" hidden="1" outlineLevel="1">
      <c r="A123" s="431"/>
      <c r="B123" s="987" t="s">
        <v>320</v>
      </c>
      <c r="C123" s="464"/>
      <c r="D123" s="434"/>
      <c r="E123" s="434"/>
      <c r="F123" s="434"/>
      <c r="G123" s="424"/>
      <c r="H123" s="464"/>
      <c r="I123" s="434"/>
      <c r="J123" s="434"/>
      <c r="K123" s="434"/>
      <c r="L123" s="424"/>
      <c r="M123" s="464">
        <f>-M104</f>
        <v>0.55700000000000005</v>
      </c>
      <c r="N123" s="464">
        <f>-N104</f>
        <v>1.0640000000000001</v>
      </c>
      <c r="O123" s="464">
        <f>-O104</f>
        <v>1.319</v>
      </c>
      <c r="P123" s="464">
        <f>-P104</f>
        <v>1.325</v>
      </c>
      <c r="Q123" s="389">
        <f>SUM(M123:P123)</f>
        <v>4.2649999999999997</v>
      </c>
      <c r="R123" s="464">
        <f>-R104</f>
        <v>2.1890000000000001</v>
      </c>
      <c r="S123" s="464">
        <f>-S104</f>
        <v>0.98099999999999998</v>
      </c>
      <c r="T123" s="464">
        <f>-T104</f>
        <v>0.84399999999999997</v>
      </c>
      <c r="U123" s="464">
        <f>-U104</f>
        <v>1.2789999999999999</v>
      </c>
      <c r="V123" s="389">
        <f>SUM(R123:U123)</f>
        <v>5.2930000000000001</v>
      </c>
      <c r="W123" s="464">
        <f>-W104</f>
        <v>2.48</v>
      </c>
      <c r="X123" s="464">
        <f>-X104</f>
        <v>2.3439999999999999</v>
      </c>
      <c r="Y123" s="464">
        <f>-Y104</f>
        <v>3.7879999999999998</v>
      </c>
      <c r="Z123" s="464">
        <f>-Z104</f>
        <v>4.16</v>
      </c>
      <c r="AA123" s="389">
        <f>SUM(W123:Z123)</f>
        <v>12.772</v>
      </c>
      <c r="AB123" s="464">
        <f>-AB104</f>
        <v>4.8040000000000003</v>
      </c>
      <c r="AC123" s="464">
        <f>-AC104</f>
        <v>6.7359999999999998</v>
      </c>
      <c r="AD123" s="464">
        <f>-AD104</f>
        <v>5.7789999999999999</v>
      </c>
      <c r="AE123" s="464">
        <f>-AE104</f>
        <v>6.6929999999999996</v>
      </c>
      <c r="AF123" s="389">
        <f>SUM(AB123:AE123)</f>
        <v>24.012</v>
      </c>
      <c r="AG123" s="464">
        <f>-AG104</f>
        <v>9.3409999999999993</v>
      </c>
      <c r="AH123" s="464">
        <f>-AH104</f>
        <v>7.8739999999999997</v>
      </c>
      <c r="AI123" s="464">
        <f>-AI104</f>
        <v>9.8889999999999993</v>
      </c>
      <c r="AJ123" s="464">
        <f>-AJ104</f>
        <v>7.0289999999999999</v>
      </c>
      <c r="AK123" s="389">
        <f>SUM(AG123:AJ123)</f>
        <v>34.132999999999996</v>
      </c>
      <c r="AL123" s="464">
        <f>-AL104</f>
        <v>7.4039999999999999</v>
      </c>
      <c r="AM123" s="464">
        <f>-AM104</f>
        <v>5.992</v>
      </c>
      <c r="AN123" s="464">
        <f>-AN104</f>
        <v>10.032</v>
      </c>
      <c r="AO123" s="464">
        <f>-AO104</f>
        <v>6.0049999999999999</v>
      </c>
      <c r="AP123" s="389">
        <f>SUM(AL123:AO123)</f>
        <v>29.433</v>
      </c>
      <c r="AQ123" s="464">
        <f>-AQ104</f>
        <v>0</v>
      </c>
      <c r="AR123" s="464">
        <f>-AR104</f>
        <v>0</v>
      </c>
      <c r="AS123" s="464">
        <f>-AS104</f>
        <v>0</v>
      </c>
      <c r="AT123" s="464">
        <f>-AT104</f>
        <v>0</v>
      </c>
      <c r="AU123" s="389">
        <f>SUM(AQ123:AT123)</f>
        <v>0</v>
      </c>
      <c r="AV123" s="464">
        <f>-AV104</f>
        <v>6.5650548598614096</v>
      </c>
      <c r="AW123" s="464">
        <f>-AW104</f>
        <v>7.0751770997578465</v>
      </c>
      <c r="AX123" s="464">
        <f>-AX104</f>
        <v>7.5115716250773188</v>
      </c>
      <c r="AY123" s="464">
        <f>-AY104</f>
        <v>7.7461357517946299</v>
      </c>
      <c r="AZ123" s="389">
        <f>SUM(AV123:AY123)</f>
        <v>28.897939336491206</v>
      </c>
      <c r="BA123" s="464">
        <f>-BA104</f>
        <v>8.1462766339849644</v>
      </c>
      <c r="BB123" s="464">
        <f>-BB104</f>
        <v>8.8040896053615665</v>
      </c>
      <c r="BC123" s="464">
        <f>-BC104</f>
        <v>9.3727067510830437</v>
      </c>
      <c r="BD123" s="464">
        <f>-BD104</f>
        <v>9.5686567996488368</v>
      </c>
      <c r="BE123" s="389">
        <f>SUM(BA123:BD123)</f>
        <v>35.891729790078408</v>
      </c>
      <c r="BF123" s="464">
        <f>-BF104</f>
        <v>9.9825509211108265</v>
      </c>
      <c r="BG123" s="464">
        <f>-BG104</f>
        <v>10.76363993354496</v>
      </c>
      <c r="BH123" s="464">
        <f>-BH104</f>
        <v>11.663802815313844</v>
      </c>
      <c r="BI123" s="464">
        <f>-BI104</f>
        <v>11.959954265954766</v>
      </c>
      <c r="BJ123" s="389">
        <f>SUM(BF123:BI123)</f>
        <v>44.369947935924394</v>
      </c>
      <c r="BK123" s="464">
        <f>-BK104</f>
        <v>12.411595803004049</v>
      </c>
      <c r="BL123" s="464">
        <f>-BL104</f>
        <v>13.213694651964721</v>
      </c>
      <c r="BM123" s="464">
        <f>-BM104</f>
        <v>14.415582623898018</v>
      </c>
      <c r="BN123" s="464">
        <f>-BN104</f>
        <v>14.629063864938445</v>
      </c>
      <c r="BO123" s="389">
        <f>SUM(BK123:BN123)</f>
        <v>54.669936943805233</v>
      </c>
    </row>
    <row r="124" spans="1:67" s="255" customFormat="1" hidden="1" outlineLevel="1">
      <c r="A124" s="431"/>
      <c r="B124" s="987" t="s">
        <v>325</v>
      </c>
      <c r="C124" s="464"/>
      <c r="D124" s="434"/>
      <c r="E124" s="434"/>
      <c r="F124" s="434"/>
      <c r="G124" s="424"/>
      <c r="H124" s="464"/>
      <c r="I124" s="434"/>
      <c r="J124" s="434"/>
      <c r="K124" s="434"/>
      <c r="L124" s="424"/>
      <c r="M124" s="464">
        <f>M19</f>
        <v>11.111000000000001</v>
      </c>
      <c r="N124" s="464">
        <f>N19</f>
        <v>21.141999999999999</v>
      </c>
      <c r="O124" s="464">
        <f>O19</f>
        <v>23.584</v>
      </c>
      <c r="P124" s="464">
        <f>P19</f>
        <v>27.135999999999999</v>
      </c>
      <c r="Q124" s="389">
        <f>P124</f>
        <v>27.135999999999999</v>
      </c>
      <c r="R124" s="464">
        <f>R19</f>
        <v>31.132999999999999</v>
      </c>
      <c r="S124" s="464">
        <f>S19</f>
        <v>42.765999999999998</v>
      </c>
      <c r="T124" s="464">
        <f>T19</f>
        <v>53.65</v>
      </c>
      <c r="U124" s="464">
        <f>U19</f>
        <v>68.968000000000004</v>
      </c>
      <c r="V124" s="389">
        <f>U124</f>
        <v>68.968000000000004</v>
      </c>
      <c r="W124" s="464">
        <f>W19</f>
        <v>77.075000000000003</v>
      </c>
      <c r="X124" s="464">
        <f>X19</f>
        <v>83.643000000000001</v>
      </c>
      <c r="Y124" s="464">
        <f>Y19</f>
        <v>94.376999999999995</v>
      </c>
      <c r="Z124" s="464">
        <f>Z19</f>
        <v>105.07899999999999</v>
      </c>
      <c r="AA124" s="389">
        <f>Z124</f>
        <v>105.07899999999999</v>
      </c>
      <c r="AB124" s="464">
        <f>AB19</f>
        <v>118.611</v>
      </c>
      <c r="AC124" s="464">
        <f>AC19</f>
        <v>130.08199999999999</v>
      </c>
      <c r="AD124" s="464">
        <f>AD19</f>
        <v>145.97399999999999</v>
      </c>
      <c r="AE124" s="464">
        <f>AE19</f>
        <v>160.82300000000001</v>
      </c>
      <c r="AF124" s="389">
        <f>AE124</f>
        <v>160.82300000000001</v>
      </c>
      <c r="AG124" s="464">
        <f>AG19</f>
        <v>176.43299999999999</v>
      </c>
      <c r="AH124" s="464">
        <f>AH19</f>
        <v>193.82300000000001</v>
      </c>
      <c r="AI124" s="464">
        <f>AI19</f>
        <v>216.38</v>
      </c>
      <c r="AJ124" s="464">
        <f>AJ19</f>
        <v>247.464</v>
      </c>
      <c r="AK124" s="389">
        <f>AJ124</f>
        <v>247.464</v>
      </c>
      <c r="AL124" s="464">
        <f>AL19</f>
        <v>263.66699999999997</v>
      </c>
      <c r="AM124" s="464">
        <f>AM19</f>
        <v>264.77800000000002</v>
      </c>
      <c r="AN124" s="464">
        <f>AN19</f>
        <v>278.37400000000002</v>
      </c>
      <c r="AO124" s="464">
        <f>AO19</f>
        <v>296.39299999999997</v>
      </c>
      <c r="AP124" s="389">
        <f>AO124</f>
        <v>296.39299999999997</v>
      </c>
      <c r="AQ124" s="464">
        <f>AQ19</f>
        <v>290.33199999999999</v>
      </c>
      <c r="AR124" s="464">
        <f>AR19</f>
        <v>283.05099999999999</v>
      </c>
      <c r="AS124" s="464">
        <f>AS19</f>
        <v>265.84399999999999</v>
      </c>
      <c r="AT124" s="464">
        <f>AS124-AT121+AT122+AT123</f>
        <v>261.44542933616952</v>
      </c>
      <c r="AU124" s="389">
        <f>AT124</f>
        <v>261.44542933616952</v>
      </c>
      <c r="AV124" s="464">
        <f>AT124-AV121+AV122+AV123</f>
        <v>255.8921281674611</v>
      </c>
      <c r="AW124" s="464">
        <f>AV124-AW121+AW122+AW123</f>
        <v>252.73027498631677</v>
      </c>
      <c r="AX124" s="464">
        <f>AW124-AX121+AX122+AX123</f>
        <v>251.44084907191456</v>
      </c>
      <c r="AY124" s="464">
        <f>AX124-AY121+AY122+AY123</f>
        <v>251.11310995564716</v>
      </c>
      <c r="AZ124" s="389">
        <f>AY124</f>
        <v>251.11310995564716</v>
      </c>
      <c r="BA124" s="464">
        <f>AY124-BA121+BA122+BA123</f>
        <v>252.2216294116987</v>
      </c>
      <c r="BB124" s="464">
        <f>BA124-BB121+BB122+BB123</f>
        <v>255.51152385657727</v>
      </c>
      <c r="BC124" s="464">
        <f>BB124-BC121+BC122+BC123</f>
        <v>260.43255900790308</v>
      </c>
      <c r="BD124" s="464">
        <f>BC124-BD121+BD122+BD123</f>
        <v>265.50239705007135</v>
      </c>
      <c r="BE124" s="389">
        <f>BD124</f>
        <v>265.50239705007135</v>
      </c>
      <c r="BF124" s="464">
        <f>BD124-BF121+BF122+BF123</f>
        <v>271.46760368979852</v>
      </c>
      <c r="BG124" s="464">
        <f>BF124-BG121+BG122+BG123</f>
        <v>279.51565134211296</v>
      </c>
      <c r="BH124" s="464">
        <f>BG124-BH121+BH122+BH123</f>
        <v>289.83600246395127</v>
      </c>
      <c r="BI124" s="464">
        <f>BH124-BI121+BI122+BI123</f>
        <v>300.06664531875708</v>
      </c>
      <c r="BJ124" s="389">
        <f>BI124</f>
        <v>300.06664531875708</v>
      </c>
      <c r="BK124" s="464">
        <f>BI124-BK121+BK122+BK123</f>
        <v>310.76158488461476</v>
      </c>
      <c r="BL124" s="464">
        <f>BK124-BL121+BL122+BL123</f>
        <v>323.09675402370243</v>
      </c>
      <c r="BM124" s="464">
        <f>BL124-BM121+BM122+BM123</f>
        <v>338.2924198418317</v>
      </c>
      <c r="BN124" s="464">
        <f>BM124-BN121+BN122+BN123</f>
        <v>352.57699875787284</v>
      </c>
      <c r="BO124" s="389">
        <f>BN124</f>
        <v>352.57699875787284</v>
      </c>
    </row>
    <row r="125" spans="1:67" s="255" customFormat="1" hidden="1" outlineLevel="1">
      <c r="A125" s="431"/>
      <c r="B125" s="987"/>
      <c r="C125" s="464"/>
      <c r="D125" s="434"/>
      <c r="E125" s="434"/>
      <c r="F125" s="434"/>
      <c r="G125" s="424"/>
      <c r="H125" s="464"/>
      <c r="I125" s="434"/>
      <c r="J125" s="434"/>
      <c r="K125" s="434"/>
      <c r="L125" s="424"/>
      <c r="M125" s="464"/>
      <c r="N125" s="464"/>
      <c r="O125" s="464"/>
      <c r="P125" s="464"/>
      <c r="Q125" s="389"/>
      <c r="R125" s="464"/>
      <c r="S125" s="464"/>
      <c r="T125" s="464"/>
      <c r="U125" s="464"/>
      <c r="V125" s="389"/>
      <c r="W125" s="464"/>
      <c r="X125" s="464"/>
      <c r="Y125" s="464"/>
      <c r="Z125" s="464"/>
      <c r="AA125" s="389"/>
      <c r="AB125" s="464"/>
      <c r="AC125" s="464"/>
      <c r="AD125" s="464"/>
      <c r="AE125" s="464"/>
      <c r="AF125" s="389"/>
      <c r="AG125" s="464"/>
      <c r="AH125" s="464"/>
      <c r="AI125" s="464"/>
      <c r="AJ125" s="464"/>
      <c r="AK125" s="389"/>
      <c r="AL125" s="464"/>
      <c r="AM125" s="464"/>
      <c r="AN125" s="464"/>
      <c r="AO125" s="464"/>
      <c r="AP125" s="389"/>
      <c r="AQ125" s="464"/>
      <c r="AR125" s="464"/>
      <c r="AS125" s="464"/>
      <c r="AT125" s="464"/>
      <c r="AU125" s="389"/>
      <c r="AV125" s="464"/>
      <c r="AW125" s="464"/>
      <c r="AX125" s="464"/>
      <c r="AY125" s="464"/>
      <c r="AZ125" s="389"/>
      <c r="BA125" s="464"/>
      <c r="BB125" s="464"/>
      <c r="BC125" s="464"/>
      <c r="BD125" s="464"/>
      <c r="BE125" s="389"/>
      <c r="BF125" s="464"/>
      <c r="BG125" s="464"/>
      <c r="BH125" s="464"/>
      <c r="BI125" s="464"/>
      <c r="BJ125" s="389"/>
      <c r="BK125" s="464"/>
      <c r="BL125" s="464"/>
      <c r="BM125" s="464"/>
      <c r="BN125" s="464"/>
      <c r="BO125" s="389"/>
    </row>
    <row r="126" spans="1:67" s="926" customFormat="1" hidden="1" outlineLevel="1">
      <c r="A126" s="922"/>
      <c r="B126" s="987" t="s">
        <v>326</v>
      </c>
      <c r="C126" s="923"/>
      <c r="D126" s="924"/>
      <c r="E126" s="924"/>
      <c r="F126" s="924"/>
      <c r="G126" s="925"/>
      <c r="H126" s="923"/>
      <c r="I126" s="924"/>
      <c r="J126" s="924"/>
      <c r="K126" s="924"/>
      <c r="L126" s="925"/>
      <c r="M126" s="923"/>
      <c r="N126" s="923">
        <f>N121/N55</f>
        <v>8.8831435721506823E-3</v>
      </c>
      <c r="O126" s="923">
        <f>O121/O55</f>
        <v>8.1493453130992155E-3</v>
      </c>
      <c r="P126" s="923">
        <f>P121/P55</f>
        <v>1.1038635223281483E-2</v>
      </c>
      <c r="Q126" s="925"/>
      <c r="R126" s="923">
        <f>R121/R55</f>
        <v>1.0347838073794975E-2</v>
      </c>
      <c r="S126" s="923">
        <f>S121/S55</f>
        <v>1.2415036238687149E-2</v>
      </c>
      <c r="T126" s="923">
        <f>T121/T55</f>
        <v>1.236029669723851E-2</v>
      </c>
      <c r="U126" s="923">
        <f>U121/U55</f>
        <v>1.2059958522563198E-2</v>
      </c>
      <c r="V126" s="925"/>
      <c r="W126" s="923">
        <f>W121/W55</f>
        <v>1.2515617218693483E-2</v>
      </c>
      <c r="X126" s="923">
        <f>X121/X55</f>
        <v>1.2766442075254045E-2</v>
      </c>
      <c r="Y126" s="923">
        <f>Y121/Y55</f>
        <v>1.0752270206105112E-2</v>
      </c>
      <c r="Z126" s="923">
        <f>Z121/Z55</f>
        <v>9.7296846581581865E-3</v>
      </c>
      <c r="AA126" s="925"/>
      <c r="AB126" s="923">
        <f>AB121/AB55</f>
        <v>1.1009278572629278E-2</v>
      </c>
      <c r="AC126" s="923">
        <f>AC121/AC55</f>
        <v>1.1815029924705579E-2</v>
      </c>
      <c r="AD126" s="923">
        <f>AD121/AD55</f>
        <v>1.1862958415016842E-2</v>
      </c>
      <c r="AE126" s="923">
        <f>AE121/AE55</f>
        <v>1.2858821212471051E-2</v>
      </c>
      <c r="AF126" s="925"/>
      <c r="AG126" s="923">
        <f>AG121/AG55</f>
        <v>1.2137607661333646E-2</v>
      </c>
      <c r="AH126" s="923">
        <f>AH121/AH55</f>
        <v>1.259165185499497E-2</v>
      </c>
      <c r="AI126" s="923">
        <f>AI121/AI55</f>
        <v>1.3582629707167108E-2</v>
      </c>
      <c r="AJ126" s="923">
        <f>AJ121/AJ55</f>
        <v>1.5012282189598797E-2</v>
      </c>
      <c r="AK126" s="925"/>
      <c r="AL126" s="923">
        <f>AL121/AL55</f>
        <v>2.0243535426790343E-2</v>
      </c>
      <c r="AM126" s="923">
        <f>AM121/AM55</f>
        <v>2.4380109642585426E-2</v>
      </c>
      <c r="AN126" s="923">
        <f>AN121/AN55</f>
        <v>2.4435990463796606E-2</v>
      </c>
      <c r="AO126" s="923">
        <f>AO121/AO55</f>
        <v>2.4977451685803179E-2</v>
      </c>
      <c r="AP126" s="925"/>
      <c r="AQ126" s="923">
        <f>AQ121/AQ55</f>
        <v>2.3720964154177151E-2</v>
      </c>
      <c r="AR126" s="923">
        <f>AR121/AR55</f>
        <v>2.3607626057998078E-2</v>
      </c>
      <c r="AS126" s="923">
        <f>AS121/AS55</f>
        <v>2.3918529749552525E-2</v>
      </c>
      <c r="AT126" s="923">
        <f t="shared" ref="AT126:AT127" si="223">AS126</f>
        <v>2.3918529749552525E-2</v>
      </c>
      <c r="AU126" s="925"/>
      <c r="AV126" s="923">
        <f>AT126</f>
        <v>2.3918529749552525E-2</v>
      </c>
      <c r="AW126" s="923">
        <f t="shared" ref="AW126:AY127" si="224">AV126</f>
        <v>2.3918529749552525E-2</v>
      </c>
      <c r="AX126" s="923">
        <f t="shared" si="224"/>
        <v>2.3918529749552525E-2</v>
      </c>
      <c r="AY126" s="923">
        <f t="shared" si="224"/>
        <v>2.3918529749552525E-2</v>
      </c>
      <c r="AZ126" s="925"/>
      <c r="BA126" s="923">
        <f>AY126</f>
        <v>2.3918529749552525E-2</v>
      </c>
      <c r="BB126" s="923">
        <f t="shared" ref="BB126:BD127" si="225">BA126</f>
        <v>2.3918529749552525E-2</v>
      </c>
      <c r="BC126" s="923">
        <f t="shared" si="225"/>
        <v>2.3918529749552525E-2</v>
      </c>
      <c r="BD126" s="923">
        <f t="shared" si="225"/>
        <v>2.3918529749552525E-2</v>
      </c>
      <c r="BE126" s="925"/>
      <c r="BF126" s="923">
        <f>BD126</f>
        <v>2.3918529749552525E-2</v>
      </c>
      <c r="BG126" s="923">
        <f t="shared" ref="BG126:BI127" si="226">BF126</f>
        <v>2.3918529749552525E-2</v>
      </c>
      <c r="BH126" s="923">
        <f t="shared" si="226"/>
        <v>2.3918529749552525E-2</v>
      </c>
      <c r="BI126" s="923">
        <f t="shared" si="226"/>
        <v>2.3918529749552525E-2</v>
      </c>
      <c r="BJ126" s="925"/>
      <c r="BK126" s="923">
        <f>BI126</f>
        <v>2.3918529749552525E-2</v>
      </c>
      <c r="BL126" s="923">
        <f t="shared" ref="BL126:BN127" si="227">BK126</f>
        <v>2.3918529749552525E-2</v>
      </c>
      <c r="BM126" s="923">
        <f t="shared" si="227"/>
        <v>2.3918529749552525E-2</v>
      </c>
      <c r="BN126" s="923">
        <f t="shared" si="227"/>
        <v>2.3918529749552525E-2</v>
      </c>
      <c r="BO126" s="925"/>
    </row>
    <row r="127" spans="1:67" s="602" customFormat="1" hidden="1" outlineLevel="1">
      <c r="A127" s="598"/>
      <c r="B127" s="987" t="s">
        <v>327</v>
      </c>
      <c r="C127" s="599"/>
      <c r="D127" s="600"/>
      <c r="E127" s="600"/>
      <c r="F127" s="600"/>
      <c r="G127" s="601"/>
      <c r="H127" s="599"/>
      <c r="I127" s="600"/>
      <c r="J127" s="600"/>
      <c r="K127" s="600"/>
      <c r="L127" s="601"/>
      <c r="M127" s="599"/>
      <c r="N127" s="599">
        <f>N121/N124</f>
        <v>2.5352379150506105E-2</v>
      </c>
      <c r="O127" s="599">
        <f>O121/O124</f>
        <v>2.5228968792401628E-2</v>
      </c>
      <c r="P127" s="599">
        <f>P121/P124</f>
        <v>3.567216981132075E-2</v>
      </c>
      <c r="Q127" s="601"/>
      <c r="R127" s="599">
        <f>R121/R124</f>
        <v>3.6167410785982727E-2</v>
      </c>
      <c r="S127" s="599">
        <f>S121/S124</f>
        <v>3.8652200346069317E-2</v>
      </c>
      <c r="T127" s="599">
        <f>T121/T124</f>
        <v>3.6775396085740923E-2</v>
      </c>
      <c r="U127" s="599">
        <f>U121/U124</f>
        <v>3.3305301009163665E-2</v>
      </c>
      <c r="V127" s="601"/>
      <c r="W127" s="599">
        <f>W121/W124</f>
        <v>3.7171586117418103E-2</v>
      </c>
      <c r="X127" s="599">
        <f>X121/X124</f>
        <v>4.1545616489126413E-2</v>
      </c>
      <c r="Y127" s="599">
        <f>Y121/Y124</f>
        <v>3.8102503787999197E-2</v>
      </c>
      <c r="Z127" s="599">
        <f>Z121/Z124</f>
        <v>3.5535168777776724E-2</v>
      </c>
      <c r="AA127" s="601"/>
      <c r="AB127" s="599">
        <f>AB121/AB124</f>
        <v>3.9203783797455559E-2</v>
      </c>
      <c r="AC127" s="599">
        <f>AC121/AC124</f>
        <v>4.5163819744468876E-2</v>
      </c>
      <c r="AD127" s="599">
        <f>AD121/AD124</f>
        <v>4.5268335456999195E-2</v>
      </c>
      <c r="AE127" s="599">
        <f>AE121/AE124</f>
        <v>4.7095253788326283E-2</v>
      </c>
      <c r="AF127" s="601"/>
      <c r="AG127" s="599">
        <f>AG121/AG124</f>
        <v>4.2900137729336353E-2</v>
      </c>
      <c r="AH127" s="599">
        <f>AH121/AH124</f>
        <v>4.3787373015586377E-2</v>
      </c>
      <c r="AI127" s="599">
        <f>AI121/AI124</f>
        <v>4.6085590165449664E-2</v>
      </c>
      <c r="AJ127" s="599">
        <f>AJ121/AJ124</f>
        <v>4.6996734878608601E-2</v>
      </c>
      <c r="AK127" s="601"/>
      <c r="AL127" s="599">
        <f>AL121/AL124</f>
        <v>6.362570970201048E-2</v>
      </c>
      <c r="AM127" s="599">
        <f>AM121/AM124</f>
        <v>7.9999093580282343E-2</v>
      </c>
      <c r="AN127" s="599">
        <f>AN121/AN124</f>
        <v>8.2698096805017704E-2</v>
      </c>
      <c r="AO127" s="599">
        <f>AO121/AO124</f>
        <v>8.3156484802272668E-2</v>
      </c>
      <c r="AP127" s="601"/>
      <c r="AQ127" s="599">
        <f>AQ121/AQ124</f>
        <v>8.5140459887301442E-2</v>
      </c>
      <c r="AR127" s="599">
        <f>AR121/AR124</f>
        <v>9.5495158116381873E-2</v>
      </c>
      <c r="AS127" s="599">
        <f>AS121/AS124</f>
        <v>0.10912790960111947</v>
      </c>
      <c r="AT127" s="1066">
        <f t="shared" si="223"/>
        <v>0.10912790960111947</v>
      </c>
      <c r="AU127" s="1067"/>
      <c r="AV127" s="1066">
        <f>AT127</f>
        <v>0.10912790960111947</v>
      </c>
      <c r="AW127" s="1066">
        <f t="shared" si="224"/>
        <v>0.10912790960111947</v>
      </c>
      <c r="AX127" s="1066">
        <f t="shared" si="224"/>
        <v>0.10912790960111947</v>
      </c>
      <c r="AY127" s="1066">
        <f t="shared" si="224"/>
        <v>0.10912790960111947</v>
      </c>
      <c r="AZ127" s="1067"/>
      <c r="BA127" s="1066">
        <f>AY127</f>
        <v>0.10912790960111947</v>
      </c>
      <c r="BB127" s="1066">
        <f t="shared" si="225"/>
        <v>0.10912790960111947</v>
      </c>
      <c r="BC127" s="1066">
        <f t="shared" si="225"/>
        <v>0.10912790960111947</v>
      </c>
      <c r="BD127" s="1066">
        <f t="shared" si="225"/>
        <v>0.10912790960111947</v>
      </c>
      <c r="BE127" s="1067"/>
      <c r="BF127" s="1066">
        <f>BD127</f>
        <v>0.10912790960111947</v>
      </c>
      <c r="BG127" s="1066">
        <f t="shared" si="226"/>
        <v>0.10912790960111947</v>
      </c>
      <c r="BH127" s="1066">
        <f t="shared" si="226"/>
        <v>0.10912790960111947</v>
      </c>
      <c r="BI127" s="1066">
        <f t="shared" si="226"/>
        <v>0.10912790960111947</v>
      </c>
      <c r="BJ127" s="601"/>
      <c r="BK127" s="1066">
        <f>BI127</f>
        <v>0.10912790960111947</v>
      </c>
      <c r="BL127" s="1066">
        <f t="shared" si="227"/>
        <v>0.10912790960111947</v>
      </c>
      <c r="BM127" s="1066">
        <f t="shared" si="227"/>
        <v>0.10912790960111947</v>
      </c>
      <c r="BN127" s="1066">
        <f t="shared" si="227"/>
        <v>0.10912790960111947</v>
      </c>
      <c r="BO127" s="601"/>
    </row>
    <row r="128" spans="1:67" s="602" customFormat="1" collapsed="1">
      <c r="A128" s="598"/>
      <c r="B128" s="987"/>
      <c r="C128" s="599"/>
      <c r="D128" s="600"/>
      <c r="E128" s="600"/>
      <c r="F128" s="600"/>
      <c r="G128" s="601"/>
      <c r="H128" s="599"/>
      <c r="I128" s="600"/>
      <c r="J128" s="600"/>
      <c r="K128" s="600"/>
      <c r="L128" s="601"/>
      <c r="M128" s="599"/>
      <c r="N128" s="599"/>
      <c r="O128" s="599"/>
      <c r="P128" s="599"/>
      <c r="Q128" s="601"/>
      <c r="R128" s="599"/>
      <c r="S128" s="599"/>
      <c r="T128" s="599"/>
      <c r="U128" s="599"/>
      <c r="V128" s="601"/>
      <c r="W128" s="599"/>
      <c r="X128" s="599"/>
      <c r="Y128" s="599"/>
      <c r="Z128" s="599"/>
      <c r="AA128" s="601"/>
      <c r="AB128" s="599"/>
      <c r="AC128" s="599"/>
      <c r="AD128" s="599"/>
      <c r="AE128" s="599"/>
      <c r="AF128" s="601"/>
      <c r="AG128" s="599"/>
      <c r="AH128" s="599"/>
      <c r="AI128" s="599"/>
      <c r="AJ128" s="599"/>
      <c r="AK128" s="601"/>
      <c r="AL128" s="916"/>
      <c r="AM128" s="599"/>
      <c r="AN128" s="599"/>
      <c r="AO128" s="599"/>
      <c r="AP128" s="601"/>
      <c r="AQ128" s="916"/>
      <c r="AR128" s="599"/>
      <c r="AS128" s="599"/>
      <c r="AT128" s="916"/>
      <c r="AU128" s="917"/>
      <c r="AV128" s="916"/>
      <c r="AW128" s="916"/>
      <c r="AX128" s="916"/>
      <c r="AY128" s="916"/>
      <c r="AZ128" s="917"/>
      <c r="BA128" s="916"/>
      <c r="BB128" s="916"/>
      <c r="BC128" s="916"/>
      <c r="BD128" s="916"/>
      <c r="BE128" s="917"/>
      <c r="BF128" s="916"/>
      <c r="BG128" s="916"/>
      <c r="BH128" s="916"/>
      <c r="BI128" s="916"/>
      <c r="BJ128" s="917"/>
      <c r="BK128" s="916"/>
      <c r="BL128" s="916"/>
      <c r="BM128" s="916"/>
      <c r="BN128" s="916"/>
      <c r="BO128" s="917"/>
    </row>
    <row r="129" spans="1:67" s="255" customFormat="1">
      <c r="A129" s="431"/>
      <c r="B129" s="1063" t="s">
        <v>328</v>
      </c>
      <c r="C129" s="464"/>
      <c r="D129" s="434"/>
      <c r="E129" s="434"/>
      <c r="F129" s="434"/>
      <c r="G129" s="424"/>
      <c r="H129" s="464"/>
      <c r="I129" s="434"/>
      <c r="J129" s="434"/>
      <c r="K129" s="434"/>
      <c r="L129" s="424"/>
      <c r="M129" s="464"/>
      <c r="N129" s="464"/>
      <c r="O129" s="464"/>
      <c r="P129" s="464"/>
      <c r="Q129" s="389"/>
      <c r="R129" s="464"/>
      <c r="S129" s="464"/>
      <c r="T129" s="464"/>
      <c r="U129" s="464"/>
      <c r="V129" s="389"/>
      <c r="W129" s="464"/>
      <c r="X129" s="464"/>
      <c r="Y129" s="464"/>
      <c r="Z129" s="464"/>
      <c r="AA129" s="389"/>
      <c r="AB129" s="464"/>
      <c r="AC129" s="464"/>
      <c r="AD129" s="464"/>
      <c r="AE129" s="464"/>
      <c r="AF129" s="389"/>
      <c r="AG129" s="464"/>
      <c r="AH129" s="464"/>
      <c r="AI129" s="464"/>
      <c r="AJ129" s="464"/>
      <c r="AK129" s="389"/>
      <c r="AL129" s="464"/>
      <c r="AM129" s="464"/>
      <c r="AN129" s="464"/>
      <c r="AO129" s="464"/>
      <c r="AP129" s="389"/>
      <c r="AQ129" s="464"/>
      <c r="AR129" s="464"/>
      <c r="AS129" s="464"/>
      <c r="AT129" s="464"/>
      <c r="AU129" s="389"/>
      <c r="AV129" s="464"/>
      <c r="AW129" s="464"/>
      <c r="AX129" s="464"/>
      <c r="AY129" s="464"/>
      <c r="AZ129" s="389"/>
      <c r="BA129" s="464"/>
      <c r="BB129" s="464"/>
      <c r="BC129" s="464"/>
      <c r="BD129" s="464"/>
      <c r="BE129" s="389"/>
      <c r="BF129" s="464"/>
      <c r="BG129" s="464"/>
      <c r="BH129" s="464"/>
      <c r="BI129" s="464"/>
      <c r="BJ129" s="389"/>
      <c r="BK129" s="464"/>
      <c r="BL129" s="464"/>
      <c r="BM129" s="464"/>
      <c r="BN129" s="464"/>
      <c r="BO129" s="389"/>
    </row>
    <row r="130" spans="1:67" s="255" customFormat="1" hidden="1" outlineLevel="1">
      <c r="A130" s="431"/>
      <c r="B130" s="987" t="s">
        <v>329</v>
      </c>
      <c r="C130" s="464"/>
      <c r="D130" s="434"/>
      <c r="E130" s="434"/>
      <c r="F130" s="434"/>
      <c r="G130" s="424"/>
      <c r="H130" s="464"/>
      <c r="I130" s="434"/>
      <c r="J130" s="434"/>
      <c r="K130" s="434"/>
      <c r="L130" s="424"/>
      <c r="M130" s="464"/>
      <c r="N130" s="464">
        <f>N120</f>
        <v>0.21900000000000003</v>
      </c>
      <c r="O130" s="464">
        <f>N130+O120</f>
        <v>0.51700000000000002</v>
      </c>
      <c r="P130" s="464">
        <f>O130+P120</f>
        <v>0.81400000000000006</v>
      </c>
      <c r="Q130" s="389">
        <f>P130</f>
        <v>0.81400000000000006</v>
      </c>
      <c r="R130" s="464">
        <f>P130+R120</f>
        <v>1.21</v>
      </c>
      <c r="S130" s="464">
        <f t="shared" ref="S130:U131" si="228">R130+S120</f>
        <v>1.7969999999999999</v>
      </c>
      <c r="T130" s="464">
        <f t="shared" si="228"/>
        <v>2.673</v>
      </c>
      <c r="U130" s="464">
        <f t="shared" si="228"/>
        <v>3.5910000000000002</v>
      </c>
      <c r="V130" s="389">
        <f>U130</f>
        <v>3.5910000000000002</v>
      </c>
      <c r="W130" s="464">
        <f>U130+W120</f>
        <v>5.41</v>
      </c>
      <c r="X130" s="464">
        <f t="shared" ref="X130:Z131" si="229">W130+X120</f>
        <v>7.319</v>
      </c>
      <c r="Y130" s="464">
        <f t="shared" si="229"/>
        <v>9.2409999999999997</v>
      </c>
      <c r="Z130" s="464">
        <f t="shared" si="229"/>
        <v>11.419</v>
      </c>
      <c r="AA130" s="389">
        <f>Z130</f>
        <v>11.419</v>
      </c>
      <c r="AB130" s="464">
        <f>Z130+AB120</f>
        <v>16.71</v>
      </c>
      <c r="AC130" s="464">
        <f t="shared" ref="AC130:AE131" si="230">AB130+AC120</f>
        <v>27.007000000000001</v>
      </c>
      <c r="AD130" s="464">
        <f t="shared" si="230"/>
        <v>38.094999999999999</v>
      </c>
      <c r="AE130" s="464">
        <f t="shared" si="230"/>
        <v>50.247</v>
      </c>
      <c r="AF130" s="389">
        <f>AE130</f>
        <v>50.247</v>
      </c>
      <c r="AG130" s="464">
        <f>AE130+AG120</f>
        <v>65.840999999999994</v>
      </c>
      <c r="AH130" s="464">
        <f t="shared" ref="AH130:AJ131" si="231">AG130+AH120</f>
        <v>86.637999999999991</v>
      </c>
      <c r="AI130" s="464">
        <f t="shared" si="231"/>
        <v>109.136</v>
      </c>
      <c r="AJ130" s="464">
        <f t="shared" si="231"/>
        <v>132.49199999999999</v>
      </c>
      <c r="AK130" s="389">
        <f>AJ130</f>
        <v>132.49199999999999</v>
      </c>
      <c r="AL130" s="464">
        <f>AJ130+AL120</f>
        <v>155.93699999999998</v>
      </c>
      <c r="AM130" s="464">
        <f t="shared" ref="AM130:AO131" si="232">AL130+AM120</f>
        <v>179.86599999999999</v>
      </c>
      <c r="AN130" s="464">
        <f t="shared" si="232"/>
        <v>203.89099999999999</v>
      </c>
      <c r="AO130" s="464">
        <f t="shared" si="232"/>
        <v>229.374</v>
      </c>
      <c r="AP130" s="389">
        <f>AO130</f>
        <v>229.374</v>
      </c>
      <c r="AQ130" s="464">
        <f>AO130+AQ120</f>
        <v>253.459</v>
      </c>
      <c r="AR130" s="464">
        <f t="shared" ref="AR130:AS131" si="233">AQ130+AR120</f>
        <v>281.26600000000002</v>
      </c>
      <c r="AS130" s="464">
        <f t="shared" si="233"/>
        <v>310.13300000000004</v>
      </c>
      <c r="AT130" s="464">
        <f t="shared" ref="AT130:AT131" si="234">AS130+AT120</f>
        <v>332.13300000000004</v>
      </c>
      <c r="AU130" s="389">
        <f>AT130</f>
        <v>332.13300000000004</v>
      </c>
      <c r="AV130" s="464">
        <f>AT130+AV120</f>
        <v>353.34800000000001</v>
      </c>
      <c r="AW130" s="464">
        <f t="shared" ref="AW130:AY131" si="235">AV130+AW120</f>
        <v>374.56299999999999</v>
      </c>
      <c r="AX130" s="464">
        <f t="shared" si="235"/>
        <v>395.77799999999996</v>
      </c>
      <c r="AY130" s="464">
        <f t="shared" si="235"/>
        <v>416.99299999999994</v>
      </c>
      <c r="AZ130" s="389">
        <f>AY130</f>
        <v>416.99299999999994</v>
      </c>
      <c r="BA130" s="464">
        <f>AY130+BA120</f>
        <v>430.06674999999996</v>
      </c>
      <c r="BB130" s="464">
        <f t="shared" ref="BB130:BD131" si="236">BA130+BB120</f>
        <v>443.14049999999997</v>
      </c>
      <c r="BC130" s="464">
        <f t="shared" si="236"/>
        <v>456.21424999999999</v>
      </c>
      <c r="BD130" s="464">
        <f t="shared" si="236"/>
        <v>469.28800000000001</v>
      </c>
      <c r="BE130" s="389">
        <f>BD130</f>
        <v>469.28800000000001</v>
      </c>
      <c r="BF130" s="464">
        <f>BD130+BF120</f>
        <v>472.19625000000002</v>
      </c>
      <c r="BG130" s="464">
        <f t="shared" ref="BG130:BI131" si="237">BF130+BG120</f>
        <v>475.10450000000003</v>
      </c>
      <c r="BH130" s="464">
        <f t="shared" si="237"/>
        <v>478.01275000000004</v>
      </c>
      <c r="BI130" s="464">
        <f t="shared" si="237"/>
        <v>480.92100000000005</v>
      </c>
      <c r="BJ130" s="389">
        <f>BI130</f>
        <v>480.92100000000005</v>
      </c>
      <c r="BK130" s="464">
        <f>BI130+BK120</f>
        <v>483.82925000000006</v>
      </c>
      <c r="BL130" s="464">
        <f t="shared" ref="BL130:BN131" si="238">BK130+BL120</f>
        <v>486.73750000000007</v>
      </c>
      <c r="BM130" s="464">
        <f t="shared" si="238"/>
        <v>489.64575000000008</v>
      </c>
      <c r="BN130" s="464">
        <f t="shared" si="238"/>
        <v>492.55400000000009</v>
      </c>
      <c r="BO130" s="389">
        <f>BN130</f>
        <v>492.55400000000009</v>
      </c>
    </row>
    <row r="131" spans="1:67" s="255" customFormat="1" hidden="1" outlineLevel="1">
      <c r="A131" s="431"/>
      <c r="B131" s="987" t="s">
        <v>330</v>
      </c>
      <c r="C131" s="464"/>
      <c r="D131" s="434"/>
      <c r="E131" s="434"/>
      <c r="F131" s="434"/>
      <c r="G131" s="424"/>
      <c r="H131" s="464"/>
      <c r="I131" s="434"/>
      <c r="J131" s="434"/>
      <c r="K131" s="434"/>
      <c r="L131" s="424"/>
      <c r="M131" s="464"/>
      <c r="N131" s="464">
        <f>N121</f>
        <v>0.53600000000000003</v>
      </c>
      <c r="O131" s="464">
        <f>N131+O121</f>
        <v>1.131</v>
      </c>
      <c r="P131" s="464">
        <f>O131+P121</f>
        <v>2.0989999999999998</v>
      </c>
      <c r="Q131" s="389">
        <f>P131</f>
        <v>2.0989999999999998</v>
      </c>
      <c r="R131" s="464">
        <f>P131+R121</f>
        <v>3.2249999999999996</v>
      </c>
      <c r="S131" s="464">
        <f t="shared" si="228"/>
        <v>4.8780000000000001</v>
      </c>
      <c r="T131" s="464">
        <f t="shared" si="228"/>
        <v>6.8510000000000009</v>
      </c>
      <c r="U131" s="464">
        <f t="shared" si="228"/>
        <v>9.1479999999999997</v>
      </c>
      <c r="V131" s="389">
        <f>U131</f>
        <v>9.1479999999999997</v>
      </c>
      <c r="W131" s="464">
        <f>U131+W121</f>
        <v>12.013</v>
      </c>
      <c r="X131" s="464">
        <f t="shared" si="229"/>
        <v>15.488</v>
      </c>
      <c r="Y131" s="464">
        <f t="shared" si="229"/>
        <v>19.084</v>
      </c>
      <c r="Z131" s="464">
        <f t="shared" si="229"/>
        <v>22.817999999999998</v>
      </c>
      <c r="AA131" s="389">
        <f>Z131</f>
        <v>22.817999999999998</v>
      </c>
      <c r="AB131" s="464">
        <f>Z131+AB121</f>
        <v>27.468</v>
      </c>
      <c r="AC131" s="464">
        <f t="shared" si="230"/>
        <v>33.343000000000004</v>
      </c>
      <c r="AD131" s="464">
        <f t="shared" si="230"/>
        <v>39.951000000000008</v>
      </c>
      <c r="AE131" s="464">
        <f t="shared" si="230"/>
        <v>47.525000000000006</v>
      </c>
      <c r="AF131" s="389">
        <f>AE131</f>
        <v>47.525000000000006</v>
      </c>
      <c r="AG131" s="464">
        <f>AE131+AG121</f>
        <v>55.094000000000008</v>
      </c>
      <c r="AH131" s="464">
        <f t="shared" si="231"/>
        <v>63.581000000000003</v>
      </c>
      <c r="AI131" s="464">
        <f t="shared" si="231"/>
        <v>73.552999999999997</v>
      </c>
      <c r="AJ131" s="464">
        <f t="shared" si="231"/>
        <v>85.182999999999993</v>
      </c>
      <c r="AK131" s="389">
        <f>AJ131</f>
        <v>85.182999999999993</v>
      </c>
      <c r="AL131" s="464">
        <f>AJ131+AL121</f>
        <v>101.95899999999999</v>
      </c>
      <c r="AM131" s="464">
        <f t="shared" si="232"/>
        <v>123.14099999999999</v>
      </c>
      <c r="AN131" s="464">
        <f t="shared" si="232"/>
        <v>146.16199999999998</v>
      </c>
      <c r="AO131" s="464">
        <f t="shared" si="232"/>
        <v>170.80899999999997</v>
      </c>
      <c r="AP131" s="389">
        <f>AO131</f>
        <v>170.80899999999997</v>
      </c>
      <c r="AQ131" s="464">
        <f>AO131+AQ121</f>
        <v>195.52799999999996</v>
      </c>
      <c r="AR131" s="464">
        <f t="shared" si="233"/>
        <v>222.55799999999996</v>
      </c>
      <c r="AS131" s="464">
        <f t="shared" si="233"/>
        <v>251.56899999999996</v>
      </c>
      <c r="AT131" s="464">
        <f t="shared" si="234"/>
        <v>280.58</v>
      </c>
      <c r="AU131" s="389">
        <f>AT131</f>
        <v>280.58</v>
      </c>
      <c r="AV131" s="464">
        <f>AT131+AV121</f>
        <v>309.11099317822334</v>
      </c>
      <c r="AW131" s="464">
        <f t="shared" si="235"/>
        <v>337.03596620852011</v>
      </c>
      <c r="AX131" s="464">
        <f t="shared" si="235"/>
        <v>364.61589281069297</v>
      </c>
      <c r="AY131" s="464">
        <f t="shared" si="235"/>
        <v>392.05510705824156</v>
      </c>
      <c r="AZ131" s="389">
        <f>AY131</f>
        <v>392.05510705824156</v>
      </c>
      <c r="BA131" s="464">
        <f>AY131+BA121</f>
        <v>419.4585558211374</v>
      </c>
      <c r="BB131" s="464">
        <f t="shared" si="236"/>
        <v>446.98297499502428</v>
      </c>
      <c r="BC131" s="464">
        <f t="shared" si="236"/>
        <v>474.86641347248911</v>
      </c>
      <c r="BD131" s="464">
        <f t="shared" si="236"/>
        <v>503.28687422909178</v>
      </c>
      <c r="BE131" s="389">
        <f>BD131</f>
        <v>503.28687422909178</v>
      </c>
      <c r="BF131" s="464">
        <f>BD131+BF121</f>
        <v>532.26059581325251</v>
      </c>
      <c r="BG131" s="464">
        <f t="shared" si="237"/>
        <v>561.88528792834541</v>
      </c>
      <c r="BH131" s="464">
        <f t="shared" si="237"/>
        <v>592.38824666010555</v>
      </c>
      <c r="BI131" s="464">
        <f t="shared" si="237"/>
        <v>624.01744373614144</v>
      </c>
      <c r="BJ131" s="389">
        <f>BI131</f>
        <v>624.01744373614144</v>
      </c>
      <c r="BK131" s="464">
        <f>BI131+BK121</f>
        <v>656.76308948079793</v>
      </c>
      <c r="BL131" s="464">
        <f t="shared" si="238"/>
        <v>690.67585162358682</v>
      </c>
      <c r="BM131" s="464">
        <f t="shared" si="238"/>
        <v>725.93472498910057</v>
      </c>
      <c r="BN131" s="464">
        <f t="shared" si="238"/>
        <v>762.85186960034389</v>
      </c>
      <c r="BO131" s="389">
        <f>BN131</f>
        <v>762.85186960034389</v>
      </c>
    </row>
    <row r="132" spans="1:67" collapsed="1">
      <c r="B132" s="987"/>
      <c r="G132" s="467"/>
      <c r="L132" s="467"/>
      <c r="Q132" s="467"/>
      <c r="R132" s="432"/>
      <c r="S132" s="432"/>
      <c r="T132" s="432"/>
      <c r="U132" s="432"/>
      <c r="V132" s="467"/>
      <c r="Z132" s="432"/>
      <c r="AA132" s="467"/>
      <c r="AF132" s="467"/>
      <c r="AK132" s="467"/>
      <c r="AP132" s="467"/>
      <c r="AU132" s="467"/>
      <c r="AZ132" s="467"/>
      <c r="BE132" s="467"/>
      <c r="BJ132" s="467"/>
      <c r="BO132" s="467"/>
    </row>
    <row r="133" spans="1:67">
      <c r="AF133" s="948"/>
      <c r="AK133" s="948"/>
      <c r="AL133" s="947"/>
      <c r="AM133" s="947"/>
      <c r="AN133" s="947"/>
      <c r="AO133" s="947"/>
      <c r="AP133" s="948"/>
      <c r="AQ133" s="947"/>
      <c r="AR133" s="918"/>
      <c r="AS133" s="918"/>
      <c r="AT133" s="918"/>
      <c r="AV133" s="947"/>
      <c r="AW133" s="918"/>
      <c r="AX133" s="918"/>
      <c r="AY133" s="918"/>
      <c r="BA133" s="947"/>
      <c r="BB133" s="918"/>
      <c r="BC133" s="918"/>
      <c r="BD133" s="918"/>
      <c r="BF133" s="947"/>
      <c r="BG133" s="918"/>
      <c r="BH133" s="918"/>
      <c r="BI133" s="918"/>
      <c r="BK133" s="947"/>
      <c r="BL133" s="918"/>
      <c r="BM133" s="918"/>
      <c r="BN133" s="918"/>
    </row>
    <row r="159" spans="1:67">
      <c r="B159" s="986"/>
    </row>
    <row r="160" spans="1:67">
      <c r="A160" s="431"/>
      <c r="B160" s="987"/>
      <c r="C160" s="469"/>
      <c r="D160" s="432"/>
      <c r="E160" s="432"/>
      <c r="F160" s="432"/>
      <c r="G160" s="374"/>
      <c r="H160" s="469"/>
      <c r="I160" s="432"/>
      <c r="J160" s="432"/>
      <c r="K160" s="432"/>
      <c r="L160" s="374"/>
      <c r="M160" s="469"/>
      <c r="N160" s="432"/>
      <c r="O160" s="432"/>
      <c r="P160" s="432"/>
      <c r="Q160" s="374"/>
      <c r="R160" s="469"/>
      <c r="S160" s="432"/>
      <c r="T160" s="432"/>
      <c r="U160" s="432"/>
      <c r="V160" s="374"/>
      <c r="W160" s="469"/>
      <c r="X160" s="432"/>
      <c r="Y160" s="432"/>
      <c r="Z160" s="432"/>
      <c r="AA160" s="374"/>
      <c r="AB160" s="469"/>
      <c r="AC160" s="432"/>
      <c r="AD160" s="432"/>
      <c r="AE160" s="432"/>
      <c r="AF160" s="374"/>
      <c r="AG160" s="469"/>
      <c r="AH160" s="432"/>
      <c r="AI160" s="432"/>
      <c r="AJ160" s="432"/>
      <c r="AK160" s="374"/>
      <c r="AL160" s="469"/>
      <c r="AM160" s="432"/>
      <c r="AN160" s="432"/>
      <c r="AO160" s="432"/>
      <c r="AP160" s="374"/>
      <c r="AQ160" s="469"/>
      <c r="AR160" s="432"/>
      <c r="AS160" s="432"/>
      <c r="AT160" s="432"/>
      <c r="AU160" s="374"/>
      <c r="AV160" s="469"/>
      <c r="AW160" s="432"/>
      <c r="AX160" s="432"/>
      <c r="AY160" s="432"/>
      <c r="AZ160" s="374"/>
      <c r="BA160" s="469"/>
      <c r="BB160" s="432"/>
      <c r="BC160" s="432"/>
      <c r="BD160" s="432"/>
      <c r="BE160" s="374"/>
      <c r="BF160" s="469"/>
      <c r="BG160" s="432"/>
      <c r="BH160" s="432"/>
      <c r="BI160" s="432"/>
      <c r="BJ160" s="374"/>
      <c r="BK160" s="469"/>
      <c r="BL160" s="432"/>
      <c r="BM160" s="432"/>
      <c r="BN160" s="432"/>
      <c r="BO160" s="374"/>
    </row>
    <row r="161" spans="1:67">
      <c r="A161" s="431"/>
      <c r="B161" s="987"/>
      <c r="C161" s="469"/>
      <c r="D161" s="432"/>
      <c r="E161" s="432"/>
      <c r="F161" s="432"/>
      <c r="G161" s="374"/>
      <c r="H161" s="469"/>
      <c r="I161" s="432"/>
      <c r="J161" s="432"/>
      <c r="K161" s="432"/>
      <c r="L161" s="374"/>
      <c r="M161" s="469"/>
      <c r="N161" s="432"/>
      <c r="O161" s="432"/>
      <c r="P161" s="432"/>
      <c r="Q161" s="374"/>
      <c r="R161" s="469"/>
      <c r="S161" s="432"/>
      <c r="T161" s="432"/>
      <c r="U161" s="432"/>
      <c r="V161" s="374"/>
      <c r="W161" s="469"/>
      <c r="X161" s="432"/>
      <c r="Y161" s="432"/>
      <c r="Z161" s="432"/>
      <c r="AA161" s="374"/>
      <c r="AB161" s="469"/>
      <c r="AC161" s="432"/>
      <c r="AD161" s="432"/>
      <c r="AE161" s="432"/>
      <c r="AF161" s="374"/>
      <c r="AG161" s="469"/>
      <c r="AH161" s="432"/>
      <c r="AI161" s="432"/>
      <c r="AJ161" s="432"/>
      <c r="AK161" s="374"/>
      <c r="AL161" s="469"/>
      <c r="AM161" s="432"/>
      <c r="AN161" s="432"/>
      <c r="AO161" s="432"/>
      <c r="AP161" s="374"/>
      <c r="AQ161" s="469"/>
      <c r="AR161" s="432"/>
      <c r="AS161" s="432"/>
      <c r="AT161" s="432"/>
      <c r="AU161" s="374"/>
      <c r="AV161" s="469"/>
      <c r="AW161" s="432"/>
      <c r="AX161" s="432"/>
      <c r="AY161" s="432"/>
      <c r="AZ161" s="374"/>
      <c r="BA161" s="469"/>
      <c r="BB161" s="432"/>
      <c r="BC161" s="432"/>
      <c r="BD161" s="432"/>
      <c r="BE161" s="374"/>
      <c r="BF161" s="469"/>
      <c r="BG161" s="432"/>
      <c r="BH161" s="432"/>
      <c r="BI161" s="432"/>
      <c r="BJ161" s="374"/>
      <c r="BK161" s="469"/>
      <c r="BL161" s="432"/>
      <c r="BM161" s="432"/>
      <c r="BN161" s="432"/>
      <c r="BO161" s="374"/>
    </row>
    <row r="162" spans="1:67">
      <c r="A162" s="431"/>
      <c r="B162" s="987"/>
      <c r="C162" s="469"/>
      <c r="D162" s="432"/>
      <c r="E162" s="432"/>
      <c r="F162" s="432"/>
      <c r="G162" s="374"/>
      <c r="H162" s="469"/>
      <c r="I162" s="432"/>
      <c r="J162" s="432"/>
      <c r="K162" s="432"/>
      <c r="L162" s="374"/>
      <c r="M162" s="469"/>
      <c r="N162" s="432"/>
      <c r="O162" s="432"/>
      <c r="P162" s="432"/>
      <c r="Q162" s="374"/>
      <c r="R162" s="469"/>
      <c r="S162" s="432"/>
      <c r="T162" s="432"/>
      <c r="U162" s="432"/>
      <c r="V162" s="374"/>
      <c r="W162" s="469"/>
      <c r="X162" s="432"/>
      <c r="Y162" s="432"/>
      <c r="Z162" s="432"/>
      <c r="AA162" s="374"/>
      <c r="AB162" s="469"/>
      <c r="AC162" s="432"/>
      <c r="AD162" s="432"/>
      <c r="AE162" s="432"/>
      <c r="AF162" s="374"/>
      <c r="AG162" s="469"/>
      <c r="AH162" s="432"/>
      <c r="AI162" s="432"/>
      <c r="AJ162" s="432"/>
      <c r="AK162" s="374"/>
      <c r="AL162" s="469"/>
      <c r="AM162" s="432"/>
      <c r="AN162" s="432"/>
      <c r="AO162" s="432"/>
      <c r="AP162" s="374"/>
      <c r="AQ162" s="469"/>
      <c r="AR162" s="432"/>
      <c r="AS162" s="432"/>
      <c r="AT162" s="432"/>
      <c r="AU162" s="374"/>
      <c r="AV162" s="469"/>
      <c r="AW162" s="432"/>
      <c r="AX162" s="432"/>
      <c r="AY162" s="432"/>
      <c r="AZ162" s="374"/>
      <c r="BA162" s="469"/>
      <c r="BB162" s="432"/>
      <c r="BC162" s="432"/>
      <c r="BD162" s="432"/>
      <c r="BE162" s="374"/>
      <c r="BF162" s="469"/>
      <c r="BG162" s="432"/>
      <c r="BH162" s="432"/>
      <c r="BI162" s="432"/>
      <c r="BJ162" s="374"/>
      <c r="BK162" s="469"/>
      <c r="BL162" s="432"/>
      <c r="BM162" s="432"/>
      <c r="BN162" s="432"/>
      <c r="BO162" s="374"/>
    </row>
    <row r="163" spans="1:67">
      <c r="A163" s="431"/>
      <c r="B163" s="987"/>
      <c r="C163" s="469"/>
      <c r="D163" s="432"/>
      <c r="E163" s="432"/>
      <c r="F163" s="432"/>
      <c r="G163" s="374"/>
      <c r="H163" s="469"/>
      <c r="I163" s="432"/>
      <c r="J163" s="432"/>
      <c r="K163" s="432"/>
      <c r="L163" s="374"/>
      <c r="M163" s="469"/>
      <c r="N163" s="432"/>
      <c r="O163" s="432"/>
      <c r="P163" s="432"/>
      <c r="Q163" s="374"/>
      <c r="R163" s="469"/>
      <c r="S163" s="432"/>
      <c r="T163" s="432"/>
      <c r="U163" s="432"/>
      <c r="V163" s="374"/>
      <c r="W163" s="469"/>
      <c r="X163" s="432"/>
      <c r="Y163" s="432"/>
      <c r="Z163" s="432"/>
      <c r="AA163" s="374"/>
      <c r="AB163" s="469"/>
      <c r="AC163" s="432"/>
      <c r="AD163" s="432"/>
      <c r="AE163" s="432"/>
      <c r="AF163" s="374"/>
      <c r="AG163" s="469"/>
      <c r="AH163" s="432"/>
      <c r="AI163" s="432"/>
      <c r="AJ163" s="432"/>
      <c r="AK163" s="374"/>
      <c r="AL163" s="469"/>
      <c r="AM163" s="432"/>
      <c r="AN163" s="432"/>
      <c r="AO163" s="432"/>
      <c r="AP163" s="374"/>
      <c r="AQ163" s="469"/>
      <c r="AR163" s="432"/>
      <c r="AS163" s="432"/>
      <c r="AT163" s="432"/>
      <c r="AU163" s="374"/>
      <c r="AV163" s="469"/>
      <c r="AW163" s="432"/>
      <c r="AX163" s="432"/>
      <c r="AY163" s="432"/>
      <c r="AZ163" s="374"/>
      <c r="BA163" s="469"/>
      <c r="BB163" s="432"/>
      <c r="BC163" s="432"/>
      <c r="BD163" s="432"/>
      <c r="BE163" s="374"/>
      <c r="BF163" s="469"/>
      <c r="BG163" s="432"/>
      <c r="BH163" s="432"/>
      <c r="BI163" s="432"/>
      <c r="BJ163" s="374"/>
      <c r="BK163" s="469"/>
      <c r="BL163" s="432"/>
      <c r="BM163" s="432"/>
      <c r="BN163" s="432"/>
      <c r="BO163" s="374"/>
    </row>
    <row r="164" spans="1:67">
      <c r="A164" s="431"/>
      <c r="B164" s="987"/>
      <c r="C164" s="469"/>
      <c r="D164" s="432"/>
      <c r="E164" s="432"/>
      <c r="F164" s="432"/>
      <c r="G164" s="374"/>
      <c r="H164" s="469"/>
      <c r="I164" s="432"/>
      <c r="J164" s="432"/>
      <c r="K164" s="432"/>
      <c r="L164" s="374"/>
      <c r="M164" s="469"/>
      <c r="N164" s="432"/>
      <c r="O164" s="432"/>
      <c r="P164" s="432"/>
      <c r="Q164" s="374"/>
      <c r="R164" s="469"/>
      <c r="S164" s="432"/>
      <c r="T164" s="432"/>
      <c r="U164" s="432"/>
      <c r="V164" s="374"/>
      <c r="W164" s="469"/>
      <c r="X164" s="432"/>
      <c r="Y164" s="432"/>
      <c r="Z164" s="432"/>
      <c r="AA164" s="374"/>
      <c r="AB164" s="469"/>
      <c r="AC164" s="432"/>
      <c r="AD164" s="432"/>
      <c r="AE164" s="432"/>
      <c r="AF164" s="374"/>
      <c r="AG164" s="469"/>
      <c r="AH164" s="432"/>
      <c r="AI164" s="432"/>
      <c r="AJ164" s="432"/>
      <c r="AK164" s="374"/>
      <c r="AL164" s="469"/>
      <c r="AM164" s="432"/>
      <c r="AN164" s="432"/>
      <c r="AO164" s="432"/>
      <c r="AP164" s="374"/>
      <c r="AQ164" s="469"/>
      <c r="AR164" s="432"/>
      <c r="AS164" s="432"/>
      <c r="AT164" s="432"/>
      <c r="AU164" s="374"/>
      <c r="AV164" s="469"/>
      <c r="AW164" s="432"/>
      <c r="AX164" s="432"/>
      <c r="AY164" s="432"/>
      <c r="AZ164" s="374"/>
      <c r="BA164" s="469"/>
      <c r="BB164" s="432"/>
      <c r="BC164" s="432"/>
      <c r="BD164" s="432"/>
      <c r="BE164" s="374"/>
      <c r="BF164" s="469"/>
      <c r="BG164" s="432"/>
      <c r="BH164" s="432"/>
      <c r="BI164" s="432"/>
      <c r="BJ164" s="374"/>
      <c r="BK164" s="469"/>
      <c r="BL164" s="432"/>
      <c r="BM164" s="432"/>
      <c r="BN164" s="432"/>
      <c r="BO164" s="374"/>
    </row>
    <row r="165" spans="1:67">
      <c r="B165" s="987"/>
      <c r="G165" s="374"/>
      <c r="L165" s="374"/>
      <c r="Q165" s="374"/>
      <c r="V165" s="374"/>
      <c r="AA165" s="374"/>
      <c r="AF165" s="374"/>
      <c r="AK165" s="374"/>
      <c r="AP165" s="374"/>
      <c r="AU165" s="374"/>
      <c r="AZ165" s="374"/>
      <c r="BE165" s="374"/>
      <c r="BJ165" s="374"/>
      <c r="BO165" s="374"/>
    </row>
    <row r="166" spans="1:67">
      <c r="B166" s="987"/>
      <c r="G166" s="470"/>
      <c r="L166" s="470"/>
      <c r="Q166" s="470"/>
      <c r="V166" s="470"/>
      <c r="AA166" s="470"/>
      <c r="AF166" s="470"/>
      <c r="AK166" s="470"/>
      <c r="AP166" s="470"/>
      <c r="AU166" s="470"/>
      <c r="AZ166" s="470"/>
      <c r="BE166" s="470"/>
      <c r="BJ166" s="470"/>
      <c r="BO166" s="470"/>
    </row>
    <row r="167" spans="1:67">
      <c r="B167" s="987"/>
      <c r="G167" s="374"/>
      <c r="L167" s="374"/>
      <c r="Q167" s="374"/>
      <c r="V167" s="374"/>
      <c r="AA167" s="374"/>
      <c r="AF167" s="374"/>
      <c r="AK167" s="374"/>
      <c r="AP167" s="374"/>
      <c r="AU167" s="374"/>
      <c r="AZ167" s="374"/>
      <c r="BE167" s="374"/>
      <c r="BJ167" s="374"/>
      <c r="BO167" s="374"/>
    </row>
    <row r="169" spans="1:67">
      <c r="B169" s="987"/>
    </row>
    <row r="170" spans="1:67">
      <c r="B170" s="987"/>
    </row>
    <row r="171" spans="1:67">
      <c r="B171" s="987"/>
    </row>
    <row r="172" spans="1:67">
      <c r="B172" s="987"/>
    </row>
    <row r="192" spans="3:67">
      <c r="C192" s="471"/>
      <c r="D192" s="471"/>
      <c r="E192" s="471"/>
      <c r="F192" s="471"/>
      <c r="G192" s="471"/>
      <c r="H192" s="471"/>
      <c r="I192" s="471"/>
      <c r="J192" s="471"/>
      <c r="K192" s="471"/>
      <c r="L192" s="471"/>
      <c r="M192" s="471"/>
      <c r="N192" s="471"/>
      <c r="O192" s="471"/>
      <c r="P192" s="471"/>
      <c r="Q192" s="471"/>
      <c r="R192" s="471"/>
      <c r="S192" s="471"/>
      <c r="T192" s="471"/>
      <c r="U192" s="471"/>
      <c r="V192" s="471"/>
      <c r="W192" s="471"/>
      <c r="X192" s="471"/>
      <c r="Y192" s="471"/>
      <c r="Z192" s="471"/>
      <c r="AA192" s="471"/>
      <c r="AB192" s="471"/>
      <c r="AC192" s="471"/>
      <c r="AD192" s="471"/>
      <c r="AE192" s="471"/>
      <c r="AF192" s="471"/>
      <c r="AG192" s="471"/>
      <c r="AH192" s="471"/>
      <c r="AI192" s="471"/>
      <c r="AJ192" s="471"/>
      <c r="AK192" s="471"/>
      <c r="AL192" s="471"/>
      <c r="AM192" s="471"/>
      <c r="AN192" s="471"/>
      <c r="AO192" s="471"/>
      <c r="AP192" s="471"/>
      <c r="AQ192" s="471"/>
      <c r="AR192" s="471"/>
      <c r="AS192" s="471"/>
      <c r="AT192" s="471"/>
      <c r="AU192" s="471"/>
      <c r="AV192" s="471"/>
      <c r="AW192" s="471"/>
      <c r="AX192" s="471"/>
      <c r="AY192" s="471"/>
      <c r="AZ192" s="471"/>
      <c r="BA192" s="471"/>
      <c r="BB192" s="471"/>
      <c r="BC192" s="471"/>
      <c r="BD192" s="471"/>
      <c r="BE192" s="471"/>
      <c r="BF192" s="471"/>
      <c r="BG192" s="471"/>
      <c r="BH192" s="471"/>
      <c r="BI192" s="471"/>
      <c r="BJ192" s="471"/>
      <c r="BK192" s="471"/>
      <c r="BL192" s="471"/>
      <c r="BM192" s="471"/>
      <c r="BN192" s="471"/>
      <c r="BO192" s="471"/>
    </row>
    <row r="193" spans="3:67">
      <c r="C193" s="471"/>
      <c r="D193" s="471"/>
      <c r="E193" s="471"/>
      <c r="F193" s="471"/>
      <c r="G193" s="471"/>
      <c r="H193" s="471"/>
      <c r="I193" s="471"/>
      <c r="J193" s="471"/>
      <c r="K193" s="471"/>
      <c r="L193" s="471"/>
      <c r="M193" s="471"/>
      <c r="N193" s="471"/>
      <c r="O193" s="471"/>
      <c r="P193" s="471"/>
      <c r="Q193" s="471"/>
      <c r="R193" s="471"/>
      <c r="S193" s="471"/>
      <c r="T193" s="471"/>
      <c r="U193" s="471"/>
      <c r="V193" s="471"/>
      <c r="W193" s="471"/>
      <c r="X193" s="471"/>
      <c r="Y193" s="471"/>
      <c r="Z193" s="471"/>
      <c r="AA193" s="471"/>
      <c r="AB193" s="471"/>
      <c r="AC193" s="471"/>
      <c r="AD193" s="471"/>
      <c r="AE193" s="471"/>
      <c r="AF193" s="471"/>
      <c r="AG193" s="471"/>
      <c r="AH193" s="471"/>
      <c r="AI193" s="471"/>
      <c r="AJ193" s="471"/>
      <c r="AK193" s="471"/>
      <c r="AL193" s="471"/>
      <c r="AM193" s="471"/>
      <c r="AN193" s="471"/>
      <c r="AO193" s="471"/>
      <c r="AP193" s="471"/>
      <c r="AQ193" s="471"/>
      <c r="AR193" s="471"/>
      <c r="AS193" s="471"/>
      <c r="AT193" s="471"/>
      <c r="AU193" s="471"/>
      <c r="AV193" s="471"/>
      <c r="AW193" s="471"/>
      <c r="AX193" s="471"/>
      <c r="AY193" s="471"/>
      <c r="AZ193" s="471"/>
      <c r="BA193" s="471"/>
      <c r="BB193" s="471"/>
      <c r="BC193" s="471"/>
      <c r="BD193" s="471"/>
      <c r="BE193" s="471"/>
      <c r="BF193" s="471"/>
      <c r="BG193" s="471"/>
      <c r="BH193" s="471"/>
      <c r="BI193" s="471"/>
      <c r="BJ193" s="471"/>
      <c r="BK193" s="471"/>
      <c r="BL193" s="471"/>
      <c r="BM193" s="471"/>
      <c r="BN193" s="471"/>
      <c r="BO193" s="471"/>
    </row>
    <row r="194" spans="3:67">
      <c r="C194" s="472"/>
      <c r="D194" s="471"/>
      <c r="E194" s="471"/>
      <c r="F194" s="471"/>
      <c r="G194" s="471"/>
      <c r="H194" s="472"/>
      <c r="I194" s="471"/>
      <c r="J194" s="471"/>
      <c r="K194" s="471"/>
      <c r="L194" s="471"/>
      <c r="M194" s="472"/>
      <c r="N194" s="471"/>
      <c r="O194" s="471"/>
      <c r="P194" s="471"/>
      <c r="Q194" s="471"/>
      <c r="R194" s="472"/>
      <c r="S194" s="471"/>
      <c r="T194" s="471"/>
      <c r="U194" s="471"/>
      <c r="V194" s="471"/>
      <c r="W194" s="472"/>
      <c r="X194" s="471"/>
      <c r="Y194" s="471"/>
      <c r="Z194" s="471"/>
      <c r="AA194" s="471"/>
      <c r="AB194" s="472"/>
      <c r="AC194" s="471"/>
      <c r="AD194" s="471"/>
      <c r="AE194" s="471"/>
      <c r="AF194" s="471"/>
      <c r="AG194" s="472"/>
      <c r="AH194" s="471"/>
      <c r="AI194" s="471"/>
      <c r="AJ194" s="471"/>
      <c r="AK194" s="471"/>
      <c r="AL194" s="472"/>
      <c r="AM194" s="471"/>
      <c r="AN194" s="471"/>
      <c r="AO194" s="471"/>
      <c r="AP194" s="471"/>
      <c r="AQ194" s="472"/>
      <c r="AR194" s="471"/>
      <c r="AS194" s="471"/>
      <c r="AT194" s="471"/>
      <c r="AU194" s="471"/>
      <c r="AV194" s="472"/>
      <c r="AW194" s="471"/>
      <c r="AX194" s="471"/>
      <c r="AY194" s="471"/>
      <c r="AZ194" s="471"/>
      <c r="BA194" s="472"/>
      <c r="BB194" s="471"/>
      <c r="BC194" s="471"/>
      <c r="BD194" s="471"/>
      <c r="BE194" s="471"/>
      <c r="BF194" s="472"/>
      <c r="BG194" s="471"/>
      <c r="BH194" s="471"/>
      <c r="BI194" s="471"/>
      <c r="BJ194" s="471"/>
      <c r="BK194" s="472"/>
      <c r="BL194" s="471"/>
      <c r="BM194" s="471"/>
      <c r="BN194" s="471"/>
      <c r="BO194" s="471"/>
    </row>
    <row r="195" spans="3:67">
      <c r="C195" s="473"/>
      <c r="D195" s="471"/>
      <c r="E195" s="471"/>
      <c r="F195" s="471"/>
      <c r="G195" s="471"/>
      <c r="H195" s="473"/>
      <c r="I195" s="471"/>
      <c r="J195" s="471"/>
      <c r="K195" s="471"/>
      <c r="L195" s="471"/>
      <c r="M195" s="473"/>
      <c r="N195" s="471"/>
      <c r="O195" s="471"/>
      <c r="P195" s="471"/>
      <c r="Q195" s="471"/>
      <c r="R195" s="473"/>
      <c r="S195" s="471"/>
      <c r="T195" s="471"/>
      <c r="U195" s="471"/>
      <c r="V195" s="471"/>
      <c r="W195" s="473"/>
      <c r="X195" s="471"/>
      <c r="Y195" s="471"/>
      <c r="Z195" s="471"/>
      <c r="AA195" s="471"/>
      <c r="AB195" s="473"/>
      <c r="AC195" s="471"/>
      <c r="AD195" s="471"/>
      <c r="AE195" s="471"/>
      <c r="AF195" s="471"/>
      <c r="AG195" s="473"/>
      <c r="AH195" s="471"/>
      <c r="AI195" s="471"/>
      <c r="AJ195" s="471"/>
      <c r="AK195" s="471"/>
      <c r="AL195" s="473"/>
      <c r="AM195" s="471"/>
      <c r="AN195" s="471"/>
      <c r="AO195" s="471"/>
      <c r="AP195" s="471"/>
      <c r="AQ195" s="473"/>
      <c r="AR195" s="471"/>
      <c r="AS195" s="471"/>
      <c r="AT195" s="471"/>
      <c r="AU195" s="471"/>
      <c r="AV195" s="473"/>
      <c r="AW195" s="471"/>
      <c r="AX195" s="471"/>
      <c r="AY195" s="471"/>
      <c r="AZ195" s="471"/>
      <c r="BA195" s="473"/>
      <c r="BB195" s="471"/>
      <c r="BC195" s="471"/>
      <c r="BD195" s="471"/>
      <c r="BE195" s="471"/>
      <c r="BF195" s="473"/>
      <c r="BG195" s="471"/>
      <c r="BH195" s="471"/>
      <c r="BI195" s="471"/>
      <c r="BJ195" s="471"/>
      <c r="BK195" s="473"/>
      <c r="BL195" s="471"/>
      <c r="BM195" s="471"/>
      <c r="BN195" s="471"/>
      <c r="BO195" s="471"/>
    </row>
    <row r="196" spans="3:67">
      <c r="C196" s="429"/>
      <c r="D196" s="474"/>
      <c r="E196" s="474"/>
      <c r="F196" s="474"/>
      <c r="G196" s="474"/>
      <c r="H196" s="429"/>
      <c r="I196" s="474"/>
      <c r="J196" s="474"/>
      <c r="K196" s="474"/>
      <c r="L196" s="474"/>
      <c r="M196" s="429"/>
      <c r="N196" s="474"/>
      <c r="O196" s="474"/>
      <c r="P196" s="474"/>
      <c r="Q196" s="474"/>
      <c r="R196" s="429"/>
      <c r="S196" s="474"/>
      <c r="T196" s="474"/>
      <c r="U196" s="474"/>
      <c r="V196" s="474"/>
      <c r="W196" s="429"/>
      <c r="X196" s="474"/>
      <c r="Y196" s="474"/>
      <c r="Z196" s="474"/>
      <c r="AA196" s="474"/>
      <c r="AB196" s="429"/>
      <c r="AC196" s="474"/>
      <c r="AD196" s="474"/>
      <c r="AE196" s="474"/>
      <c r="AF196" s="474"/>
      <c r="AG196" s="429"/>
      <c r="AH196" s="474"/>
      <c r="AI196" s="474"/>
      <c r="AJ196" s="474"/>
      <c r="AK196" s="474"/>
      <c r="AL196" s="429"/>
      <c r="AM196" s="474"/>
      <c r="AN196" s="474"/>
      <c r="AO196" s="474"/>
      <c r="AP196" s="474"/>
      <c r="AQ196" s="429"/>
      <c r="AR196" s="474"/>
      <c r="AS196" s="474"/>
      <c r="AT196" s="474"/>
      <c r="AU196" s="474"/>
      <c r="AV196" s="429"/>
      <c r="AW196" s="474"/>
      <c r="AX196" s="474"/>
      <c r="AY196" s="474"/>
      <c r="AZ196" s="474"/>
      <c r="BA196" s="429"/>
      <c r="BB196" s="474"/>
      <c r="BC196" s="474"/>
      <c r="BD196" s="474"/>
      <c r="BE196" s="474"/>
      <c r="BF196" s="429"/>
      <c r="BG196" s="474"/>
      <c r="BH196" s="474"/>
      <c r="BI196" s="474"/>
      <c r="BJ196" s="474"/>
      <c r="BK196" s="429"/>
      <c r="BL196" s="474"/>
      <c r="BM196" s="474"/>
      <c r="BN196" s="474"/>
      <c r="BO196" s="474"/>
    </row>
    <row r="197" spans="3:67">
      <c r="C197" s="475"/>
      <c r="D197" s="476"/>
      <c r="E197" s="476"/>
      <c r="F197" s="476"/>
      <c r="G197" s="476"/>
      <c r="H197" s="475"/>
      <c r="I197" s="476"/>
      <c r="J197" s="476"/>
      <c r="K197" s="476"/>
      <c r="L197" s="476"/>
      <c r="M197" s="475"/>
      <c r="N197" s="476"/>
      <c r="O197" s="476"/>
      <c r="P197" s="476"/>
      <c r="Q197" s="476"/>
      <c r="R197" s="475"/>
      <c r="S197" s="476"/>
      <c r="T197" s="476"/>
      <c r="U197" s="476"/>
      <c r="V197" s="476"/>
      <c r="W197" s="475"/>
      <c r="X197" s="476"/>
      <c r="Y197" s="476"/>
      <c r="Z197" s="476"/>
      <c r="AA197" s="476"/>
      <c r="AB197" s="475"/>
      <c r="AC197" s="476"/>
      <c r="AD197" s="476"/>
      <c r="AE197" s="476"/>
      <c r="AF197" s="476"/>
      <c r="AG197" s="475"/>
      <c r="AH197" s="476"/>
      <c r="AI197" s="476"/>
      <c r="AJ197" s="476"/>
      <c r="AK197" s="476"/>
      <c r="AL197" s="475"/>
      <c r="AM197" s="476"/>
      <c r="AN197" s="476"/>
      <c r="AO197" s="476"/>
      <c r="AP197" s="476"/>
      <c r="AQ197" s="475"/>
      <c r="AR197" s="476"/>
      <c r="AS197" s="476"/>
      <c r="AT197" s="476"/>
      <c r="AU197" s="476"/>
      <c r="AV197" s="475"/>
      <c r="AW197" s="476"/>
      <c r="AX197" s="476"/>
      <c r="AY197" s="476"/>
      <c r="AZ197" s="476"/>
      <c r="BA197" s="475"/>
      <c r="BB197" s="476"/>
      <c r="BC197" s="476"/>
      <c r="BD197" s="476"/>
      <c r="BE197" s="476"/>
      <c r="BF197" s="475"/>
      <c r="BG197" s="476"/>
      <c r="BH197" s="476"/>
      <c r="BI197" s="476"/>
      <c r="BJ197" s="476"/>
      <c r="BK197" s="475"/>
      <c r="BL197" s="476"/>
      <c r="BM197" s="476"/>
      <c r="BN197" s="476"/>
      <c r="BO197" s="476"/>
    </row>
    <row r="198" spans="3:67">
      <c r="C198" s="475"/>
      <c r="D198" s="476"/>
      <c r="E198" s="476"/>
      <c r="F198" s="476"/>
      <c r="G198" s="476"/>
      <c r="H198" s="475"/>
      <c r="I198" s="476"/>
      <c r="J198" s="476"/>
      <c r="K198" s="476"/>
      <c r="L198" s="476"/>
      <c r="M198" s="475"/>
      <c r="N198" s="476"/>
      <c r="O198" s="476"/>
      <c r="P198" s="476"/>
      <c r="Q198" s="476"/>
      <c r="R198" s="475"/>
      <c r="S198" s="476"/>
      <c r="T198" s="476"/>
      <c r="U198" s="476"/>
      <c r="V198" s="476"/>
      <c r="W198" s="475"/>
      <c r="X198" s="476"/>
      <c r="Y198" s="476"/>
      <c r="Z198" s="476"/>
      <c r="AA198" s="476"/>
      <c r="AB198" s="475"/>
      <c r="AC198" s="476"/>
      <c r="AD198" s="476"/>
      <c r="AE198" s="476"/>
      <c r="AF198" s="476"/>
      <c r="AG198" s="475"/>
      <c r="AH198" s="476"/>
      <c r="AI198" s="476"/>
      <c r="AJ198" s="476"/>
      <c r="AK198" s="476"/>
      <c r="AL198" s="475"/>
      <c r="AM198" s="476"/>
      <c r="AN198" s="476"/>
      <c r="AO198" s="476"/>
      <c r="AP198" s="476"/>
      <c r="AQ198" s="475"/>
      <c r="AR198" s="476"/>
      <c r="AS198" s="476"/>
      <c r="AT198" s="476"/>
      <c r="AU198" s="476"/>
      <c r="AV198" s="475"/>
      <c r="AW198" s="476"/>
      <c r="AX198" s="476"/>
      <c r="AY198" s="476"/>
      <c r="AZ198" s="476"/>
      <c r="BA198" s="475"/>
      <c r="BB198" s="476"/>
      <c r="BC198" s="476"/>
      <c r="BD198" s="476"/>
      <c r="BE198" s="476"/>
      <c r="BF198" s="475"/>
      <c r="BG198" s="476"/>
      <c r="BH198" s="476"/>
      <c r="BI198" s="476"/>
      <c r="BJ198" s="476"/>
      <c r="BK198" s="475"/>
      <c r="BL198" s="476"/>
      <c r="BM198" s="476"/>
      <c r="BN198" s="476"/>
      <c r="BO198" s="476"/>
    </row>
    <row r="199" spans="3:67">
      <c r="C199" s="475"/>
      <c r="D199" s="476"/>
      <c r="E199" s="476"/>
      <c r="F199" s="476"/>
      <c r="G199" s="476"/>
      <c r="H199" s="475"/>
      <c r="I199" s="476"/>
      <c r="J199" s="476"/>
      <c r="K199" s="476"/>
      <c r="L199" s="476"/>
      <c r="M199" s="475"/>
      <c r="N199" s="476"/>
      <c r="O199" s="476"/>
      <c r="P199" s="476"/>
      <c r="Q199" s="476"/>
      <c r="R199" s="475"/>
      <c r="S199" s="476"/>
      <c r="T199" s="476"/>
      <c r="U199" s="476"/>
      <c r="V199" s="476"/>
      <c r="W199" s="475"/>
      <c r="X199" s="476"/>
      <c r="Y199" s="476"/>
      <c r="Z199" s="476"/>
      <c r="AA199" s="476"/>
      <c r="AB199" s="475"/>
      <c r="AC199" s="476"/>
      <c r="AD199" s="476"/>
      <c r="AE199" s="476"/>
      <c r="AF199" s="476"/>
      <c r="AG199" s="475"/>
      <c r="AH199" s="476"/>
      <c r="AI199" s="476"/>
      <c r="AJ199" s="476"/>
      <c r="AK199" s="476"/>
      <c r="AL199" s="475"/>
      <c r="AM199" s="476"/>
      <c r="AN199" s="476"/>
      <c r="AO199" s="476"/>
      <c r="AP199" s="476"/>
      <c r="AQ199" s="475"/>
      <c r="AR199" s="476"/>
      <c r="AS199" s="476"/>
      <c r="AT199" s="476"/>
      <c r="AU199" s="476"/>
      <c r="AV199" s="475"/>
      <c r="AW199" s="476"/>
      <c r="AX199" s="476"/>
      <c r="AY199" s="476"/>
      <c r="AZ199" s="476"/>
      <c r="BA199" s="475"/>
      <c r="BB199" s="476"/>
      <c r="BC199" s="476"/>
      <c r="BD199" s="476"/>
      <c r="BE199" s="476"/>
      <c r="BF199" s="475"/>
      <c r="BG199" s="476"/>
      <c r="BH199" s="476"/>
      <c r="BI199" s="476"/>
      <c r="BJ199" s="476"/>
      <c r="BK199" s="475"/>
      <c r="BL199" s="476"/>
      <c r="BM199" s="476"/>
      <c r="BN199" s="476"/>
      <c r="BO199" s="476"/>
    </row>
    <row r="200" spans="3:67">
      <c r="C200" s="430"/>
      <c r="D200" s="477"/>
      <c r="E200" s="477"/>
      <c r="F200" s="477"/>
      <c r="G200" s="477"/>
      <c r="H200" s="430"/>
      <c r="I200" s="477"/>
      <c r="J200" s="477"/>
      <c r="K200" s="477"/>
      <c r="L200" s="477"/>
      <c r="M200" s="430"/>
      <c r="N200" s="477"/>
      <c r="O200" s="477"/>
      <c r="P200" s="477"/>
      <c r="Q200" s="477"/>
      <c r="R200" s="430"/>
      <c r="S200" s="477"/>
      <c r="T200" s="477"/>
      <c r="U200" s="477"/>
      <c r="V200" s="477"/>
      <c r="W200" s="430"/>
      <c r="X200" s="477"/>
      <c r="Y200" s="477"/>
      <c r="Z200" s="477"/>
      <c r="AA200" s="477"/>
      <c r="AB200" s="430"/>
      <c r="AC200" s="477"/>
      <c r="AD200" s="477"/>
      <c r="AE200" s="477"/>
      <c r="AF200" s="477"/>
      <c r="AG200" s="430"/>
      <c r="AH200" s="477"/>
      <c r="AI200" s="477"/>
      <c r="AJ200" s="477"/>
      <c r="AK200" s="477"/>
      <c r="AL200" s="430"/>
      <c r="AM200" s="477"/>
      <c r="AN200" s="477"/>
      <c r="AO200" s="477"/>
      <c r="AP200" s="477"/>
      <c r="AQ200" s="430"/>
      <c r="AR200" s="477"/>
      <c r="AS200" s="477"/>
      <c r="AT200" s="477"/>
      <c r="AU200" s="477"/>
      <c r="AV200" s="430"/>
      <c r="AW200" s="477"/>
      <c r="AX200" s="477"/>
      <c r="AY200" s="477"/>
      <c r="AZ200" s="477"/>
      <c r="BA200" s="430"/>
      <c r="BB200" s="477"/>
      <c r="BC200" s="477"/>
      <c r="BD200" s="477"/>
      <c r="BE200" s="477"/>
      <c r="BF200" s="430"/>
      <c r="BG200" s="477"/>
      <c r="BH200" s="477"/>
      <c r="BI200" s="477"/>
      <c r="BJ200" s="477"/>
      <c r="BK200" s="430"/>
      <c r="BL200" s="477"/>
      <c r="BM200" s="477"/>
      <c r="BN200" s="477"/>
      <c r="BO200" s="477"/>
    </row>
    <row r="201" spans="3:67">
      <c r="C201" s="478"/>
      <c r="D201" s="476"/>
      <c r="E201" s="476"/>
      <c r="F201" s="476"/>
      <c r="G201" s="476"/>
      <c r="H201" s="478"/>
      <c r="I201" s="476"/>
      <c r="J201" s="476"/>
      <c r="K201" s="476"/>
      <c r="L201" s="476"/>
      <c r="M201" s="478"/>
      <c r="N201" s="476"/>
      <c r="O201" s="476"/>
      <c r="P201" s="476"/>
      <c r="Q201" s="476"/>
      <c r="R201" s="478"/>
      <c r="S201" s="476"/>
      <c r="T201" s="476"/>
      <c r="U201" s="476"/>
      <c r="V201" s="476"/>
      <c r="W201" s="478"/>
      <c r="X201" s="476"/>
      <c r="Y201" s="476"/>
      <c r="Z201" s="476"/>
      <c r="AA201" s="476"/>
      <c r="AB201" s="478"/>
      <c r="AC201" s="476"/>
      <c r="AD201" s="476"/>
      <c r="AE201" s="476"/>
      <c r="AF201" s="476"/>
      <c r="AG201" s="478"/>
      <c r="AH201" s="476"/>
      <c r="AI201" s="476"/>
      <c r="AJ201" s="476"/>
      <c r="AK201" s="476"/>
      <c r="AL201" s="478"/>
      <c r="AM201" s="476"/>
      <c r="AN201" s="476"/>
      <c r="AO201" s="476"/>
      <c r="AP201" s="476"/>
      <c r="AQ201" s="478"/>
      <c r="AR201" s="476"/>
      <c r="AS201" s="476"/>
      <c r="AT201" s="476"/>
      <c r="AU201" s="476"/>
      <c r="AV201" s="478"/>
      <c r="AW201" s="476"/>
      <c r="AX201" s="476"/>
      <c r="AY201" s="476"/>
      <c r="AZ201" s="476"/>
      <c r="BA201" s="478"/>
      <c r="BB201" s="476"/>
      <c r="BC201" s="476"/>
      <c r="BD201" s="476"/>
      <c r="BE201" s="476"/>
      <c r="BF201" s="478"/>
      <c r="BG201" s="476"/>
      <c r="BH201" s="476"/>
      <c r="BI201" s="476"/>
      <c r="BJ201" s="476"/>
      <c r="BK201" s="478"/>
      <c r="BL201" s="476"/>
      <c r="BM201" s="476"/>
      <c r="BN201" s="476"/>
      <c r="BO201" s="476"/>
    </row>
    <row r="202" spans="3:67">
      <c r="C202" s="478"/>
      <c r="D202" s="476"/>
      <c r="E202" s="476"/>
      <c r="F202" s="476"/>
      <c r="G202" s="476"/>
      <c r="H202" s="478"/>
      <c r="I202" s="476"/>
      <c r="J202" s="476"/>
      <c r="K202" s="476"/>
      <c r="L202" s="476"/>
      <c r="M202" s="478"/>
      <c r="N202" s="476"/>
      <c r="O202" s="476"/>
      <c r="P202" s="476"/>
      <c r="Q202" s="476"/>
      <c r="R202" s="478"/>
      <c r="S202" s="476"/>
      <c r="T202" s="476"/>
      <c r="U202" s="476"/>
      <c r="V202" s="476"/>
      <c r="W202" s="478"/>
      <c r="X202" s="476"/>
      <c r="Y202" s="476"/>
      <c r="Z202" s="476"/>
      <c r="AA202" s="476"/>
      <c r="AB202" s="478"/>
      <c r="AC202" s="476"/>
      <c r="AD202" s="476"/>
      <c r="AE202" s="476"/>
      <c r="AF202" s="476"/>
      <c r="AG202" s="478"/>
      <c r="AH202" s="476"/>
      <c r="AI202" s="476"/>
      <c r="AJ202" s="476"/>
      <c r="AK202" s="476"/>
      <c r="AL202" s="478"/>
      <c r="AM202" s="476"/>
      <c r="AN202" s="476"/>
      <c r="AO202" s="476"/>
      <c r="AP202" s="476"/>
      <c r="AQ202" s="478"/>
      <c r="AR202" s="476"/>
      <c r="AS202" s="476"/>
      <c r="AT202" s="476"/>
      <c r="AU202" s="476"/>
      <c r="AV202" s="478"/>
      <c r="AW202" s="476"/>
      <c r="AX202" s="476"/>
      <c r="AY202" s="476"/>
      <c r="AZ202" s="476"/>
      <c r="BA202" s="478"/>
      <c r="BB202" s="476"/>
      <c r="BC202" s="476"/>
      <c r="BD202" s="476"/>
      <c r="BE202" s="476"/>
      <c r="BF202" s="478"/>
      <c r="BG202" s="476"/>
      <c r="BH202" s="476"/>
      <c r="BI202" s="476"/>
      <c r="BJ202" s="476"/>
      <c r="BK202" s="478"/>
      <c r="BL202" s="476"/>
      <c r="BM202" s="476"/>
      <c r="BN202" s="476"/>
      <c r="BO202" s="476"/>
    </row>
    <row r="203" spans="3:67">
      <c r="C203" s="478"/>
      <c r="D203" s="476"/>
      <c r="E203" s="476"/>
      <c r="F203" s="476"/>
      <c r="G203" s="476"/>
      <c r="H203" s="478"/>
      <c r="I203" s="476"/>
      <c r="J203" s="476"/>
      <c r="K203" s="476"/>
      <c r="L203" s="476"/>
      <c r="M203" s="478"/>
      <c r="N203" s="476"/>
      <c r="O203" s="476"/>
      <c r="P203" s="476"/>
      <c r="Q203" s="476"/>
      <c r="R203" s="478"/>
      <c r="S203" s="476"/>
      <c r="T203" s="476"/>
      <c r="U203" s="476"/>
      <c r="V203" s="476"/>
      <c r="W203" s="478"/>
      <c r="X203" s="476"/>
      <c r="Y203" s="476"/>
      <c r="Z203" s="476"/>
      <c r="AA203" s="476"/>
      <c r="AB203" s="478"/>
      <c r="AC203" s="476"/>
      <c r="AD203" s="476"/>
      <c r="AE203" s="476"/>
      <c r="AF203" s="476"/>
      <c r="AG203" s="478"/>
      <c r="AH203" s="476"/>
      <c r="AI203" s="476"/>
      <c r="AJ203" s="476"/>
      <c r="AK203" s="476"/>
      <c r="AL203" s="478"/>
      <c r="AM203" s="476"/>
      <c r="AN203" s="476"/>
      <c r="AO203" s="476"/>
      <c r="AP203" s="476"/>
      <c r="AQ203" s="478"/>
      <c r="AR203" s="476"/>
      <c r="AS203" s="476"/>
      <c r="AT203" s="476"/>
      <c r="AU203" s="476"/>
      <c r="AV203" s="478"/>
      <c r="AW203" s="476"/>
      <c r="AX203" s="476"/>
      <c r="AY203" s="476"/>
      <c r="AZ203" s="476"/>
      <c r="BA203" s="478"/>
      <c r="BB203" s="476"/>
      <c r="BC203" s="476"/>
      <c r="BD203" s="476"/>
      <c r="BE203" s="476"/>
      <c r="BF203" s="478"/>
      <c r="BG203" s="476"/>
      <c r="BH203" s="476"/>
      <c r="BI203" s="476"/>
      <c r="BJ203" s="476"/>
      <c r="BK203" s="478"/>
      <c r="BL203" s="476"/>
      <c r="BM203" s="476"/>
      <c r="BN203" s="476"/>
      <c r="BO203" s="476"/>
    </row>
    <row r="204" spans="3:67">
      <c r="C204" s="430"/>
      <c r="D204" s="477"/>
      <c r="E204" s="477"/>
      <c r="F204" s="477"/>
      <c r="G204" s="477"/>
      <c r="H204" s="430"/>
      <c r="I204" s="477"/>
      <c r="J204" s="477"/>
      <c r="K204" s="477"/>
      <c r="L204" s="477"/>
      <c r="M204" s="430"/>
      <c r="N204" s="477"/>
      <c r="O204" s="477"/>
      <c r="P204" s="477"/>
      <c r="Q204" s="477"/>
      <c r="R204" s="430"/>
      <c r="S204" s="477"/>
      <c r="T204" s="477"/>
      <c r="U204" s="477"/>
      <c r="V204" s="477"/>
      <c r="W204" s="430"/>
      <c r="X204" s="477"/>
      <c r="Y204" s="477"/>
      <c r="Z204" s="477"/>
      <c r="AA204" s="477"/>
      <c r="AB204" s="430"/>
      <c r="AC204" s="477"/>
      <c r="AD204" s="477"/>
      <c r="AE204" s="477"/>
      <c r="AF204" s="477"/>
      <c r="AG204" s="430"/>
      <c r="AH204" s="477"/>
      <c r="AI204" s="477"/>
      <c r="AJ204" s="477"/>
      <c r="AK204" s="477"/>
      <c r="AL204" s="430"/>
      <c r="AM204" s="477"/>
      <c r="AN204" s="477"/>
      <c r="AO204" s="477"/>
      <c r="AP204" s="477"/>
      <c r="AQ204" s="430"/>
      <c r="AR204" s="477"/>
      <c r="AS204" s="477"/>
      <c r="AT204" s="477"/>
      <c r="AU204" s="477"/>
      <c r="AV204" s="430"/>
      <c r="AW204" s="477"/>
      <c r="AX204" s="477"/>
      <c r="AY204" s="477"/>
      <c r="AZ204" s="477"/>
      <c r="BA204" s="430"/>
      <c r="BB204" s="477"/>
      <c r="BC204" s="477"/>
      <c r="BD204" s="477"/>
      <c r="BE204" s="477"/>
      <c r="BF204" s="430"/>
      <c r="BG204" s="477"/>
      <c r="BH204" s="477"/>
      <c r="BI204" s="477"/>
      <c r="BJ204" s="477"/>
      <c r="BK204" s="430"/>
      <c r="BL204" s="477"/>
      <c r="BM204" s="477"/>
      <c r="BN204" s="477"/>
      <c r="BO204" s="477"/>
    </row>
    <row r="205" spans="3:67">
      <c r="C205" s="479"/>
      <c r="D205" s="476"/>
      <c r="E205" s="476"/>
      <c r="F205" s="476"/>
      <c r="G205" s="476"/>
      <c r="H205" s="479"/>
      <c r="I205" s="476"/>
      <c r="J205" s="476"/>
      <c r="K205" s="476"/>
      <c r="L205" s="476"/>
      <c r="M205" s="479"/>
      <c r="N205" s="476"/>
      <c r="O205" s="476"/>
      <c r="P205" s="476"/>
      <c r="Q205" s="476"/>
      <c r="R205" s="479"/>
      <c r="S205" s="476"/>
      <c r="T205" s="476"/>
      <c r="U205" s="476"/>
      <c r="V205" s="476"/>
      <c r="W205" s="479"/>
      <c r="X205" s="476"/>
      <c r="Y205" s="476"/>
      <c r="Z205" s="476"/>
      <c r="AA205" s="476"/>
      <c r="AB205" s="479"/>
      <c r="AC205" s="476"/>
      <c r="AD205" s="476"/>
      <c r="AE205" s="476"/>
      <c r="AF205" s="476"/>
      <c r="AG205" s="479"/>
      <c r="AH205" s="476"/>
      <c r="AI205" s="476"/>
      <c r="AJ205" s="476"/>
      <c r="AK205" s="476"/>
      <c r="AL205" s="479"/>
      <c r="AM205" s="476"/>
      <c r="AN205" s="476"/>
      <c r="AO205" s="476"/>
      <c r="AP205" s="476"/>
      <c r="AQ205" s="479"/>
      <c r="AR205" s="476"/>
      <c r="AS205" s="476"/>
      <c r="AT205" s="476"/>
      <c r="AU205" s="476"/>
      <c r="AV205" s="479"/>
      <c r="AW205" s="476"/>
      <c r="AX205" s="476"/>
      <c r="AY205" s="476"/>
      <c r="AZ205" s="476"/>
      <c r="BA205" s="479"/>
      <c r="BB205" s="476"/>
      <c r="BC205" s="476"/>
      <c r="BD205" s="476"/>
      <c r="BE205" s="476"/>
      <c r="BF205" s="479"/>
      <c r="BG205" s="476"/>
      <c r="BH205" s="476"/>
      <c r="BI205" s="476"/>
      <c r="BJ205" s="476"/>
      <c r="BK205" s="479"/>
      <c r="BL205" s="476"/>
      <c r="BM205" s="476"/>
      <c r="BN205" s="476"/>
      <c r="BO205" s="476"/>
    </row>
    <row r="206" spans="3:67">
      <c r="C206" s="479"/>
      <c r="D206" s="476"/>
      <c r="E206" s="476"/>
      <c r="F206" s="476"/>
      <c r="G206" s="476"/>
      <c r="H206" s="479"/>
      <c r="I206" s="476"/>
      <c r="J206" s="476"/>
      <c r="K206" s="476"/>
      <c r="L206" s="476"/>
      <c r="M206" s="479"/>
      <c r="N206" s="476"/>
      <c r="O206" s="476"/>
      <c r="P206" s="476"/>
      <c r="Q206" s="476"/>
      <c r="R206" s="479"/>
      <c r="S206" s="476"/>
      <c r="T206" s="476"/>
      <c r="U206" s="476"/>
      <c r="V206" s="476"/>
      <c r="W206" s="479"/>
      <c r="X206" s="476"/>
      <c r="Y206" s="476"/>
      <c r="Z206" s="476"/>
      <c r="AA206" s="476"/>
      <c r="AB206" s="479"/>
      <c r="AC206" s="476"/>
      <c r="AD206" s="476"/>
      <c r="AE206" s="476"/>
      <c r="AF206" s="476"/>
      <c r="AG206" s="479"/>
      <c r="AH206" s="476"/>
      <c r="AI206" s="476"/>
      <c r="AJ206" s="476"/>
      <c r="AK206" s="476"/>
      <c r="AL206" s="479"/>
      <c r="AM206" s="476"/>
      <c r="AN206" s="476"/>
      <c r="AO206" s="476"/>
      <c r="AP206" s="476"/>
      <c r="AQ206" s="479"/>
      <c r="AR206" s="476"/>
      <c r="AS206" s="476"/>
      <c r="AT206" s="476"/>
      <c r="AU206" s="476"/>
      <c r="AV206" s="479"/>
      <c r="AW206" s="476"/>
      <c r="AX206" s="476"/>
      <c r="AY206" s="476"/>
      <c r="AZ206" s="476"/>
      <c r="BA206" s="479"/>
      <c r="BB206" s="476"/>
      <c r="BC206" s="476"/>
      <c r="BD206" s="476"/>
      <c r="BE206" s="476"/>
      <c r="BF206" s="479"/>
      <c r="BG206" s="476"/>
      <c r="BH206" s="476"/>
      <c r="BI206" s="476"/>
      <c r="BJ206" s="476"/>
      <c r="BK206" s="479"/>
      <c r="BL206" s="476"/>
      <c r="BM206" s="476"/>
      <c r="BN206" s="476"/>
      <c r="BO206" s="476"/>
    </row>
    <row r="207" spans="3:67">
      <c r="C207" s="479"/>
      <c r="D207" s="476"/>
      <c r="E207" s="476"/>
      <c r="F207" s="476"/>
      <c r="G207" s="476"/>
      <c r="H207" s="479"/>
      <c r="I207" s="476"/>
      <c r="J207" s="476"/>
      <c r="K207" s="476"/>
      <c r="L207" s="476"/>
      <c r="M207" s="479"/>
      <c r="N207" s="476"/>
      <c r="O207" s="476"/>
      <c r="P207" s="476"/>
      <c r="Q207" s="476"/>
      <c r="R207" s="479"/>
      <c r="S207" s="476"/>
      <c r="T207" s="476"/>
      <c r="U207" s="476"/>
      <c r="V207" s="476"/>
      <c r="W207" s="479"/>
      <c r="X207" s="476"/>
      <c r="Y207" s="476"/>
      <c r="Z207" s="476"/>
      <c r="AA207" s="476"/>
      <c r="AB207" s="479"/>
      <c r="AC207" s="476"/>
      <c r="AD207" s="476"/>
      <c r="AE207" s="476"/>
      <c r="AF207" s="476"/>
      <c r="AG207" s="479"/>
      <c r="AH207" s="476"/>
      <c r="AI207" s="476"/>
      <c r="AJ207" s="476"/>
      <c r="AK207" s="476"/>
      <c r="AL207" s="479"/>
      <c r="AM207" s="476"/>
      <c r="AN207" s="476"/>
      <c r="AO207" s="476"/>
      <c r="AP207" s="476"/>
      <c r="AQ207" s="479"/>
      <c r="AR207" s="476"/>
      <c r="AS207" s="476"/>
      <c r="AT207" s="476"/>
      <c r="AU207" s="476"/>
      <c r="AV207" s="479"/>
      <c r="AW207" s="476"/>
      <c r="AX207" s="476"/>
      <c r="AY207" s="476"/>
      <c r="AZ207" s="476"/>
      <c r="BA207" s="479"/>
      <c r="BB207" s="476"/>
      <c r="BC207" s="476"/>
      <c r="BD207" s="476"/>
      <c r="BE207" s="476"/>
      <c r="BF207" s="479"/>
      <c r="BG207" s="476"/>
      <c r="BH207" s="476"/>
      <c r="BI207" s="476"/>
      <c r="BJ207" s="476"/>
      <c r="BK207" s="479"/>
      <c r="BL207" s="476"/>
      <c r="BM207" s="476"/>
      <c r="BN207" s="476"/>
      <c r="BO207" s="476"/>
    </row>
    <row r="208" spans="3:67">
      <c r="C208" s="430"/>
      <c r="D208" s="477"/>
      <c r="E208" s="477"/>
      <c r="F208" s="477"/>
      <c r="G208" s="477"/>
      <c r="H208" s="430"/>
      <c r="I208" s="477"/>
      <c r="J208" s="477"/>
      <c r="K208" s="477"/>
      <c r="L208" s="477"/>
      <c r="M208" s="430"/>
      <c r="N208" s="477"/>
      <c r="O208" s="477"/>
      <c r="P208" s="477"/>
      <c r="Q208" s="477"/>
      <c r="R208" s="430"/>
      <c r="S208" s="477"/>
      <c r="T208" s="477"/>
      <c r="U208" s="477"/>
      <c r="V208" s="477"/>
      <c r="W208" s="430"/>
      <c r="X208" s="477"/>
      <c r="Y208" s="477"/>
      <c r="Z208" s="477"/>
      <c r="AA208" s="477"/>
      <c r="AB208" s="430"/>
      <c r="AC208" s="477"/>
      <c r="AD208" s="477"/>
      <c r="AE208" s="477"/>
      <c r="AF208" s="477"/>
      <c r="AG208" s="430"/>
      <c r="AH208" s="477"/>
      <c r="AI208" s="477"/>
      <c r="AJ208" s="477"/>
      <c r="AK208" s="477"/>
      <c r="AL208" s="430"/>
      <c r="AM208" s="477"/>
      <c r="AN208" s="477"/>
      <c r="AO208" s="477"/>
      <c r="AP208" s="477"/>
      <c r="AQ208" s="430"/>
      <c r="AR208" s="477"/>
      <c r="AS208" s="477"/>
      <c r="AT208" s="477"/>
      <c r="AU208" s="477"/>
      <c r="AV208" s="430"/>
      <c r="AW208" s="477"/>
      <c r="AX208" s="477"/>
      <c r="AY208" s="477"/>
      <c r="AZ208" s="477"/>
      <c r="BA208" s="430"/>
      <c r="BB208" s="477"/>
      <c r="BC208" s="477"/>
      <c r="BD208" s="477"/>
      <c r="BE208" s="477"/>
      <c r="BF208" s="430"/>
      <c r="BG208" s="477"/>
      <c r="BH208" s="477"/>
      <c r="BI208" s="477"/>
      <c r="BJ208" s="477"/>
      <c r="BK208" s="430"/>
      <c r="BL208" s="477"/>
      <c r="BM208" s="477"/>
      <c r="BN208" s="477"/>
      <c r="BO208" s="477"/>
    </row>
    <row r="209" spans="3:67">
      <c r="C209" s="479"/>
      <c r="D209" s="476"/>
      <c r="E209" s="476"/>
      <c r="F209" s="476"/>
      <c r="G209" s="476"/>
      <c r="H209" s="479"/>
      <c r="I209" s="476"/>
      <c r="J209" s="476"/>
      <c r="K209" s="476"/>
      <c r="L209" s="476"/>
      <c r="M209" s="479"/>
      <c r="N209" s="476"/>
      <c r="O209" s="476"/>
      <c r="P209" s="476"/>
      <c r="Q209" s="476"/>
      <c r="R209" s="479"/>
      <c r="S209" s="476"/>
      <c r="T209" s="476"/>
      <c r="U209" s="476"/>
      <c r="V209" s="476"/>
      <c r="W209" s="479"/>
      <c r="X209" s="476"/>
      <c r="Y209" s="476"/>
      <c r="Z209" s="476"/>
      <c r="AA209" s="476"/>
      <c r="AB209" s="479"/>
      <c r="AC209" s="476"/>
      <c r="AD209" s="476"/>
      <c r="AE209" s="476"/>
      <c r="AF209" s="476"/>
      <c r="AG209" s="479"/>
      <c r="AH209" s="476"/>
      <c r="AI209" s="476"/>
      <c r="AJ209" s="476"/>
      <c r="AK209" s="476"/>
      <c r="AL209" s="479"/>
      <c r="AM209" s="476"/>
      <c r="AN209" s="476"/>
      <c r="AO209" s="476"/>
      <c r="AP209" s="476"/>
      <c r="AQ209" s="479"/>
      <c r="AR209" s="476"/>
      <c r="AS209" s="476"/>
      <c r="AT209" s="476"/>
      <c r="AU209" s="476"/>
      <c r="AV209" s="479"/>
      <c r="AW209" s="476"/>
      <c r="AX209" s="476"/>
      <c r="AY209" s="476"/>
      <c r="AZ209" s="476"/>
      <c r="BA209" s="479"/>
      <c r="BB209" s="476"/>
      <c r="BC209" s="476"/>
      <c r="BD209" s="476"/>
      <c r="BE209" s="476"/>
      <c r="BF209" s="479"/>
      <c r="BG209" s="476"/>
      <c r="BH209" s="476"/>
      <c r="BI209" s="476"/>
      <c r="BJ209" s="476"/>
      <c r="BK209" s="479"/>
      <c r="BL209" s="476"/>
      <c r="BM209" s="476"/>
      <c r="BN209" s="476"/>
      <c r="BO209" s="476"/>
    </row>
    <row r="210" spans="3:67">
      <c r="C210" s="479"/>
      <c r="D210" s="476"/>
      <c r="E210" s="476"/>
      <c r="F210" s="476"/>
      <c r="G210" s="476"/>
      <c r="H210" s="479"/>
      <c r="I210" s="476"/>
      <c r="J210" s="476"/>
      <c r="K210" s="476"/>
      <c r="L210" s="476"/>
      <c r="M210" s="479"/>
      <c r="N210" s="476"/>
      <c r="O210" s="476"/>
      <c r="P210" s="476"/>
      <c r="Q210" s="476"/>
      <c r="R210" s="479"/>
      <c r="S210" s="476"/>
      <c r="T210" s="476"/>
      <c r="U210" s="476"/>
      <c r="V210" s="476"/>
      <c r="W210" s="479"/>
      <c r="X210" s="476"/>
      <c r="Y210" s="476"/>
      <c r="Z210" s="476"/>
      <c r="AA210" s="476"/>
      <c r="AB210" s="479"/>
      <c r="AC210" s="476"/>
      <c r="AD210" s="476"/>
      <c r="AE210" s="476"/>
      <c r="AF210" s="476"/>
      <c r="AG210" s="479"/>
      <c r="AH210" s="476"/>
      <c r="AI210" s="476"/>
      <c r="AJ210" s="476"/>
      <c r="AK210" s="476"/>
      <c r="AL210" s="479"/>
      <c r="AM210" s="476"/>
      <c r="AN210" s="476"/>
      <c r="AO210" s="476"/>
      <c r="AP210" s="476"/>
      <c r="AQ210" s="479"/>
      <c r="AR210" s="476"/>
      <c r="AS210" s="476"/>
      <c r="AT210" s="476"/>
      <c r="AU210" s="476"/>
      <c r="AV210" s="479"/>
      <c r="AW210" s="476"/>
      <c r="AX210" s="476"/>
      <c r="AY210" s="476"/>
      <c r="AZ210" s="476"/>
      <c r="BA210" s="479"/>
      <c r="BB210" s="476"/>
      <c r="BC210" s="476"/>
      <c r="BD210" s="476"/>
      <c r="BE210" s="476"/>
      <c r="BF210" s="479"/>
      <c r="BG210" s="476"/>
      <c r="BH210" s="476"/>
      <c r="BI210" s="476"/>
      <c r="BJ210" s="476"/>
      <c r="BK210" s="479"/>
      <c r="BL210" s="476"/>
      <c r="BM210" s="476"/>
      <c r="BN210" s="476"/>
      <c r="BO210" s="476"/>
    </row>
    <row r="211" spans="3:67">
      <c r="C211" s="479"/>
      <c r="D211" s="476"/>
      <c r="E211" s="476"/>
      <c r="F211" s="476"/>
      <c r="G211" s="476"/>
      <c r="H211" s="479"/>
      <c r="I211" s="476"/>
      <c r="J211" s="476"/>
      <c r="K211" s="476"/>
      <c r="L211" s="476"/>
      <c r="M211" s="479"/>
      <c r="N211" s="476"/>
      <c r="O211" s="476"/>
      <c r="P211" s="476"/>
      <c r="Q211" s="476"/>
      <c r="R211" s="479"/>
      <c r="S211" s="476"/>
      <c r="T211" s="476"/>
      <c r="U211" s="476"/>
      <c r="V211" s="476"/>
      <c r="W211" s="479"/>
      <c r="X211" s="476"/>
      <c r="Y211" s="476"/>
      <c r="Z211" s="476"/>
      <c r="AA211" s="476"/>
      <c r="AB211" s="479"/>
      <c r="AC211" s="476"/>
      <c r="AD211" s="476"/>
      <c r="AE211" s="476"/>
      <c r="AF211" s="476"/>
      <c r="AG211" s="479"/>
      <c r="AH211" s="476"/>
      <c r="AI211" s="476"/>
      <c r="AJ211" s="476"/>
      <c r="AK211" s="476"/>
      <c r="AL211" s="479"/>
      <c r="AM211" s="476"/>
      <c r="AN211" s="476"/>
      <c r="AO211" s="476"/>
      <c r="AP211" s="476"/>
      <c r="AQ211" s="479"/>
      <c r="AR211" s="476"/>
      <c r="AS211" s="476"/>
      <c r="AT211" s="476"/>
      <c r="AU211" s="476"/>
      <c r="AV211" s="479"/>
      <c r="AW211" s="476"/>
      <c r="AX211" s="476"/>
      <c r="AY211" s="476"/>
      <c r="AZ211" s="476"/>
      <c r="BA211" s="479"/>
      <c r="BB211" s="476"/>
      <c r="BC211" s="476"/>
      <c r="BD211" s="476"/>
      <c r="BE211" s="476"/>
      <c r="BF211" s="479"/>
      <c r="BG211" s="476"/>
      <c r="BH211" s="476"/>
      <c r="BI211" s="476"/>
      <c r="BJ211" s="476"/>
      <c r="BK211" s="479"/>
      <c r="BL211" s="476"/>
      <c r="BM211" s="476"/>
      <c r="BN211" s="476"/>
      <c r="BO211" s="476"/>
    </row>
    <row r="212" spans="3:67">
      <c r="C212" s="429"/>
      <c r="D212" s="477"/>
      <c r="E212" s="477"/>
      <c r="F212" s="477"/>
      <c r="G212" s="477"/>
      <c r="H212" s="429"/>
      <c r="I212" s="477"/>
      <c r="J212" s="477"/>
      <c r="K212" s="477"/>
      <c r="L212" s="477"/>
      <c r="M212" s="429"/>
      <c r="N212" s="477"/>
      <c r="O212" s="477"/>
      <c r="P212" s="477"/>
      <c r="Q212" s="477"/>
      <c r="R212" s="429"/>
      <c r="S212" s="477"/>
      <c r="T212" s="477"/>
      <c r="U212" s="477"/>
      <c r="V212" s="477"/>
      <c r="W212" s="429"/>
      <c r="X212" s="477"/>
      <c r="Y212" s="477"/>
      <c r="Z212" s="477"/>
      <c r="AA212" s="477"/>
      <c r="AB212" s="429"/>
      <c r="AC212" s="477"/>
      <c r="AD212" s="477"/>
      <c r="AE212" s="477"/>
      <c r="AF212" s="477"/>
      <c r="AG212" s="429"/>
      <c r="AH212" s="477"/>
      <c r="AI212" s="477"/>
      <c r="AJ212" s="477"/>
      <c r="AK212" s="477"/>
      <c r="AL212" s="429"/>
      <c r="AM212" s="477"/>
      <c r="AN212" s="477"/>
      <c r="AO212" s="477"/>
      <c r="AP212" s="477"/>
      <c r="AQ212" s="429"/>
      <c r="AR212" s="477"/>
      <c r="AS212" s="477"/>
      <c r="AT212" s="477"/>
      <c r="AU212" s="477"/>
      <c r="AV212" s="429"/>
      <c r="AW212" s="477"/>
      <c r="AX212" s="477"/>
      <c r="AY212" s="477"/>
      <c r="AZ212" s="477"/>
      <c r="BA212" s="429"/>
      <c r="BB212" s="477"/>
      <c r="BC212" s="477"/>
      <c r="BD212" s="477"/>
      <c r="BE212" s="477"/>
      <c r="BF212" s="429"/>
      <c r="BG212" s="477"/>
      <c r="BH212" s="477"/>
      <c r="BI212" s="477"/>
      <c r="BJ212" s="477"/>
      <c r="BK212" s="429"/>
      <c r="BL212" s="477"/>
      <c r="BM212" s="477"/>
      <c r="BN212" s="477"/>
      <c r="BO212" s="477"/>
    </row>
    <row r="213" spans="3:67">
      <c r="C213" s="475"/>
      <c r="D213" s="476"/>
      <c r="E213" s="476"/>
      <c r="F213" s="476"/>
      <c r="G213" s="476"/>
      <c r="H213" s="475"/>
      <c r="I213" s="476"/>
      <c r="J213" s="476"/>
      <c r="K213" s="476"/>
      <c r="L213" s="476"/>
      <c r="M213" s="475"/>
      <c r="N213" s="476"/>
      <c r="O213" s="476"/>
      <c r="P213" s="476"/>
      <c r="Q213" s="476"/>
      <c r="R213" s="475"/>
      <c r="S213" s="476"/>
      <c r="T213" s="476"/>
      <c r="U213" s="476"/>
      <c r="V213" s="476"/>
      <c r="W213" s="475"/>
      <c r="X213" s="476"/>
      <c r="Y213" s="476"/>
      <c r="Z213" s="476"/>
      <c r="AA213" s="476"/>
      <c r="AB213" s="475"/>
      <c r="AC213" s="476"/>
      <c r="AD213" s="476"/>
      <c r="AE213" s="476"/>
      <c r="AF213" s="476"/>
      <c r="AG213" s="475"/>
      <c r="AH213" s="476"/>
      <c r="AI213" s="476"/>
      <c r="AJ213" s="476"/>
      <c r="AK213" s="476"/>
      <c r="AL213" s="475"/>
      <c r="AM213" s="476"/>
      <c r="AN213" s="476"/>
      <c r="AO213" s="476"/>
      <c r="AP213" s="476"/>
      <c r="AQ213" s="475"/>
      <c r="AR213" s="476"/>
      <c r="AS213" s="476"/>
      <c r="AT213" s="476"/>
      <c r="AU213" s="476"/>
      <c r="AV213" s="475"/>
      <c r="AW213" s="476"/>
      <c r="AX213" s="476"/>
      <c r="AY213" s="476"/>
      <c r="AZ213" s="476"/>
      <c r="BA213" s="475"/>
      <c r="BB213" s="476"/>
      <c r="BC213" s="476"/>
      <c r="BD213" s="476"/>
      <c r="BE213" s="476"/>
      <c r="BF213" s="475"/>
      <c r="BG213" s="476"/>
      <c r="BH213" s="476"/>
      <c r="BI213" s="476"/>
      <c r="BJ213" s="476"/>
      <c r="BK213" s="475"/>
      <c r="BL213" s="476"/>
      <c r="BM213" s="476"/>
      <c r="BN213" s="476"/>
      <c r="BO213" s="476"/>
    </row>
    <row r="214" spans="3:67">
      <c r="C214" s="475"/>
      <c r="D214" s="476"/>
      <c r="E214" s="476"/>
      <c r="F214" s="476"/>
      <c r="G214" s="476"/>
      <c r="H214" s="475"/>
      <c r="I214" s="476"/>
      <c r="J214" s="476"/>
      <c r="K214" s="476"/>
      <c r="L214" s="476"/>
      <c r="M214" s="475"/>
      <c r="N214" s="476"/>
      <c r="O214" s="476"/>
      <c r="P214" s="476"/>
      <c r="Q214" s="476"/>
      <c r="R214" s="475"/>
      <c r="S214" s="476"/>
      <c r="T214" s="476"/>
      <c r="U214" s="476"/>
      <c r="V214" s="476"/>
      <c r="W214" s="475"/>
      <c r="X214" s="476"/>
      <c r="Y214" s="476"/>
      <c r="Z214" s="476"/>
      <c r="AA214" s="476"/>
      <c r="AB214" s="475"/>
      <c r="AC214" s="476"/>
      <c r="AD214" s="476"/>
      <c r="AE214" s="476"/>
      <c r="AF214" s="476"/>
      <c r="AG214" s="475"/>
      <c r="AH214" s="476"/>
      <c r="AI214" s="476"/>
      <c r="AJ214" s="476"/>
      <c r="AK214" s="476"/>
      <c r="AL214" s="475"/>
      <c r="AM214" s="476"/>
      <c r="AN214" s="476"/>
      <c r="AO214" s="476"/>
      <c r="AP214" s="476"/>
      <c r="AQ214" s="475"/>
      <c r="AR214" s="476"/>
      <c r="AS214" s="476"/>
      <c r="AT214" s="476"/>
      <c r="AU214" s="476"/>
      <c r="AV214" s="475"/>
      <c r="AW214" s="476"/>
      <c r="AX214" s="476"/>
      <c r="AY214" s="476"/>
      <c r="AZ214" s="476"/>
      <c r="BA214" s="475"/>
      <c r="BB214" s="476"/>
      <c r="BC214" s="476"/>
      <c r="BD214" s="476"/>
      <c r="BE214" s="476"/>
      <c r="BF214" s="475"/>
      <c r="BG214" s="476"/>
      <c r="BH214" s="476"/>
      <c r="BI214" s="476"/>
      <c r="BJ214" s="476"/>
      <c r="BK214" s="475"/>
      <c r="BL214" s="476"/>
      <c r="BM214" s="476"/>
      <c r="BN214" s="476"/>
      <c r="BO214" s="476"/>
    </row>
    <row r="215" spans="3:67">
      <c r="C215" s="475"/>
      <c r="D215" s="476"/>
      <c r="E215" s="476"/>
      <c r="F215" s="476"/>
      <c r="G215" s="476"/>
      <c r="H215" s="475"/>
      <c r="I215" s="476"/>
      <c r="J215" s="476"/>
      <c r="K215" s="476"/>
      <c r="L215" s="476"/>
      <c r="M215" s="475"/>
      <c r="N215" s="476"/>
      <c r="O215" s="476"/>
      <c r="P215" s="476"/>
      <c r="Q215" s="476"/>
      <c r="R215" s="475"/>
      <c r="S215" s="476"/>
      <c r="T215" s="476"/>
      <c r="U215" s="476"/>
      <c r="V215" s="476"/>
      <c r="W215" s="475"/>
      <c r="X215" s="476"/>
      <c r="Y215" s="476"/>
      <c r="Z215" s="476"/>
      <c r="AA215" s="476"/>
      <c r="AB215" s="475"/>
      <c r="AC215" s="476"/>
      <c r="AD215" s="476"/>
      <c r="AE215" s="476"/>
      <c r="AF215" s="476"/>
      <c r="AG215" s="475"/>
      <c r="AH215" s="476"/>
      <c r="AI215" s="476"/>
      <c r="AJ215" s="476"/>
      <c r="AK215" s="476"/>
      <c r="AL215" s="475"/>
      <c r="AM215" s="476"/>
      <c r="AN215" s="476"/>
      <c r="AO215" s="476"/>
      <c r="AP215" s="476"/>
      <c r="AQ215" s="475"/>
      <c r="AR215" s="476"/>
      <c r="AS215" s="476"/>
      <c r="AT215" s="476"/>
      <c r="AU215" s="476"/>
      <c r="AV215" s="475"/>
      <c r="AW215" s="476"/>
      <c r="AX215" s="476"/>
      <c r="AY215" s="476"/>
      <c r="AZ215" s="476"/>
      <c r="BA215" s="475"/>
      <c r="BB215" s="476"/>
      <c r="BC215" s="476"/>
      <c r="BD215" s="476"/>
      <c r="BE215" s="476"/>
      <c r="BF215" s="475"/>
      <c r="BG215" s="476"/>
      <c r="BH215" s="476"/>
      <c r="BI215" s="476"/>
      <c r="BJ215" s="476"/>
      <c r="BK215" s="475"/>
      <c r="BL215" s="476"/>
      <c r="BM215" s="476"/>
      <c r="BN215" s="476"/>
      <c r="BO215" s="476"/>
    </row>
    <row r="216" spans="3:67">
      <c r="C216" s="480"/>
      <c r="D216" s="481"/>
      <c r="E216" s="481"/>
      <c r="F216" s="481"/>
      <c r="G216" s="481"/>
      <c r="H216" s="480"/>
      <c r="I216" s="481"/>
      <c r="J216" s="481"/>
      <c r="K216" s="481"/>
      <c r="L216" s="481"/>
      <c r="M216" s="480"/>
      <c r="N216" s="481"/>
      <c r="O216" s="481"/>
      <c r="P216" s="481"/>
      <c r="Q216" s="481"/>
      <c r="R216" s="480"/>
      <c r="S216" s="481"/>
      <c r="T216" s="481"/>
      <c r="U216" s="481"/>
      <c r="V216" s="481"/>
      <c r="W216" s="480"/>
      <c r="X216" s="481"/>
      <c r="Y216" s="481"/>
      <c r="Z216" s="481"/>
      <c r="AA216" s="481"/>
      <c r="AB216" s="480"/>
      <c r="AC216" s="481"/>
      <c r="AD216" s="481"/>
      <c r="AE216" s="481"/>
      <c r="AF216" s="481"/>
      <c r="AG216" s="480"/>
      <c r="AH216" s="481"/>
      <c r="AI216" s="481"/>
      <c r="AJ216" s="481"/>
      <c r="AK216" s="481"/>
      <c r="AL216" s="480"/>
      <c r="AM216" s="481"/>
      <c r="AN216" s="481"/>
      <c r="AO216" s="481"/>
      <c r="AP216" s="481"/>
      <c r="AQ216" s="480"/>
      <c r="AR216" s="481"/>
      <c r="AS216" s="481"/>
      <c r="AT216" s="481"/>
      <c r="AU216" s="481"/>
      <c r="AV216" s="480"/>
      <c r="AW216" s="481"/>
      <c r="AX216" s="481"/>
      <c r="AY216" s="481"/>
      <c r="AZ216" s="481"/>
      <c r="BA216" s="480"/>
      <c r="BB216" s="481"/>
      <c r="BC216" s="481"/>
      <c r="BD216" s="481"/>
      <c r="BE216" s="481"/>
      <c r="BF216" s="480"/>
      <c r="BG216" s="481"/>
      <c r="BH216" s="481"/>
      <c r="BI216" s="481"/>
      <c r="BJ216" s="481"/>
      <c r="BK216" s="480"/>
      <c r="BL216" s="481"/>
      <c r="BM216" s="481"/>
      <c r="BN216" s="481"/>
      <c r="BO216" s="481"/>
    </row>
    <row r="217" spans="3:67">
      <c r="C217" s="475"/>
      <c r="D217" s="476"/>
      <c r="E217" s="476"/>
      <c r="F217" s="476"/>
      <c r="G217" s="476"/>
      <c r="H217" s="475"/>
      <c r="I217" s="476"/>
      <c r="J217" s="476"/>
      <c r="K217" s="476"/>
      <c r="L217" s="476"/>
      <c r="M217" s="475"/>
      <c r="N217" s="476"/>
      <c r="O217" s="476"/>
      <c r="P217" s="476"/>
      <c r="Q217" s="476"/>
      <c r="R217" s="475"/>
      <c r="S217" s="476"/>
      <c r="T217" s="476"/>
      <c r="U217" s="476"/>
      <c r="V217" s="476"/>
      <c r="W217" s="475"/>
      <c r="X217" s="476"/>
      <c r="Y217" s="476"/>
      <c r="Z217" s="476"/>
      <c r="AA217" s="476"/>
      <c r="AB217" s="475"/>
      <c r="AC217" s="476"/>
      <c r="AD217" s="476"/>
      <c r="AE217" s="476"/>
      <c r="AF217" s="476"/>
      <c r="AG217" s="475"/>
      <c r="AH217" s="476"/>
      <c r="AI217" s="476"/>
      <c r="AJ217" s="476"/>
      <c r="AK217" s="476"/>
      <c r="AL217" s="475"/>
      <c r="AM217" s="476"/>
      <c r="AN217" s="476"/>
      <c r="AO217" s="476"/>
      <c r="AP217" s="476"/>
      <c r="AQ217" s="475"/>
      <c r="AR217" s="476"/>
      <c r="AS217" s="476"/>
      <c r="AT217" s="476"/>
      <c r="AU217" s="476"/>
      <c r="AV217" s="475"/>
      <c r="AW217" s="476"/>
      <c r="AX217" s="476"/>
      <c r="AY217" s="476"/>
      <c r="AZ217" s="476"/>
      <c r="BA217" s="475"/>
      <c r="BB217" s="476"/>
      <c r="BC217" s="476"/>
      <c r="BD217" s="476"/>
      <c r="BE217" s="476"/>
      <c r="BF217" s="475"/>
      <c r="BG217" s="476"/>
      <c r="BH217" s="476"/>
      <c r="BI217" s="476"/>
      <c r="BJ217" s="476"/>
      <c r="BK217" s="475"/>
      <c r="BL217" s="476"/>
      <c r="BM217" s="476"/>
      <c r="BN217" s="476"/>
      <c r="BO217" s="476"/>
    </row>
    <row r="218" spans="3:67">
      <c r="C218" s="475"/>
      <c r="D218" s="476"/>
      <c r="E218" s="476"/>
      <c r="F218" s="476"/>
      <c r="G218" s="476"/>
      <c r="H218" s="475"/>
      <c r="I218" s="476"/>
      <c r="J218" s="476"/>
      <c r="K218" s="476"/>
      <c r="L218" s="476"/>
      <c r="M218" s="475"/>
      <c r="N218" s="476"/>
      <c r="O218" s="476"/>
      <c r="P218" s="476"/>
      <c r="Q218" s="476"/>
      <c r="R218" s="475"/>
      <c r="S218" s="476"/>
      <c r="T218" s="476"/>
      <c r="U218" s="476"/>
      <c r="V218" s="476"/>
      <c r="W218" s="475"/>
      <c r="X218" s="476"/>
      <c r="Y218" s="476"/>
      <c r="Z218" s="476"/>
      <c r="AA218" s="476"/>
      <c r="AB218" s="475"/>
      <c r="AC218" s="476"/>
      <c r="AD218" s="476"/>
      <c r="AE218" s="476"/>
      <c r="AF218" s="476"/>
      <c r="AG218" s="475"/>
      <c r="AH218" s="476"/>
      <c r="AI218" s="476"/>
      <c r="AJ218" s="476"/>
      <c r="AK218" s="476"/>
      <c r="AL218" s="475"/>
      <c r="AM218" s="476"/>
      <c r="AN218" s="476"/>
      <c r="AO218" s="476"/>
      <c r="AP218" s="476"/>
      <c r="AQ218" s="475"/>
      <c r="AR218" s="476"/>
      <c r="AS218" s="476"/>
      <c r="AT218" s="476"/>
      <c r="AU218" s="476"/>
      <c r="AV218" s="475"/>
      <c r="AW218" s="476"/>
      <c r="AX218" s="476"/>
      <c r="AY218" s="476"/>
      <c r="AZ218" s="476"/>
      <c r="BA218" s="475"/>
      <c r="BB218" s="476"/>
      <c r="BC218" s="476"/>
      <c r="BD218" s="476"/>
      <c r="BE218" s="476"/>
      <c r="BF218" s="475"/>
      <c r="BG218" s="476"/>
      <c r="BH218" s="476"/>
      <c r="BI218" s="476"/>
      <c r="BJ218" s="476"/>
      <c r="BK218" s="475"/>
      <c r="BL218" s="476"/>
      <c r="BM218" s="476"/>
      <c r="BN218" s="476"/>
      <c r="BO218" s="476"/>
    </row>
    <row r="219" spans="3:67">
      <c r="C219" s="475"/>
      <c r="D219" s="476"/>
      <c r="E219" s="476"/>
      <c r="F219" s="476"/>
      <c r="G219" s="476"/>
      <c r="H219" s="475"/>
      <c r="I219" s="476"/>
      <c r="J219" s="476"/>
      <c r="K219" s="476"/>
      <c r="L219" s="476"/>
      <c r="M219" s="475"/>
      <c r="N219" s="476"/>
      <c r="O219" s="476"/>
      <c r="P219" s="476"/>
      <c r="Q219" s="476"/>
      <c r="R219" s="475"/>
      <c r="S219" s="476"/>
      <c r="T219" s="476"/>
      <c r="U219" s="476"/>
      <c r="V219" s="476"/>
      <c r="W219" s="475"/>
      <c r="X219" s="476"/>
      <c r="Y219" s="476"/>
      <c r="Z219" s="476"/>
      <c r="AA219" s="476"/>
      <c r="AB219" s="475"/>
      <c r="AC219" s="476"/>
      <c r="AD219" s="476"/>
      <c r="AE219" s="476"/>
      <c r="AF219" s="476"/>
      <c r="AG219" s="475"/>
      <c r="AH219" s="476"/>
      <c r="AI219" s="476"/>
      <c r="AJ219" s="476"/>
      <c r="AK219" s="476"/>
      <c r="AL219" s="475"/>
      <c r="AM219" s="476"/>
      <c r="AN219" s="476"/>
      <c r="AO219" s="476"/>
      <c r="AP219" s="476"/>
      <c r="AQ219" s="475"/>
      <c r="AR219" s="476"/>
      <c r="AS219" s="476"/>
      <c r="AT219" s="476"/>
      <c r="AU219" s="476"/>
      <c r="AV219" s="475"/>
      <c r="AW219" s="476"/>
      <c r="AX219" s="476"/>
      <c r="AY219" s="476"/>
      <c r="AZ219" s="476"/>
      <c r="BA219" s="475"/>
      <c r="BB219" s="476"/>
      <c r="BC219" s="476"/>
      <c r="BD219" s="476"/>
      <c r="BE219" s="476"/>
      <c r="BF219" s="475"/>
      <c r="BG219" s="476"/>
      <c r="BH219" s="476"/>
      <c r="BI219" s="476"/>
      <c r="BJ219" s="476"/>
      <c r="BK219" s="475"/>
      <c r="BL219" s="476"/>
      <c r="BM219" s="476"/>
      <c r="BN219" s="476"/>
      <c r="BO219" s="476"/>
    </row>
    <row r="220" spans="3:67">
      <c r="C220" s="429"/>
      <c r="D220" s="477"/>
      <c r="E220" s="477"/>
      <c r="F220" s="477"/>
      <c r="G220" s="477"/>
      <c r="H220" s="429"/>
      <c r="I220" s="477"/>
      <c r="J220" s="477"/>
      <c r="K220" s="477"/>
      <c r="L220" s="477"/>
      <c r="M220" s="429"/>
      <c r="N220" s="477"/>
      <c r="O220" s="477"/>
      <c r="P220" s="477"/>
      <c r="Q220" s="477"/>
      <c r="R220" s="429"/>
      <c r="S220" s="477"/>
      <c r="T220" s="477"/>
      <c r="U220" s="477"/>
      <c r="V220" s="477"/>
      <c r="W220" s="429"/>
      <c r="X220" s="477"/>
      <c r="Y220" s="477"/>
      <c r="Z220" s="477"/>
      <c r="AA220" s="477"/>
      <c r="AB220" s="429"/>
      <c r="AC220" s="477"/>
      <c r="AD220" s="477"/>
      <c r="AE220" s="477"/>
      <c r="AF220" s="477"/>
      <c r="AG220" s="429"/>
      <c r="AH220" s="477"/>
      <c r="AI220" s="477"/>
      <c r="AJ220" s="477"/>
      <c r="AK220" s="477"/>
      <c r="AL220" s="429"/>
      <c r="AM220" s="477"/>
      <c r="AN220" s="477"/>
      <c r="AO220" s="477"/>
      <c r="AP220" s="477"/>
      <c r="AQ220" s="429"/>
      <c r="AR220" s="477"/>
      <c r="AS220" s="477"/>
      <c r="AT220" s="477"/>
      <c r="AU220" s="477"/>
      <c r="AV220" s="429"/>
      <c r="AW220" s="477"/>
      <c r="AX220" s="477"/>
      <c r="AY220" s="477"/>
      <c r="AZ220" s="477"/>
      <c r="BA220" s="429"/>
      <c r="BB220" s="477"/>
      <c r="BC220" s="477"/>
      <c r="BD220" s="477"/>
      <c r="BE220" s="477"/>
      <c r="BF220" s="429"/>
      <c r="BG220" s="477"/>
      <c r="BH220" s="477"/>
      <c r="BI220" s="477"/>
      <c r="BJ220" s="477"/>
      <c r="BK220" s="429"/>
      <c r="BL220" s="477"/>
      <c r="BM220" s="477"/>
      <c r="BN220" s="477"/>
      <c r="BO220" s="477"/>
    </row>
    <row r="221" spans="3:67">
      <c r="C221" s="475"/>
      <c r="D221" s="476"/>
      <c r="E221" s="476"/>
      <c r="F221" s="476"/>
      <c r="G221" s="476"/>
      <c r="H221" s="475"/>
      <c r="I221" s="476"/>
      <c r="J221" s="476"/>
      <c r="K221" s="476"/>
      <c r="L221" s="476"/>
      <c r="M221" s="475"/>
      <c r="N221" s="476"/>
      <c r="O221" s="476"/>
      <c r="P221" s="476"/>
      <c r="Q221" s="476"/>
      <c r="R221" s="475"/>
      <c r="S221" s="476"/>
      <c r="T221" s="476"/>
      <c r="U221" s="476"/>
      <c r="V221" s="476"/>
      <c r="W221" s="475"/>
      <c r="X221" s="476"/>
      <c r="Y221" s="476"/>
      <c r="Z221" s="476"/>
      <c r="AA221" s="476"/>
      <c r="AB221" s="475"/>
      <c r="AC221" s="476"/>
      <c r="AD221" s="476"/>
      <c r="AE221" s="476"/>
      <c r="AF221" s="476"/>
      <c r="AG221" s="475"/>
      <c r="AH221" s="476"/>
      <c r="AI221" s="476"/>
      <c r="AJ221" s="476"/>
      <c r="AK221" s="476"/>
      <c r="AL221" s="475"/>
      <c r="AM221" s="476"/>
      <c r="AN221" s="476"/>
      <c r="AO221" s="476"/>
      <c r="AP221" s="476"/>
      <c r="AQ221" s="475"/>
      <c r="AR221" s="476"/>
      <c r="AS221" s="476"/>
      <c r="AT221" s="476"/>
      <c r="AU221" s="476"/>
      <c r="AV221" s="475"/>
      <c r="AW221" s="476"/>
      <c r="AX221" s="476"/>
      <c r="AY221" s="476"/>
      <c r="AZ221" s="476"/>
      <c r="BA221" s="475"/>
      <c r="BB221" s="476"/>
      <c r="BC221" s="476"/>
      <c r="BD221" s="476"/>
      <c r="BE221" s="476"/>
      <c r="BF221" s="475"/>
      <c r="BG221" s="476"/>
      <c r="BH221" s="476"/>
      <c r="BI221" s="476"/>
      <c r="BJ221" s="476"/>
      <c r="BK221" s="475"/>
      <c r="BL221" s="476"/>
      <c r="BM221" s="476"/>
      <c r="BN221" s="476"/>
      <c r="BO221" s="476"/>
    </row>
    <row r="222" spans="3:67">
      <c r="C222" s="475"/>
      <c r="D222" s="476"/>
      <c r="E222" s="476"/>
      <c r="F222" s="476"/>
      <c r="G222" s="476"/>
      <c r="H222" s="475"/>
      <c r="I222" s="476"/>
      <c r="J222" s="476"/>
      <c r="K222" s="476"/>
      <c r="L222" s="476"/>
      <c r="M222" s="475"/>
      <c r="N222" s="476"/>
      <c r="O222" s="476"/>
      <c r="P222" s="476"/>
      <c r="Q222" s="476"/>
      <c r="R222" s="475"/>
      <c r="S222" s="476"/>
      <c r="T222" s="476"/>
      <c r="U222" s="476"/>
      <c r="V222" s="476"/>
      <c r="W222" s="475"/>
      <c r="X222" s="476"/>
      <c r="Y222" s="476"/>
      <c r="Z222" s="476"/>
      <c r="AA222" s="476"/>
      <c r="AB222" s="475"/>
      <c r="AC222" s="476"/>
      <c r="AD222" s="476"/>
      <c r="AE222" s="476"/>
      <c r="AF222" s="476"/>
      <c r="AG222" s="475"/>
      <c r="AH222" s="476"/>
      <c r="AI222" s="476"/>
      <c r="AJ222" s="476"/>
      <c r="AK222" s="476"/>
      <c r="AL222" s="475"/>
      <c r="AM222" s="476"/>
      <c r="AN222" s="476"/>
      <c r="AO222" s="476"/>
      <c r="AP222" s="476"/>
      <c r="AQ222" s="475"/>
      <c r="AR222" s="476"/>
      <c r="AS222" s="476"/>
      <c r="AT222" s="476"/>
      <c r="AU222" s="476"/>
      <c r="AV222" s="475"/>
      <c r="AW222" s="476"/>
      <c r="AX222" s="476"/>
      <c r="AY222" s="476"/>
      <c r="AZ222" s="476"/>
      <c r="BA222" s="475"/>
      <c r="BB222" s="476"/>
      <c r="BC222" s="476"/>
      <c r="BD222" s="476"/>
      <c r="BE222" s="476"/>
      <c r="BF222" s="475"/>
      <c r="BG222" s="476"/>
      <c r="BH222" s="476"/>
      <c r="BI222" s="476"/>
      <c r="BJ222" s="476"/>
      <c r="BK222" s="475"/>
      <c r="BL222" s="476"/>
      <c r="BM222" s="476"/>
      <c r="BN222" s="476"/>
      <c r="BO222" s="476"/>
    </row>
    <row r="223" spans="3:67">
      <c r="C223" s="475"/>
      <c r="D223" s="476"/>
      <c r="E223" s="476"/>
      <c r="F223" s="476"/>
      <c r="G223" s="476"/>
      <c r="H223" s="475"/>
      <c r="I223" s="476"/>
      <c r="J223" s="476"/>
      <c r="K223" s="476"/>
      <c r="L223" s="476"/>
      <c r="M223" s="475"/>
      <c r="N223" s="476"/>
      <c r="O223" s="476"/>
      <c r="P223" s="476"/>
      <c r="Q223" s="476"/>
      <c r="R223" s="475"/>
      <c r="S223" s="476"/>
      <c r="T223" s="476"/>
      <c r="U223" s="476"/>
      <c r="V223" s="476"/>
      <c r="W223" s="475"/>
      <c r="X223" s="476"/>
      <c r="Y223" s="476"/>
      <c r="Z223" s="476"/>
      <c r="AA223" s="476"/>
      <c r="AB223" s="475"/>
      <c r="AC223" s="476"/>
      <c r="AD223" s="476"/>
      <c r="AE223" s="476"/>
      <c r="AF223" s="476"/>
      <c r="AG223" s="475"/>
      <c r="AH223" s="476"/>
      <c r="AI223" s="476"/>
      <c r="AJ223" s="476"/>
      <c r="AK223" s="476"/>
      <c r="AL223" s="475"/>
      <c r="AM223" s="476"/>
      <c r="AN223" s="476"/>
      <c r="AO223" s="476"/>
      <c r="AP223" s="476"/>
      <c r="AQ223" s="475"/>
      <c r="AR223" s="476"/>
      <c r="AS223" s="476"/>
      <c r="AT223" s="476"/>
      <c r="AU223" s="476"/>
      <c r="AV223" s="475"/>
      <c r="AW223" s="476"/>
      <c r="AX223" s="476"/>
      <c r="AY223" s="476"/>
      <c r="AZ223" s="476"/>
      <c r="BA223" s="475"/>
      <c r="BB223" s="476"/>
      <c r="BC223" s="476"/>
      <c r="BD223" s="476"/>
      <c r="BE223" s="476"/>
      <c r="BF223" s="475"/>
      <c r="BG223" s="476"/>
      <c r="BH223" s="476"/>
      <c r="BI223" s="476"/>
      <c r="BJ223" s="476"/>
      <c r="BK223" s="475"/>
      <c r="BL223" s="476"/>
      <c r="BM223" s="476"/>
      <c r="BN223" s="476"/>
      <c r="BO223" s="476"/>
    </row>
    <row r="224" spans="3:67">
      <c r="C224" s="482"/>
      <c r="D224" s="483"/>
      <c r="E224" s="483"/>
      <c r="F224" s="483"/>
      <c r="G224" s="483"/>
      <c r="H224" s="482"/>
      <c r="I224" s="483"/>
      <c r="J224" s="483"/>
      <c r="K224" s="483"/>
      <c r="L224" s="483"/>
      <c r="M224" s="482"/>
      <c r="N224" s="483"/>
      <c r="O224" s="483"/>
      <c r="P224" s="483"/>
      <c r="Q224" s="483"/>
      <c r="R224" s="482"/>
      <c r="S224" s="483"/>
      <c r="T224" s="483"/>
      <c r="U224" s="483"/>
      <c r="V224" s="483"/>
      <c r="W224" s="482"/>
      <c r="X224" s="483"/>
      <c r="Y224" s="483"/>
      <c r="Z224" s="483"/>
      <c r="AA224" s="483"/>
      <c r="AB224" s="482"/>
      <c r="AC224" s="483"/>
      <c r="AD224" s="483"/>
      <c r="AE224" s="483"/>
      <c r="AF224" s="483"/>
      <c r="AG224" s="482"/>
      <c r="AH224" s="483"/>
      <c r="AI224" s="483"/>
      <c r="AJ224" s="483"/>
      <c r="AK224" s="483"/>
      <c r="AL224" s="482"/>
      <c r="AM224" s="483"/>
      <c r="AN224" s="483"/>
      <c r="AO224" s="483"/>
      <c r="AP224" s="483"/>
      <c r="AQ224" s="482"/>
      <c r="AR224" s="483"/>
      <c r="AS224" s="483"/>
      <c r="AT224" s="483"/>
      <c r="AU224" s="483"/>
      <c r="AV224" s="482"/>
      <c r="AW224" s="483"/>
      <c r="AX224" s="483"/>
      <c r="AY224" s="483"/>
      <c r="AZ224" s="483"/>
      <c r="BA224" s="482"/>
      <c r="BB224" s="483"/>
      <c r="BC224" s="483"/>
      <c r="BD224" s="483"/>
      <c r="BE224" s="483"/>
      <c r="BF224" s="482"/>
      <c r="BG224" s="483"/>
      <c r="BH224" s="483"/>
      <c r="BI224" s="483"/>
      <c r="BJ224" s="483"/>
      <c r="BK224" s="482"/>
      <c r="BL224" s="483"/>
      <c r="BM224" s="483"/>
      <c r="BN224" s="483"/>
      <c r="BO224" s="483"/>
    </row>
    <row r="225" spans="3:67">
      <c r="C225" s="475"/>
      <c r="D225" s="476"/>
      <c r="E225" s="476"/>
      <c r="F225" s="476"/>
      <c r="G225" s="476"/>
      <c r="H225" s="475"/>
      <c r="I225" s="476"/>
      <c r="J225" s="476"/>
      <c r="K225" s="476"/>
      <c r="L225" s="476"/>
      <c r="M225" s="475"/>
      <c r="N225" s="476"/>
      <c r="O225" s="476"/>
      <c r="P225" s="476"/>
      <c r="Q225" s="476"/>
      <c r="R225" s="475"/>
      <c r="S225" s="476"/>
      <c r="T225" s="476"/>
      <c r="U225" s="476"/>
      <c r="V225" s="476"/>
      <c r="W225" s="475"/>
      <c r="X225" s="476"/>
      <c r="Y225" s="476"/>
      <c r="Z225" s="476"/>
      <c r="AA225" s="476"/>
      <c r="AB225" s="475"/>
      <c r="AC225" s="476"/>
      <c r="AD225" s="476"/>
      <c r="AE225" s="476"/>
      <c r="AF225" s="476"/>
      <c r="AG225" s="475"/>
      <c r="AH225" s="476"/>
      <c r="AI225" s="476"/>
      <c r="AJ225" s="476"/>
      <c r="AK225" s="476"/>
      <c r="AL225" s="475"/>
      <c r="AM225" s="476"/>
      <c r="AN225" s="476"/>
      <c r="AO225" s="476"/>
      <c r="AP225" s="476"/>
      <c r="AQ225" s="475"/>
      <c r="AR225" s="476"/>
      <c r="AS225" s="476"/>
      <c r="AT225" s="476"/>
      <c r="AU225" s="476"/>
      <c r="AV225" s="475"/>
      <c r="AW225" s="476"/>
      <c r="AX225" s="476"/>
      <c r="AY225" s="476"/>
      <c r="AZ225" s="476"/>
      <c r="BA225" s="475"/>
      <c r="BB225" s="476"/>
      <c r="BC225" s="476"/>
      <c r="BD225" s="476"/>
      <c r="BE225" s="476"/>
      <c r="BF225" s="475"/>
      <c r="BG225" s="476"/>
      <c r="BH225" s="476"/>
      <c r="BI225" s="476"/>
      <c r="BJ225" s="476"/>
      <c r="BK225" s="475"/>
      <c r="BL225" s="476"/>
      <c r="BM225" s="476"/>
      <c r="BN225" s="476"/>
      <c r="BO225" s="476"/>
    </row>
    <row r="226" spans="3:67">
      <c r="C226" s="475"/>
      <c r="D226" s="476"/>
      <c r="E226" s="476"/>
      <c r="F226" s="476"/>
      <c r="G226" s="476"/>
      <c r="H226" s="475"/>
      <c r="I226" s="476"/>
      <c r="J226" s="476"/>
      <c r="K226" s="476"/>
      <c r="L226" s="476"/>
      <c r="M226" s="475"/>
      <c r="N226" s="476"/>
      <c r="O226" s="476"/>
      <c r="P226" s="476"/>
      <c r="Q226" s="476"/>
      <c r="R226" s="475"/>
      <c r="S226" s="476"/>
      <c r="T226" s="476"/>
      <c r="U226" s="476"/>
      <c r="V226" s="476"/>
      <c r="W226" s="475"/>
      <c r="X226" s="476"/>
      <c r="Y226" s="476"/>
      <c r="Z226" s="476"/>
      <c r="AA226" s="476"/>
      <c r="AB226" s="475"/>
      <c r="AC226" s="476"/>
      <c r="AD226" s="476"/>
      <c r="AE226" s="476"/>
      <c r="AF226" s="476"/>
      <c r="AG226" s="475"/>
      <c r="AH226" s="476"/>
      <c r="AI226" s="476"/>
      <c r="AJ226" s="476"/>
      <c r="AK226" s="476"/>
      <c r="AL226" s="475"/>
      <c r="AM226" s="476"/>
      <c r="AN226" s="476"/>
      <c r="AO226" s="476"/>
      <c r="AP226" s="476"/>
      <c r="AQ226" s="475"/>
      <c r="AR226" s="476"/>
      <c r="AS226" s="476"/>
      <c r="AT226" s="476"/>
      <c r="AU226" s="476"/>
      <c r="AV226" s="475"/>
      <c r="AW226" s="476"/>
      <c r="AX226" s="476"/>
      <c r="AY226" s="476"/>
      <c r="AZ226" s="476"/>
      <c r="BA226" s="475"/>
      <c r="BB226" s="476"/>
      <c r="BC226" s="476"/>
      <c r="BD226" s="476"/>
      <c r="BE226" s="476"/>
      <c r="BF226" s="475"/>
      <c r="BG226" s="476"/>
      <c r="BH226" s="476"/>
      <c r="BI226" s="476"/>
      <c r="BJ226" s="476"/>
      <c r="BK226" s="475"/>
      <c r="BL226" s="476"/>
      <c r="BM226" s="476"/>
      <c r="BN226" s="476"/>
      <c r="BO226" s="476"/>
    </row>
    <row r="227" spans="3:67">
      <c r="C227" s="484"/>
      <c r="D227" s="485"/>
      <c r="E227" s="485"/>
      <c r="F227" s="485"/>
      <c r="G227" s="485"/>
      <c r="H227" s="484"/>
      <c r="I227" s="485"/>
      <c r="J227" s="485"/>
      <c r="K227" s="485"/>
      <c r="L227" s="485"/>
      <c r="M227" s="484"/>
      <c r="N227" s="485"/>
      <c r="O227" s="485"/>
      <c r="P227" s="485"/>
      <c r="Q227" s="485"/>
      <c r="R227" s="484"/>
      <c r="S227" s="485"/>
      <c r="T227" s="485"/>
      <c r="U227" s="485"/>
      <c r="V227" s="485"/>
      <c r="W227" s="484"/>
      <c r="X227" s="485"/>
      <c r="Y227" s="485"/>
      <c r="Z227" s="485"/>
      <c r="AA227" s="485"/>
      <c r="AB227" s="484"/>
      <c r="AC227" s="485"/>
      <c r="AD227" s="485"/>
      <c r="AE227" s="485"/>
      <c r="AF227" s="485"/>
      <c r="AG227" s="484"/>
      <c r="AH227" s="485"/>
      <c r="AI227" s="485"/>
      <c r="AJ227" s="485"/>
      <c r="AK227" s="485"/>
      <c r="AL227" s="484"/>
      <c r="AM227" s="485"/>
      <c r="AN227" s="485"/>
      <c r="AO227" s="485"/>
      <c r="AP227" s="485"/>
      <c r="AQ227" s="484"/>
      <c r="AR227" s="485"/>
      <c r="AS227" s="485"/>
      <c r="AT227" s="485"/>
      <c r="AU227" s="485"/>
      <c r="AV227" s="484"/>
      <c r="AW227" s="485"/>
      <c r="AX227" s="485"/>
      <c r="AY227" s="485"/>
      <c r="AZ227" s="485"/>
      <c r="BA227" s="484"/>
      <c r="BB227" s="485"/>
      <c r="BC227" s="485"/>
      <c r="BD227" s="485"/>
      <c r="BE227" s="485"/>
      <c r="BF227" s="484"/>
      <c r="BG227" s="485"/>
      <c r="BH227" s="485"/>
      <c r="BI227" s="485"/>
      <c r="BJ227" s="485"/>
      <c r="BK227" s="484"/>
      <c r="BL227" s="485"/>
      <c r="BM227" s="485"/>
      <c r="BN227" s="485"/>
      <c r="BO227" s="485"/>
    </row>
    <row r="229" spans="3:67">
      <c r="C229" s="486"/>
      <c r="D229" s="487"/>
      <c r="E229" s="487"/>
      <c r="F229" s="487"/>
      <c r="G229" s="487"/>
      <c r="H229" s="486"/>
      <c r="I229" s="487"/>
      <c r="J229" s="487"/>
      <c r="K229" s="487"/>
      <c r="L229" s="487"/>
      <c r="M229" s="486"/>
      <c r="N229" s="487"/>
      <c r="O229" s="487"/>
      <c r="P229" s="487"/>
      <c r="Q229" s="487"/>
      <c r="R229" s="486"/>
      <c r="S229" s="487"/>
      <c r="T229" s="487"/>
      <c r="U229" s="487"/>
      <c r="V229" s="487"/>
      <c r="W229" s="486"/>
      <c r="X229" s="487"/>
      <c r="Y229" s="487"/>
      <c r="Z229" s="487"/>
      <c r="AA229" s="487"/>
      <c r="AB229" s="486"/>
      <c r="AC229" s="487"/>
      <c r="AD229" s="487"/>
      <c r="AE229" s="487"/>
      <c r="AF229" s="487"/>
      <c r="AG229" s="486"/>
      <c r="AH229" s="487"/>
      <c r="AI229" s="487"/>
      <c r="AJ229" s="487"/>
      <c r="AK229" s="487"/>
      <c r="AL229" s="486"/>
      <c r="AM229" s="487"/>
      <c r="AN229" s="487"/>
      <c r="AO229" s="487"/>
      <c r="AP229" s="487"/>
      <c r="AQ229" s="486"/>
      <c r="AR229" s="487"/>
      <c r="AS229" s="487"/>
      <c r="AT229" s="487"/>
      <c r="AU229" s="487"/>
      <c r="AV229" s="486"/>
      <c r="AW229" s="487"/>
      <c r="AX229" s="487"/>
      <c r="AY229" s="487"/>
      <c r="AZ229" s="487"/>
      <c r="BA229" s="486"/>
      <c r="BB229" s="487"/>
      <c r="BC229" s="487"/>
      <c r="BD229" s="487"/>
      <c r="BE229" s="487"/>
      <c r="BF229" s="486"/>
      <c r="BG229" s="487"/>
      <c r="BH229" s="487"/>
      <c r="BI229" s="487"/>
      <c r="BJ229" s="487"/>
      <c r="BK229" s="486"/>
      <c r="BL229" s="487"/>
      <c r="BM229" s="487"/>
      <c r="BN229" s="487"/>
      <c r="BO229" s="487"/>
    </row>
    <row r="230" spans="3:67">
      <c r="C230" s="488"/>
      <c r="D230" s="489"/>
      <c r="E230" s="489"/>
      <c r="F230" s="489"/>
      <c r="G230" s="489"/>
      <c r="H230" s="488"/>
      <c r="I230" s="489"/>
      <c r="J230" s="489"/>
      <c r="K230" s="489"/>
      <c r="L230" s="489"/>
      <c r="M230" s="488"/>
      <c r="N230" s="489"/>
      <c r="O230" s="489"/>
      <c r="P230" s="489"/>
      <c r="Q230" s="489"/>
      <c r="R230" s="488"/>
      <c r="S230" s="489"/>
      <c r="T230" s="489"/>
      <c r="U230" s="489"/>
      <c r="V230" s="489"/>
      <c r="W230" s="488"/>
      <c r="X230" s="489"/>
      <c r="Y230" s="489"/>
      <c r="Z230" s="489"/>
      <c r="AA230" s="489"/>
      <c r="AB230" s="488"/>
      <c r="AC230" s="489"/>
      <c r="AD230" s="489"/>
      <c r="AE230" s="489"/>
      <c r="AF230" s="489"/>
      <c r="AG230" s="488"/>
      <c r="AH230" s="489"/>
      <c r="AI230" s="489"/>
      <c r="AJ230" s="489"/>
      <c r="AK230" s="489"/>
      <c r="AL230" s="488"/>
      <c r="AM230" s="489"/>
      <c r="AN230" s="489"/>
      <c r="AO230" s="489"/>
      <c r="AP230" s="489"/>
      <c r="AQ230" s="488"/>
      <c r="AR230" s="489"/>
      <c r="AS230" s="489"/>
      <c r="AT230" s="489"/>
      <c r="AU230" s="489"/>
      <c r="AV230" s="488"/>
      <c r="AW230" s="489"/>
      <c r="AX230" s="489"/>
      <c r="AY230" s="489"/>
      <c r="AZ230" s="489"/>
      <c r="BA230" s="488"/>
      <c r="BB230" s="489"/>
      <c r="BC230" s="489"/>
      <c r="BD230" s="489"/>
      <c r="BE230" s="489"/>
      <c r="BF230" s="488"/>
      <c r="BG230" s="489"/>
      <c r="BH230" s="489"/>
      <c r="BI230" s="489"/>
      <c r="BJ230" s="489"/>
      <c r="BK230" s="488"/>
      <c r="BL230" s="489"/>
      <c r="BM230" s="489"/>
      <c r="BN230" s="489"/>
      <c r="BO230" s="489"/>
    </row>
    <row r="231" spans="3:67">
      <c r="C231" s="490"/>
      <c r="D231" s="491"/>
      <c r="E231" s="491"/>
      <c r="F231" s="491"/>
      <c r="G231" s="491"/>
      <c r="H231" s="490"/>
      <c r="I231" s="491"/>
      <c r="J231" s="491"/>
      <c r="K231" s="491"/>
      <c r="L231" s="491"/>
      <c r="M231" s="490"/>
      <c r="N231" s="491"/>
      <c r="O231" s="491"/>
      <c r="P231" s="491"/>
      <c r="Q231" s="491"/>
      <c r="R231" s="490"/>
      <c r="S231" s="491"/>
      <c r="T231" s="491"/>
      <c r="U231" s="491"/>
      <c r="V231" s="491"/>
      <c r="W231" s="490"/>
      <c r="X231" s="491"/>
      <c r="Y231" s="491"/>
      <c r="Z231" s="491"/>
      <c r="AA231" s="491"/>
      <c r="AB231" s="490"/>
      <c r="AC231" s="491"/>
      <c r="AD231" s="491"/>
      <c r="AE231" s="491"/>
      <c r="AF231" s="491"/>
      <c r="AG231" s="490"/>
      <c r="AH231" s="491"/>
      <c r="AI231" s="491"/>
      <c r="AJ231" s="491"/>
      <c r="AK231" s="491"/>
      <c r="AL231" s="490"/>
      <c r="AM231" s="491"/>
      <c r="AN231" s="491"/>
      <c r="AO231" s="491"/>
      <c r="AP231" s="491"/>
      <c r="AQ231" s="490"/>
      <c r="AR231" s="491"/>
      <c r="AS231" s="491"/>
      <c r="AT231" s="491"/>
      <c r="AU231" s="491"/>
      <c r="AV231" s="490"/>
      <c r="AW231" s="491"/>
      <c r="AX231" s="491"/>
      <c r="AY231" s="491"/>
      <c r="AZ231" s="491"/>
      <c r="BA231" s="490"/>
      <c r="BB231" s="491"/>
      <c r="BC231" s="491"/>
      <c r="BD231" s="491"/>
      <c r="BE231" s="491"/>
      <c r="BF231" s="490"/>
      <c r="BG231" s="491"/>
      <c r="BH231" s="491"/>
      <c r="BI231" s="491"/>
      <c r="BJ231" s="491"/>
      <c r="BK231" s="490"/>
      <c r="BL231" s="491"/>
      <c r="BM231" s="491"/>
      <c r="BN231" s="491"/>
      <c r="BO231" s="491"/>
    </row>
    <row r="232" spans="3:67">
      <c r="C232" s="492"/>
      <c r="D232" s="492"/>
      <c r="E232" s="492"/>
      <c r="F232" s="492"/>
      <c r="G232" s="492"/>
      <c r="H232" s="492"/>
      <c r="I232" s="492"/>
      <c r="J232" s="492"/>
      <c r="K232" s="492"/>
      <c r="L232" s="492"/>
      <c r="M232" s="492"/>
      <c r="N232" s="492"/>
      <c r="O232" s="492"/>
      <c r="P232" s="492"/>
      <c r="Q232" s="492"/>
      <c r="R232" s="492"/>
      <c r="S232" s="492"/>
      <c r="T232" s="492"/>
      <c r="U232" s="492"/>
      <c r="V232" s="492"/>
      <c r="W232" s="492"/>
      <c r="X232" s="492"/>
      <c r="Y232" s="492"/>
      <c r="Z232" s="492"/>
      <c r="AA232" s="492"/>
      <c r="AB232" s="492"/>
      <c r="AC232" s="492"/>
      <c r="AD232" s="492"/>
      <c r="AE232" s="492"/>
      <c r="AF232" s="492"/>
      <c r="AG232" s="492"/>
      <c r="AH232" s="492"/>
      <c r="AI232" s="492"/>
      <c r="AJ232" s="492"/>
      <c r="AK232" s="492"/>
      <c r="AL232" s="492"/>
      <c r="AM232" s="492"/>
      <c r="AN232" s="492"/>
      <c r="AO232" s="492"/>
      <c r="AP232" s="492"/>
      <c r="AQ232" s="492"/>
      <c r="AR232" s="492"/>
      <c r="AS232" s="492"/>
      <c r="AT232" s="492"/>
      <c r="AU232" s="492"/>
      <c r="AV232" s="492"/>
      <c r="AW232" s="492"/>
      <c r="AX232" s="492"/>
      <c r="AY232" s="492"/>
      <c r="AZ232" s="492"/>
      <c r="BA232" s="492"/>
      <c r="BB232" s="492"/>
      <c r="BC232" s="492"/>
      <c r="BD232" s="492"/>
      <c r="BE232" s="492"/>
      <c r="BF232" s="492"/>
      <c r="BG232" s="492"/>
      <c r="BH232" s="492"/>
      <c r="BI232" s="492"/>
      <c r="BJ232" s="492"/>
      <c r="BK232" s="492"/>
      <c r="BL232" s="492"/>
      <c r="BM232" s="492"/>
      <c r="BN232" s="492"/>
      <c r="BO232" s="492"/>
    </row>
    <row r="233" spans="3:67">
      <c r="D233" s="493"/>
      <c r="E233" s="493"/>
      <c r="F233" s="493"/>
      <c r="G233" s="493"/>
      <c r="I233" s="493"/>
      <c r="J233" s="493"/>
      <c r="K233" s="493"/>
      <c r="L233" s="493"/>
      <c r="N233" s="493"/>
      <c r="O233" s="493"/>
      <c r="P233" s="493"/>
      <c r="Q233" s="493"/>
      <c r="S233" s="493"/>
      <c r="T233" s="493"/>
      <c r="U233" s="493"/>
      <c r="V233" s="493"/>
      <c r="X233" s="493"/>
      <c r="Y233" s="493"/>
      <c r="Z233" s="493"/>
      <c r="AA233" s="493"/>
      <c r="AC233" s="493"/>
      <c r="AD233" s="493"/>
      <c r="AE233" s="493"/>
      <c r="AF233" s="493"/>
      <c r="AH233" s="493"/>
      <c r="AI233" s="493"/>
      <c r="AJ233" s="493"/>
      <c r="AK233" s="493"/>
      <c r="AM233" s="493"/>
      <c r="AN233" s="493"/>
      <c r="AO233" s="493"/>
      <c r="AP233" s="493"/>
      <c r="AR233" s="493"/>
      <c r="AS233" s="493"/>
      <c r="AT233" s="493"/>
      <c r="AU233" s="493"/>
      <c r="AW233" s="493"/>
      <c r="AX233" s="493"/>
      <c r="AY233" s="493"/>
      <c r="AZ233" s="493"/>
      <c r="BB233" s="493"/>
      <c r="BC233" s="493"/>
      <c r="BD233" s="493"/>
      <c r="BE233" s="493"/>
      <c r="BG233" s="493"/>
      <c r="BH233" s="493"/>
      <c r="BI233" s="493"/>
      <c r="BJ233" s="493"/>
      <c r="BL233" s="493"/>
      <c r="BM233" s="493"/>
      <c r="BN233" s="493"/>
      <c r="BO233" s="493"/>
    </row>
    <row r="234" spans="3:67">
      <c r="C234" s="479"/>
      <c r="D234" s="475"/>
      <c r="E234" s="475"/>
      <c r="F234" s="475"/>
      <c r="G234" s="475"/>
      <c r="H234" s="479"/>
      <c r="I234" s="475"/>
      <c r="J234" s="475"/>
      <c r="K234" s="475"/>
      <c r="L234" s="475"/>
      <c r="M234" s="479"/>
      <c r="N234" s="475"/>
      <c r="O234" s="475"/>
      <c r="P234" s="475"/>
      <c r="Q234" s="475"/>
      <c r="R234" s="479"/>
      <c r="S234" s="475"/>
      <c r="T234" s="475"/>
      <c r="U234" s="475"/>
      <c r="V234" s="475"/>
      <c r="W234" s="479"/>
      <c r="X234" s="475"/>
      <c r="Y234" s="475"/>
      <c r="Z234" s="475"/>
      <c r="AA234" s="475"/>
      <c r="AB234" s="479"/>
      <c r="AC234" s="475"/>
      <c r="AD234" s="475"/>
      <c r="AE234" s="475"/>
      <c r="AF234" s="475"/>
      <c r="AG234" s="479"/>
      <c r="AH234" s="475"/>
      <c r="AI234" s="475"/>
      <c r="AJ234" s="475"/>
      <c r="AK234" s="475"/>
      <c r="AL234" s="479"/>
      <c r="AM234" s="475"/>
      <c r="AN234" s="475"/>
      <c r="AO234" s="475"/>
      <c r="AP234" s="475"/>
      <c r="AQ234" s="479"/>
      <c r="AR234" s="475"/>
      <c r="AS234" s="475"/>
      <c r="AT234" s="475"/>
      <c r="AU234" s="475"/>
      <c r="AV234" s="479"/>
      <c r="AW234" s="475"/>
      <c r="AX234" s="475"/>
      <c r="AY234" s="475"/>
      <c r="AZ234" s="475"/>
      <c r="BA234" s="479"/>
      <c r="BB234" s="475"/>
      <c r="BC234" s="475"/>
      <c r="BD234" s="475"/>
      <c r="BE234" s="475"/>
      <c r="BF234" s="479"/>
      <c r="BG234" s="475"/>
      <c r="BH234" s="475"/>
      <c r="BI234" s="475"/>
      <c r="BJ234" s="475"/>
      <c r="BK234" s="479"/>
      <c r="BL234" s="475"/>
      <c r="BM234" s="475"/>
      <c r="BN234" s="475"/>
      <c r="BO234" s="475"/>
    </row>
    <row r="235" spans="3:67">
      <c r="C235" s="479"/>
      <c r="D235" s="475"/>
      <c r="E235" s="475"/>
      <c r="F235" s="475"/>
      <c r="G235" s="475"/>
      <c r="H235" s="479"/>
      <c r="I235" s="475"/>
      <c r="J235" s="475"/>
      <c r="K235" s="475"/>
      <c r="L235" s="475"/>
      <c r="M235" s="479"/>
      <c r="N235" s="475"/>
      <c r="O235" s="475"/>
      <c r="P235" s="475"/>
      <c r="Q235" s="475"/>
      <c r="R235" s="479"/>
      <c r="S235" s="475"/>
      <c r="T235" s="475"/>
      <c r="U235" s="475"/>
      <c r="V235" s="475"/>
      <c r="W235" s="479"/>
      <c r="X235" s="475"/>
      <c r="Y235" s="475"/>
      <c r="Z235" s="475"/>
      <c r="AA235" s="475"/>
      <c r="AB235" s="479"/>
      <c r="AC235" s="475"/>
      <c r="AD235" s="475"/>
      <c r="AE235" s="475"/>
      <c r="AF235" s="475"/>
      <c r="AG235" s="479"/>
      <c r="AH235" s="475"/>
      <c r="AI235" s="475"/>
      <c r="AJ235" s="475"/>
      <c r="AK235" s="475"/>
      <c r="AL235" s="479"/>
      <c r="AM235" s="475"/>
      <c r="AN235" s="475"/>
      <c r="AO235" s="475"/>
      <c r="AP235" s="475"/>
      <c r="AQ235" s="479"/>
      <c r="AR235" s="475"/>
      <c r="AS235" s="475"/>
      <c r="AT235" s="475"/>
      <c r="AU235" s="475"/>
      <c r="AV235" s="479"/>
      <c r="AW235" s="475"/>
      <c r="AX235" s="475"/>
      <c r="AY235" s="475"/>
      <c r="AZ235" s="475"/>
      <c r="BA235" s="479"/>
      <c r="BB235" s="475"/>
      <c r="BC235" s="475"/>
      <c r="BD235" s="475"/>
      <c r="BE235" s="475"/>
      <c r="BF235" s="479"/>
      <c r="BG235" s="475"/>
      <c r="BH235" s="475"/>
      <c r="BI235" s="475"/>
      <c r="BJ235" s="475"/>
      <c r="BK235" s="479"/>
      <c r="BL235" s="475"/>
      <c r="BM235" s="475"/>
      <c r="BN235" s="475"/>
      <c r="BO235" s="475"/>
    </row>
    <row r="236" spans="3:67">
      <c r="C236" s="479"/>
      <c r="D236" s="475"/>
      <c r="E236" s="475"/>
      <c r="F236" s="475"/>
      <c r="G236" s="475"/>
      <c r="H236" s="479"/>
      <c r="I236" s="475"/>
      <c r="J236" s="475"/>
      <c r="K236" s="475"/>
      <c r="L236" s="475"/>
      <c r="M236" s="479"/>
      <c r="N236" s="475"/>
      <c r="O236" s="475"/>
      <c r="P236" s="475"/>
      <c r="Q236" s="475"/>
      <c r="R236" s="479"/>
      <c r="S236" s="475"/>
      <c r="T236" s="475"/>
      <c r="U236" s="475"/>
      <c r="V236" s="475"/>
      <c r="W236" s="479"/>
      <c r="X236" s="475"/>
      <c r="Y236" s="475"/>
      <c r="Z236" s="475"/>
      <c r="AA236" s="475"/>
      <c r="AB236" s="479"/>
      <c r="AC236" s="475"/>
      <c r="AD236" s="475"/>
      <c r="AE236" s="475"/>
      <c r="AF236" s="475"/>
      <c r="AG236" s="479"/>
      <c r="AH236" s="475"/>
      <c r="AI236" s="475"/>
      <c r="AJ236" s="475"/>
      <c r="AK236" s="475"/>
      <c r="AL236" s="479"/>
      <c r="AM236" s="475"/>
      <c r="AN236" s="475"/>
      <c r="AO236" s="475"/>
      <c r="AP236" s="475"/>
      <c r="AQ236" s="479"/>
      <c r="AR236" s="475"/>
      <c r="AS236" s="475"/>
      <c r="AT236" s="475"/>
      <c r="AU236" s="475"/>
      <c r="AV236" s="479"/>
      <c r="AW236" s="475"/>
      <c r="AX236" s="475"/>
      <c r="AY236" s="475"/>
      <c r="AZ236" s="475"/>
      <c r="BA236" s="479"/>
      <c r="BB236" s="475"/>
      <c r="BC236" s="475"/>
      <c r="BD236" s="475"/>
      <c r="BE236" s="475"/>
      <c r="BF236" s="479"/>
      <c r="BG236" s="475"/>
      <c r="BH236" s="475"/>
      <c r="BI236" s="475"/>
      <c r="BJ236" s="475"/>
      <c r="BK236" s="479"/>
      <c r="BL236" s="475"/>
      <c r="BM236" s="475"/>
      <c r="BN236" s="475"/>
      <c r="BO236" s="475"/>
    </row>
    <row r="237" spans="3:67">
      <c r="C237" s="479"/>
      <c r="D237" s="475"/>
      <c r="E237" s="475"/>
      <c r="F237" s="475"/>
      <c r="G237" s="475"/>
      <c r="H237" s="479"/>
      <c r="I237" s="475"/>
      <c r="J237" s="475"/>
      <c r="K237" s="475"/>
      <c r="L237" s="475"/>
      <c r="M237" s="479"/>
      <c r="N237" s="475"/>
      <c r="O237" s="475"/>
      <c r="P237" s="475"/>
      <c r="Q237" s="475"/>
      <c r="R237" s="479"/>
      <c r="S237" s="475"/>
      <c r="T237" s="475"/>
      <c r="U237" s="475"/>
      <c r="V237" s="475"/>
      <c r="W237" s="479"/>
      <c r="X237" s="475"/>
      <c r="Y237" s="475"/>
      <c r="Z237" s="475"/>
      <c r="AA237" s="475"/>
      <c r="AB237" s="479"/>
      <c r="AC237" s="475"/>
      <c r="AD237" s="475"/>
      <c r="AE237" s="475"/>
      <c r="AF237" s="475"/>
      <c r="AG237" s="479"/>
      <c r="AH237" s="475"/>
      <c r="AI237" s="475"/>
      <c r="AJ237" s="475"/>
      <c r="AK237" s="475"/>
      <c r="AL237" s="479"/>
      <c r="AM237" s="475"/>
      <c r="AN237" s="475"/>
      <c r="AO237" s="475"/>
      <c r="AP237" s="475"/>
      <c r="AQ237" s="479"/>
      <c r="AR237" s="475"/>
      <c r="AS237" s="475"/>
      <c r="AT237" s="475"/>
      <c r="AU237" s="475"/>
      <c r="AV237" s="479"/>
      <c r="AW237" s="475"/>
      <c r="AX237" s="475"/>
      <c r="AY237" s="475"/>
      <c r="AZ237" s="475"/>
      <c r="BA237" s="479"/>
      <c r="BB237" s="475"/>
      <c r="BC237" s="475"/>
      <c r="BD237" s="475"/>
      <c r="BE237" s="475"/>
      <c r="BF237" s="479"/>
      <c r="BG237" s="475"/>
      <c r="BH237" s="475"/>
      <c r="BI237" s="475"/>
      <c r="BJ237" s="475"/>
      <c r="BK237" s="479"/>
      <c r="BL237" s="475"/>
      <c r="BM237" s="475"/>
      <c r="BN237" s="475"/>
      <c r="BO237" s="475"/>
    </row>
    <row r="238" spans="3:67">
      <c r="C238" s="479"/>
      <c r="D238" s="475"/>
      <c r="E238" s="475"/>
      <c r="F238" s="475"/>
      <c r="G238" s="475"/>
      <c r="H238" s="479"/>
      <c r="I238" s="475"/>
      <c r="J238" s="475"/>
      <c r="K238" s="475"/>
      <c r="L238" s="475"/>
      <c r="M238" s="479"/>
      <c r="N238" s="475"/>
      <c r="O238" s="475"/>
      <c r="P238" s="475"/>
      <c r="Q238" s="475"/>
      <c r="R238" s="479"/>
      <c r="S238" s="475"/>
      <c r="T238" s="475"/>
      <c r="U238" s="475"/>
      <c r="V238" s="475"/>
      <c r="W238" s="479"/>
      <c r="X238" s="475"/>
      <c r="Y238" s="475"/>
      <c r="Z238" s="475"/>
      <c r="AA238" s="475"/>
      <c r="AB238" s="479"/>
      <c r="AC238" s="475"/>
      <c r="AD238" s="475"/>
      <c r="AE238" s="475"/>
      <c r="AF238" s="475"/>
      <c r="AG238" s="479"/>
      <c r="AH238" s="475"/>
      <c r="AI238" s="475"/>
      <c r="AJ238" s="475"/>
      <c r="AK238" s="475"/>
      <c r="AL238" s="479"/>
      <c r="AM238" s="475"/>
      <c r="AN238" s="475"/>
      <c r="AO238" s="475"/>
      <c r="AP238" s="475"/>
      <c r="AQ238" s="479"/>
      <c r="AR238" s="475"/>
      <c r="AS238" s="475"/>
      <c r="AT238" s="475"/>
      <c r="AU238" s="475"/>
      <c r="AV238" s="479"/>
      <c r="AW238" s="475"/>
      <c r="AX238" s="475"/>
      <c r="AY238" s="475"/>
      <c r="AZ238" s="475"/>
      <c r="BA238" s="479"/>
      <c r="BB238" s="475"/>
      <c r="BC238" s="475"/>
      <c r="BD238" s="475"/>
      <c r="BE238" s="475"/>
      <c r="BF238" s="479"/>
      <c r="BG238" s="475"/>
      <c r="BH238" s="475"/>
      <c r="BI238" s="475"/>
      <c r="BJ238" s="475"/>
      <c r="BK238" s="479"/>
      <c r="BL238" s="475"/>
      <c r="BM238" s="475"/>
      <c r="BN238" s="475"/>
      <c r="BO238" s="475"/>
    </row>
    <row r="240" spans="3:67">
      <c r="C240" s="494"/>
      <c r="D240" s="494"/>
      <c r="E240" s="494"/>
      <c r="F240" s="494"/>
      <c r="G240" s="494"/>
      <c r="H240" s="494"/>
      <c r="I240" s="494"/>
      <c r="J240" s="494"/>
      <c r="K240" s="494"/>
      <c r="L240" s="494"/>
      <c r="M240" s="494"/>
      <c r="N240" s="494"/>
      <c r="O240" s="494"/>
      <c r="P240" s="494"/>
      <c r="Q240" s="494"/>
      <c r="R240" s="494"/>
      <c r="S240" s="494"/>
      <c r="T240" s="494"/>
      <c r="U240" s="494"/>
      <c r="V240" s="494"/>
      <c r="W240" s="494"/>
      <c r="X240" s="494"/>
      <c r="Y240" s="494"/>
      <c r="Z240" s="494"/>
      <c r="AA240" s="494"/>
      <c r="AB240" s="494"/>
      <c r="AC240" s="494"/>
      <c r="AD240" s="494"/>
      <c r="AE240" s="494"/>
      <c r="AF240" s="494"/>
      <c r="AG240" s="494"/>
      <c r="AH240" s="494"/>
      <c r="AI240" s="494"/>
      <c r="AJ240" s="494"/>
      <c r="AK240" s="494"/>
      <c r="AL240" s="494"/>
      <c r="AM240" s="494"/>
      <c r="AN240" s="494"/>
      <c r="AO240" s="494"/>
      <c r="AP240" s="494"/>
      <c r="AQ240" s="494"/>
      <c r="AR240" s="494"/>
      <c r="AS240" s="494"/>
      <c r="AT240" s="494"/>
      <c r="AU240" s="494"/>
      <c r="AV240" s="494"/>
      <c r="AW240" s="494"/>
      <c r="AX240" s="494"/>
      <c r="AY240" s="494"/>
      <c r="AZ240" s="494"/>
      <c r="BA240" s="494"/>
      <c r="BB240" s="494"/>
      <c r="BC240" s="494"/>
      <c r="BD240" s="494"/>
      <c r="BE240" s="494"/>
      <c r="BF240" s="494"/>
      <c r="BG240" s="494"/>
      <c r="BH240" s="494"/>
      <c r="BI240" s="494"/>
      <c r="BJ240" s="494"/>
      <c r="BK240" s="494"/>
      <c r="BL240" s="494"/>
      <c r="BM240" s="494"/>
      <c r="BN240" s="494"/>
      <c r="BO240" s="494"/>
    </row>
    <row r="241" spans="3:67">
      <c r="C241" s="490"/>
      <c r="D241" s="490"/>
      <c r="E241" s="490"/>
      <c r="F241" s="490"/>
      <c r="G241" s="490"/>
      <c r="H241" s="490"/>
      <c r="I241" s="490"/>
      <c r="J241" s="490"/>
      <c r="K241" s="490"/>
      <c r="L241" s="490"/>
      <c r="M241" s="490"/>
      <c r="N241" s="490"/>
      <c r="O241" s="490"/>
      <c r="P241" s="490"/>
      <c r="Q241" s="490"/>
      <c r="R241" s="490"/>
      <c r="S241" s="490"/>
      <c r="T241" s="490"/>
      <c r="U241" s="490"/>
      <c r="V241" s="490"/>
      <c r="W241" s="490"/>
      <c r="X241" s="490"/>
      <c r="Y241" s="490"/>
      <c r="Z241" s="490"/>
      <c r="AA241" s="490"/>
      <c r="AB241" s="490"/>
      <c r="AC241" s="490"/>
      <c r="AD241" s="490"/>
      <c r="AE241" s="490"/>
      <c r="AF241" s="490"/>
      <c r="AG241" s="490"/>
      <c r="AH241" s="490"/>
      <c r="AI241" s="490"/>
      <c r="AJ241" s="490"/>
      <c r="AK241" s="490"/>
      <c r="AL241" s="490"/>
      <c r="AM241" s="490"/>
      <c r="AN241" s="490"/>
      <c r="AO241" s="490"/>
      <c r="AP241" s="490"/>
      <c r="AQ241" s="490"/>
      <c r="AR241" s="490"/>
      <c r="AS241" s="490"/>
      <c r="AT241" s="490"/>
      <c r="AU241" s="490"/>
      <c r="AV241" s="490"/>
      <c r="AW241" s="490"/>
      <c r="AX241" s="490"/>
      <c r="AY241" s="490"/>
      <c r="AZ241" s="490"/>
      <c r="BA241" s="490"/>
      <c r="BB241" s="490"/>
      <c r="BC241" s="490"/>
      <c r="BD241" s="490"/>
      <c r="BE241" s="490"/>
      <c r="BF241" s="490"/>
      <c r="BG241" s="490"/>
      <c r="BH241" s="490"/>
      <c r="BI241" s="490"/>
      <c r="BJ241" s="490"/>
      <c r="BK241" s="490"/>
      <c r="BL241" s="490"/>
      <c r="BM241" s="490"/>
      <c r="BN241" s="490"/>
      <c r="BO241" s="490"/>
    </row>
    <row r="242" spans="3:67">
      <c r="C242" s="490"/>
      <c r="D242" s="490"/>
      <c r="E242" s="490"/>
      <c r="F242" s="490"/>
      <c r="G242" s="490"/>
      <c r="H242" s="490"/>
      <c r="I242" s="490"/>
      <c r="J242" s="490"/>
      <c r="K242" s="490"/>
      <c r="L242" s="490"/>
      <c r="M242" s="490"/>
      <c r="N242" s="490"/>
      <c r="O242" s="490"/>
      <c r="P242" s="490"/>
      <c r="Q242" s="490"/>
      <c r="R242" s="490"/>
      <c r="S242" s="490"/>
      <c r="T242" s="490"/>
      <c r="U242" s="490"/>
      <c r="V242" s="490"/>
      <c r="W242" s="490"/>
      <c r="X242" s="490"/>
      <c r="Y242" s="490"/>
      <c r="Z242" s="490"/>
      <c r="AA242" s="490"/>
      <c r="AB242" s="490"/>
      <c r="AC242" s="490"/>
      <c r="AD242" s="490"/>
      <c r="AE242" s="490"/>
      <c r="AF242" s="490"/>
      <c r="AG242" s="490"/>
      <c r="AH242" s="490"/>
      <c r="AI242" s="490"/>
      <c r="AJ242" s="490"/>
      <c r="AK242" s="490"/>
      <c r="AL242" s="490"/>
      <c r="AM242" s="490"/>
      <c r="AN242" s="490"/>
      <c r="AO242" s="490"/>
      <c r="AP242" s="490"/>
      <c r="AQ242" s="490"/>
      <c r="AR242" s="490"/>
      <c r="AS242" s="490"/>
      <c r="AT242" s="490"/>
      <c r="AU242" s="490"/>
      <c r="AV242" s="490"/>
      <c r="AW242" s="490"/>
      <c r="AX242" s="490"/>
      <c r="AY242" s="490"/>
      <c r="AZ242" s="490"/>
      <c r="BA242" s="490"/>
      <c r="BB242" s="490"/>
      <c r="BC242" s="490"/>
      <c r="BD242" s="490"/>
      <c r="BE242" s="490"/>
      <c r="BF242" s="490"/>
      <c r="BG242" s="490"/>
      <c r="BH242" s="490"/>
      <c r="BI242" s="490"/>
      <c r="BJ242" s="490"/>
      <c r="BK242" s="490"/>
      <c r="BL242" s="490"/>
      <c r="BM242" s="490"/>
      <c r="BN242" s="490"/>
      <c r="BO242" s="490"/>
    </row>
    <row r="244" spans="3:67">
      <c r="C244" s="495"/>
      <c r="D244" s="496"/>
      <c r="E244" s="496"/>
      <c r="F244" s="496"/>
      <c r="G244" s="496"/>
      <c r="H244" s="495"/>
      <c r="I244" s="496"/>
      <c r="J244" s="496"/>
      <c r="K244" s="496"/>
      <c r="L244" s="496"/>
      <c r="M244" s="495"/>
      <c r="N244" s="496"/>
      <c r="O244" s="496"/>
      <c r="P244" s="496"/>
      <c r="Q244" s="496"/>
      <c r="R244" s="495"/>
      <c r="S244" s="496"/>
      <c r="T244" s="496"/>
      <c r="U244" s="496"/>
      <c r="V244" s="496"/>
      <c r="W244" s="495"/>
      <c r="X244" s="496"/>
      <c r="Y244" s="496"/>
      <c r="Z244" s="496"/>
      <c r="AA244" s="496"/>
      <c r="AB244" s="495"/>
      <c r="AC244" s="496"/>
      <c r="AD244" s="496"/>
      <c r="AE244" s="496"/>
      <c r="AF244" s="496"/>
      <c r="AG244" s="495"/>
      <c r="AH244" s="496"/>
      <c r="AI244" s="496"/>
      <c r="AJ244" s="496"/>
      <c r="AK244" s="496"/>
      <c r="AL244" s="495"/>
      <c r="AM244" s="496"/>
      <c r="AN244" s="496"/>
      <c r="AO244" s="496"/>
      <c r="AP244" s="496"/>
      <c r="AQ244" s="495"/>
      <c r="AR244" s="496"/>
      <c r="AS244" s="496"/>
      <c r="AT244" s="496"/>
      <c r="AU244" s="496"/>
      <c r="AV244" s="495"/>
      <c r="AW244" s="496"/>
      <c r="AX244" s="496"/>
      <c r="AY244" s="496"/>
      <c r="AZ244" s="496"/>
      <c r="BA244" s="495"/>
      <c r="BB244" s="496"/>
      <c r="BC244" s="496"/>
      <c r="BD244" s="496"/>
      <c r="BE244" s="496"/>
      <c r="BF244" s="495"/>
      <c r="BG244" s="496"/>
      <c r="BH244" s="496"/>
      <c r="BI244" s="496"/>
      <c r="BJ244" s="496"/>
      <c r="BK244" s="495"/>
      <c r="BL244" s="496"/>
      <c r="BM244" s="496"/>
      <c r="BN244" s="496"/>
      <c r="BO244" s="496"/>
    </row>
    <row r="245" spans="3:67">
      <c r="C245" s="497"/>
      <c r="D245" s="498"/>
      <c r="E245" s="498"/>
      <c r="F245" s="498"/>
      <c r="G245" s="498"/>
      <c r="H245" s="497"/>
      <c r="I245" s="498"/>
      <c r="J245" s="498"/>
      <c r="K245" s="498"/>
      <c r="L245" s="498"/>
      <c r="M245" s="497"/>
      <c r="N245" s="498"/>
      <c r="O245" s="498"/>
      <c r="P245" s="498"/>
      <c r="Q245" s="498"/>
      <c r="R245" s="497"/>
      <c r="S245" s="498"/>
      <c r="T245" s="498"/>
      <c r="U245" s="498"/>
      <c r="V245" s="498"/>
      <c r="W245" s="497"/>
      <c r="X245" s="498"/>
      <c r="Y245" s="498"/>
      <c r="Z245" s="498"/>
      <c r="AA245" s="498"/>
      <c r="AB245" s="497"/>
      <c r="AC245" s="498"/>
      <c r="AD245" s="498"/>
      <c r="AE245" s="498"/>
      <c r="AF245" s="498"/>
      <c r="AG245" s="497"/>
      <c r="AH245" s="498"/>
      <c r="AI245" s="498"/>
      <c r="AJ245" s="498"/>
      <c r="AK245" s="498"/>
      <c r="AL245" s="497"/>
      <c r="AM245" s="498"/>
      <c r="AN245" s="498"/>
      <c r="AO245" s="498"/>
      <c r="AP245" s="498"/>
      <c r="AQ245" s="497"/>
      <c r="AR245" s="498"/>
      <c r="AS245" s="498"/>
      <c r="AT245" s="498"/>
      <c r="AU245" s="498"/>
      <c r="AV245" s="497"/>
      <c r="AW245" s="498"/>
      <c r="AX245" s="498"/>
      <c r="AY245" s="498"/>
      <c r="AZ245" s="498"/>
      <c r="BA245" s="497"/>
      <c r="BB245" s="498"/>
      <c r="BC245" s="498"/>
      <c r="BD245" s="498"/>
      <c r="BE245" s="498"/>
      <c r="BF245" s="497"/>
      <c r="BG245" s="498"/>
      <c r="BH245" s="498"/>
      <c r="BI245" s="498"/>
      <c r="BJ245" s="498"/>
      <c r="BK245" s="497"/>
      <c r="BL245" s="498"/>
      <c r="BM245" s="498"/>
      <c r="BN245" s="498"/>
      <c r="BO245" s="498"/>
    </row>
    <row r="246" spans="3:67">
      <c r="C246" s="463"/>
      <c r="D246" s="384"/>
      <c r="E246" s="384"/>
      <c r="F246" s="384"/>
      <c r="G246" s="384"/>
      <c r="H246" s="463"/>
      <c r="I246" s="384"/>
      <c r="J246" s="384"/>
      <c r="K246" s="384"/>
      <c r="L246" s="384"/>
      <c r="M246" s="463"/>
      <c r="N246" s="384"/>
      <c r="O246" s="384"/>
      <c r="P246" s="384"/>
      <c r="Q246" s="384"/>
      <c r="R246" s="463"/>
      <c r="S246" s="384"/>
      <c r="T246" s="384"/>
      <c r="U246" s="384"/>
      <c r="V246" s="384"/>
      <c r="W246" s="463"/>
      <c r="X246" s="384"/>
      <c r="Y246" s="384"/>
      <c r="Z246" s="384"/>
      <c r="AA246" s="384"/>
      <c r="AB246" s="463"/>
      <c r="AC246" s="384"/>
      <c r="AD246" s="384"/>
      <c r="AE246" s="384"/>
      <c r="AF246" s="384"/>
      <c r="AG246" s="463"/>
      <c r="AH246" s="384"/>
      <c r="AI246" s="384"/>
      <c r="AJ246" s="384"/>
      <c r="AK246" s="384"/>
      <c r="AL246" s="463"/>
      <c r="AM246" s="384"/>
      <c r="AN246" s="384"/>
      <c r="AO246" s="384"/>
      <c r="AP246" s="384"/>
      <c r="AQ246" s="463"/>
      <c r="AR246" s="384"/>
      <c r="AS246" s="384"/>
      <c r="AT246" s="384"/>
      <c r="AU246" s="384"/>
      <c r="AV246" s="463"/>
      <c r="AW246" s="384"/>
      <c r="AX246" s="384"/>
      <c r="AY246" s="384"/>
      <c r="AZ246" s="384"/>
      <c r="BA246" s="463"/>
      <c r="BB246" s="384"/>
      <c r="BC246" s="384"/>
      <c r="BD246" s="384"/>
      <c r="BE246" s="384"/>
      <c r="BF246" s="463"/>
      <c r="BG246" s="384"/>
      <c r="BH246" s="384"/>
      <c r="BI246" s="384"/>
      <c r="BJ246" s="384"/>
      <c r="BK246" s="463"/>
      <c r="BL246" s="384"/>
      <c r="BM246" s="384"/>
      <c r="BN246" s="384"/>
      <c r="BO246" s="384"/>
    </row>
    <row r="247" spans="3:67">
      <c r="C247" s="463"/>
      <c r="D247" s="384"/>
      <c r="E247" s="384"/>
      <c r="F247" s="384"/>
      <c r="G247" s="384"/>
      <c r="H247" s="463"/>
      <c r="I247" s="384"/>
      <c r="J247" s="384"/>
      <c r="K247" s="384"/>
      <c r="L247" s="384"/>
      <c r="M247" s="463"/>
      <c r="N247" s="384"/>
      <c r="O247" s="384"/>
      <c r="P247" s="384"/>
      <c r="Q247" s="384"/>
      <c r="R247" s="463"/>
      <c r="S247" s="384"/>
      <c r="T247" s="384"/>
      <c r="U247" s="384"/>
      <c r="V247" s="384"/>
      <c r="W247" s="463"/>
      <c r="X247" s="384"/>
      <c r="Y247" s="384"/>
      <c r="Z247" s="384"/>
      <c r="AA247" s="384"/>
      <c r="AB247" s="463"/>
      <c r="AC247" s="384"/>
      <c r="AD247" s="384"/>
      <c r="AE247" s="384"/>
      <c r="AF247" s="384"/>
      <c r="AG247" s="463"/>
      <c r="AH247" s="384"/>
      <c r="AI247" s="384"/>
      <c r="AJ247" s="384"/>
      <c r="AK247" s="384"/>
      <c r="AL247" s="463"/>
      <c r="AM247" s="384"/>
      <c r="AN247" s="384"/>
      <c r="AO247" s="384"/>
      <c r="AP247" s="384"/>
      <c r="AQ247" s="463"/>
      <c r="AR247" s="384"/>
      <c r="AS247" s="384"/>
      <c r="AT247" s="384"/>
      <c r="AU247" s="384"/>
      <c r="AV247" s="463"/>
      <c r="AW247" s="384"/>
      <c r="AX247" s="384"/>
      <c r="AY247" s="384"/>
      <c r="AZ247" s="384"/>
      <c r="BA247" s="463"/>
      <c r="BB247" s="384"/>
      <c r="BC247" s="384"/>
      <c r="BD247" s="384"/>
      <c r="BE247" s="384"/>
      <c r="BF247" s="463"/>
      <c r="BG247" s="384"/>
      <c r="BH247" s="384"/>
      <c r="BI247" s="384"/>
      <c r="BJ247" s="384"/>
      <c r="BK247" s="463"/>
      <c r="BL247" s="384"/>
      <c r="BM247" s="384"/>
      <c r="BN247" s="384"/>
      <c r="BO247" s="384"/>
    </row>
    <row r="248" spans="3:67">
      <c r="C248" s="463"/>
      <c r="D248" s="384"/>
      <c r="E248" s="384"/>
      <c r="F248" s="384"/>
      <c r="G248" s="384"/>
      <c r="H248" s="463"/>
      <c r="I248" s="384"/>
      <c r="J248" s="384"/>
      <c r="K248" s="384"/>
      <c r="L248" s="384"/>
      <c r="M248" s="463"/>
      <c r="N248" s="384"/>
      <c r="O248" s="384"/>
      <c r="P248" s="384"/>
      <c r="Q248" s="384"/>
      <c r="R248" s="463"/>
      <c r="S248" s="384"/>
      <c r="T248" s="384"/>
      <c r="U248" s="384"/>
      <c r="V248" s="384"/>
      <c r="W248" s="463"/>
      <c r="X248" s="384"/>
      <c r="Y248" s="384"/>
      <c r="Z248" s="384"/>
      <c r="AA248" s="384"/>
      <c r="AB248" s="463"/>
      <c r="AC248" s="384"/>
      <c r="AD248" s="384"/>
      <c r="AE248" s="384"/>
      <c r="AF248" s="384"/>
      <c r="AG248" s="463"/>
      <c r="AH248" s="384"/>
      <c r="AI248" s="384"/>
      <c r="AJ248" s="384"/>
      <c r="AK248" s="384"/>
      <c r="AL248" s="463"/>
      <c r="AM248" s="384"/>
      <c r="AN248" s="384"/>
      <c r="AO248" s="384"/>
      <c r="AP248" s="384"/>
      <c r="AQ248" s="463"/>
      <c r="AR248" s="384"/>
      <c r="AS248" s="384"/>
      <c r="AT248" s="384"/>
      <c r="AU248" s="384"/>
      <c r="AV248" s="463"/>
      <c r="AW248" s="384"/>
      <c r="AX248" s="384"/>
      <c r="AY248" s="384"/>
      <c r="AZ248" s="384"/>
      <c r="BA248" s="463"/>
      <c r="BB248" s="384"/>
      <c r="BC248" s="384"/>
      <c r="BD248" s="384"/>
      <c r="BE248" s="384"/>
      <c r="BF248" s="463"/>
      <c r="BG248" s="384"/>
      <c r="BH248" s="384"/>
      <c r="BI248" s="384"/>
      <c r="BJ248" s="384"/>
      <c r="BK248" s="463"/>
      <c r="BL248" s="384"/>
      <c r="BM248" s="384"/>
      <c r="BN248" s="384"/>
      <c r="BO248" s="384"/>
    </row>
    <row r="249" spans="3:67">
      <c r="C249" s="497"/>
      <c r="D249" s="498"/>
      <c r="E249" s="498"/>
      <c r="F249" s="498"/>
      <c r="G249" s="498"/>
      <c r="H249" s="497"/>
      <c r="I249" s="498"/>
      <c r="J249" s="498"/>
      <c r="K249" s="498"/>
      <c r="L249" s="498"/>
      <c r="M249" s="497"/>
      <c r="N249" s="498"/>
      <c r="O249" s="498"/>
      <c r="P249" s="498"/>
      <c r="Q249" s="498"/>
      <c r="R249" s="497"/>
      <c r="S249" s="498"/>
      <c r="T249" s="498"/>
      <c r="U249" s="498"/>
      <c r="V249" s="498"/>
      <c r="W249" s="497"/>
      <c r="X249" s="498"/>
      <c r="Y249" s="498"/>
      <c r="Z249" s="498"/>
      <c r="AA249" s="498"/>
      <c r="AB249" s="497"/>
      <c r="AC249" s="498"/>
      <c r="AD249" s="498"/>
      <c r="AE249" s="498"/>
      <c r="AF249" s="498"/>
      <c r="AG249" s="497"/>
      <c r="AH249" s="498"/>
      <c r="AI249" s="498"/>
      <c r="AJ249" s="498"/>
      <c r="AK249" s="498"/>
      <c r="AL249" s="497"/>
      <c r="AM249" s="498"/>
      <c r="AN249" s="498"/>
      <c r="AO249" s="498"/>
      <c r="AP249" s="498"/>
      <c r="AQ249" s="497"/>
      <c r="AR249" s="498"/>
      <c r="AS249" s="498"/>
      <c r="AT249" s="498"/>
      <c r="AU249" s="498"/>
      <c r="AV249" s="497"/>
      <c r="AW249" s="498"/>
      <c r="AX249" s="498"/>
      <c r="AY249" s="498"/>
      <c r="AZ249" s="498"/>
      <c r="BA249" s="497"/>
      <c r="BB249" s="498"/>
      <c r="BC249" s="498"/>
      <c r="BD249" s="498"/>
      <c r="BE249" s="498"/>
      <c r="BF249" s="497"/>
      <c r="BG249" s="498"/>
      <c r="BH249" s="498"/>
      <c r="BI249" s="498"/>
      <c r="BJ249" s="498"/>
      <c r="BK249" s="497"/>
      <c r="BL249" s="498"/>
      <c r="BM249" s="498"/>
      <c r="BN249" s="498"/>
      <c r="BO249" s="498"/>
    </row>
    <row r="250" spans="3:67">
      <c r="C250" s="394"/>
      <c r="D250" s="395"/>
      <c r="E250" s="395"/>
      <c r="F250" s="395"/>
      <c r="G250" s="395"/>
      <c r="H250" s="394"/>
      <c r="I250" s="395"/>
      <c r="J250" s="395"/>
      <c r="K250" s="395"/>
      <c r="L250" s="395"/>
      <c r="M250" s="394"/>
      <c r="N250" s="395"/>
      <c r="O250" s="395"/>
      <c r="P250" s="395"/>
      <c r="Q250" s="395"/>
      <c r="R250" s="394"/>
      <c r="S250" s="395"/>
      <c r="T250" s="395"/>
      <c r="U250" s="395"/>
      <c r="V250" s="395"/>
      <c r="W250" s="394"/>
      <c r="X250" s="395"/>
      <c r="Y250" s="395"/>
      <c r="Z250" s="395"/>
      <c r="AA250" s="395"/>
      <c r="AB250" s="394"/>
      <c r="AC250" s="395"/>
      <c r="AD250" s="395"/>
      <c r="AE250" s="395"/>
      <c r="AF250" s="395"/>
      <c r="AG250" s="394"/>
      <c r="AH250" s="395"/>
      <c r="AI250" s="395"/>
      <c r="AJ250" s="395"/>
      <c r="AK250" s="395"/>
      <c r="AL250" s="394"/>
      <c r="AM250" s="395"/>
      <c r="AN250" s="395"/>
      <c r="AO250" s="395"/>
      <c r="AP250" s="395"/>
      <c r="AQ250" s="394"/>
      <c r="AR250" s="395"/>
      <c r="AS250" s="395"/>
      <c r="AT250" s="395"/>
      <c r="AU250" s="395"/>
      <c r="AV250" s="394"/>
      <c r="AW250" s="395"/>
      <c r="AX250" s="395"/>
      <c r="AY250" s="395"/>
      <c r="AZ250" s="395"/>
      <c r="BA250" s="394"/>
      <c r="BB250" s="395"/>
      <c r="BC250" s="395"/>
      <c r="BD250" s="395"/>
      <c r="BE250" s="395"/>
      <c r="BF250" s="394"/>
      <c r="BG250" s="395"/>
      <c r="BH250" s="395"/>
      <c r="BI250" s="395"/>
      <c r="BJ250" s="395"/>
      <c r="BK250" s="394"/>
      <c r="BL250" s="395"/>
      <c r="BM250" s="395"/>
      <c r="BN250" s="395"/>
      <c r="BO250" s="395"/>
    </row>
    <row r="251" spans="3:67">
      <c r="C251" s="394"/>
      <c r="D251" s="395"/>
      <c r="E251" s="395"/>
      <c r="F251" s="395"/>
      <c r="G251" s="395"/>
      <c r="H251" s="394"/>
      <c r="I251" s="395"/>
      <c r="J251" s="395"/>
      <c r="K251" s="395"/>
      <c r="L251" s="395"/>
      <c r="M251" s="394"/>
      <c r="N251" s="395"/>
      <c r="O251" s="395"/>
      <c r="P251" s="395"/>
      <c r="Q251" s="395"/>
      <c r="R251" s="394"/>
      <c r="S251" s="395"/>
      <c r="T251" s="395"/>
      <c r="U251" s="395"/>
      <c r="V251" s="395"/>
      <c r="W251" s="394"/>
      <c r="X251" s="395"/>
      <c r="Y251" s="395"/>
      <c r="Z251" s="395"/>
      <c r="AA251" s="395"/>
      <c r="AB251" s="394"/>
      <c r="AC251" s="395"/>
      <c r="AD251" s="395"/>
      <c r="AE251" s="395"/>
      <c r="AF251" s="395"/>
      <c r="AG251" s="394"/>
      <c r="AH251" s="395"/>
      <c r="AI251" s="395"/>
      <c r="AJ251" s="395"/>
      <c r="AK251" s="395"/>
      <c r="AL251" s="394"/>
      <c r="AM251" s="395"/>
      <c r="AN251" s="395"/>
      <c r="AO251" s="395"/>
      <c r="AP251" s="395"/>
      <c r="AQ251" s="394"/>
      <c r="AR251" s="395"/>
      <c r="AS251" s="395"/>
      <c r="AT251" s="395"/>
      <c r="AU251" s="395"/>
      <c r="AV251" s="394"/>
      <c r="AW251" s="395"/>
      <c r="AX251" s="395"/>
      <c r="AY251" s="395"/>
      <c r="AZ251" s="395"/>
      <c r="BA251" s="394"/>
      <c r="BB251" s="395"/>
      <c r="BC251" s="395"/>
      <c r="BD251" s="395"/>
      <c r="BE251" s="395"/>
      <c r="BF251" s="394"/>
      <c r="BG251" s="395"/>
      <c r="BH251" s="395"/>
      <c r="BI251" s="395"/>
      <c r="BJ251" s="395"/>
      <c r="BK251" s="394"/>
      <c r="BL251" s="395"/>
      <c r="BM251" s="395"/>
      <c r="BN251" s="395"/>
      <c r="BO251" s="395"/>
    </row>
    <row r="252" spans="3:67">
      <c r="C252" s="394"/>
      <c r="D252" s="395"/>
      <c r="E252" s="395"/>
      <c r="F252" s="395"/>
      <c r="G252" s="395"/>
      <c r="H252" s="394"/>
      <c r="I252" s="395"/>
      <c r="J252" s="395"/>
      <c r="K252" s="395"/>
      <c r="L252" s="395"/>
      <c r="M252" s="394"/>
      <c r="N252" s="395"/>
      <c r="O252" s="395"/>
      <c r="P252" s="395"/>
      <c r="Q252" s="395"/>
      <c r="R252" s="394"/>
      <c r="S252" s="395"/>
      <c r="T252" s="395"/>
      <c r="U252" s="395"/>
      <c r="V252" s="395"/>
      <c r="W252" s="394"/>
      <c r="X252" s="395"/>
      <c r="Y252" s="395"/>
      <c r="Z252" s="395"/>
      <c r="AA252" s="395"/>
      <c r="AB252" s="394"/>
      <c r="AC252" s="395"/>
      <c r="AD252" s="395"/>
      <c r="AE252" s="395"/>
      <c r="AF252" s="395"/>
      <c r="AG252" s="394"/>
      <c r="AH252" s="395"/>
      <c r="AI252" s="395"/>
      <c r="AJ252" s="395"/>
      <c r="AK252" s="395"/>
      <c r="AL252" s="394"/>
      <c r="AM252" s="395"/>
      <c r="AN252" s="395"/>
      <c r="AO252" s="395"/>
      <c r="AP252" s="395"/>
      <c r="AQ252" s="394"/>
      <c r="AR252" s="395"/>
      <c r="AS252" s="395"/>
      <c r="AT252" s="395"/>
      <c r="AU252" s="395"/>
      <c r="AV252" s="394"/>
      <c r="AW252" s="395"/>
      <c r="AX252" s="395"/>
      <c r="AY252" s="395"/>
      <c r="AZ252" s="395"/>
      <c r="BA252" s="394"/>
      <c r="BB252" s="395"/>
      <c r="BC252" s="395"/>
      <c r="BD252" s="395"/>
      <c r="BE252" s="395"/>
      <c r="BF252" s="394"/>
      <c r="BG252" s="395"/>
      <c r="BH252" s="395"/>
      <c r="BI252" s="395"/>
      <c r="BJ252" s="395"/>
      <c r="BK252" s="394"/>
      <c r="BL252" s="395"/>
      <c r="BM252" s="395"/>
      <c r="BN252" s="395"/>
      <c r="BO252" s="395"/>
    </row>
    <row r="253" spans="3:67">
      <c r="C253" s="499"/>
      <c r="D253" s="500"/>
      <c r="E253" s="500"/>
      <c r="F253" s="500"/>
      <c r="G253" s="500"/>
      <c r="H253" s="499"/>
      <c r="I253" s="500"/>
      <c r="J253" s="500"/>
      <c r="K253" s="500"/>
      <c r="L253" s="500"/>
      <c r="M253" s="499"/>
      <c r="N253" s="500"/>
      <c r="O253" s="500"/>
      <c r="P253" s="500"/>
      <c r="Q253" s="500"/>
      <c r="R253" s="499"/>
      <c r="S253" s="500"/>
      <c r="T253" s="500"/>
      <c r="U253" s="500"/>
      <c r="V253" s="500"/>
      <c r="W253" s="499"/>
      <c r="X253" s="500"/>
      <c r="Y253" s="500"/>
      <c r="Z253" s="500"/>
      <c r="AA253" s="500"/>
      <c r="AB253" s="499"/>
      <c r="AC253" s="500"/>
      <c r="AD253" s="500"/>
      <c r="AE253" s="500"/>
      <c r="AF253" s="500"/>
      <c r="AG253" s="499"/>
      <c r="AH253" s="500"/>
      <c r="AI253" s="500"/>
      <c r="AJ253" s="500"/>
      <c r="AK253" s="500"/>
      <c r="AL253" s="499"/>
      <c r="AM253" s="500"/>
      <c r="AN253" s="500"/>
      <c r="AO253" s="500"/>
      <c r="AP253" s="500"/>
      <c r="AQ253" s="499"/>
      <c r="AR253" s="500"/>
      <c r="AS253" s="500"/>
      <c r="AT253" s="500"/>
      <c r="AU253" s="500"/>
      <c r="AV253" s="499"/>
      <c r="AW253" s="500"/>
      <c r="AX253" s="500"/>
      <c r="AY253" s="500"/>
      <c r="AZ253" s="500"/>
      <c r="BA253" s="499"/>
      <c r="BB253" s="500"/>
      <c r="BC253" s="500"/>
      <c r="BD253" s="500"/>
      <c r="BE253" s="500"/>
      <c r="BF253" s="499"/>
      <c r="BG253" s="500"/>
      <c r="BH253" s="500"/>
      <c r="BI253" s="500"/>
      <c r="BJ253" s="500"/>
      <c r="BK253" s="499"/>
      <c r="BL253" s="500"/>
      <c r="BM253" s="500"/>
      <c r="BN253" s="500"/>
      <c r="BO253" s="500"/>
    </row>
    <row r="254" spans="3:67">
      <c r="C254" s="394"/>
      <c r="D254" s="395"/>
      <c r="E254" s="395"/>
      <c r="F254" s="395"/>
      <c r="G254" s="395"/>
      <c r="H254" s="394"/>
      <c r="I254" s="395"/>
      <c r="J254" s="395"/>
      <c r="K254" s="395"/>
      <c r="L254" s="395"/>
      <c r="M254" s="394"/>
      <c r="N254" s="395"/>
      <c r="O254" s="395"/>
      <c r="P254" s="395"/>
      <c r="Q254" s="395"/>
      <c r="R254" s="394"/>
      <c r="S254" s="395"/>
      <c r="T254" s="395"/>
      <c r="U254" s="395"/>
      <c r="V254" s="395"/>
      <c r="W254" s="394"/>
      <c r="X254" s="395"/>
      <c r="Y254" s="395"/>
      <c r="Z254" s="395"/>
      <c r="AA254" s="395"/>
      <c r="AB254" s="394"/>
      <c r="AC254" s="395"/>
      <c r="AD254" s="395"/>
      <c r="AE254" s="395"/>
      <c r="AF254" s="395"/>
      <c r="AG254" s="394"/>
      <c r="AH254" s="395"/>
      <c r="AI254" s="395"/>
      <c r="AJ254" s="395"/>
      <c r="AK254" s="395"/>
      <c r="AL254" s="394"/>
      <c r="AM254" s="395"/>
      <c r="AN254" s="395"/>
      <c r="AO254" s="395"/>
      <c r="AP254" s="395"/>
      <c r="AQ254" s="394"/>
      <c r="AR254" s="395"/>
      <c r="AS254" s="395"/>
      <c r="AT254" s="395"/>
      <c r="AU254" s="395"/>
      <c r="AV254" s="394"/>
      <c r="AW254" s="395"/>
      <c r="AX254" s="395"/>
      <c r="AY254" s="395"/>
      <c r="AZ254" s="395"/>
      <c r="BA254" s="394"/>
      <c r="BB254" s="395"/>
      <c r="BC254" s="395"/>
      <c r="BD254" s="395"/>
      <c r="BE254" s="395"/>
      <c r="BF254" s="394"/>
      <c r="BG254" s="395"/>
      <c r="BH254" s="395"/>
      <c r="BI254" s="395"/>
      <c r="BJ254" s="395"/>
      <c r="BK254" s="394"/>
      <c r="BL254" s="395"/>
      <c r="BM254" s="395"/>
      <c r="BN254" s="395"/>
      <c r="BO254" s="395"/>
    </row>
    <row r="255" spans="3:67">
      <c r="C255" s="497"/>
      <c r="D255" s="395"/>
      <c r="E255" s="395"/>
      <c r="F255" s="395"/>
      <c r="G255" s="395"/>
      <c r="H255" s="497"/>
      <c r="I255" s="395"/>
      <c r="J255" s="395"/>
      <c r="K255" s="395"/>
      <c r="L255" s="395"/>
      <c r="M255" s="497"/>
      <c r="N255" s="395"/>
      <c r="O255" s="395"/>
      <c r="P255" s="395"/>
      <c r="Q255" s="395"/>
      <c r="R255" s="497"/>
      <c r="S255" s="395"/>
      <c r="T255" s="395"/>
      <c r="U255" s="395"/>
      <c r="V255" s="395"/>
      <c r="W255" s="497"/>
      <c r="X255" s="395"/>
      <c r="Y255" s="395"/>
      <c r="Z255" s="395"/>
      <c r="AA255" s="395"/>
      <c r="AB255" s="497"/>
      <c r="AC255" s="395"/>
      <c r="AD255" s="395"/>
      <c r="AE255" s="395"/>
      <c r="AF255" s="395"/>
      <c r="AG255" s="497"/>
      <c r="AH255" s="395"/>
      <c r="AI255" s="395"/>
      <c r="AJ255" s="395"/>
      <c r="AK255" s="395"/>
      <c r="AL255" s="497"/>
      <c r="AM255" s="395"/>
      <c r="AN255" s="395"/>
      <c r="AO255" s="395"/>
      <c r="AP255" s="395"/>
      <c r="AQ255" s="497"/>
      <c r="AR255" s="395"/>
      <c r="AS255" s="395"/>
      <c r="AT255" s="395"/>
      <c r="AU255" s="395"/>
      <c r="AV255" s="497"/>
      <c r="AW255" s="395"/>
      <c r="AX255" s="395"/>
      <c r="AY255" s="395"/>
      <c r="AZ255" s="395"/>
      <c r="BA255" s="497"/>
      <c r="BB255" s="395"/>
      <c r="BC255" s="395"/>
      <c r="BD255" s="395"/>
      <c r="BE255" s="395"/>
      <c r="BF255" s="497"/>
      <c r="BG255" s="395"/>
      <c r="BH255" s="395"/>
      <c r="BI255" s="395"/>
      <c r="BJ255" s="395"/>
      <c r="BK255" s="497"/>
      <c r="BL255" s="395"/>
      <c r="BM255" s="395"/>
      <c r="BN255" s="395"/>
      <c r="BO255" s="395"/>
    </row>
    <row r="256" spans="3:67">
      <c r="C256" s="394"/>
      <c r="D256" s="395"/>
      <c r="E256" s="395"/>
      <c r="F256" s="395"/>
      <c r="G256" s="395"/>
      <c r="H256" s="394"/>
      <c r="I256" s="395"/>
      <c r="J256" s="395"/>
      <c r="K256" s="395"/>
      <c r="L256" s="395"/>
      <c r="M256" s="394"/>
      <c r="N256" s="395"/>
      <c r="O256" s="395"/>
      <c r="P256" s="395"/>
      <c r="Q256" s="395"/>
      <c r="R256" s="394"/>
      <c r="S256" s="395"/>
      <c r="T256" s="395"/>
      <c r="U256" s="395"/>
      <c r="V256" s="395"/>
      <c r="W256" s="394"/>
      <c r="X256" s="395"/>
      <c r="Y256" s="395"/>
      <c r="Z256" s="395"/>
      <c r="AA256" s="395"/>
      <c r="AB256" s="394"/>
      <c r="AC256" s="395"/>
      <c r="AD256" s="395"/>
      <c r="AE256" s="395"/>
      <c r="AF256" s="395"/>
      <c r="AG256" s="394"/>
      <c r="AH256" s="395"/>
      <c r="AI256" s="395"/>
      <c r="AJ256" s="395"/>
      <c r="AK256" s="395"/>
      <c r="AL256" s="394"/>
      <c r="AM256" s="395"/>
      <c r="AN256" s="395"/>
      <c r="AO256" s="395"/>
      <c r="AP256" s="395"/>
      <c r="AQ256" s="394"/>
      <c r="AR256" s="395"/>
      <c r="AS256" s="395"/>
      <c r="AT256" s="395"/>
      <c r="AU256" s="395"/>
      <c r="AV256" s="394"/>
      <c r="AW256" s="395"/>
      <c r="AX256" s="395"/>
      <c r="AY256" s="395"/>
      <c r="AZ256" s="395"/>
      <c r="BA256" s="394"/>
      <c r="BB256" s="395"/>
      <c r="BC256" s="395"/>
      <c r="BD256" s="395"/>
      <c r="BE256" s="395"/>
      <c r="BF256" s="394"/>
      <c r="BG256" s="395"/>
      <c r="BH256" s="395"/>
      <c r="BI256" s="395"/>
      <c r="BJ256" s="395"/>
      <c r="BK256" s="394"/>
      <c r="BL256" s="395"/>
      <c r="BM256" s="395"/>
      <c r="BN256" s="395"/>
      <c r="BO256" s="395"/>
    </row>
    <row r="257" spans="3:67">
      <c r="C257" s="394"/>
      <c r="D257" s="501"/>
      <c r="E257" s="501"/>
      <c r="F257" s="501"/>
      <c r="G257" s="501"/>
      <c r="H257" s="394"/>
      <c r="I257" s="501"/>
      <c r="J257" s="501"/>
      <c r="K257" s="501"/>
      <c r="L257" s="501"/>
      <c r="M257" s="394"/>
      <c r="N257" s="501"/>
      <c r="O257" s="501"/>
      <c r="P257" s="501"/>
      <c r="Q257" s="501"/>
      <c r="R257" s="394"/>
      <c r="S257" s="501"/>
      <c r="T257" s="501"/>
      <c r="U257" s="501"/>
      <c r="V257" s="501"/>
      <c r="W257" s="394"/>
      <c r="X257" s="501"/>
      <c r="Y257" s="501"/>
      <c r="Z257" s="501"/>
      <c r="AA257" s="501"/>
      <c r="AB257" s="394"/>
      <c r="AC257" s="501"/>
      <c r="AD257" s="501"/>
      <c r="AE257" s="501"/>
      <c r="AF257" s="501"/>
      <c r="AG257" s="394"/>
      <c r="AH257" s="501"/>
      <c r="AI257" s="501"/>
      <c r="AJ257" s="501"/>
      <c r="AK257" s="501"/>
      <c r="AL257" s="394"/>
      <c r="AM257" s="501"/>
      <c r="AN257" s="501"/>
      <c r="AO257" s="501"/>
      <c r="AP257" s="501"/>
      <c r="AQ257" s="394"/>
      <c r="AR257" s="501"/>
      <c r="AS257" s="501"/>
      <c r="AT257" s="501"/>
      <c r="AU257" s="501"/>
      <c r="AV257" s="394"/>
      <c r="AW257" s="501"/>
      <c r="AX257" s="501"/>
      <c r="AY257" s="501"/>
      <c r="AZ257" s="501"/>
      <c r="BA257" s="394"/>
      <c r="BB257" s="501"/>
      <c r="BC257" s="501"/>
      <c r="BD257" s="501"/>
      <c r="BE257" s="501"/>
      <c r="BF257" s="394"/>
      <c r="BG257" s="501"/>
      <c r="BH257" s="501"/>
      <c r="BI257" s="501"/>
      <c r="BJ257" s="501"/>
      <c r="BK257" s="394"/>
      <c r="BL257" s="501"/>
      <c r="BM257" s="501"/>
      <c r="BN257" s="501"/>
      <c r="BO257" s="501"/>
    </row>
    <row r="258" spans="3:67">
      <c r="C258" s="502"/>
      <c r="D258" s="503"/>
      <c r="E258" s="503"/>
      <c r="F258" s="503"/>
      <c r="G258" s="503"/>
      <c r="H258" s="502"/>
      <c r="I258" s="503"/>
      <c r="J258" s="503"/>
      <c r="K258" s="503"/>
      <c r="L258" s="503"/>
      <c r="M258" s="502"/>
      <c r="N258" s="503"/>
      <c r="O258" s="503"/>
      <c r="P258" s="503"/>
      <c r="Q258" s="503"/>
      <c r="R258" s="502"/>
      <c r="S258" s="503"/>
      <c r="T258" s="503"/>
      <c r="U258" s="503"/>
      <c r="V258" s="503"/>
      <c r="W258" s="502"/>
      <c r="X258" s="503"/>
      <c r="Y258" s="503"/>
      <c r="Z258" s="503"/>
      <c r="AA258" s="503"/>
      <c r="AB258" s="502"/>
      <c r="AC258" s="503"/>
      <c r="AD258" s="503"/>
      <c r="AE258" s="503"/>
      <c r="AF258" s="503"/>
      <c r="AG258" s="502"/>
      <c r="AH258" s="503"/>
      <c r="AI258" s="503"/>
      <c r="AJ258" s="503"/>
      <c r="AK258" s="503"/>
      <c r="AL258" s="502"/>
      <c r="AM258" s="503"/>
      <c r="AN258" s="503"/>
      <c r="AO258" s="503"/>
      <c r="AP258" s="503"/>
      <c r="AQ258" s="502"/>
      <c r="AR258" s="503"/>
      <c r="AS258" s="503"/>
      <c r="AT258" s="503"/>
      <c r="AU258" s="503"/>
      <c r="AV258" s="502"/>
      <c r="AW258" s="503"/>
      <c r="AX258" s="503"/>
      <c r="AY258" s="503"/>
      <c r="AZ258" s="503"/>
      <c r="BA258" s="502"/>
      <c r="BB258" s="503"/>
      <c r="BC258" s="503"/>
      <c r="BD258" s="503"/>
      <c r="BE258" s="503"/>
      <c r="BF258" s="502"/>
      <c r="BG258" s="503"/>
      <c r="BH258" s="503"/>
      <c r="BI258" s="503"/>
      <c r="BJ258" s="503"/>
      <c r="BK258" s="502"/>
      <c r="BL258" s="503"/>
      <c r="BM258" s="503"/>
      <c r="BN258" s="503"/>
      <c r="BO258" s="503"/>
    </row>
    <row r="261" spans="3:67">
      <c r="C261" s="463"/>
      <c r="D261" s="384"/>
      <c r="E261" s="384"/>
      <c r="F261" s="384"/>
      <c r="G261" s="384"/>
      <c r="H261" s="463"/>
      <c r="I261" s="384"/>
      <c r="J261" s="384"/>
      <c r="K261" s="384"/>
      <c r="L261" s="384"/>
      <c r="M261" s="463"/>
      <c r="N261" s="384"/>
      <c r="O261" s="384"/>
      <c r="P261" s="384"/>
      <c r="Q261" s="384"/>
      <c r="R261" s="463"/>
      <c r="S261" s="384"/>
      <c r="T261" s="384"/>
      <c r="U261" s="384"/>
      <c r="V261" s="384"/>
      <c r="W261" s="463"/>
      <c r="X261" s="384"/>
      <c r="Y261" s="384"/>
      <c r="Z261" s="384"/>
      <c r="AA261" s="384"/>
      <c r="AB261" s="463"/>
      <c r="AC261" s="384"/>
      <c r="AD261" s="384"/>
      <c r="AE261" s="384"/>
      <c r="AF261" s="384"/>
      <c r="AG261" s="463"/>
      <c r="AH261" s="384"/>
      <c r="AI261" s="384"/>
      <c r="AJ261" s="384"/>
      <c r="AK261" s="384"/>
      <c r="AL261" s="463"/>
      <c r="AM261" s="384"/>
      <c r="AN261" s="384"/>
      <c r="AO261" s="384"/>
      <c r="AP261" s="384"/>
      <c r="AQ261" s="463"/>
      <c r="AR261" s="384"/>
      <c r="AS261" s="384"/>
      <c r="AT261" s="384"/>
      <c r="AU261" s="384"/>
      <c r="AV261" s="463"/>
      <c r="AW261" s="384"/>
      <c r="AX261" s="384"/>
      <c r="AY261" s="384"/>
      <c r="AZ261" s="384"/>
      <c r="BA261" s="463"/>
      <c r="BB261" s="384"/>
      <c r="BC261" s="384"/>
      <c r="BD261" s="384"/>
      <c r="BE261" s="384"/>
      <c r="BF261" s="463"/>
      <c r="BG261" s="384"/>
      <c r="BH261" s="384"/>
      <c r="BI261" s="384"/>
      <c r="BJ261" s="384"/>
      <c r="BK261" s="463"/>
      <c r="BL261" s="384"/>
      <c r="BM261" s="384"/>
      <c r="BN261" s="384"/>
      <c r="BO261" s="384"/>
    </row>
    <row r="264" spans="3:67">
      <c r="C264" s="504"/>
      <c r="D264" s="505"/>
      <c r="E264" s="505"/>
      <c r="F264" s="505"/>
      <c r="G264" s="505"/>
      <c r="H264" s="504"/>
      <c r="I264" s="505"/>
      <c r="J264" s="505"/>
      <c r="K264" s="505"/>
      <c r="L264" s="505"/>
      <c r="M264" s="504"/>
      <c r="N264" s="505"/>
      <c r="O264" s="505"/>
      <c r="P264" s="505"/>
      <c r="Q264" s="505"/>
      <c r="R264" s="504"/>
      <c r="S264" s="505"/>
      <c r="T264" s="505"/>
      <c r="U264" s="505"/>
      <c r="V264" s="505"/>
      <c r="W264" s="504"/>
      <c r="X264" s="505"/>
      <c r="Y264" s="505"/>
      <c r="Z264" s="505"/>
      <c r="AA264" s="505"/>
      <c r="AB264" s="504"/>
      <c r="AC264" s="505"/>
      <c r="AD264" s="505"/>
      <c r="AE264" s="505"/>
      <c r="AF264" s="505"/>
      <c r="AG264" s="504"/>
      <c r="AH264" s="505"/>
      <c r="AI264" s="505"/>
      <c r="AJ264" s="505"/>
      <c r="AK264" s="505"/>
      <c r="AL264" s="504"/>
      <c r="AM264" s="505"/>
      <c r="AN264" s="505"/>
      <c r="AO264" s="505"/>
      <c r="AP264" s="505"/>
      <c r="AQ264" s="504"/>
      <c r="AR264" s="505"/>
      <c r="AS264" s="505"/>
      <c r="AT264" s="505"/>
      <c r="AU264" s="505"/>
      <c r="AV264" s="504"/>
      <c r="AW264" s="505"/>
      <c r="AX264" s="505"/>
      <c r="AY264" s="505"/>
      <c r="AZ264" s="505"/>
      <c r="BA264" s="504"/>
      <c r="BB264" s="505"/>
      <c r="BC264" s="505"/>
      <c r="BD264" s="505"/>
      <c r="BE264" s="505"/>
      <c r="BF264" s="504"/>
      <c r="BG264" s="505"/>
      <c r="BH264" s="505"/>
      <c r="BI264" s="505"/>
      <c r="BJ264" s="505"/>
      <c r="BK264" s="504"/>
      <c r="BL264" s="505"/>
      <c r="BM264" s="505"/>
      <c r="BN264" s="505"/>
      <c r="BO264" s="505"/>
    </row>
    <row r="267" spans="3:67">
      <c r="C267" s="463"/>
      <c r="D267" s="384"/>
      <c r="E267" s="384"/>
      <c r="F267" s="384"/>
      <c r="G267" s="384"/>
      <c r="H267" s="463"/>
      <c r="I267" s="384"/>
      <c r="J267" s="384"/>
      <c r="K267" s="384"/>
      <c r="L267" s="384"/>
      <c r="M267" s="463"/>
      <c r="N267" s="384"/>
      <c r="O267" s="384"/>
      <c r="P267" s="384"/>
      <c r="Q267" s="384"/>
      <c r="R267" s="463"/>
      <c r="S267" s="384"/>
      <c r="T267" s="384"/>
      <c r="U267" s="384"/>
      <c r="V267" s="384"/>
      <c r="W267" s="463"/>
      <c r="X267" s="384"/>
      <c r="Y267" s="384"/>
      <c r="Z267" s="384"/>
      <c r="AA267" s="384"/>
      <c r="AB267" s="463"/>
      <c r="AC267" s="384"/>
      <c r="AD267" s="384"/>
      <c r="AE267" s="384"/>
      <c r="AF267" s="384"/>
      <c r="AG267" s="463"/>
      <c r="AH267" s="384"/>
      <c r="AI267" s="384"/>
      <c r="AJ267" s="384"/>
      <c r="AK267" s="384"/>
      <c r="AL267" s="463"/>
      <c r="AM267" s="384"/>
      <c r="AN267" s="384"/>
      <c r="AO267" s="384"/>
      <c r="AP267" s="384"/>
      <c r="AQ267" s="463"/>
      <c r="AR267" s="384"/>
      <c r="AS267" s="384"/>
      <c r="AT267" s="384"/>
      <c r="AU267" s="384"/>
      <c r="AV267" s="463"/>
      <c r="AW267" s="384"/>
      <c r="AX267" s="384"/>
      <c r="AY267" s="384"/>
      <c r="AZ267" s="384"/>
      <c r="BA267" s="463"/>
      <c r="BB267" s="384"/>
      <c r="BC267" s="384"/>
      <c r="BD267" s="384"/>
      <c r="BE267" s="384"/>
      <c r="BF267" s="463"/>
      <c r="BG267" s="384"/>
      <c r="BH267" s="384"/>
      <c r="BI267" s="384"/>
      <c r="BJ267" s="384"/>
      <c r="BK267" s="463"/>
      <c r="BL267" s="384"/>
      <c r="BM267" s="384"/>
      <c r="BN267" s="384"/>
      <c r="BO267" s="384"/>
    </row>
    <row r="268" spans="3:67">
      <c r="C268" s="506"/>
      <c r="D268" s="507"/>
      <c r="E268" s="507"/>
      <c r="F268" s="507"/>
      <c r="G268" s="507"/>
      <c r="H268" s="506"/>
      <c r="I268" s="507"/>
      <c r="J268" s="507"/>
      <c r="K268" s="507"/>
      <c r="L268" s="507"/>
      <c r="M268" s="506"/>
      <c r="N268" s="507"/>
      <c r="O268" s="507"/>
      <c r="P268" s="507"/>
      <c r="Q268" s="507"/>
      <c r="R268" s="506"/>
      <c r="S268" s="507"/>
      <c r="T268" s="507"/>
      <c r="U268" s="507"/>
      <c r="V268" s="507"/>
      <c r="W268" s="506"/>
      <c r="X268" s="507"/>
      <c r="Y268" s="507"/>
      <c r="Z268" s="507"/>
      <c r="AA268" s="507"/>
      <c r="AB268" s="506"/>
      <c r="AC268" s="507"/>
      <c r="AD268" s="507"/>
      <c r="AE268" s="507"/>
      <c r="AF268" s="507"/>
      <c r="AG268" s="506"/>
      <c r="AH268" s="507"/>
      <c r="AI268" s="507"/>
      <c r="AJ268" s="507"/>
      <c r="AK268" s="507"/>
      <c r="AL268" s="506"/>
      <c r="AM268" s="507"/>
      <c r="AN268" s="507"/>
      <c r="AO268" s="507"/>
      <c r="AP268" s="507"/>
      <c r="AQ268" s="506"/>
      <c r="AR268" s="507"/>
      <c r="AS268" s="507"/>
      <c r="AT268" s="507"/>
      <c r="AU268" s="507"/>
      <c r="AV268" s="506"/>
      <c r="AW268" s="507"/>
      <c r="AX268" s="507"/>
      <c r="AY268" s="507"/>
      <c r="AZ268" s="507"/>
      <c r="BA268" s="506"/>
      <c r="BB268" s="507"/>
      <c r="BC268" s="507"/>
      <c r="BD268" s="507"/>
      <c r="BE268" s="507"/>
      <c r="BF268" s="506"/>
      <c r="BG268" s="507"/>
      <c r="BH268" s="507"/>
      <c r="BI268" s="507"/>
      <c r="BJ268" s="507"/>
      <c r="BK268" s="506"/>
      <c r="BL268" s="507"/>
      <c r="BM268" s="507"/>
      <c r="BN268" s="507"/>
      <c r="BO268" s="507"/>
    </row>
    <row r="269" spans="3:67">
      <c r="C269" s="502"/>
      <c r="D269" s="384"/>
      <c r="E269" s="384"/>
      <c r="F269" s="384"/>
      <c r="G269" s="384"/>
      <c r="H269" s="502"/>
      <c r="I269" s="384"/>
      <c r="J269" s="384"/>
      <c r="K269" s="384"/>
      <c r="L269" s="384"/>
      <c r="M269" s="502"/>
      <c r="N269" s="384"/>
      <c r="O269" s="384"/>
      <c r="P269" s="384"/>
      <c r="Q269" s="384"/>
      <c r="R269" s="502"/>
      <c r="S269" s="384"/>
      <c r="T269" s="384"/>
      <c r="U269" s="384"/>
      <c r="V269" s="384"/>
      <c r="W269" s="502"/>
      <c r="X269" s="384"/>
      <c r="Y269" s="384"/>
      <c r="Z269" s="384"/>
      <c r="AA269" s="384"/>
      <c r="AB269" s="502"/>
      <c r="AC269" s="384"/>
      <c r="AD269" s="384"/>
      <c r="AE269" s="384"/>
      <c r="AF269" s="384"/>
      <c r="AG269" s="502"/>
      <c r="AH269" s="384"/>
      <c r="AI269" s="384"/>
      <c r="AJ269" s="384"/>
      <c r="AK269" s="384"/>
      <c r="AL269" s="502"/>
      <c r="AM269" s="384"/>
      <c r="AN269" s="384"/>
      <c r="AO269" s="384"/>
      <c r="AP269" s="384"/>
      <c r="AQ269" s="502"/>
      <c r="AR269" s="384"/>
      <c r="AS269" s="384"/>
      <c r="AT269" s="384"/>
      <c r="AU269" s="384"/>
      <c r="AV269" s="502"/>
      <c r="AW269" s="384"/>
      <c r="AX269" s="384"/>
      <c r="AY269" s="384"/>
      <c r="AZ269" s="384"/>
      <c r="BA269" s="502"/>
      <c r="BB269" s="384"/>
      <c r="BC269" s="384"/>
      <c r="BD269" s="384"/>
      <c r="BE269" s="384"/>
      <c r="BF269" s="502"/>
      <c r="BG269" s="384"/>
      <c r="BH269" s="384"/>
      <c r="BI269" s="384"/>
      <c r="BJ269" s="384"/>
      <c r="BK269" s="502"/>
      <c r="BL269" s="384"/>
      <c r="BM269" s="384"/>
      <c r="BN269" s="384"/>
      <c r="BO269" s="384"/>
    </row>
    <row r="271" spans="3:67">
      <c r="C271" s="497"/>
      <c r="D271" s="498"/>
      <c r="E271" s="498"/>
      <c r="F271" s="498"/>
      <c r="G271" s="498"/>
      <c r="H271" s="497"/>
      <c r="I271" s="498"/>
      <c r="J271" s="498"/>
      <c r="K271" s="498"/>
      <c r="L271" s="498"/>
      <c r="M271" s="497"/>
      <c r="N271" s="498"/>
      <c r="O271" s="498"/>
      <c r="P271" s="498"/>
      <c r="Q271" s="498"/>
      <c r="R271" s="497"/>
      <c r="S271" s="498"/>
      <c r="T271" s="498"/>
      <c r="U271" s="498"/>
      <c r="V271" s="498"/>
      <c r="W271" s="497"/>
      <c r="X271" s="498"/>
      <c r="Y271" s="498"/>
      <c r="Z271" s="498"/>
      <c r="AA271" s="498"/>
      <c r="AB271" s="497"/>
      <c r="AC271" s="498"/>
      <c r="AD271" s="498"/>
      <c r="AE271" s="498"/>
      <c r="AF271" s="498"/>
      <c r="AG271" s="497"/>
      <c r="AH271" s="498"/>
      <c r="AI271" s="498"/>
      <c r="AJ271" s="498"/>
      <c r="AK271" s="498"/>
      <c r="AL271" s="497"/>
      <c r="AM271" s="498"/>
      <c r="AN271" s="498"/>
      <c r="AO271" s="498"/>
      <c r="AP271" s="498"/>
      <c r="AQ271" s="497"/>
      <c r="AR271" s="498"/>
      <c r="AS271" s="498"/>
      <c r="AT271" s="498"/>
      <c r="AU271" s="498"/>
      <c r="AV271" s="497"/>
      <c r="AW271" s="498"/>
      <c r="AX271" s="498"/>
      <c r="AY271" s="498"/>
      <c r="AZ271" s="498"/>
      <c r="BA271" s="497"/>
      <c r="BB271" s="498"/>
      <c r="BC271" s="498"/>
      <c r="BD271" s="498"/>
      <c r="BE271" s="498"/>
      <c r="BF271" s="497"/>
      <c r="BG271" s="498"/>
      <c r="BH271" s="498"/>
      <c r="BI271" s="498"/>
      <c r="BJ271" s="498"/>
      <c r="BK271" s="497"/>
      <c r="BL271" s="498"/>
      <c r="BM271" s="498"/>
      <c r="BN271" s="498"/>
      <c r="BO271" s="498"/>
    </row>
    <row r="272" spans="3:67">
      <c r="C272" s="463"/>
      <c r="D272" s="384"/>
      <c r="E272" s="384"/>
      <c r="F272" s="384"/>
      <c r="G272" s="384"/>
      <c r="H272" s="463"/>
      <c r="I272" s="384"/>
      <c r="J272" s="384"/>
      <c r="K272" s="384"/>
      <c r="L272" s="384"/>
      <c r="M272" s="463"/>
      <c r="N272" s="384"/>
      <c r="O272" s="384"/>
      <c r="P272" s="384"/>
      <c r="Q272" s="384"/>
      <c r="R272" s="463"/>
      <c r="S272" s="384"/>
      <c r="T272" s="384"/>
      <c r="U272" s="384"/>
      <c r="V272" s="384"/>
      <c r="W272" s="463"/>
      <c r="X272" s="384"/>
      <c r="Y272" s="384"/>
      <c r="Z272" s="384"/>
      <c r="AA272" s="384"/>
      <c r="AB272" s="463"/>
      <c r="AC272" s="384"/>
      <c r="AD272" s="384"/>
      <c r="AE272" s="384"/>
      <c r="AF272" s="384"/>
      <c r="AG272" s="463"/>
      <c r="AH272" s="384"/>
      <c r="AI272" s="384"/>
      <c r="AJ272" s="384"/>
      <c r="AK272" s="384"/>
      <c r="AL272" s="463"/>
      <c r="AM272" s="384"/>
      <c r="AN272" s="384"/>
      <c r="AO272" s="384"/>
      <c r="AP272" s="384"/>
      <c r="AQ272" s="463"/>
      <c r="AR272" s="384"/>
      <c r="AS272" s="384"/>
      <c r="AT272" s="384"/>
      <c r="AU272" s="384"/>
      <c r="AV272" s="463"/>
      <c r="AW272" s="384"/>
      <c r="AX272" s="384"/>
      <c r="AY272" s="384"/>
      <c r="AZ272" s="384"/>
      <c r="BA272" s="463"/>
      <c r="BB272" s="384"/>
      <c r="BC272" s="384"/>
      <c r="BD272" s="384"/>
      <c r="BE272" s="384"/>
      <c r="BF272" s="463"/>
      <c r="BG272" s="384"/>
      <c r="BH272" s="384"/>
      <c r="BI272" s="384"/>
      <c r="BJ272" s="384"/>
      <c r="BK272" s="463"/>
      <c r="BL272" s="384"/>
      <c r="BM272" s="384"/>
      <c r="BN272" s="384"/>
      <c r="BO272" s="384"/>
    </row>
    <row r="274" spans="3:67">
      <c r="C274" s="508"/>
      <c r="D274" s="501"/>
      <c r="E274" s="501"/>
      <c r="F274" s="501"/>
      <c r="G274" s="501"/>
      <c r="H274" s="508"/>
      <c r="I274" s="501"/>
      <c r="J274" s="501"/>
      <c r="K274" s="501"/>
      <c r="L274" s="501"/>
      <c r="M274" s="508"/>
      <c r="N274" s="501"/>
      <c r="O274" s="501"/>
      <c r="P274" s="501"/>
      <c r="Q274" s="501"/>
      <c r="R274" s="508"/>
      <c r="S274" s="501"/>
      <c r="T274" s="501"/>
      <c r="U274" s="501"/>
      <c r="V274" s="501"/>
      <c r="W274" s="508"/>
      <c r="X274" s="501"/>
      <c r="Y274" s="501"/>
      <c r="Z274" s="501"/>
      <c r="AA274" s="501"/>
      <c r="AB274" s="508"/>
      <c r="AC274" s="501"/>
      <c r="AD274" s="501"/>
      <c r="AE274" s="501"/>
      <c r="AF274" s="501"/>
      <c r="AG274" s="508"/>
      <c r="AH274" s="501"/>
      <c r="AI274" s="501"/>
      <c r="AJ274" s="501"/>
      <c r="AK274" s="501"/>
      <c r="AL274" s="508"/>
      <c r="AM274" s="501"/>
      <c r="AN274" s="501"/>
      <c r="AO274" s="501"/>
      <c r="AP274" s="501"/>
      <c r="AQ274" s="508"/>
      <c r="AR274" s="501"/>
      <c r="AS274" s="501"/>
      <c r="AT274" s="501"/>
      <c r="AU274" s="501"/>
      <c r="AV274" s="508"/>
      <c r="AW274" s="501"/>
      <c r="AX274" s="501"/>
      <c r="AY274" s="501"/>
      <c r="AZ274" s="501"/>
      <c r="BA274" s="508"/>
      <c r="BB274" s="501"/>
      <c r="BC274" s="501"/>
      <c r="BD274" s="501"/>
      <c r="BE274" s="501"/>
      <c r="BF274" s="508"/>
      <c r="BG274" s="501"/>
      <c r="BH274" s="501"/>
      <c r="BI274" s="501"/>
      <c r="BJ274" s="501"/>
      <c r="BK274" s="508"/>
      <c r="BL274" s="501"/>
      <c r="BM274" s="501"/>
      <c r="BN274" s="501"/>
      <c r="BO274" s="501"/>
    </row>
    <row r="275" spans="3:67">
      <c r="C275" s="502"/>
      <c r="D275" s="503"/>
      <c r="E275" s="503"/>
      <c r="F275" s="503"/>
      <c r="G275" s="503"/>
      <c r="H275" s="502"/>
      <c r="I275" s="503"/>
      <c r="J275" s="503"/>
      <c r="K275" s="503"/>
      <c r="L275" s="503"/>
      <c r="M275" s="502"/>
      <c r="N275" s="503"/>
      <c r="O275" s="503"/>
      <c r="P275" s="503"/>
      <c r="Q275" s="503"/>
      <c r="R275" s="502"/>
      <c r="S275" s="503"/>
      <c r="T275" s="503"/>
      <c r="U275" s="503"/>
      <c r="V275" s="503"/>
      <c r="W275" s="502"/>
      <c r="X275" s="503"/>
      <c r="Y275" s="503"/>
      <c r="Z275" s="503"/>
      <c r="AA275" s="503"/>
      <c r="AB275" s="502"/>
      <c r="AC275" s="503"/>
      <c r="AD275" s="503"/>
      <c r="AE275" s="503"/>
      <c r="AF275" s="503"/>
      <c r="AG275" s="502"/>
      <c r="AH275" s="503"/>
      <c r="AI275" s="503"/>
      <c r="AJ275" s="503"/>
      <c r="AK275" s="503"/>
      <c r="AL275" s="502"/>
      <c r="AM275" s="503"/>
      <c r="AN275" s="503"/>
      <c r="AO275" s="503"/>
      <c r="AP275" s="503"/>
      <c r="AQ275" s="502"/>
      <c r="AR275" s="503"/>
      <c r="AS275" s="503"/>
      <c r="AT275" s="503"/>
      <c r="AU275" s="503"/>
      <c r="AV275" s="502"/>
      <c r="AW275" s="503"/>
      <c r="AX275" s="503"/>
      <c r="AY275" s="503"/>
      <c r="AZ275" s="503"/>
      <c r="BA275" s="502"/>
      <c r="BB275" s="503"/>
      <c r="BC275" s="503"/>
      <c r="BD275" s="503"/>
      <c r="BE275" s="503"/>
      <c r="BF275" s="502"/>
      <c r="BG275" s="503"/>
      <c r="BH275" s="503"/>
      <c r="BI275" s="503"/>
      <c r="BJ275" s="503"/>
      <c r="BK275" s="502"/>
      <c r="BL275" s="503"/>
      <c r="BM275" s="503"/>
      <c r="BN275" s="503"/>
      <c r="BO275" s="503"/>
    </row>
    <row r="277" spans="3:67">
      <c r="C277" s="497"/>
      <c r="D277" s="498"/>
      <c r="E277" s="498"/>
      <c r="F277" s="498"/>
      <c r="G277" s="498"/>
      <c r="H277" s="497"/>
      <c r="I277" s="498"/>
      <c r="J277" s="498"/>
      <c r="K277" s="498"/>
      <c r="L277" s="498"/>
      <c r="M277" s="497"/>
      <c r="N277" s="498"/>
      <c r="O277" s="498"/>
      <c r="P277" s="498"/>
      <c r="Q277" s="498"/>
      <c r="R277" s="497"/>
      <c r="S277" s="498"/>
      <c r="T277" s="498"/>
      <c r="U277" s="498"/>
      <c r="V277" s="498"/>
      <c r="W277" s="497"/>
      <c r="X277" s="498"/>
      <c r="Y277" s="498"/>
      <c r="Z277" s="498"/>
      <c r="AA277" s="498"/>
      <c r="AB277" s="497"/>
      <c r="AC277" s="498"/>
      <c r="AD277" s="498"/>
      <c r="AE277" s="498"/>
      <c r="AF277" s="498"/>
      <c r="AG277" s="497"/>
      <c r="AH277" s="498"/>
      <c r="AI277" s="498"/>
      <c r="AJ277" s="498"/>
      <c r="AK277" s="498"/>
      <c r="AL277" s="497"/>
      <c r="AM277" s="498"/>
      <c r="AN277" s="498"/>
      <c r="AO277" s="498"/>
      <c r="AP277" s="498"/>
      <c r="AQ277" s="497"/>
      <c r="AR277" s="498"/>
      <c r="AS277" s="498"/>
      <c r="AT277" s="498"/>
      <c r="AU277" s="498"/>
      <c r="AV277" s="497"/>
      <c r="AW277" s="498"/>
      <c r="AX277" s="498"/>
      <c r="AY277" s="498"/>
      <c r="AZ277" s="498"/>
      <c r="BA277" s="497"/>
      <c r="BB277" s="498"/>
      <c r="BC277" s="498"/>
      <c r="BD277" s="498"/>
      <c r="BE277" s="498"/>
      <c r="BF277" s="497"/>
      <c r="BG277" s="498"/>
      <c r="BH277" s="498"/>
      <c r="BI277" s="498"/>
      <c r="BJ277" s="498"/>
      <c r="BK277" s="497"/>
      <c r="BL277" s="498"/>
      <c r="BM277" s="498"/>
      <c r="BN277" s="498"/>
      <c r="BO277" s="498"/>
    </row>
    <row r="278" spans="3:67">
      <c r="C278" s="463"/>
      <c r="D278" s="384"/>
      <c r="E278" s="384"/>
      <c r="F278" s="384"/>
      <c r="G278" s="384"/>
      <c r="H278" s="463"/>
      <c r="I278" s="384"/>
      <c r="J278" s="384"/>
      <c r="K278" s="384"/>
      <c r="L278" s="384"/>
      <c r="M278" s="463"/>
      <c r="N278" s="384"/>
      <c r="O278" s="384"/>
      <c r="P278" s="384"/>
      <c r="Q278" s="384"/>
      <c r="R278" s="463"/>
      <c r="S278" s="384"/>
      <c r="T278" s="384"/>
      <c r="U278" s="384"/>
      <c r="V278" s="384"/>
      <c r="W278" s="463"/>
      <c r="X278" s="384"/>
      <c r="Y278" s="384"/>
      <c r="Z278" s="384"/>
      <c r="AA278" s="384"/>
      <c r="AB278" s="463"/>
      <c r="AC278" s="384"/>
      <c r="AD278" s="384"/>
      <c r="AE278" s="384"/>
      <c r="AF278" s="384"/>
      <c r="AG278" s="463"/>
      <c r="AH278" s="384"/>
      <c r="AI278" s="384"/>
      <c r="AJ278" s="384"/>
      <c r="AK278" s="384"/>
      <c r="AL278" s="463"/>
      <c r="AM278" s="384"/>
      <c r="AN278" s="384"/>
      <c r="AO278" s="384"/>
      <c r="AP278" s="384"/>
      <c r="AQ278" s="463"/>
      <c r="AR278" s="384"/>
      <c r="AS278" s="384"/>
      <c r="AT278" s="384"/>
      <c r="AU278" s="384"/>
      <c r="AV278" s="463"/>
      <c r="AW278" s="384"/>
      <c r="AX278" s="384"/>
      <c r="AY278" s="384"/>
      <c r="AZ278" s="384"/>
      <c r="BA278" s="463"/>
      <c r="BB278" s="384"/>
      <c r="BC278" s="384"/>
      <c r="BD278" s="384"/>
      <c r="BE278" s="384"/>
      <c r="BF278" s="463"/>
      <c r="BG278" s="384"/>
      <c r="BH278" s="384"/>
      <c r="BI278" s="384"/>
      <c r="BJ278" s="384"/>
      <c r="BK278" s="463"/>
      <c r="BL278" s="384"/>
      <c r="BM278" s="384"/>
      <c r="BN278" s="384"/>
      <c r="BO278" s="384"/>
    </row>
    <row r="280" spans="3:67">
      <c r="C280" s="463"/>
      <c r="D280" s="384"/>
      <c r="E280" s="384"/>
      <c r="F280" s="384"/>
      <c r="G280" s="384"/>
      <c r="H280" s="463"/>
      <c r="I280" s="384"/>
      <c r="J280" s="384"/>
      <c r="K280" s="384"/>
      <c r="L280" s="384"/>
      <c r="M280" s="463"/>
      <c r="N280" s="384"/>
      <c r="O280" s="384"/>
      <c r="P280" s="384"/>
      <c r="Q280" s="384"/>
      <c r="R280" s="463"/>
      <c r="S280" s="384"/>
      <c r="T280" s="384"/>
      <c r="U280" s="384"/>
      <c r="V280" s="384"/>
      <c r="W280" s="463"/>
      <c r="X280" s="384"/>
      <c r="Y280" s="384"/>
      <c r="Z280" s="384"/>
      <c r="AA280" s="384"/>
      <c r="AB280" s="463"/>
      <c r="AC280" s="384"/>
      <c r="AD280" s="384"/>
      <c r="AE280" s="384"/>
      <c r="AF280" s="384"/>
      <c r="AG280" s="463"/>
      <c r="AH280" s="384"/>
      <c r="AI280" s="384"/>
      <c r="AJ280" s="384"/>
      <c r="AK280" s="384"/>
      <c r="AL280" s="463"/>
      <c r="AM280" s="384"/>
      <c r="AN280" s="384"/>
      <c r="AO280" s="384"/>
      <c r="AP280" s="384"/>
      <c r="AQ280" s="463"/>
      <c r="AR280" s="384"/>
      <c r="AS280" s="384"/>
      <c r="AT280" s="384"/>
      <c r="AU280" s="384"/>
      <c r="AV280" s="463"/>
      <c r="AW280" s="384"/>
      <c r="AX280" s="384"/>
      <c r="AY280" s="384"/>
      <c r="AZ280" s="384"/>
      <c r="BA280" s="463"/>
      <c r="BB280" s="384"/>
      <c r="BC280" s="384"/>
      <c r="BD280" s="384"/>
      <c r="BE280" s="384"/>
      <c r="BF280" s="463"/>
      <c r="BG280" s="384"/>
      <c r="BH280" s="384"/>
      <c r="BI280" s="384"/>
      <c r="BJ280" s="384"/>
      <c r="BK280" s="463"/>
      <c r="BL280" s="384"/>
      <c r="BM280" s="384"/>
      <c r="BN280" s="384"/>
      <c r="BO280" s="384"/>
    </row>
    <row r="283" spans="3:67">
      <c r="C283" s="509"/>
      <c r="D283" s="510"/>
      <c r="E283" s="510"/>
      <c r="F283" s="510"/>
      <c r="G283" s="510"/>
      <c r="H283" s="509"/>
      <c r="I283" s="510"/>
      <c r="J283" s="510"/>
      <c r="K283" s="510"/>
      <c r="L283" s="510"/>
      <c r="M283" s="509"/>
      <c r="N283" s="510"/>
      <c r="O283" s="510"/>
      <c r="P283" s="510"/>
      <c r="Q283" s="510"/>
      <c r="R283" s="509"/>
      <c r="S283" s="510"/>
      <c r="T283" s="510"/>
      <c r="U283" s="510"/>
      <c r="V283" s="510"/>
      <c r="W283" s="509"/>
      <c r="X283" s="510"/>
      <c r="Y283" s="510"/>
      <c r="Z283" s="510"/>
      <c r="AA283" s="510"/>
      <c r="AB283" s="509"/>
      <c r="AC283" s="510"/>
      <c r="AD283" s="510"/>
      <c r="AE283" s="510"/>
      <c r="AF283" s="510"/>
      <c r="AG283" s="509"/>
      <c r="AH283" s="510"/>
      <c r="AI283" s="510"/>
      <c r="AJ283" s="510"/>
      <c r="AK283" s="510"/>
      <c r="AL283" s="509"/>
      <c r="AM283" s="510"/>
      <c r="AN283" s="510"/>
      <c r="AO283" s="510"/>
      <c r="AP283" s="510"/>
      <c r="AQ283" s="509"/>
      <c r="AR283" s="510"/>
      <c r="AS283" s="510"/>
      <c r="AT283" s="510"/>
      <c r="AU283" s="510"/>
      <c r="AV283" s="509"/>
      <c r="AW283" s="510"/>
      <c r="AX283" s="510"/>
      <c r="AY283" s="510"/>
      <c r="AZ283" s="510"/>
      <c r="BA283" s="509"/>
      <c r="BB283" s="510"/>
      <c r="BC283" s="510"/>
      <c r="BD283" s="510"/>
      <c r="BE283" s="510"/>
      <c r="BF283" s="509"/>
      <c r="BG283" s="510"/>
      <c r="BH283" s="510"/>
      <c r="BI283" s="510"/>
      <c r="BJ283" s="510"/>
      <c r="BK283" s="509"/>
      <c r="BL283" s="510"/>
      <c r="BM283" s="510"/>
      <c r="BN283" s="510"/>
      <c r="BO283" s="510"/>
    </row>
    <row r="284" spans="3:67">
      <c r="C284" s="463"/>
      <c r="D284" s="384"/>
      <c r="E284" s="384"/>
      <c r="F284" s="384"/>
      <c r="G284" s="384"/>
      <c r="H284" s="463"/>
      <c r="I284" s="384"/>
      <c r="J284" s="384"/>
      <c r="K284" s="384"/>
      <c r="L284" s="384"/>
      <c r="M284" s="463"/>
      <c r="N284" s="384"/>
      <c r="O284" s="384"/>
      <c r="P284" s="384"/>
      <c r="Q284" s="384"/>
      <c r="R284" s="463"/>
      <c r="S284" s="384"/>
      <c r="T284" s="384"/>
      <c r="U284" s="384"/>
      <c r="V284" s="384"/>
      <c r="W284" s="463"/>
      <c r="X284" s="384"/>
      <c r="Y284" s="384"/>
      <c r="Z284" s="384"/>
      <c r="AA284" s="384"/>
      <c r="AB284" s="463"/>
      <c r="AC284" s="384"/>
      <c r="AD284" s="384"/>
      <c r="AE284" s="384"/>
      <c r="AF284" s="384"/>
      <c r="AG284" s="463"/>
      <c r="AH284" s="384"/>
      <c r="AI284" s="384"/>
      <c r="AJ284" s="384"/>
      <c r="AK284" s="384"/>
      <c r="AL284" s="463"/>
      <c r="AM284" s="384"/>
      <c r="AN284" s="384"/>
      <c r="AO284" s="384"/>
      <c r="AP284" s="384"/>
      <c r="AQ284" s="463"/>
      <c r="AR284" s="384"/>
      <c r="AS284" s="384"/>
      <c r="AT284" s="384"/>
      <c r="AU284" s="384"/>
      <c r="AV284" s="463"/>
      <c r="AW284" s="384"/>
      <c r="AX284" s="384"/>
      <c r="AY284" s="384"/>
      <c r="AZ284" s="384"/>
      <c r="BA284" s="463"/>
      <c r="BB284" s="384"/>
      <c r="BC284" s="384"/>
      <c r="BD284" s="384"/>
      <c r="BE284" s="384"/>
      <c r="BF284" s="463"/>
      <c r="BG284" s="384"/>
      <c r="BH284" s="384"/>
      <c r="BI284" s="384"/>
      <c r="BJ284" s="384"/>
      <c r="BK284" s="463"/>
      <c r="BL284" s="384"/>
      <c r="BM284" s="384"/>
      <c r="BN284" s="384"/>
      <c r="BO284" s="384"/>
    </row>
    <row r="287" spans="3:67">
      <c r="C287" s="497"/>
      <c r="D287" s="498"/>
      <c r="E287" s="498"/>
      <c r="F287" s="498"/>
      <c r="G287" s="498"/>
      <c r="H287" s="497"/>
      <c r="I287" s="498"/>
      <c r="J287" s="498"/>
      <c r="K287" s="498"/>
      <c r="L287" s="498"/>
      <c r="M287" s="497"/>
      <c r="N287" s="498"/>
      <c r="O287" s="498"/>
      <c r="P287" s="498"/>
      <c r="Q287" s="498"/>
      <c r="R287" s="497"/>
      <c r="S287" s="498"/>
      <c r="T287" s="498"/>
      <c r="U287" s="498"/>
      <c r="V287" s="498"/>
      <c r="W287" s="497"/>
      <c r="X287" s="498"/>
      <c r="Y287" s="498"/>
      <c r="Z287" s="498"/>
      <c r="AA287" s="498"/>
      <c r="AB287" s="497"/>
      <c r="AC287" s="498"/>
      <c r="AD287" s="498"/>
      <c r="AE287" s="498"/>
      <c r="AF287" s="498"/>
      <c r="AG287" s="497"/>
      <c r="AH287" s="498"/>
      <c r="AI287" s="498"/>
      <c r="AJ287" s="498"/>
      <c r="AK287" s="498"/>
      <c r="AL287" s="497"/>
      <c r="AM287" s="498"/>
      <c r="AN287" s="498"/>
      <c r="AO287" s="498"/>
      <c r="AP287" s="498"/>
      <c r="AQ287" s="497"/>
      <c r="AR287" s="498"/>
      <c r="AS287" s="498"/>
      <c r="AT287" s="498"/>
      <c r="AU287" s="498"/>
      <c r="AV287" s="497"/>
      <c r="AW287" s="498"/>
      <c r="AX287" s="498"/>
      <c r="AY287" s="498"/>
      <c r="AZ287" s="498"/>
      <c r="BA287" s="497"/>
      <c r="BB287" s="498"/>
      <c r="BC287" s="498"/>
      <c r="BD287" s="498"/>
      <c r="BE287" s="498"/>
      <c r="BF287" s="497"/>
      <c r="BG287" s="498"/>
      <c r="BH287" s="498"/>
      <c r="BI287" s="498"/>
      <c r="BJ287" s="498"/>
      <c r="BK287" s="497"/>
      <c r="BL287" s="498"/>
      <c r="BM287" s="498"/>
      <c r="BN287" s="498"/>
      <c r="BO287" s="498"/>
    </row>
    <row r="288" spans="3:67">
      <c r="C288" s="394"/>
      <c r="D288" s="395"/>
      <c r="E288" s="395"/>
      <c r="F288" s="395"/>
      <c r="G288" s="395"/>
      <c r="H288" s="394"/>
      <c r="I288" s="395"/>
      <c r="J288" s="395"/>
      <c r="K288" s="395"/>
      <c r="L288" s="395"/>
      <c r="M288" s="394"/>
      <c r="N288" s="395"/>
      <c r="O288" s="395"/>
      <c r="P288" s="395"/>
      <c r="Q288" s="395"/>
      <c r="R288" s="394"/>
      <c r="S288" s="395"/>
      <c r="T288" s="395"/>
      <c r="U288" s="395"/>
      <c r="V288" s="395"/>
      <c r="W288" s="394"/>
      <c r="X288" s="395"/>
      <c r="Y288" s="395"/>
      <c r="Z288" s="395"/>
      <c r="AA288" s="395"/>
      <c r="AB288" s="394"/>
      <c r="AC288" s="395"/>
      <c r="AD288" s="395"/>
      <c r="AE288" s="395"/>
      <c r="AF288" s="395"/>
      <c r="AG288" s="394"/>
      <c r="AH288" s="395"/>
      <c r="AI288" s="395"/>
      <c r="AJ288" s="395"/>
      <c r="AK288" s="395"/>
      <c r="AL288" s="394"/>
      <c r="AM288" s="395"/>
      <c r="AN288" s="395"/>
      <c r="AO288" s="395"/>
      <c r="AP288" s="395"/>
      <c r="AQ288" s="394"/>
      <c r="AR288" s="395"/>
      <c r="AS288" s="395"/>
      <c r="AT288" s="395"/>
      <c r="AU288" s="395"/>
      <c r="AV288" s="394"/>
      <c r="AW288" s="395"/>
      <c r="AX288" s="395"/>
      <c r="AY288" s="395"/>
      <c r="AZ288" s="395"/>
      <c r="BA288" s="394"/>
      <c r="BB288" s="395"/>
      <c r="BC288" s="395"/>
      <c r="BD288" s="395"/>
      <c r="BE288" s="395"/>
      <c r="BF288" s="394"/>
      <c r="BG288" s="395"/>
      <c r="BH288" s="395"/>
      <c r="BI288" s="395"/>
      <c r="BJ288" s="395"/>
      <c r="BK288" s="394"/>
      <c r="BL288" s="395"/>
      <c r="BM288" s="395"/>
      <c r="BN288" s="395"/>
      <c r="BO288" s="395"/>
    </row>
    <row r="289" spans="3:67">
      <c r="C289" s="394"/>
      <c r="D289" s="395"/>
      <c r="E289" s="395"/>
      <c r="F289" s="395"/>
      <c r="G289" s="395"/>
      <c r="H289" s="394"/>
      <c r="I289" s="395"/>
      <c r="J289" s="395"/>
      <c r="K289" s="395"/>
      <c r="L289" s="395"/>
      <c r="M289" s="394"/>
      <c r="N289" s="395"/>
      <c r="O289" s="395"/>
      <c r="P289" s="395"/>
      <c r="Q289" s="395"/>
      <c r="R289" s="394"/>
      <c r="S289" s="395"/>
      <c r="T289" s="395"/>
      <c r="U289" s="395"/>
      <c r="V289" s="395"/>
      <c r="W289" s="394"/>
      <c r="X289" s="395"/>
      <c r="Y289" s="395"/>
      <c r="Z289" s="395"/>
      <c r="AA289" s="395"/>
      <c r="AB289" s="394"/>
      <c r="AC289" s="395"/>
      <c r="AD289" s="395"/>
      <c r="AE289" s="395"/>
      <c r="AF289" s="395"/>
      <c r="AG289" s="394"/>
      <c r="AH289" s="395"/>
      <c r="AI289" s="395"/>
      <c r="AJ289" s="395"/>
      <c r="AK289" s="395"/>
      <c r="AL289" s="394"/>
      <c r="AM289" s="395"/>
      <c r="AN289" s="395"/>
      <c r="AO289" s="395"/>
      <c r="AP289" s="395"/>
      <c r="AQ289" s="394"/>
      <c r="AR289" s="395"/>
      <c r="AS289" s="395"/>
      <c r="AT289" s="395"/>
      <c r="AU289" s="395"/>
      <c r="AV289" s="394"/>
      <c r="AW289" s="395"/>
      <c r="AX289" s="395"/>
      <c r="AY289" s="395"/>
      <c r="AZ289" s="395"/>
      <c r="BA289" s="394"/>
      <c r="BB289" s="395"/>
      <c r="BC289" s="395"/>
      <c r="BD289" s="395"/>
      <c r="BE289" s="395"/>
      <c r="BF289" s="394"/>
      <c r="BG289" s="395"/>
      <c r="BH289" s="395"/>
      <c r="BI289" s="395"/>
      <c r="BJ289" s="395"/>
      <c r="BK289" s="394"/>
      <c r="BL289" s="395"/>
      <c r="BM289" s="395"/>
      <c r="BN289" s="395"/>
      <c r="BO289" s="395"/>
    </row>
    <row r="290" spans="3:67">
      <c r="C290" s="508"/>
      <c r="D290" s="501"/>
      <c r="E290" s="501"/>
      <c r="F290" s="501"/>
      <c r="G290" s="501"/>
      <c r="H290" s="508"/>
      <c r="I290" s="501"/>
      <c r="J290" s="501"/>
      <c r="K290" s="501"/>
      <c r="L290" s="501"/>
      <c r="M290" s="508"/>
      <c r="N290" s="501"/>
      <c r="O290" s="501"/>
      <c r="P290" s="501"/>
      <c r="Q290" s="501"/>
      <c r="R290" s="508"/>
      <c r="S290" s="501"/>
      <c r="T290" s="501"/>
      <c r="U290" s="501"/>
      <c r="V290" s="501"/>
      <c r="W290" s="508"/>
      <c r="X290" s="501"/>
      <c r="Y290" s="501"/>
      <c r="Z290" s="501"/>
      <c r="AA290" s="501"/>
      <c r="AB290" s="508"/>
      <c r="AC290" s="501"/>
      <c r="AD290" s="501"/>
      <c r="AE290" s="501"/>
      <c r="AF290" s="501"/>
      <c r="AG290" s="508"/>
      <c r="AH290" s="501"/>
      <c r="AI290" s="501"/>
      <c r="AJ290" s="501"/>
      <c r="AK290" s="501"/>
      <c r="AL290" s="508"/>
      <c r="AM290" s="501"/>
      <c r="AN290" s="501"/>
      <c r="AO290" s="501"/>
      <c r="AP290" s="501"/>
      <c r="AQ290" s="508"/>
      <c r="AR290" s="501"/>
      <c r="AS290" s="501"/>
      <c r="AT290" s="501"/>
      <c r="AU290" s="501"/>
      <c r="AV290" s="508"/>
      <c r="AW290" s="501"/>
      <c r="AX290" s="501"/>
      <c r="AY290" s="501"/>
      <c r="AZ290" s="501"/>
      <c r="BA290" s="508"/>
      <c r="BB290" s="501"/>
      <c r="BC290" s="501"/>
      <c r="BD290" s="501"/>
      <c r="BE290" s="501"/>
      <c r="BF290" s="508"/>
      <c r="BG290" s="501"/>
      <c r="BH290" s="501"/>
      <c r="BI290" s="501"/>
      <c r="BJ290" s="501"/>
      <c r="BK290" s="508"/>
      <c r="BL290" s="501"/>
      <c r="BM290" s="501"/>
      <c r="BN290" s="501"/>
      <c r="BO290" s="501"/>
    </row>
    <row r="291" spans="3:67">
      <c r="C291" s="502"/>
      <c r="D291" s="503"/>
      <c r="E291" s="503"/>
      <c r="F291" s="503"/>
      <c r="G291" s="503"/>
      <c r="H291" s="502"/>
      <c r="I291" s="503"/>
      <c r="J291" s="503"/>
      <c r="K291" s="503"/>
      <c r="L291" s="503"/>
      <c r="M291" s="502"/>
      <c r="N291" s="503"/>
      <c r="O291" s="503"/>
      <c r="P291" s="503"/>
      <c r="Q291" s="503"/>
      <c r="R291" s="502"/>
      <c r="S291" s="503"/>
      <c r="T291" s="503"/>
      <c r="U291" s="503"/>
      <c r="V291" s="503"/>
      <c r="W291" s="502"/>
      <c r="X291" s="503"/>
      <c r="Y291" s="503"/>
      <c r="Z291" s="503"/>
      <c r="AA291" s="503"/>
      <c r="AB291" s="502"/>
      <c r="AC291" s="503"/>
      <c r="AD291" s="503"/>
      <c r="AE291" s="503"/>
      <c r="AF291" s="503"/>
      <c r="AG291" s="502"/>
      <c r="AH291" s="503"/>
      <c r="AI291" s="503"/>
      <c r="AJ291" s="503"/>
      <c r="AK291" s="503"/>
      <c r="AL291" s="502"/>
      <c r="AM291" s="503"/>
      <c r="AN291" s="503"/>
      <c r="AO291" s="503"/>
      <c r="AP291" s="503"/>
      <c r="AQ291" s="502"/>
      <c r="AR291" s="503"/>
      <c r="AS291" s="503"/>
      <c r="AT291" s="503"/>
      <c r="AU291" s="503"/>
      <c r="AV291" s="502"/>
      <c r="AW291" s="503"/>
      <c r="AX291" s="503"/>
      <c r="AY291" s="503"/>
      <c r="AZ291" s="503"/>
      <c r="BA291" s="502"/>
      <c r="BB291" s="503"/>
      <c r="BC291" s="503"/>
      <c r="BD291" s="503"/>
      <c r="BE291" s="503"/>
      <c r="BF291" s="502"/>
      <c r="BG291" s="503"/>
      <c r="BH291" s="503"/>
      <c r="BI291" s="503"/>
      <c r="BJ291" s="503"/>
      <c r="BK291" s="502"/>
      <c r="BL291" s="503"/>
      <c r="BM291" s="503"/>
      <c r="BN291" s="503"/>
      <c r="BO291" s="503"/>
    </row>
    <row r="292" spans="3:67">
      <c r="C292" s="394"/>
      <c r="D292" s="395"/>
      <c r="E292" s="395"/>
      <c r="F292" s="395"/>
      <c r="G292" s="395"/>
      <c r="H292" s="394"/>
      <c r="I292" s="395"/>
      <c r="J292" s="395"/>
      <c r="K292" s="395"/>
      <c r="L292" s="395"/>
      <c r="M292" s="394"/>
      <c r="N292" s="395"/>
      <c r="O292" s="395"/>
      <c r="P292" s="395"/>
      <c r="Q292" s="395"/>
      <c r="R292" s="394"/>
      <c r="S292" s="395"/>
      <c r="T292" s="395"/>
      <c r="U292" s="395"/>
      <c r="V292" s="395"/>
      <c r="W292" s="394"/>
      <c r="X292" s="395"/>
      <c r="Y292" s="395"/>
      <c r="Z292" s="395"/>
      <c r="AA292" s="395"/>
      <c r="AB292" s="394"/>
      <c r="AC292" s="395"/>
      <c r="AD292" s="395"/>
      <c r="AE292" s="395"/>
      <c r="AF292" s="395"/>
      <c r="AG292" s="394"/>
      <c r="AH292" s="395"/>
      <c r="AI292" s="395"/>
      <c r="AJ292" s="395"/>
      <c r="AK292" s="395"/>
      <c r="AL292" s="394"/>
      <c r="AM292" s="395"/>
      <c r="AN292" s="395"/>
      <c r="AO292" s="395"/>
      <c r="AP292" s="395"/>
      <c r="AQ292" s="394"/>
      <c r="AR292" s="395"/>
      <c r="AS292" s="395"/>
      <c r="AT292" s="395"/>
      <c r="AU292" s="395"/>
      <c r="AV292" s="394"/>
      <c r="AW292" s="395"/>
      <c r="AX292" s="395"/>
      <c r="AY292" s="395"/>
      <c r="AZ292" s="395"/>
      <c r="BA292" s="394"/>
      <c r="BB292" s="395"/>
      <c r="BC292" s="395"/>
      <c r="BD292" s="395"/>
      <c r="BE292" s="395"/>
      <c r="BF292" s="394"/>
      <c r="BG292" s="395"/>
      <c r="BH292" s="395"/>
      <c r="BI292" s="395"/>
      <c r="BJ292" s="395"/>
      <c r="BK292" s="394"/>
      <c r="BL292" s="395"/>
      <c r="BM292" s="395"/>
      <c r="BN292" s="395"/>
      <c r="BO292" s="395"/>
    </row>
    <row r="293" spans="3:67">
      <c r="C293" s="509"/>
      <c r="D293" s="510"/>
      <c r="E293" s="510"/>
      <c r="F293" s="510"/>
      <c r="G293" s="510"/>
      <c r="H293" s="509"/>
      <c r="I293" s="510"/>
      <c r="J293" s="510"/>
      <c r="K293" s="510"/>
      <c r="L293" s="510"/>
      <c r="M293" s="509"/>
      <c r="N293" s="510"/>
      <c r="O293" s="510"/>
      <c r="P293" s="510"/>
      <c r="Q293" s="510"/>
      <c r="R293" s="509"/>
      <c r="S293" s="510"/>
      <c r="T293" s="510"/>
      <c r="U293" s="510"/>
      <c r="V293" s="510"/>
      <c r="W293" s="509"/>
      <c r="X293" s="510"/>
      <c r="Y293" s="510"/>
      <c r="Z293" s="510"/>
      <c r="AA293" s="510"/>
      <c r="AB293" s="509"/>
      <c r="AC293" s="510"/>
      <c r="AD293" s="510"/>
      <c r="AE293" s="510"/>
      <c r="AF293" s="510"/>
      <c r="AG293" s="509"/>
      <c r="AH293" s="510"/>
      <c r="AI293" s="510"/>
      <c r="AJ293" s="510"/>
      <c r="AK293" s="510"/>
      <c r="AL293" s="509"/>
      <c r="AM293" s="510"/>
      <c r="AN293" s="510"/>
      <c r="AO293" s="510"/>
      <c r="AP293" s="510"/>
      <c r="AQ293" s="509"/>
      <c r="AR293" s="510"/>
      <c r="AS293" s="510"/>
      <c r="AT293" s="510"/>
      <c r="AU293" s="510"/>
      <c r="AV293" s="509"/>
      <c r="AW293" s="510"/>
      <c r="AX293" s="510"/>
      <c r="AY293" s="510"/>
      <c r="AZ293" s="510"/>
      <c r="BA293" s="509"/>
      <c r="BB293" s="510"/>
      <c r="BC293" s="510"/>
      <c r="BD293" s="510"/>
      <c r="BE293" s="510"/>
      <c r="BF293" s="509"/>
      <c r="BG293" s="510"/>
      <c r="BH293" s="510"/>
      <c r="BI293" s="510"/>
      <c r="BJ293" s="510"/>
      <c r="BK293" s="509"/>
      <c r="BL293" s="510"/>
      <c r="BM293" s="510"/>
      <c r="BN293" s="510"/>
      <c r="BO293" s="510"/>
    </row>
    <row r="294" spans="3:67">
      <c r="C294" s="463"/>
      <c r="D294" s="384"/>
      <c r="E294" s="384"/>
      <c r="F294" s="384"/>
      <c r="G294" s="384"/>
      <c r="H294" s="463"/>
      <c r="I294" s="384"/>
      <c r="J294" s="384"/>
      <c r="K294" s="384"/>
      <c r="L294" s="384"/>
      <c r="M294" s="463"/>
      <c r="N294" s="384"/>
      <c r="O294" s="384"/>
      <c r="P294" s="384"/>
      <c r="Q294" s="384"/>
      <c r="R294" s="463"/>
      <c r="S294" s="384"/>
      <c r="T294" s="384"/>
      <c r="U294" s="384"/>
      <c r="V294" s="384"/>
      <c r="W294" s="463"/>
      <c r="X294" s="384"/>
      <c r="Y294" s="384"/>
      <c r="Z294" s="384"/>
      <c r="AA294" s="384"/>
      <c r="AB294" s="463"/>
      <c r="AC294" s="384"/>
      <c r="AD294" s="384"/>
      <c r="AE294" s="384"/>
      <c r="AF294" s="384"/>
      <c r="AG294" s="463"/>
      <c r="AH294" s="384"/>
      <c r="AI294" s="384"/>
      <c r="AJ294" s="384"/>
      <c r="AK294" s="384"/>
      <c r="AL294" s="463"/>
      <c r="AM294" s="384"/>
      <c r="AN294" s="384"/>
      <c r="AO294" s="384"/>
      <c r="AP294" s="384"/>
      <c r="AQ294" s="463"/>
      <c r="AR294" s="384"/>
      <c r="AS294" s="384"/>
      <c r="AT294" s="384"/>
      <c r="AU294" s="384"/>
      <c r="AV294" s="463"/>
      <c r="AW294" s="384"/>
      <c r="AX294" s="384"/>
      <c r="AY294" s="384"/>
      <c r="AZ294" s="384"/>
      <c r="BA294" s="463"/>
      <c r="BB294" s="384"/>
      <c r="BC294" s="384"/>
      <c r="BD294" s="384"/>
      <c r="BE294" s="384"/>
      <c r="BF294" s="463"/>
      <c r="BG294" s="384"/>
      <c r="BH294" s="384"/>
      <c r="BI294" s="384"/>
      <c r="BJ294" s="384"/>
      <c r="BK294" s="463"/>
      <c r="BL294" s="384"/>
      <c r="BM294" s="384"/>
      <c r="BN294" s="384"/>
      <c r="BO294" s="384"/>
    </row>
    <row r="300" spans="3:67">
      <c r="C300" s="511"/>
      <c r="D300" s="512"/>
      <c r="E300" s="512"/>
      <c r="F300" s="512"/>
      <c r="G300" s="512"/>
      <c r="H300" s="511"/>
      <c r="I300" s="512"/>
      <c r="J300" s="512"/>
      <c r="K300" s="512"/>
      <c r="L300" s="512"/>
      <c r="M300" s="511"/>
      <c r="N300" s="512"/>
      <c r="O300" s="512"/>
      <c r="P300" s="512"/>
      <c r="Q300" s="512"/>
      <c r="R300" s="511"/>
      <c r="S300" s="512"/>
      <c r="T300" s="512"/>
      <c r="U300" s="512"/>
      <c r="V300" s="512"/>
      <c r="W300" s="511"/>
      <c r="X300" s="512"/>
      <c r="Y300" s="512"/>
      <c r="Z300" s="512"/>
      <c r="AA300" s="512"/>
      <c r="AB300" s="511"/>
      <c r="AC300" s="512"/>
      <c r="AD300" s="512"/>
      <c r="AE300" s="512"/>
      <c r="AF300" s="512"/>
      <c r="AG300" s="511"/>
      <c r="AH300" s="512"/>
      <c r="AI300" s="512"/>
      <c r="AJ300" s="512"/>
      <c r="AK300" s="512"/>
      <c r="AL300" s="511"/>
      <c r="AM300" s="512"/>
      <c r="AN300" s="512"/>
      <c r="AO300" s="512"/>
      <c r="AP300" s="512"/>
      <c r="AQ300" s="511"/>
      <c r="AR300" s="512"/>
      <c r="AS300" s="512"/>
      <c r="AT300" s="512"/>
      <c r="AU300" s="512"/>
      <c r="AV300" s="511"/>
      <c r="AW300" s="512"/>
      <c r="AX300" s="512"/>
      <c r="AY300" s="512"/>
      <c r="AZ300" s="512"/>
      <c r="BA300" s="511"/>
      <c r="BB300" s="512"/>
      <c r="BC300" s="512"/>
      <c r="BD300" s="512"/>
      <c r="BE300" s="512"/>
      <c r="BF300" s="511"/>
      <c r="BG300" s="512"/>
      <c r="BH300" s="512"/>
      <c r="BI300" s="512"/>
      <c r="BJ300" s="512"/>
      <c r="BK300" s="511"/>
      <c r="BL300" s="512"/>
      <c r="BM300" s="512"/>
      <c r="BN300" s="512"/>
      <c r="BO300" s="512"/>
    </row>
    <row r="301" spans="3:67">
      <c r="C301" s="513"/>
      <c r="D301" s="514"/>
      <c r="E301" s="514"/>
      <c r="F301" s="514"/>
      <c r="G301" s="514"/>
      <c r="H301" s="513"/>
      <c r="I301" s="514"/>
      <c r="J301" s="514"/>
      <c r="K301" s="514"/>
      <c r="L301" s="514"/>
      <c r="M301" s="513"/>
      <c r="N301" s="514"/>
      <c r="O301" s="514"/>
      <c r="P301" s="514"/>
      <c r="Q301" s="514"/>
      <c r="R301" s="513"/>
      <c r="S301" s="514"/>
      <c r="T301" s="514"/>
      <c r="U301" s="514"/>
      <c r="V301" s="514"/>
      <c r="W301" s="513"/>
      <c r="X301" s="514"/>
      <c r="Y301" s="514"/>
      <c r="Z301" s="514"/>
      <c r="AA301" s="514"/>
      <c r="AB301" s="513"/>
      <c r="AC301" s="514"/>
      <c r="AD301" s="514"/>
      <c r="AE301" s="514"/>
      <c r="AF301" s="514"/>
      <c r="AG301" s="513"/>
      <c r="AH301" s="514"/>
      <c r="AI301" s="514"/>
      <c r="AJ301" s="514"/>
      <c r="AK301" s="514"/>
      <c r="AL301" s="513"/>
      <c r="AM301" s="514"/>
      <c r="AN301" s="514"/>
      <c r="AO301" s="514"/>
      <c r="AP301" s="514"/>
      <c r="AQ301" s="513"/>
      <c r="AR301" s="514"/>
      <c r="AS301" s="514"/>
      <c r="AT301" s="514"/>
      <c r="AU301" s="514"/>
      <c r="AV301" s="513"/>
      <c r="AW301" s="514"/>
      <c r="AX301" s="514"/>
      <c r="AY301" s="514"/>
      <c r="AZ301" s="514"/>
      <c r="BA301" s="513"/>
      <c r="BB301" s="514"/>
      <c r="BC301" s="514"/>
      <c r="BD301" s="514"/>
      <c r="BE301" s="514"/>
      <c r="BF301" s="513"/>
      <c r="BG301" s="514"/>
      <c r="BH301" s="514"/>
      <c r="BI301" s="514"/>
      <c r="BJ301" s="514"/>
      <c r="BK301" s="513"/>
      <c r="BL301" s="514"/>
      <c r="BM301" s="514"/>
      <c r="BN301" s="514"/>
      <c r="BO301" s="514"/>
    </row>
    <row r="302" spans="3:67">
      <c r="C302" s="502"/>
      <c r="D302" s="503"/>
      <c r="E302" s="503"/>
      <c r="F302" s="503"/>
      <c r="G302" s="503"/>
      <c r="H302" s="502"/>
      <c r="I302" s="503"/>
      <c r="J302" s="503"/>
      <c r="K302" s="503"/>
      <c r="L302" s="503"/>
      <c r="M302" s="502"/>
      <c r="N302" s="503"/>
      <c r="O302" s="503"/>
      <c r="P302" s="503"/>
      <c r="Q302" s="503"/>
      <c r="R302" s="502"/>
      <c r="S302" s="503"/>
      <c r="T302" s="503"/>
      <c r="U302" s="503"/>
      <c r="V302" s="503"/>
      <c r="W302" s="502"/>
      <c r="X302" s="503"/>
      <c r="Y302" s="503"/>
      <c r="Z302" s="503"/>
      <c r="AA302" s="503"/>
      <c r="AB302" s="502"/>
      <c r="AC302" s="503"/>
      <c r="AD302" s="503"/>
      <c r="AE302" s="503"/>
      <c r="AF302" s="503"/>
      <c r="AG302" s="502"/>
      <c r="AH302" s="503"/>
      <c r="AI302" s="503"/>
      <c r="AJ302" s="503"/>
      <c r="AK302" s="503"/>
      <c r="AL302" s="502"/>
      <c r="AM302" s="503"/>
      <c r="AN302" s="503"/>
      <c r="AO302" s="503"/>
      <c r="AP302" s="503"/>
      <c r="AQ302" s="502"/>
      <c r="AR302" s="503"/>
      <c r="AS302" s="503"/>
      <c r="AT302" s="503"/>
      <c r="AU302" s="503"/>
      <c r="AV302" s="502"/>
      <c r="AW302" s="503"/>
      <c r="AX302" s="503"/>
      <c r="AY302" s="503"/>
      <c r="AZ302" s="503"/>
      <c r="BA302" s="502"/>
      <c r="BB302" s="503"/>
      <c r="BC302" s="503"/>
      <c r="BD302" s="503"/>
      <c r="BE302" s="503"/>
      <c r="BF302" s="502"/>
      <c r="BG302" s="503"/>
      <c r="BH302" s="503"/>
      <c r="BI302" s="503"/>
      <c r="BJ302" s="503"/>
      <c r="BK302" s="502"/>
      <c r="BL302" s="503"/>
      <c r="BM302" s="503"/>
      <c r="BN302" s="503"/>
      <c r="BO302" s="503"/>
    </row>
    <row r="304" spans="3:67">
      <c r="C304" s="497"/>
      <c r="D304" s="498"/>
      <c r="E304" s="498"/>
      <c r="F304" s="498"/>
      <c r="G304" s="498"/>
      <c r="H304" s="497"/>
      <c r="I304" s="498"/>
      <c r="J304" s="498"/>
      <c r="K304" s="498"/>
      <c r="L304" s="498"/>
      <c r="M304" s="497"/>
      <c r="N304" s="498"/>
      <c r="O304" s="498"/>
      <c r="P304" s="498"/>
      <c r="Q304" s="498"/>
      <c r="R304" s="497"/>
      <c r="S304" s="498"/>
      <c r="T304" s="498"/>
      <c r="U304" s="498"/>
      <c r="V304" s="498"/>
      <c r="W304" s="497"/>
      <c r="X304" s="498"/>
      <c r="Y304" s="498"/>
      <c r="Z304" s="498"/>
      <c r="AA304" s="498"/>
      <c r="AB304" s="497"/>
      <c r="AC304" s="498"/>
      <c r="AD304" s="498"/>
      <c r="AE304" s="498"/>
      <c r="AF304" s="498"/>
      <c r="AG304" s="497"/>
      <c r="AH304" s="498"/>
      <c r="AI304" s="498"/>
      <c r="AJ304" s="498"/>
      <c r="AK304" s="498"/>
      <c r="AL304" s="497"/>
      <c r="AM304" s="498"/>
      <c r="AN304" s="498"/>
      <c r="AO304" s="498"/>
      <c r="AP304" s="498"/>
      <c r="AQ304" s="497"/>
      <c r="AR304" s="498"/>
      <c r="AS304" s="498"/>
      <c r="AT304" s="498"/>
      <c r="AU304" s="498"/>
      <c r="AV304" s="497"/>
      <c r="AW304" s="498"/>
      <c r="AX304" s="498"/>
      <c r="AY304" s="498"/>
      <c r="AZ304" s="498"/>
      <c r="BA304" s="497"/>
      <c r="BB304" s="498"/>
      <c r="BC304" s="498"/>
      <c r="BD304" s="498"/>
      <c r="BE304" s="498"/>
      <c r="BF304" s="497"/>
      <c r="BG304" s="498"/>
      <c r="BH304" s="498"/>
      <c r="BI304" s="498"/>
      <c r="BJ304" s="498"/>
      <c r="BK304" s="497"/>
      <c r="BL304" s="498"/>
      <c r="BM304" s="498"/>
      <c r="BN304" s="498"/>
      <c r="BO304" s="498"/>
    </row>
    <row r="305" spans="3:67">
      <c r="C305" s="463"/>
      <c r="D305" s="384"/>
      <c r="E305" s="384"/>
      <c r="F305" s="384"/>
      <c r="G305" s="384"/>
      <c r="H305" s="463"/>
      <c r="I305" s="384"/>
      <c r="J305" s="384"/>
      <c r="K305" s="384"/>
      <c r="L305" s="384"/>
      <c r="M305" s="463"/>
      <c r="N305" s="384"/>
      <c r="O305" s="384"/>
      <c r="P305" s="384"/>
      <c r="Q305" s="384"/>
      <c r="R305" s="463"/>
      <c r="S305" s="384"/>
      <c r="T305" s="384"/>
      <c r="U305" s="384"/>
      <c r="V305" s="384"/>
      <c r="W305" s="463"/>
      <c r="X305" s="384"/>
      <c r="Y305" s="384"/>
      <c r="Z305" s="384"/>
      <c r="AA305" s="384"/>
      <c r="AB305" s="463"/>
      <c r="AC305" s="384"/>
      <c r="AD305" s="384"/>
      <c r="AE305" s="384"/>
      <c r="AF305" s="384"/>
      <c r="AG305" s="463"/>
      <c r="AH305" s="384"/>
      <c r="AI305" s="384"/>
      <c r="AJ305" s="384"/>
      <c r="AK305" s="384"/>
      <c r="AL305" s="463"/>
      <c r="AM305" s="384"/>
      <c r="AN305" s="384"/>
      <c r="AO305" s="384"/>
      <c r="AP305" s="384"/>
      <c r="AQ305" s="463"/>
      <c r="AR305" s="384"/>
      <c r="AS305" s="384"/>
      <c r="AT305" s="384"/>
      <c r="AU305" s="384"/>
      <c r="AV305" s="463"/>
      <c r="AW305" s="384"/>
      <c r="AX305" s="384"/>
      <c r="AY305" s="384"/>
      <c r="AZ305" s="384"/>
      <c r="BA305" s="463"/>
      <c r="BB305" s="384"/>
      <c r="BC305" s="384"/>
      <c r="BD305" s="384"/>
      <c r="BE305" s="384"/>
      <c r="BF305" s="463"/>
      <c r="BG305" s="384"/>
      <c r="BH305" s="384"/>
      <c r="BI305" s="384"/>
      <c r="BJ305" s="384"/>
      <c r="BK305" s="463"/>
      <c r="BL305" s="384"/>
      <c r="BM305" s="384"/>
      <c r="BN305" s="384"/>
      <c r="BO305" s="384"/>
    </row>
    <row r="307" spans="3:67">
      <c r="C307" s="508"/>
      <c r="D307" s="501"/>
      <c r="E307" s="501"/>
      <c r="F307" s="501"/>
      <c r="G307" s="501"/>
      <c r="H307" s="508"/>
      <c r="I307" s="501"/>
      <c r="J307" s="501"/>
      <c r="K307" s="501"/>
      <c r="L307" s="501"/>
      <c r="M307" s="508"/>
      <c r="N307" s="501"/>
      <c r="O307" s="501"/>
      <c r="P307" s="501"/>
      <c r="Q307" s="501"/>
      <c r="R307" s="508"/>
      <c r="S307" s="501"/>
      <c r="T307" s="501"/>
      <c r="U307" s="501"/>
      <c r="V307" s="501"/>
      <c r="W307" s="508"/>
      <c r="X307" s="501"/>
      <c r="Y307" s="501"/>
      <c r="Z307" s="501"/>
      <c r="AA307" s="501"/>
      <c r="AB307" s="508"/>
      <c r="AC307" s="501"/>
      <c r="AD307" s="501"/>
      <c r="AE307" s="501"/>
      <c r="AF307" s="501"/>
      <c r="AG307" s="508"/>
      <c r="AH307" s="501"/>
      <c r="AI307" s="501"/>
      <c r="AJ307" s="501"/>
      <c r="AK307" s="501"/>
      <c r="AL307" s="508"/>
      <c r="AM307" s="501"/>
      <c r="AN307" s="501"/>
      <c r="AO307" s="501"/>
      <c r="AP307" s="501"/>
      <c r="AQ307" s="508"/>
      <c r="AR307" s="501"/>
      <c r="AS307" s="501"/>
      <c r="AT307" s="501"/>
      <c r="AU307" s="501"/>
      <c r="AV307" s="508"/>
      <c r="AW307" s="501"/>
      <c r="AX307" s="501"/>
      <c r="AY307" s="501"/>
      <c r="AZ307" s="501"/>
      <c r="BA307" s="508"/>
      <c r="BB307" s="501"/>
      <c r="BC307" s="501"/>
      <c r="BD307" s="501"/>
      <c r="BE307" s="501"/>
      <c r="BF307" s="508"/>
      <c r="BG307" s="501"/>
      <c r="BH307" s="501"/>
      <c r="BI307" s="501"/>
      <c r="BJ307" s="501"/>
      <c r="BK307" s="508"/>
      <c r="BL307" s="501"/>
      <c r="BM307" s="501"/>
      <c r="BN307" s="501"/>
      <c r="BO307" s="501"/>
    </row>
    <row r="308" spans="3:67">
      <c r="C308" s="502"/>
      <c r="D308" s="503"/>
      <c r="E308" s="503"/>
      <c r="F308" s="503"/>
      <c r="G308" s="503"/>
      <c r="H308" s="502"/>
      <c r="I308" s="503"/>
      <c r="J308" s="503"/>
      <c r="K308" s="503"/>
      <c r="L308" s="503"/>
      <c r="M308" s="502"/>
      <c r="N308" s="503"/>
      <c r="O308" s="503"/>
      <c r="P308" s="503"/>
      <c r="Q308" s="503"/>
      <c r="R308" s="502"/>
      <c r="S308" s="503"/>
      <c r="T308" s="503"/>
      <c r="U308" s="503"/>
      <c r="V308" s="503"/>
      <c r="W308" s="502"/>
      <c r="X308" s="503"/>
      <c r="Y308" s="503"/>
      <c r="Z308" s="503"/>
      <c r="AA308" s="503"/>
      <c r="AB308" s="502"/>
      <c r="AC308" s="503"/>
      <c r="AD308" s="503"/>
      <c r="AE308" s="503"/>
      <c r="AF308" s="503"/>
      <c r="AG308" s="502"/>
      <c r="AH308" s="503"/>
      <c r="AI308" s="503"/>
      <c r="AJ308" s="503"/>
      <c r="AK308" s="503"/>
      <c r="AL308" s="502"/>
      <c r="AM308" s="503"/>
      <c r="AN308" s="503"/>
      <c r="AO308" s="503"/>
      <c r="AP308" s="503"/>
      <c r="AQ308" s="502"/>
      <c r="AR308" s="503"/>
      <c r="AS308" s="503"/>
      <c r="AT308" s="503"/>
      <c r="AU308" s="503"/>
      <c r="AV308" s="502"/>
      <c r="AW308" s="503"/>
      <c r="AX308" s="503"/>
      <c r="AY308" s="503"/>
      <c r="AZ308" s="503"/>
      <c r="BA308" s="502"/>
      <c r="BB308" s="503"/>
      <c r="BC308" s="503"/>
      <c r="BD308" s="503"/>
      <c r="BE308" s="503"/>
      <c r="BF308" s="502"/>
      <c r="BG308" s="503"/>
      <c r="BH308" s="503"/>
      <c r="BI308" s="503"/>
      <c r="BJ308" s="503"/>
      <c r="BK308" s="502"/>
      <c r="BL308" s="503"/>
      <c r="BM308" s="503"/>
      <c r="BN308" s="503"/>
      <c r="BO308" s="503"/>
    </row>
    <row r="310" spans="3:67">
      <c r="C310" s="497"/>
      <c r="D310" s="498"/>
      <c r="E310" s="498"/>
      <c r="F310" s="498"/>
      <c r="G310" s="498"/>
      <c r="H310" s="497"/>
      <c r="I310" s="498"/>
      <c r="J310" s="498"/>
      <c r="K310" s="498"/>
      <c r="L310" s="498"/>
      <c r="M310" s="497"/>
      <c r="N310" s="498"/>
      <c r="O310" s="498"/>
      <c r="P310" s="498"/>
      <c r="Q310" s="498"/>
      <c r="R310" s="497"/>
      <c r="S310" s="498"/>
      <c r="T310" s="498"/>
      <c r="U310" s="498"/>
      <c r="V310" s="498"/>
      <c r="W310" s="497"/>
      <c r="X310" s="498"/>
      <c r="Y310" s="498"/>
      <c r="Z310" s="498"/>
      <c r="AA310" s="498"/>
      <c r="AB310" s="497"/>
      <c r="AC310" s="498"/>
      <c r="AD310" s="498"/>
      <c r="AE310" s="498"/>
      <c r="AF310" s="498"/>
      <c r="AG310" s="497"/>
      <c r="AH310" s="498"/>
      <c r="AI310" s="498"/>
      <c r="AJ310" s="498"/>
      <c r="AK310" s="498"/>
      <c r="AL310" s="497"/>
      <c r="AM310" s="498"/>
      <c r="AN310" s="498"/>
      <c r="AO310" s="498"/>
      <c r="AP310" s="498"/>
      <c r="AQ310" s="497"/>
      <c r="AR310" s="498"/>
      <c r="AS310" s="498"/>
      <c r="AT310" s="498"/>
      <c r="AU310" s="498"/>
      <c r="AV310" s="497"/>
      <c r="AW310" s="498"/>
      <c r="AX310" s="498"/>
      <c r="AY310" s="498"/>
      <c r="AZ310" s="498"/>
      <c r="BA310" s="497"/>
      <c r="BB310" s="498"/>
      <c r="BC310" s="498"/>
      <c r="BD310" s="498"/>
      <c r="BE310" s="498"/>
      <c r="BF310" s="497"/>
      <c r="BG310" s="498"/>
      <c r="BH310" s="498"/>
      <c r="BI310" s="498"/>
      <c r="BJ310" s="498"/>
      <c r="BK310" s="497"/>
      <c r="BL310" s="498"/>
      <c r="BM310" s="498"/>
      <c r="BN310" s="498"/>
      <c r="BO310" s="498"/>
    </row>
    <row r="311" spans="3:67">
      <c r="C311" s="463"/>
      <c r="D311" s="384"/>
      <c r="E311" s="384"/>
      <c r="F311" s="384"/>
      <c r="G311" s="384"/>
      <c r="H311" s="463"/>
      <c r="I311" s="384"/>
      <c r="J311" s="384"/>
      <c r="K311" s="384"/>
      <c r="L311" s="384"/>
      <c r="M311" s="463"/>
      <c r="N311" s="384"/>
      <c r="O311" s="384"/>
      <c r="P311" s="384"/>
      <c r="Q311" s="384"/>
      <c r="R311" s="463"/>
      <c r="S311" s="384"/>
      <c r="T311" s="384"/>
      <c r="U311" s="384"/>
      <c r="V311" s="384"/>
      <c r="W311" s="463"/>
      <c r="X311" s="384"/>
      <c r="Y311" s="384"/>
      <c r="Z311" s="384"/>
      <c r="AA311" s="384"/>
      <c r="AB311" s="463"/>
      <c r="AC311" s="384"/>
      <c r="AD311" s="384"/>
      <c r="AE311" s="384"/>
      <c r="AF311" s="384"/>
      <c r="AG311" s="463"/>
      <c r="AH311" s="384"/>
      <c r="AI311" s="384"/>
      <c r="AJ311" s="384"/>
      <c r="AK311" s="384"/>
      <c r="AL311" s="463"/>
      <c r="AM311" s="384"/>
      <c r="AN311" s="384"/>
      <c r="AO311" s="384"/>
      <c r="AP311" s="384"/>
      <c r="AQ311" s="463"/>
      <c r="AR311" s="384"/>
      <c r="AS311" s="384"/>
      <c r="AT311" s="384"/>
      <c r="AU311" s="384"/>
      <c r="AV311" s="463"/>
      <c r="AW311" s="384"/>
      <c r="AX311" s="384"/>
      <c r="AY311" s="384"/>
      <c r="AZ311" s="384"/>
      <c r="BA311" s="463"/>
      <c r="BB311" s="384"/>
      <c r="BC311" s="384"/>
      <c r="BD311" s="384"/>
      <c r="BE311" s="384"/>
      <c r="BF311" s="463"/>
      <c r="BG311" s="384"/>
      <c r="BH311" s="384"/>
      <c r="BI311" s="384"/>
      <c r="BJ311" s="384"/>
      <c r="BK311" s="463"/>
      <c r="BL311" s="384"/>
      <c r="BM311" s="384"/>
      <c r="BN311" s="384"/>
      <c r="BO311" s="384"/>
    </row>
    <row r="315" spans="3:67">
      <c r="C315" s="504"/>
      <c r="D315" s="505"/>
      <c r="E315" s="505"/>
      <c r="F315" s="505"/>
      <c r="G315" s="505"/>
      <c r="H315" s="504"/>
      <c r="I315" s="505"/>
      <c r="J315" s="505"/>
      <c r="K315" s="505"/>
      <c r="L315" s="505"/>
      <c r="M315" s="504"/>
      <c r="N315" s="505"/>
      <c r="O315" s="505"/>
      <c r="P315" s="505"/>
      <c r="Q315" s="505"/>
      <c r="R315" s="504"/>
      <c r="S315" s="505"/>
      <c r="T315" s="505"/>
      <c r="U315" s="505"/>
      <c r="V315" s="505"/>
      <c r="W315" s="504"/>
      <c r="X315" s="505"/>
      <c r="Y315" s="505"/>
      <c r="Z315" s="505"/>
      <c r="AA315" s="505"/>
      <c r="AB315" s="504"/>
      <c r="AC315" s="505"/>
      <c r="AD315" s="505"/>
      <c r="AE315" s="505"/>
      <c r="AF315" s="505"/>
      <c r="AG315" s="504"/>
      <c r="AH315" s="505"/>
      <c r="AI315" s="505"/>
      <c r="AJ315" s="505"/>
      <c r="AK315" s="505"/>
      <c r="AL315" s="504"/>
      <c r="AM315" s="505"/>
      <c r="AN315" s="505"/>
      <c r="AO315" s="505"/>
      <c r="AP315" s="505"/>
      <c r="AQ315" s="504"/>
      <c r="AR315" s="505"/>
      <c r="AS315" s="505"/>
      <c r="AT315" s="505"/>
      <c r="AU315" s="505"/>
      <c r="AV315" s="504"/>
      <c r="AW315" s="505"/>
      <c r="AX315" s="505"/>
      <c r="AY315" s="505"/>
      <c r="AZ315" s="505"/>
      <c r="BA315" s="504"/>
      <c r="BB315" s="505"/>
      <c r="BC315" s="505"/>
      <c r="BD315" s="505"/>
      <c r="BE315" s="505"/>
      <c r="BF315" s="504"/>
      <c r="BG315" s="505"/>
      <c r="BH315" s="505"/>
      <c r="BI315" s="505"/>
      <c r="BJ315" s="505"/>
      <c r="BK315" s="504"/>
      <c r="BL315" s="505"/>
      <c r="BM315" s="505"/>
      <c r="BN315" s="505"/>
      <c r="BO315" s="505"/>
    </row>
    <row r="316" spans="3:67">
      <c r="C316" s="509"/>
      <c r="D316" s="510"/>
      <c r="E316" s="510"/>
      <c r="F316" s="510"/>
      <c r="G316" s="510"/>
      <c r="H316" s="509"/>
      <c r="I316" s="510"/>
      <c r="J316" s="510"/>
      <c r="K316" s="510"/>
      <c r="L316" s="510"/>
      <c r="M316" s="509"/>
      <c r="N316" s="510"/>
      <c r="O316" s="510"/>
      <c r="P316" s="510"/>
      <c r="Q316" s="510"/>
      <c r="R316" s="509"/>
      <c r="S316" s="510"/>
      <c r="T316" s="510"/>
      <c r="U316" s="510"/>
      <c r="V316" s="510"/>
      <c r="W316" s="509"/>
      <c r="X316" s="510"/>
      <c r="Y316" s="510"/>
      <c r="Z316" s="510"/>
      <c r="AA316" s="510"/>
      <c r="AB316" s="509"/>
      <c r="AC316" s="510"/>
      <c r="AD316" s="510"/>
      <c r="AE316" s="510"/>
      <c r="AF316" s="510"/>
      <c r="AG316" s="509"/>
      <c r="AH316" s="510"/>
      <c r="AI316" s="510"/>
      <c r="AJ316" s="510"/>
      <c r="AK316" s="510"/>
      <c r="AL316" s="509"/>
      <c r="AM316" s="510"/>
      <c r="AN316" s="510"/>
      <c r="AO316" s="510"/>
      <c r="AP316" s="510"/>
      <c r="AQ316" s="509"/>
      <c r="AR316" s="510"/>
      <c r="AS316" s="510"/>
      <c r="AT316" s="510"/>
      <c r="AU316" s="510"/>
      <c r="AV316" s="509"/>
      <c r="AW316" s="510"/>
      <c r="AX316" s="510"/>
      <c r="AY316" s="510"/>
      <c r="AZ316" s="510"/>
      <c r="BA316" s="509"/>
      <c r="BB316" s="510"/>
      <c r="BC316" s="510"/>
      <c r="BD316" s="510"/>
      <c r="BE316" s="510"/>
      <c r="BF316" s="509"/>
      <c r="BG316" s="510"/>
      <c r="BH316" s="510"/>
      <c r="BI316" s="510"/>
      <c r="BJ316" s="510"/>
      <c r="BK316" s="509"/>
      <c r="BL316" s="510"/>
      <c r="BM316" s="510"/>
      <c r="BN316" s="510"/>
      <c r="BO316" s="510"/>
    </row>
    <row r="317" spans="3:67">
      <c r="C317" s="463"/>
      <c r="D317" s="384"/>
      <c r="E317" s="384"/>
      <c r="F317" s="384"/>
      <c r="G317" s="384"/>
      <c r="H317" s="463"/>
      <c r="I317" s="384"/>
      <c r="J317" s="384"/>
      <c r="K317" s="384"/>
      <c r="L317" s="384"/>
      <c r="M317" s="463"/>
      <c r="N317" s="384"/>
      <c r="O317" s="384"/>
      <c r="P317" s="384"/>
      <c r="Q317" s="384"/>
      <c r="R317" s="463"/>
      <c r="S317" s="384"/>
      <c r="T317" s="384"/>
      <c r="U317" s="384"/>
      <c r="V317" s="384"/>
      <c r="W317" s="463"/>
      <c r="X317" s="384"/>
      <c r="Y317" s="384"/>
      <c r="Z317" s="384"/>
      <c r="AA317" s="384"/>
      <c r="AB317" s="463"/>
      <c r="AC317" s="384"/>
      <c r="AD317" s="384"/>
      <c r="AE317" s="384"/>
      <c r="AF317" s="384"/>
      <c r="AG317" s="463"/>
      <c r="AH317" s="384"/>
      <c r="AI317" s="384"/>
      <c r="AJ317" s="384"/>
      <c r="AK317" s="384"/>
      <c r="AL317" s="463"/>
      <c r="AM317" s="384"/>
      <c r="AN317" s="384"/>
      <c r="AO317" s="384"/>
      <c r="AP317" s="384"/>
      <c r="AQ317" s="463"/>
      <c r="AR317" s="384"/>
      <c r="AS317" s="384"/>
      <c r="AT317" s="384"/>
      <c r="AU317" s="384"/>
      <c r="AV317" s="463"/>
      <c r="AW317" s="384"/>
      <c r="AX317" s="384"/>
      <c r="AY317" s="384"/>
      <c r="AZ317" s="384"/>
      <c r="BA317" s="463"/>
      <c r="BB317" s="384"/>
      <c r="BC317" s="384"/>
      <c r="BD317" s="384"/>
      <c r="BE317" s="384"/>
      <c r="BF317" s="463"/>
      <c r="BG317" s="384"/>
      <c r="BH317" s="384"/>
      <c r="BI317" s="384"/>
      <c r="BJ317" s="384"/>
      <c r="BK317" s="463"/>
      <c r="BL317" s="384"/>
      <c r="BM317" s="384"/>
      <c r="BN317" s="384"/>
      <c r="BO317" s="384"/>
    </row>
    <row r="320" spans="3:67">
      <c r="C320" s="497"/>
      <c r="D320" s="498"/>
      <c r="E320" s="498"/>
      <c r="F320" s="498"/>
      <c r="G320" s="498"/>
      <c r="H320" s="497"/>
      <c r="I320" s="498"/>
      <c r="J320" s="498"/>
      <c r="K320" s="498"/>
      <c r="L320" s="498"/>
      <c r="M320" s="497"/>
      <c r="N320" s="498"/>
      <c r="O320" s="498"/>
      <c r="P320" s="498"/>
      <c r="Q320" s="498"/>
      <c r="R320" s="497"/>
      <c r="S320" s="498"/>
      <c r="T320" s="498"/>
      <c r="U320" s="498"/>
      <c r="V320" s="498"/>
      <c r="W320" s="497"/>
      <c r="X320" s="498"/>
      <c r="Y320" s="498"/>
      <c r="Z320" s="498"/>
      <c r="AA320" s="498"/>
      <c r="AB320" s="497"/>
      <c r="AC320" s="498"/>
      <c r="AD320" s="498"/>
      <c r="AE320" s="498"/>
      <c r="AF320" s="498"/>
      <c r="AG320" s="497"/>
      <c r="AH320" s="498"/>
      <c r="AI320" s="498"/>
      <c r="AJ320" s="498"/>
      <c r="AK320" s="498"/>
      <c r="AL320" s="497"/>
      <c r="AM320" s="498"/>
      <c r="AN320" s="498"/>
      <c r="AO320" s="498"/>
      <c r="AP320" s="498"/>
      <c r="AQ320" s="497"/>
      <c r="AR320" s="498"/>
      <c r="AS320" s="498"/>
      <c r="AT320" s="498"/>
      <c r="AU320" s="498"/>
      <c r="AV320" s="497"/>
      <c r="AW320" s="498"/>
      <c r="AX320" s="498"/>
      <c r="AY320" s="498"/>
      <c r="AZ320" s="498"/>
      <c r="BA320" s="497"/>
      <c r="BB320" s="498"/>
      <c r="BC320" s="498"/>
      <c r="BD320" s="498"/>
      <c r="BE320" s="498"/>
      <c r="BF320" s="497"/>
      <c r="BG320" s="498"/>
      <c r="BH320" s="498"/>
      <c r="BI320" s="498"/>
      <c r="BJ320" s="498"/>
      <c r="BK320" s="497"/>
      <c r="BL320" s="498"/>
      <c r="BM320" s="498"/>
      <c r="BN320" s="498"/>
      <c r="BO320" s="498"/>
    </row>
    <row r="321" spans="3:67">
      <c r="C321" s="394"/>
      <c r="D321" s="395"/>
      <c r="E321" s="395"/>
      <c r="F321" s="395"/>
      <c r="G321" s="395"/>
      <c r="H321" s="394"/>
      <c r="I321" s="395"/>
      <c r="J321" s="395"/>
      <c r="K321" s="395"/>
      <c r="L321" s="395"/>
      <c r="M321" s="394"/>
      <c r="N321" s="395"/>
      <c r="O321" s="395"/>
      <c r="P321" s="395"/>
      <c r="Q321" s="395"/>
      <c r="R321" s="394"/>
      <c r="S321" s="395"/>
      <c r="T321" s="395"/>
      <c r="U321" s="395"/>
      <c r="V321" s="395"/>
      <c r="W321" s="394"/>
      <c r="X321" s="395"/>
      <c r="Y321" s="395"/>
      <c r="Z321" s="395"/>
      <c r="AA321" s="395"/>
      <c r="AB321" s="394"/>
      <c r="AC321" s="395"/>
      <c r="AD321" s="395"/>
      <c r="AE321" s="395"/>
      <c r="AF321" s="395"/>
      <c r="AG321" s="394"/>
      <c r="AH321" s="395"/>
      <c r="AI321" s="395"/>
      <c r="AJ321" s="395"/>
      <c r="AK321" s="395"/>
      <c r="AL321" s="394"/>
      <c r="AM321" s="395"/>
      <c r="AN321" s="395"/>
      <c r="AO321" s="395"/>
      <c r="AP321" s="395"/>
      <c r="AQ321" s="394"/>
      <c r="AR321" s="395"/>
      <c r="AS321" s="395"/>
      <c r="AT321" s="395"/>
      <c r="AU321" s="395"/>
      <c r="AV321" s="394"/>
      <c r="AW321" s="395"/>
      <c r="AX321" s="395"/>
      <c r="AY321" s="395"/>
      <c r="AZ321" s="395"/>
      <c r="BA321" s="394"/>
      <c r="BB321" s="395"/>
      <c r="BC321" s="395"/>
      <c r="BD321" s="395"/>
      <c r="BE321" s="395"/>
      <c r="BF321" s="394"/>
      <c r="BG321" s="395"/>
      <c r="BH321" s="395"/>
      <c r="BI321" s="395"/>
      <c r="BJ321" s="395"/>
      <c r="BK321" s="394"/>
      <c r="BL321" s="395"/>
      <c r="BM321" s="395"/>
      <c r="BN321" s="395"/>
      <c r="BO321" s="395"/>
    </row>
    <row r="322" spans="3:67">
      <c r="C322" s="394"/>
      <c r="D322" s="395"/>
      <c r="E322" s="395"/>
      <c r="F322" s="395"/>
      <c r="G322" s="395"/>
      <c r="H322" s="394"/>
      <c r="I322" s="395"/>
      <c r="J322" s="395"/>
      <c r="K322" s="395"/>
      <c r="L322" s="395"/>
      <c r="M322" s="394"/>
      <c r="N322" s="395"/>
      <c r="O322" s="395"/>
      <c r="P322" s="395"/>
      <c r="Q322" s="395"/>
      <c r="R322" s="394"/>
      <c r="S322" s="395"/>
      <c r="T322" s="395"/>
      <c r="U322" s="395"/>
      <c r="V322" s="395"/>
      <c r="W322" s="394"/>
      <c r="X322" s="395"/>
      <c r="Y322" s="395"/>
      <c r="Z322" s="395"/>
      <c r="AA322" s="395"/>
      <c r="AB322" s="394"/>
      <c r="AC322" s="395"/>
      <c r="AD322" s="395"/>
      <c r="AE322" s="395"/>
      <c r="AF322" s="395"/>
      <c r="AG322" s="394"/>
      <c r="AH322" s="395"/>
      <c r="AI322" s="395"/>
      <c r="AJ322" s="395"/>
      <c r="AK322" s="395"/>
      <c r="AL322" s="394"/>
      <c r="AM322" s="395"/>
      <c r="AN322" s="395"/>
      <c r="AO322" s="395"/>
      <c r="AP322" s="395"/>
      <c r="AQ322" s="394"/>
      <c r="AR322" s="395"/>
      <c r="AS322" s="395"/>
      <c r="AT322" s="395"/>
      <c r="AU322" s="395"/>
      <c r="AV322" s="394"/>
      <c r="AW322" s="395"/>
      <c r="AX322" s="395"/>
      <c r="AY322" s="395"/>
      <c r="AZ322" s="395"/>
      <c r="BA322" s="394"/>
      <c r="BB322" s="395"/>
      <c r="BC322" s="395"/>
      <c r="BD322" s="395"/>
      <c r="BE322" s="395"/>
      <c r="BF322" s="394"/>
      <c r="BG322" s="395"/>
      <c r="BH322" s="395"/>
      <c r="BI322" s="395"/>
      <c r="BJ322" s="395"/>
      <c r="BK322" s="394"/>
      <c r="BL322" s="395"/>
      <c r="BM322" s="395"/>
      <c r="BN322" s="395"/>
      <c r="BO322" s="395"/>
    </row>
    <row r="323" spans="3:67">
      <c r="C323" s="394"/>
      <c r="D323" s="395"/>
      <c r="E323" s="395"/>
      <c r="F323" s="395"/>
      <c r="G323" s="395"/>
      <c r="H323" s="394"/>
      <c r="I323" s="395"/>
      <c r="J323" s="395"/>
      <c r="K323" s="395"/>
      <c r="L323" s="395"/>
      <c r="M323" s="394"/>
      <c r="N323" s="395"/>
      <c r="O323" s="395"/>
      <c r="P323" s="395"/>
      <c r="Q323" s="395"/>
      <c r="R323" s="394"/>
      <c r="S323" s="395"/>
      <c r="T323" s="395"/>
      <c r="U323" s="395"/>
      <c r="V323" s="395"/>
      <c r="W323" s="394"/>
      <c r="X323" s="395"/>
      <c r="Y323" s="395"/>
      <c r="Z323" s="395"/>
      <c r="AA323" s="395"/>
      <c r="AB323" s="394"/>
      <c r="AC323" s="395"/>
      <c r="AD323" s="395"/>
      <c r="AE323" s="395"/>
      <c r="AF323" s="395"/>
      <c r="AG323" s="394"/>
      <c r="AH323" s="395"/>
      <c r="AI323" s="395"/>
      <c r="AJ323" s="395"/>
      <c r="AK323" s="395"/>
      <c r="AL323" s="394"/>
      <c r="AM323" s="395"/>
      <c r="AN323" s="395"/>
      <c r="AO323" s="395"/>
      <c r="AP323" s="395"/>
      <c r="AQ323" s="394"/>
      <c r="AR323" s="395"/>
      <c r="AS323" s="395"/>
      <c r="AT323" s="395"/>
      <c r="AU323" s="395"/>
      <c r="AV323" s="394"/>
      <c r="AW323" s="395"/>
      <c r="AX323" s="395"/>
      <c r="AY323" s="395"/>
      <c r="AZ323" s="395"/>
      <c r="BA323" s="394"/>
      <c r="BB323" s="395"/>
      <c r="BC323" s="395"/>
      <c r="BD323" s="395"/>
      <c r="BE323" s="395"/>
      <c r="BF323" s="394"/>
      <c r="BG323" s="395"/>
      <c r="BH323" s="395"/>
      <c r="BI323" s="395"/>
      <c r="BJ323" s="395"/>
      <c r="BK323" s="394"/>
      <c r="BL323" s="395"/>
      <c r="BM323" s="395"/>
      <c r="BN323" s="395"/>
      <c r="BO323" s="395"/>
    </row>
    <row r="324" spans="3:67">
      <c r="C324" s="499"/>
      <c r="D324" s="395"/>
      <c r="E324" s="395"/>
      <c r="F324" s="395"/>
      <c r="G324" s="395"/>
      <c r="H324" s="499"/>
      <c r="I324" s="395"/>
      <c r="J324" s="395"/>
      <c r="K324" s="395"/>
      <c r="L324" s="395"/>
      <c r="M324" s="499"/>
      <c r="N324" s="395"/>
      <c r="O324" s="395"/>
      <c r="P324" s="395"/>
      <c r="Q324" s="395"/>
      <c r="R324" s="499"/>
      <c r="S324" s="395"/>
      <c r="T324" s="395"/>
      <c r="U324" s="395"/>
      <c r="V324" s="395"/>
      <c r="W324" s="499"/>
      <c r="X324" s="395"/>
      <c r="Y324" s="395"/>
      <c r="Z324" s="395"/>
      <c r="AA324" s="395"/>
      <c r="AB324" s="499"/>
      <c r="AC324" s="395"/>
      <c r="AD324" s="395"/>
      <c r="AE324" s="395"/>
      <c r="AF324" s="395"/>
      <c r="AG324" s="499"/>
      <c r="AH324" s="395"/>
      <c r="AI324" s="395"/>
      <c r="AJ324" s="395"/>
      <c r="AK324" s="395"/>
      <c r="AL324" s="499"/>
      <c r="AM324" s="395"/>
      <c r="AN324" s="395"/>
      <c r="AO324" s="395"/>
      <c r="AP324" s="395"/>
      <c r="AQ324" s="499"/>
      <c r="AR324" s="395"/>
      <c r="AS324" s="395"/>
      <c r="AT324" s="395"/>
      <c r="AU324" s="395"/>
      <c r="AV324" s="499"/>
      <c r="AW324" s="395"/>
      <c r="AX324" s="395"/>
      <c r="AY324" s="395"/>
      <c r="AZ324" s="395"/>
      <c r="BA324" s="499"/>
      <c r="BB324" s="395"/>
      <c r="BC324" s="395"/>
      <c r="BD324" s="395"/>
      <c r="BE324" s="395"/>
      <c r="BF324" s="499"/>
      <c r="BG324" s="395"/>
      <c r="BH324" s="395"/>
      <c r="BI324" s="395"/>
      <c r="BJ324" s="395"/>
      <c r="BK324" s="499"/>
      <c r="BL324" s="395"/>
      <c r="BM324" s="395"/>
      <c r="BN324" s="395"/>
      <c r="BO324" s="395"/>
    </row>
    <row r="325" spans="3:67">
      <c r="C325" s="394"/>
      <c r="D325" s="395"/>
      <c r="E325" s="395"/>
      <c r="F325" s="395"/>
      <c r="G325" s="395"/>
      <c r="H325" s="394"/>
      <c r="I325" s="395"/>
      <c r="J325" s="395"/>
      <c r="K325" s="395"/>
      <c r="L325" s="395"/>
      <c r="M325" s="394"/>
      <c r="N325" s="395"/>
      <c r="O325" s="395"/>
      <c r="P325" s="395"/>
      <c r="Q325" s="395"/>
      <c r="R325" s="394"/>
      <c r="S325" s="395"/>
      <c r="T325" s="395"/>
      <c r="U325" s="395"/>
      <c r="V325" s="395"/>
      <c r="W325" s="394"/>
      <c r="X325" s="395"/>
      <c r="Y325" s="395"/>
      <c r="Z325" s="395"/>
      <c r="AA325" s="395"/>
      <c r="AB325" s="394"/>
      <c r="AC325" s="395"/>
      <c r="AD325" s="395"/>
      <c r="AE325" s="395"/>
      <c r="AF325" s="395"/>
      <c r="AG325" s="394"/>
      <c r="AH325" s="395"/>
      <c r="AI325" s="395"/>
      <c r="AJ325" s="395"/>
      <c r="AK325" s="395"/>
      <c r="AL325" s="394"/>
      <c r="AM325" s="395"/>
      <c r="AN325" s="395"/>
      <c r="AO325" s="395"/>
      <c r="AP325" s="395"/>
      <c r="AQ325" s="394"/>
      <c r="AR325" s="395"/>
      <c r="AS325" s="395"/>
      <c r="AT325" s="395"/>
      <c r="AU325" s="395"/>
      <c r="AV325" s="394"/>
      <c r="AW325" s="395"/>
      <c r="AX325" s="395"/>
      <c r="AY325" s="395"/>
      <c r="AZ325" s="395"/>
      <c r="BA325" s="394"/>
      <c r="BB325" s="395"/>
      <c r="BC325" s="395"/>
      <c r="BD325" s="395"/>
      <c r="BE325" s="395"/>
      <c r="BF325" s="394"/>
      <c r="BG325" s="395"/>
      <c r="BH325" s="395"/>
      <c r="BI325" s="395"/>
      <c r="BJ325" s="395"/>
      <c r="BK325" s="394"/>
      <c r="BL325" s="395"/>
      <c r="BM325" s="395"/>
      <c r="BN325" s="395"/>
      <c r="BO325" s="395"/>
    </row>
    <row r="326" spans="3:67">
      <c r="C326" s="497"/>
      <c r="D326" s="395"/>
      <c r="E326" s="395"/>
      <c r="F326" s="395"/>
      <c r="G326" s="395"/>
      <c r="H326" s="497"/>
      <c r="I326" s="395"/>
      <c r="J326" s="395"/>
      <c r="K326" s="395"/>
      <c r="L326" s="395"/>
      <c r="M326" s="497"/>
      <c r="N326" s="395"/>
      <c r="O326" s="395"/>
      <c r="P326" s="395"/>
      <c r="Q326" s="395"/>
      <c r="R326" s="497"/>
      <c r="S326" s="395"/>
      <c r="T326" s="395"/>
      <c r="U326" s="395"/>
      <c r="V326" s="395"/>
      <c r="W326" s="497"/>
      <c r="X326" s="395"/>
      <c r="Y326" s="395"/>
      <c r="Z326" s="395"/>
      <c r="AA326" s="395"/>
      <c r="AB326" s="497"/>
      <c r="AC326" s="395"/>
      <c r="AD326" s="395"/>
      <c r="AE326" s="395"/>
      <c r="AF326" s="395"/>
      <c r="AG326" s="497"/>
      <c r="AH326" s="395"/>
      <c r="AI326" s="395"/>
      <c r="AJ326" s="395"/>
      <c r="AK326" s="395"/>
      <c r="AL326" s="497"/>
      <c r="AM326" s="395"/>
      <c r="AN326" s="395"/>
      <c r="AO326" s="395"/>
      <c r="AP326" s="395"/>
      <c r="AQ326" s="497"/>
      <c r="AR326" s="395"/>
      <c r="AS326" s="395"/>
      <c r="AT326" s="395"/>
      <c r="AU326" s="395"/>
      <c r="AV326" s="497"/>
      <c r="AW326" s="395"/>
      <c r="AX326" s="395"/>
      <c r="AY326" s="395"/>
      <c r="AZ326" s="395"/>
      <c r="BA326" s="497"/>
      <c r="BB326" s="395"/>
      <c r="BC326" s="395"/>
      <c r="BD326" s="395"/>
      <c r="BE326" s="395"/>
      <c r="BF326" s="497"/>
      <c r="BG326" s="395"/>
      <c r="BH326" s="395"/>
      <c r="BI326" s="395"/>
      <c r="BJ326" s="395"/>
      <c r="BK326" s="497"/>
      <c r="BL326" s="395"/>
      <c r="BM326" s="395"/>
      <c r="BN326" s="395"/>
      <c r="BO326" s="395"/>
    </row>
    <row r="327" spans="3:67">
      <c r="C327" s="394"/>
      <c r="D327" s="395"/>
      <c r="E327" s="395"/>
      <c r="F327" s="395"/>
      <c r="G327" s="395"/>
      <c r="H327" s="394"/>
      <c r="I327" s="395"/>
      <c r="J327" s="395"/>
      <c r="K327" s="395"/>
      <c r="L327" s="395"/>
      <c r="M327" s="394"/>
      <c r="N327" s="395"/>
      <c r="O327" s="395"/>
      <c r="P327" s="395"/>
      <c r="Q327" s="395"/>
      <c r="R327" s="394"/>
      <c r="S327" s="395"/>
      <c r="T327" s="395"/>
      <c r="U327" s="395"/>
      <c r="V327" s="395"/>
      <c r="W327" s="394"/>
      <c r="X327" s="395"/>
      <c r="Y327" s="395"/>
      <c r="Z327" s="395"/>
      <c r="AA327" s="395"/>
      <c r="AB327" s="394"/>
      <c r="AC327" s="395"/>
      <c r="AD327" s="395"/>
      <c r="AE327" s="395"/>
      <c r="AF327" s="395"/>
      <c r="AG327" s="394"/>
      <c r="AH327" s="395"/>
      <c r="AI327" s="395"/>
      <c r="AJ327" s="395"/>
      <c r="AK327" s="395"/>
      <c r="AL327" s="394"/>
      <c r="AM327" s="395"/>
      <c r="AN327" s="395"/>
      <c r="AO327" s="395"/>
      <c r="AP327" s="395"/>
      <c r="AQ327" s="394"/>
      <c r="AR327" s="395"/>
      <c r="AS327" s="395"/>
      <c r="AT327" s="395"/>
      <c r="AU327" s="395"/>
      <c r="AV327" s="394"/>
      <c r="AW327" s="395"/>
      <c r="AX327" s="395"/>
      <c r="AY327" s="395"/>
      <c r="AZ327" s="395"/>
      <c r="BA327" s="394"/>
      <c r="BB327" s="395"/>
      <c r="BC327" s="395"/>
      <c r="BD327" s="395"/>
      <c r="BE327" s="395"/>
      <c r="BF327" s="394"/>
      <c r="BG327" s="395"/>
      <c r="BH327" s="395"/>
      <c r="BI327" s="395"/>
      <c r="BJ327" s="395"/>
      <c r="BK327" s="394"/>
      <c r="BL327" s="395"/>
      <c r="BM327" s="395"/>
      <c r="BN327" s="395"/>
      <c r="BO327" s="395"/>
    </row>
    <row r="328" spans="3:67">
      <c r="C328" s="394"/>
      <c r="D328" s="395"/>
      <c r="E328" s="395"/>
      <c r="F328" s="395"/>
      <c r="G328" s="395"/>
      <c r="H328" s="394"/>
      <c r="I328" s="395"/>
      <c r="J328" s="395"/>
      <c r="K328" s="395"/>
      <c r="L328" s="395"/>
      <c r="M328" s="394"/>
      <c r="N328" s="395"/>
      <c r="O328" s="395"/>
      <c r="P328" s="395"/>
      <c r="Q328" s="395"/>
      <c r="R328" s="394"/>
      <c r="S328" s="395"/>
      <c r="T328" s="395"/>
      <c r="U328" s="395"/>
      <c r="V328" s="395"/>
      <c r="W328" s="394"/>
      <c r="X328" s="395"/>
      <c r="Y328" s="395"/>
      <c r="Z328" s="395"/>
      <c r="AA328" s="395"/>
      <c r="AB328" s="394"/>
      <c r="AC328" s="395"/>
      <c r="AD328" s="395"/>
      <c r="AE328" s="395"/>
      <c r="AF328" s="395"/>
      <c r="AG328" s="394"/>
      <c r="AH328" s="395"/>
      <c r="AI328" s="395"/>
      <c r="AJ328" s="395"/>
      <c r="AK328" s="395"/>
      <c r="AL328" s="394"/>
      <c r="AM328" s="395"/>
      <c r="AN328" s="395"/>
      <c r="AO328" s="395"/>
      <c r="AP328" s="395"/>
      <c r="AQ328" s="394"/>
      <c r="AR328" s="395"/>
      <c r="AS328" s="395"/>
      <c r="AT328" s="395"/>
      <c r="AU328" s="395"/>
      <c r="AV328" s="394"/>
      <c r="AW328" s="395"/>
      <c r="AX328" s="395"/>
      <c r="AY328" s="395"/>
      <c r="AZ328" s="395"/>
      <c r="BA328" s="394"/>
      <c r="BB328" s="395"/>
      <c r="BC328" s="395"/>
      <c r="BD328" s="395"/>
      <c r="BE328" s="395"/>
      <c r="BF328" s="394"/>
      <c r="BG328" s="395"/>
      <c r="BH328" s="395"/>
      <c r="BI328" s="395"/>
      <c r="BJ328" s="395"/>
      <c r="BK328" s="394"/>
      <c r="BL328" s="395"/>
      <c r="BM328" s="395"/>
      <c r="BN328" s="395"/>
      <c r="BO328" s="395"/>
    </row>
    <row r="329" spans="3:67">
      <c r="C329" s="513"/>
      <c r="D329" s="514"/>
      <c r="E329" s="514"/>
      <c r="F329" s="514"/>
      <c r="G329" s="514"/>
      <c r="H329" s="513"/>
      <c r="I329" s="514"/>
      <c r="J329" s="514"/>
      <c r="K329" s="514"/>
      <c r="L329" s="514"/>
      <c r="M329" s="513"/>
      <c r="N329" s="514"/>
      <c r="O329" s="514"/>
      <c r="P329" s="514"/>
      <c r="Q329" s="514"/>
      <c r="R329" s="513"/>
      <c r="S329" s="514"/>
      <c r="T329" s="514"/>
      <c r="U329" s="514"/>
      <c r="V329" s="514"/>
      <c r="W329" s="513"/>
      <c r="X329" s="514"/>
      <c r="Y329" s="514"/>
      <c r="Z329" s="514"/>
      <c r="AA329" s="514"/>
      <c r="AB329" s="513"/>
      <c r="AC329" s="514"/>
      <c r="AD329" s="514"/>
      <c r="AE329" s="514"/>
      <c r="AF329" s="514"/>
      <c r="AG329" s="513"/>
      <c r="AH329" s="514"/>
      <c r="AI329" s="514"/>
      <c r="AJ329" s="514"/>
      <c r="AK329" s="514"/>
      <c r="AL329" s="513"/>
      <c r="AM329" s="514"/>
      <c r="AN329" s="514"/>
      <c r="AO329" s="514"/>
      <c r="AP329" s="514"/>
      <c r="AQ329" s="513"/>
      <c r="AR329" s="514"/>
      <c r="AS329" s="514"/>
      <c r="AT329" s="514"/>
      <c r="AU329" s="514"/>
      <c r="AV329" s="513"/>
      <c r="AW329" s="514"/>
      <c r="AX329" s="514"/>
      <c r="AY329" s="514"/>
      <c r="AZ329" s="514"/>
      <c r="BA329" s="513"/>
      <c r="BB329" s="514"/>
      <c r="BC329" s="514"/>
      <c r="BD329" s="514"/>
      <c r="BE329" s="514"/>
      <c r="BF329" s="513"/>
      <c r="BG329" s="514"/>
      <c r="BH329" s="514"/>
      <c r="BI329" s="514"/>
      <c r="BJ329" s="514"/>
      <c r="BK329" s="513"/>
      <c r="BL329" s="514"/>
      <c r="BM329" s="514"/>
      <c r="BN329" s="514"/>
      <c r="BO329" s="514"/>
    </row>
    <row r="330" spans="3:67">
      <c r="C330" s="502"/>
      <c r="D330" s="503"/>
      <c r="E330" s="503"/>
      <c r="F330" s="503"/>
      <c r="G330" s="503"/>
      <c r="H330" s="502"/>
      <c r="I330" s="503"/>
      <c r="J330" s="503"/>
      <c r="K330" s="503"/>
      <c r="L330" s="503"/>
      <c r="M330" s="502"/>
      <c r="N330" s="503"/>
      <c r="O330" s="503"/>
      <c r="P330" s="503"/>
      <c r="Q330" s="503"/>
      <c r="R330" s="502"/>
      <c r="S330" s="503"/>
      <c r="T330" s="503"/>
      <c r="U330" s="503"/>
      <c r="V330" s="503"/>
      <c r="W330" s="502"/>
      <c r="X330" s="503"/>
      <c r="Y330" s="503"/>
      <c r="Z330" s="503"/>
      <c r="AA330" s="503"/>
      <c r="AB330" s="502"/>
      <c r="AC330" s="503"/>
      <c r="AD330" s="503"/>
      <c r="AE330" s="503"/>
      <c r="AF330" s="503"/>
      <c r="AG330" s="502"/>
      <c r="AH330" s="503"/>
      <c r="AI330" s="503"/>
      <c r="AJ330" s="503"/>
      <c r="AK330" s="503"/>
      <c r="AL330" s="502"/>
      <c r="AM330" s="503"/>
      <c r="AN330" s="503"/>
      <c r="AO330" s="503"/>
      <c r="AP330" s="503"/>
      <c r="AQ330" s="502"/>
      <c r="AR330" s="503"/>
      <c r="AS330" s="503"/>
      <c r="AT330" s="503"/>
      <c r="AU330" s="503"/>
      <c r="AV330" s="502"/>
      <c r="AW330" s="503"/>
      <c r="AX330" s="503"/>
      <c r="AY330" s="503"/>
      <c r="AZ330" s="503"/>
      <c r="BA330" s="502"/>
      <c r="BB330" s="503"/>
      <c r="BC330" s="503"/>
      <c r="BD330" s="503"/>
      <c r="BE330" s="503"/>
      <c r="BF330" s="502"/>
      <c r="BG330" s="503"/>
      <c r="BH330" s="503"/>
      <c r="BI330" s="503"/>
      <c r="BJ330" s="503"/>
      <c r="BK330" s="502"/>
      <c r="BL330" s="503"/>
      <c r="BM330" s="503"/>
      <c r="BN330" s="503"/>
      <c r="BO330" s="503"/>
    </row>
    <row r="331" spans="3:67">
      <c r="C331" s="394"/>
      <c r="D331" s="395"/>
      <c r="E331" s="395"/>
      <c r="F331" s="395"/>
      <c r="G331" s="395"/>
      <c r="H331" s="394"/>
      <c r="I331" s="395"/>
      <c r="J331" s="395"/>
      <c r="K331" s="395"/>
      <c r="L331" s="395"/>
      <c r="M331" s="394"/>
      <c r="N331" s="395"/>
      <c r="O331" s="395"/>
      <c r="P331" s="395"/>
      <c r="Q331" s="395"/>
      <c r="R331" s="394"/>
      <c r="S331" s="395"/>
      <c r="T331" s="395"/>
      <c r="U331" s="395"/>
      <c r="V331" s="395"/>
      <c r="W331" s="394"/>
      <c r="X331" s="395"/>
      <c r="Y331" s="395"/>
      <c r="Z331" s="395"/>
      <c r="AA331" s="395"/>
      <c r="AB331" s="394"/>
      <c r="AC331" s="395"/>
      <c r="AD331" s="395"/>
      <c r="AE331" s="395"/>
      <c r="AF331" s="395"/>
      <c r="AG331" s="394"/>
      <c r="AH331" s="395"/>
      <c r="AI331" s="395"/>
      <c r="AJ331" s="395"/>
      <c r="AK331" s="395"/>
      <c r="AL331" s="394"/>
      <c r="AM331" s="395"/>
      <c r="AN331" s="395"/>
      <c r="AO331" s="395"/>
      <c r="AP331" s="395"/>
      <c r="AQ331" s="394"/>
      <c r="AR331" s="395"/>
      <c r="AS331" s="395"/>
      <c r="AT331" s="395"/>
      <c r="AU331" s="395"/>
      <c r="AV331" s="394"/>
      <c r="AW331" s="395"/>
      <c r="AX331" s="395"/>
      <c r="AY331" s="395"/>
      <c r="AZ331" s="395"/>
      <c r="BA331" s="394"/>
      <c r="BB331" s="395"/>
      <c r="BC331" s="395"/>
      <c r="BD331" s="395"/>
      <c r="BE331" s="395"/>
      <c r="BF331" s="394"/>
      <c r="BG331" s="395"/>
      <c r="BH331" s="395"/>
      <c r="BI331" s="395"/>
      <c r="BJ331" s="395"/>
      <c r="BK331" s="394"/>
      <c r="BL331" s="395"/>
      <c r="BM331" s="395"/>
      <c r="BN331" s="395"/>
      <c r="BO331" s="395"/>
    </row>
    <row r="332" spans="3:67">
      <c r="C332" s="463"/>
      <c r="D332" s="384"/>
      <c r="E332" s="384"/>
      <c r="F332" s="384"/>
      <c r="G332" s="384"/>
      <c r="H332" s="463"/>
      <c r="I332" s="384"/>
      <c r="J332" s="384"/>
      <c r="K332" s="384"/>
      <c r="L332" s="384"/>
      <c r="M332" s="463"/>
      <c r="N332" s="384"/>
      <c r="O332" s="384"/>
      <c r="P332" s="384"/>
      <c r="Q332" s="384"/>
      <c r="R332" s="463"/>
      <c r="S332" s="384"/>
      <c r="T332" s="384"/>
      <c r="U332" s="384"/>
      <c r="V332" s="384"/>
      <c r="W332" s="463"/>
      <c r="X332" s="384"/>
      <c r="Y332" s="384"/>
      <c r="Z332" s="384"/>
      <c r="AA332" s="384"/>
      <c r="AB332" s="463"/>
      <c r="AC332" s="384"/>
      <c r="AD332" s="384"/>
      <c r="AE332" s="384"/>
      <c r="AF332" s="384"/>
      <c r="AG332" s="463"/>
      <c r="AH332" s="384"/>
      <c r="AI332" s="384"/>
      <c r="AJ332" s="384"/>
      <c r="AK332" s="384"/>
      <c r="AL332" s="463"/>
      <c r="AM332" s="384"/>
      <c r="AN332" s="384"/>
      <c r="AO332" s="384"/>
      <c r="AP332" s="384"/>
      <c r="AQ332" s="463"/>
      <c r="AR332" s="384"/>
      <c r="AS332" s="384"/>
      <c r="AT332" s="384"/>
      <c r="AU332" s="384"/>
      <c r="AV332" s="463"/>
      <c r="AW332" s="384"/>
      <c r="AX332" s="384"/>
      <c r="AY332" s="384"/>
      <c r="AZ332" s="384"/>
      <c r="BA332" s="463"/>
      <c r="BB332" s="384"/>
      <c r="BC332" s="384"/>
      <c r="BD332" s="384"/>
      <c r="BE332" s="384"/>
      <c r="BF332" s="463"/>
      <c r="BG332" s="384"/>
      <c r="BH332" s="384"/>
      <c r="BI332" s="384"/>
      <c r="BJ332" s="384"/>
      <c r="BK332" s="463"/>
      <c r="BL332" s="384"/>
      <c r="BM332" s="384"/>
      <c r="BN332" s="384"/>
      <c r="BO332" s="384"/>
    </row>
    <row r="334" spans="3:67">
      <c r="C334" s="509"/>
      <c r="D334" s="510"/>
      <c r="E334" s="510"/>
      <c r="F334" s="510"/>
      <c r="G334" s="510"/>
      <c r="H334" s="509"/>
      <c r="I334" s="510"/>
      <c r="J334" s="510"/>
      <c r="K334" s="510"/>
      <c r="L334" s="510"/>
      <c r="M334" s="509"/>
      <c r="N334" s="510"/>
      <c r="O334" s="510"/>
      <c r="P334" s="510"/>
      <c r="Q334" s="510"/>
      <c r="R334" s="509"/>
      <c r="S334" s="510"/>
      <c r="T334" s="510"/>
      <c r="U334" s="510"/>
      <c r="V334" s="510"/>
      <c r="W334" s="509"/>
      <c r="X334" s="510"/>
      <c r="Y334" s="510"/>
      <c r="Z334" s="510"/>
      <c r="AA334" s="510"/>
      <c r="AB334" s="509"/>
      <c r="AC334" s="510"/>
      <c r="AD334" s="510"/>
      <c r="AE334" s="510"/>
      <c r="AF334" s="510"/>
      <c r="AG334" s="509"/>
      <c r="AH334" s="510"/>
      <c r="AI334" s="510"/>
      <c r="AJ334" s="510"/>
      <c r="AK334" s="510"/>
      <c r="AL334" s="509"/>
      <c r="AM334" s="510"/>
      <c r="AN334" s="510"/>
      <c r="AO334" s="510"/>
      <c r="AP334" s="510"/>
      <c r="AQ334" s="509"/>
      <c r="AR334" s="510"/>
      <c r="AS334" s="510"/>
      <c r="AT334" s="510"/>
      <c r="AU334" s="510"/>
      <c r="AV334" s="509"/>
      <c r="AW334" s="510"/>
      <c r="AX334" s="510"/>
      <c r="AY334" s="510"/>
      <c r="AZ334" s="510"/>
      <c r="BA334" s="509"/>
      <c r="BB334" s="510"/>
      <c r="BC334" s="510"/>
      <c r="BD334" s="510"/>
      <c r="BE334" s="510"/>
      <c r="BF334" s="509"/>
      <c r="BG334" s="510"/>
      <c r="BH334" s="510"/>
      <c r="BI334" s="510"/>
      <c r="BJ334" s="510"/>
      <c r="BK334" s="509"/>
      <c r="BL334" s="510"/>
      <c r="BM334" s="510"/>
      <c r="BN334" s="510"/>
      <c r="BO334" s="510"/>
    </row>
    <row r="335" spans="3:67">
      <c r="C335" s="463"/>
      <c r="D335" s="384"/>
      <c r="E335" s="384"/>
      <c r="F335" s="384"/>
      <c r="G335" s="384"/>
      <c r="H335" s="463"/>
      <c r="I335" s="384"/>
      <c r="J335" s="384"/>
      <c r="K335" s="384"/>
      <c r="L335" s="384"/>
      <c r="M335" s="463"/>
      <c r="N335" s="384"/>
      <c r="O335" s="384"/>
      <c r="P335" s="384"/>
      <c r="Q335" s="384"/>
      <c r="R335" s="463"/>
      <c r="S335" s="384"/>
      <c r="T335" s="384"/>
      <c r="U335" s="384"/>
      <c r="V335" s="384"/>
      <c r="W335" s="463"/>
      <c r="X335" s="384"/>
      <c r="Y335" s="384"/>
      <c r="Z335" s="384"/>
      <c r="AA335" s="384"/>
      <c r="AB335" s="463"/>
      <c r="AC335" s="384"/>
      <c r="AD335" s="384"/>
      <c r="AE335" s="384"/>
      <c r="AF335" s="384"/>
      <c r="AG335" s="463"/>
      <c r="AH335" s="384"/>
      <c r="AI335" s="384"/>
      <c r="AJ335" s="384"/>
      <c r="AK335" s="384"/>
      <c r="AL335" s="463"/>
      <c r="AM335" s="384"/>
      <c r="AN335" s="384"/>
      <c r="AO335" s="384"/>
      <c r="AP335" s="384"/>
      <c r="AQ335" s="463"/>
      <c r="AR335" s="384"/>
      <c r="AS335" s="384"/>
      <c r="AT335" s="384"/>
      <c r="AU335" s="384"/>
      <c r="AV335" s="463"/>
      <c r="AW335" s="384"/>
      <c r="AX335" s="384"/>
      <c r="AY335" s="384"/>
      <c r="AZ335" s="384"/>
      <c r="BA335" s="463"/>
      <c r="BB335" s="384"/>
      <c r="BC335" s="384"/>
      <c r="BD335" s="384"/>
      <c r="BE335" s="384"/>
      <c r="BF335" s="463"/>
      <c r="BG335" s="384"/>
      <c r="BH335" s="384"/>
      <c r="BI335" s="384"/>
      <c r="BJ335" s="384"/>
      <c r="BK335" s="463"/>
      <c r="BL335" s="384"/>
      <c r="BM335" s="384"/>
      <c r="BN335" s="384"/>
      <c r="BO335" s="384"/>
    </row>
    <row r="338" spans="3:67">
      <c r="C338" s="504"/>
      <c r="D338" s="505"/>
      <c r="E338" s="505"/>
      <c r="F338" s="505"/>
      <c r="G338" s="505"/>
      <c r="H338" s="504"/>
      <c r="I338" s="505"/>
      <c r="J338" s="505"/>
      <c r="K338" s="505"/>
      <c r="L338" s="505"/>
      <c r="M338" s="504"/>
      <c r="N338" s="505"/>
      <c r="O338" s="505"/>
      <c r="P338" s="505"/>
      <c r="Q338" s="505"/>
      <c r="R338" s="504"/>
      <c r="S338" s="505"/>
      <c r="T338" s="505"/>
      <c r="U338" s="505"/>
      <c r="V338" s="505"/>
      <c r="W338" s="504"/>
      <c r="X338" s="505"/>
      <c r="Y338" s="505"/>
      <c r="Z338" s="505"/>
      <c r="AA338" s="505"/>
      <c r="AB338" s="504"/>
      <c r="AC338" s="505"/>
      <c r="AD338" s="505"/>
      <c r="AE338" s="505"/>
      <c r="AF338" s="505"/>
      <c r="AG338" s="504"/>
      <c r="AH338" s="505"/>
      <c r="AI338" s="505"/>
      <c r="AJ338" s="505"/>
      <c r="AK338" s="505"/>
      <c r="AL338" s="504"/>
      <c r="AM338" s="505"/>
      <c r="AN338" s="505"/>
      <c r="AO338" s="505"/>
      <c r="AP338" s="505"/>
      <c r="AQ338" s="504"/>
      <c r="AR338" s="505"/>
      <c r="AS338" s="505"/>
      <c r="AT338" s="505"/>
      <c r="AU338" s="505"/>
      <c r="AV338" s="504"/>
      <c r="AW338" s="505"/>
      <c r="AX338" s="505"/>
      <c r="AY338" s="505"/>
      <c r="AZ338" s="505"/>
      <c r="BA338" s="504"/>
      <c r="BB338" s="505"/>
      <c r="BC338" s="505"/>
      <c r="BD338" s="505"/>
      <c r="BE338" s="505"/>
      <c r="BF338" s="504"/>
      <c r="BG338" s="505"/>
      <c r="BH338" s="505"/>
      <c r="BI338" s="505"/>
      <c r="BJ338" s="505"/>
      <c r="BK338" s="504"/>
      <c r="BL338" s="505"/>
      <c r="BM338" s="505"/>
      <c r="BN338" s="505"/>
      <c r="BO338" s="505"/>
    </row>
    <row r="341" spans="3:67">
      <c r="C341" s="513"/>
      <c r="D341" s="514"/>
      <c r="E341" s="514"/>
      <c r="F341" s="514"/>
      <c r="G341" s="514"/>
      <c r="H341" s="513"/>
      <c r="I341" s="514"/>
      <c r="J341" s="514"/>
      <c r="K341" s="514"/>
      <c r="L341" s="514"/>
      <c r="M341" s="513"/>
      <c r="N341" s="514"/>
      <c r="O341" s="514"/>
      <c r="P341" s="514"/>
      <c r="Q341" s="514"/>
      <c r="R341" s="513"/>
      <c r="S341" s="514"/>
      <c r="T341" s="514"/>
      <c r="U341" s="514"/>
      <c r="V341" s="514"/>
      <c r="W341" s="513"/>
      <c r="X341" s="514"/>
      <c r="Y341" s="514"/>
      <c r="Z341" s="514"/>
      <c r="AA341" s="514"/>
      <c r="AB341" s="513"/>
      <c r="AC341" s="514"/>
      <c r="AD341" s="514"/>
      <c r="AE341" s="514"/>
      <c r="AF341" s="514"/>
      <c r="AG341" s="513"/>
      <c r="AH341" s="514"/>
      <c r="AI341" s="514"/>
      <c r="AJ341" s="514"/>
      <c r="AK341" s="514"/>
      <c r="AL341" s="513"/>
      <c r="AM341" s="514"/>
      <c r="AN341" s="514"/>
      <c r="AO341" s="514"/>
      <c r="AP341" s="514"/>
      <c r="AQ341" s="513"/>
      <c r="AR341" s="514"/>
      <c r="AS341" s="514"/>
      <c r="AT341" s="514"/>
      <c r="AU341" s="514"/>
      <c r="AV341" s="513"/>
      <c r="AW341" s="514"/>
      <c r="AX341" s="514"/>
      <c r="AY341" s="514"/>
      <c r="AZ341" s="514"/>
      <c r="BA341" s="513"/>
      <c r="BB341" s="514"/>
      <c r="BC341" s="514"/>
      <c r="BD341" s="514"/>
      <c r="BE341" s="514"/>
      <c r="BF341" s="513"/>
      <c r="BG341" s="514"/>
      <c r="BH341" s="514"/>
      <c r="BI341" s="514"/>
      <c r="BJ341" s="514"/>
      <c r="BK341" s="513"/>
      <c r="BL341" s="514"/>
      <c r="BM341" s="514"/>
      <c r="BN341" s="514"/>
      <c r="BO341" s="514"/>
    </row>
    <row r="342" spans="3:67">
      <c r="C342" s="502"/>
      <c r="D342" s="503"/>
      <c r="E342" s="503"/>
      <c r="F342" s="503"/>
      <c r="G342" s="503"/>
      <c r="H342" s="502"/>
      <c r="I342" s="503"/>
      <c r="J342" s="503"/>
      <c r="K342" s="503"/>
      <c r="L342" s="503"/>
      <c r="M342" s="502"/>
      <c r="N342" s="503"/>
      <c r="O342" s="503"/>
      <c r="P342" s="503"/>
      <c r="Q342" s="503"/>
      <c r="R342" s="502"/>
      <c r="S342" s="503"/>
      <c r="T342" s="503"/>
      <c r="U342" s="503"/>
      <c r="V342" s="503"/>
      <c r="W342" s="502"/>
      <c r="X342" s="503"/>
      <c r="Y342" s="503"/>
      <c r="Z342" s="503"/>
      <c r="AA342" s="503"/>
      <c r="AB342" s="502"/>
      <c r="AC342" s="503"/>
      <c r="AD342" s="503"/>
      <c r="AE342" s="503"/>
      <c r="AF342" s="503"/>
      <c r="AG342" s="502"/>
      <c r="AH342" s="503"/>
      <c r="AI342" s="503"/>
      <c r="AJ342" s="503"/>
      <c r="AK342" s="503"/>
      <c r="AL342" s="502"/>
      <c r="AM342" s="503"/>
      <c r="AN342" s="503"/>
      <c r="AO342" s="503"/>
      <c r="AP342" s="503"/>
      <c r="AQ342" s="502"/>
      <c r="AR342" s="503"/>
      <c r="AS342" s="503"/>
      <c r="AT342" s="503"/>
      <c r="AU342" s="503"/>
      <c r="AV342" s="502"/>
      <c r="AW342" s="503"/>
      <c r="AX342" s="503"/>
      <c r="AY342" s="503"/>
      <c r="AZ342" s="503"/>
      <c r="BA342" s="502"/>
      <c r="BB342" s="503"/>
      <c r="BC342" s="503"/>
      <c r="BD342" s="503"/>
      <c r="BE342" s="503"/>
      <c r="BF342" s="502"/>
      <c r="BG342" s="503"/>
      <c r="BH342" s="503"/>
      <c r="BI342" s="503"/>
      <c r="BJ342" s="503"/>
      <c r="BK342" s="502"/>
      <c r="BL342" s="503"/>
      <c r="BM342" s="503"/>
      <c r="BN342" s="503"/>
      <c r="BO342" s="503"/>
    </row>
    <row r="344" spans="3:67">
      <c r="C344" s="463"/>
      <c r="D344" s="384"/>
      <c r="E344" s="384"/>
      <c r="F344" s="384"/>
      <c r="G344" s="384"/>
      <c r="H344" s="463"/>
      <c r="I344" s="384"/>
      <c r="J344" s="384"/>
      <c r="K344" s="384"/>
      <c r="L344" s="384"/>
      <c r="M344" s="463"/>
      <c r="N344" s="384"/>
      <c r="O344" s="384"/>
      <c r="P344" s="384"/>
      <c r="Q344" s="384"/>
      <c r="R344" s="463"/>
      <c r="S344" s="384"/>
      <c r="T344" s="384"/>
      <c r="U344" s="384"/>
      <c r="V344" s="384"/>
      <c r="W344" s="463"/>
      <c r="X344" s="384"/>
      <c r="Y344" s="384"/>
      <c r="Z344" s="384"/>
      <c r="AA344" s="384"/>
      <c r="AB344" s="463"/>
      <c r="AC344" s="384"/>
      <c r="AD344" s="384"/>
      <c r="AE344" s="384"/>
      <c r="AF344" s="384"/>
      <c r="AG344" s="463"/>
      <c r="AH344" s="384"/>
      <c r="AI344" s="384"/>
      <c r="AJ344" s="384"/>
      <c r="AK344" s="384"/>
      <c r="AL344" s="463"/>
      <c r="AM344" s="384"/>
      <c r="AN344" s="384"/>
      <c r="AO344" s="384"/>
      <c r="AP344" s="384"/>
      <c r="AQ344" s="463"/>
      <c r="AR344" s="384"/>
      <c r="AS344" s="384"/>
      <c r="AT344" s="384"/>
      <c r="AU344" s="384"/>
      <c r="AV344" s="463"/>
      <c r="AW344" s="384"/>
      <c r="AX344" s="384"/>
      <c r="AY344" s="384"/>
      <c r="AZ344" s="384"/>
      <c r="BA344" s="463"/>
      <c r="BB344" s="384"/>
      <c r="BC344" s="384"/>
      <c r="BD344" s="384"/>
      <c r="BE344" s="384"/>
      <c r="BF344" s="463"/>
      <c r="BG344" s="384"/>
      <c r="BH344" s="384"/>
      <c r="BI344" s="384"/>
      <c r="BJ344" s="384"/>
      <c r="BK344" s="463"/>
      <c r="BL344" s="384"/>
      <c r="BM344" s="384"/>
      <c r="BN344" s="384"/>
      <c r="BO344" s="384"/>
    </row>
    <row r="347" spans="3:67">
      <c r="C347" s="463"/>
      <c r="D347" s="384"/>
      <c r="E347" s="384"/>
      <c r="F347" s="384"/>
      <c r="G347" s="384"/>
      <c r="H347" s="463"/>
      <c r="I347" s="384"/>
      <c r="J347" s="384"/>
      <c r="K347" s="384"/>
      <c r="L347" s="384"/>
      <c r="M347" s="463"/>
      <c r="N347" s="384"/>
      <c r="O347" s="384"/>
      <c r="P347" s="384"/>
      <c r="Q347" s="384"/>
      <c r="R347" s="463"/>
      <c r="S347" s="384"/>
      <c r="T347" s="384"/>
      <c r="U347" s="384"/>
      <c r="V347" s="384"/>
      <c r="W347" s="463"/>
      <c r="X347" s="384"/>
      <c r="Y347" s="384"/>
      <c r="Z347" s="384"/>
      <c r="AA347" s="384"/>
      <c r="AB347" s="463"/>
      <c r="AC347" s="384"/>
      <c r="AD347" s="384"/>
      <c r="AE347" s="384"/>
      <c r="AF347" s="384"/>
      <c r="AG347" s="463"/>
      <c r="AH347" s="384"/>
      <c r="AI347" s="384"/>
      <c r="AJ347" s="384"/>
      <c r="AK347" s="384"/>
      <c r="AL347" s="463"/>
      <c r="AM347" s="384"/>
      <c r="AN347" s="384"/>
      <c r="AO347" s="384"/>
      <c r="AP347" s="384"/>
      <c r="AQ347" s="463"/>
      <c r="AR347" s="384"/>
      <c r="AS347" s="384"/>
      <c r="AT347" s="384"/>
      <c r="AU347" s="384"/>
      <c r="AV347" s="463"/>
      <c r="AW347" s="384"/>
      <c r="AX347" s="384"/>
      <c r="AY347" s="384"/>
      <c r="AZ347" s="384"/>
      <c r="BA347" s="463"/>
      <c r="BB347" s="384"/>
      <c r="BC347" s="384"/>
      <c r="BD347" s="384"/>
      <c r="BE347" s="384"/>
      <c r="BF347" s="463"/>
      <c r="BG347" s="384"/>
      <c r="BH347" s="384"/>
      <c r="BI347" s="384"/>
      <c r="BJ347" s="384"/>
      <c r="BK347" s="463"/>
      <c r="BL347" s="384"/>
      <c r="BM347" s="384"/>
      <c r="BN347" s="384"/>
      <c r="BO347" s="384"/>
    </row>
    <row r="349" spans="3:67">
      <c r="C349" s="508"/>
      <c r="D349" s="501"/>
      <c r="E349" s="501"/>
      <c r="F349" s="501"/>
      <c r="G349" s="501"/>
      <c r="H349" s="508"/>
      <c r="I349" s="501"/>
      <c r="J349" s="501"/>
      <c r="K349" s="501"/>
      <c r="L349" s="501"/>
      <c r="M349" s="508"/>
      <c r="N349" s="501"/>
      <c r="O349" s="501"/>
      <c r="P349" s="501"/>
      <c r="Q349" s="501"/>
      <c r="R349" s="508"/>
      <c r="S349" s="501"/>
      <c r="T349" s="501"/>
      <c r="U349" s="501"/>
      <c r="V349" s="501"/>
      <c r="W349" s="508"/>
      <c r="X349" s="501"/>
      <c r="Y349" s="501"/>
      <c r="Z349" s="501"/>
      <c r="AA349" s="501"/>
      <c r="AB349" s="508"/>
      <c r="AC349" s="501"/>
      <c r="AD349" s="501"/>
      <c r="AE349" s="501"/>
      <c r="AF349" s="501"/>
      <c r="AG349" s="508"/>
      <c r="AH349" s="501"/>
      <c r="AI349" s="501"/>
      <c r="AJ349" s="501"/>
      <c r="AK349" s="501"/>
      <c r="AL349" s="508"/>
      <c r="AM349" s="501"/>
      <c r="AN349" s="501"/>
      <c r="AO349" s="501"/>
      <c r="AP349" s="501"/>
      <c r="AQ349" s="508"/>
      <c r="AR349" s="501"/>
      <c r="AS349" s="501"/>
      <c r="AT349" s="501"/>
      <c r="AU349" s="501"/>
      <c r="AV349" s="508"/>
      <c r="AW349" s="501"/>
      <c r="AX349" s="501"/>
      <c r="AY349" s="501"/>
      <c r="AZ349" s="501"/>
      <c r="BA349" s="508"/>
      <c r="BB349" s="501"/>
      <c r="BC349" s="501"/>
      <c r="BD349" s="501"/>
      <c r="BE349" s="501"/>
      <c r="BF349" s="508"/>
      <c r="BG349" s="501"/>
      <c r="BH349" s="501"/>
      <c r="BI349" s="501"/>
      <c r="BJ349" s="501"/>
      <c r="BK349" s="508"/>
      <c r="BL349" s="501"/>
      <c r="BM349" s="501"/>
      <c r="BN349" s="501"/>
      <c r="BO349" s="501"/>
    </row>
    <row r="350" spans="3:67">
      <c r="C350" s="502"/>
      <c r="D350" s="503"/>
      <c r="E350" s="503"/>
      <c r="F350" s="503"/>
      <c r="G350" s="503"/>
      <c r="H350" s="502"/>
      <c r="I350" s="503"/>
      <c r="J350" s="503"/>
      <c r="K350" s="503"/>
      <c r="L350" s="503"/>
      <c r="M350" s="502"/>
      <c r="N350" s="503"/>
      <c r="O350" s="503"/>
      <c r="P350" s="503"/>
      <c r="Q350" s="503"/>
      <c r="R350" s="502"/>
      <c r="S350" s="503"/>
      <c r="T350" s="503"/>
      <c r="U350" s="503"/>
      <c r="V350" s="503"/>
      <c r="W350" s="502"/>
      <c r="X350" s="503"/>
      <c r="Y350" s="503"/>
      <c r="Z350" s="503"/>
      <c r="AA350" s="503"/>
      <c r="AB350" s="502"/>
      <c r="AC350" s="503"/>
      <c r="AD350" s="503"/>
      <c r="AE350" s="503"/>
      <c r="AF350" s="503"/>
      <c r="AG350" s="502"/>
      <c r="AH350" s="503"/>
      <c r="AI350" s="503"/>
      <c r="AJ350" s="503"/>
      <c r="AK350" s="503"/>
      <c r="AL350" s="502"/>
      <c r="AM350" s="503"/>
      <c r="AN350" s="503"/>
      <c r="AO350" s="503"/>
      <c r="AP350" s="503"/>
      <c r="AQ350" s="502"/>
      <c r="AR350" s="503"/>
      <c r="AS350" s="503"/>
      <c r="AT350" s="503"/>
      <c r="AU350" s="503"/>
      <c r="AV350" s="502"/>
      <c r="AW350" s="503"/>
      <c r="AX350" s="503"/>
      <c r="AY350" s="503"/>
      <c r="AZ350" s="503"/>
      <c r="BA350" s="502"/>
      <c r="BB350" s="503"/>
      <c r="BC350" s="503"/>
      <c r="BD350" s="503"/>
      <c r="BE350" s="503"/>
      <c r="BF350" s="502"/>
      <c r="BG350" s="503"/>
      <c r="BH350" s="503"/>
      <c r="BI350" s="503"/>
      <c r="BJ350" s="503"/>
      <c r="BK350" s="502"/>
      <c r="BL350" s="503"/>
      <c r="BM350" s="503"/>
      <c r="BN350" s="503"/>
      <c r="BO350" s="503"/>
    </row>
    <row r="352" spans="3:67">
      <c r="C352" s="463"/>
      <c r="D352" s="384"/>
      <c r="E352" s="384"/>
      <c r="F352" s="384"/>
      <c r="G352" s="384"/>
      <c r="H352" s="463"/>
      <c r="I352" s="384"/>
      <c r="J352" s="384"/>
      <c r="K352" s="384"/>
      <c r="L352" s="384"/>
      <c r="M352" s="463"/>
      <c r="N352" s="384"/>
      <c r="O352" s="384"/>
      <c r="P352" s="384"/>
      <c r="Q352" s="384"/>
      <c r="R352" s="463"/>
      <c r="S352" s="384"/>
      <c r="T352" s="384"/>
      <c r="U352" s="384"/>
      <c r="V352" s="384"/>
      <c r="W352" s="463"/>
      <c r="X352" s="384"/>
      <c r="Y352" s="384"/>
      <c r="Z352" s="384"/>
      <c r="AA352" s="384"/>
      <c r="AB352" s="463"/>
      <c r="AC352" s="384"/>
      <c r="AD352" s="384"/>
      <c r="AE352" s="384"/>
      <c r="AF352" s="384"/>
      <c r="AG352" s="463"/>
      <c r="AH352" s="384"/>
      <c r="AI352" s="384"/>
      <c r="AJ352" s="384"/>
      <c r="AK352" s="384"/>
      <c r="AL352" s="463"/>
      <c r="AM352" s="384"/>
      <c r="AN352" s="384"/>
      <c r="AO352" s="384"/>
      <c r="AP352" s="384"/>
      <c r="AQ352" s="463"/>
      <c r="AR352" s="384"/>
      <c r="AS352" s="384"/>
      <c r="AT352" s="384"/>
      <c r="AU352" s="384"/>
      <c r="AV352" s="463"/>
      <c r="AW352" s="384"/>
      <c r="AX352" s="384"/>
      <c r="AY352" s="384"/>
      <c r="AZ352" s="384"/>
      <c r="BA352" s="463"/>
      <c r="BB352" s="384"/>
      <c r="BC352" s="384"/>
      <c r="BD352" s="384"/>
      <c r="BE352" s="384"/>
      <c r="BF352" s="463"/>
      <c r="BG352" s="384"/>
      <c r="BH352" s="384"/>
      <c r="BI352" s="384"/>
      <c r="BJ352" s="384"/>
      <c r="BK352" s="463"/>
      <c r="BL352" s="384"/>
      <c r="BM352" s="384"/>
      <c r="BN352" s="384"/>
      <c r="BO352" s="384"/>
    </row>
    <row r="354" spans="3:67">
      <c r="C354" s="497"/>
      <c r="D354" s="498"/>
      <c r="E354" s="498"/>
      <c r="F354" s="498"/>
      <c r="G354" s="498"/>
      <c r="H354" s="497"/>
      <c r="I354" s="498"/>
      <c r="J354" s="498"/>
      <c r="K354" s="498"/>
      <c r="L354" s="498"/>
      <c r="M354" s="497"/>
      <c r="N354" s="498"/>
      <c r="O354" s="498"/>
      <c r="P354" s="498"/>
      <c r="Q354" s="498"/>
      <c r="R354" s="497"/>
      <c r="S354" s="498"/>
      <c r="T354" s="498"/>
      <c r="U354" s="498"/>
      <c r="V354" s="498"/>
      <c r="W354" s="497"/>
      <c r="X354" s="498"/>
      <c r="Y354" s="498"/>
      <c r="Z354" s="498"/>
      <c r="AA354" s="498"/>
      <c r="AB354" s="497"/>
      <c r="AC354" s="498"/>
      <c r="AD354" s="498"/>
      <c r="AE354" s="498"/>
      <c r="AF354" s="498"/>
      <c r="AG354" s="497"/>
      <c r="AH354" s="498"/>
      <c r="AI354" s="498"/>
      <c r="AJ354" s="498"/>
      <c r="AK354" s="498"/>
      <c r="AL354" s="497"/>
      <c r="AM354" s="498"/>
      <c r="AN354" s="498"/>
      <c r="AO354" s="498"/>
      <c r="AP354" s="498"/>
      <c r="AQ354" s="497"/>
      <c r="AR354" s="498"/>
      <c r="AS354" s="498"/>
      <c r="AT354" s="498"/>
      <c r="AU354" s="498"/>
      <c r="AV354" s="497"/>
      <c r="AW354" s="498"/>
      <c r="AX354" s="498"/>
      <c r="AY354" s="498"/>
      <c r="AZ354" s="498"/>
      <c r="BA354" s="497"/>
      <c r="BB354" s="498"/>
      <c r="BC354" s="498"/>
      <c r="BD354" s="498"/>
      <c r="BE354" s="498"/>
      <c r="BF354" s="497"/>
      <c r="BG354" s="498"/>
      <c r="BH354" s="498"/>
      <c r="BI354" s="498"/>
      <c r="BJ354" s="498"/>
      <c r="BK354" s="497"/>
      <c r="BL354" s="498"/>
      <c r="BM354" s="498"/>
      <c r="BN354" s="498"/>
      <c r="BO354" s="498"/>
    </row>
    <row r="355" spans="3:67">
      <c r="C355" s="463"/>
      <c r="D355" s="384"/>
      <c r="E355" s="384"/>
      <c r="F355" s="384"/>
      <c r="G355" s="384"/>
      <c r="H355" s="463"/>
      <c r="I355" s="384"/>
      <c r="J355" s="384"/>
      <c r="K355" s="384"/>
      <c r="L355" s="384"/>
      <c r="M355" s="463"/>
      <c r="N355" s="384"/>
      <c r="O355" s="384"/>
      <c r="P355" s="384"/>
      <c r="Q355" s="384"/>
      <c r="R355" s="463"/>
      <c r="S355" s="384"/>
      <c r="T355" s="384"/>
      <c r="U355" s="384"/>
      <c r="V355" s="384"/>
      <c r="W355" s="463"/>
      <c r="X355" s="384"/>
      <c r="Y355" s="384"/>
      <c r="Z355" s="384"/>
      <c r="AA355" s="384"/>
      <c r="AB355" s="463"/>
      <c r="AC355" s="384"/>
      <c r="AD355" s="384"/>
      <c r="AE355" s="384"/>
      <c r="AF355" s="384"/>
      <c r="AG355" s="463"/>
      <c r="AH355" s="384"/>
      <c r="AI355" s="384"/>
      <c r="AJ355" s="384"/>
      <c r="AK355" s="384"/>
      <c r="AL355" s="463"/>
      <c r="AM355" s="384"/>
      <c r="AN355" s="384"/>
      <c r="AO355" s="384"/>
      <c r="AP355" s="384"/>
      <c r="AQ355" s="463"/>
      <c r="AR355" s="384"/>
      <c r="AS355" s="384"/>
      <c r="AT355" s="384"/>
      <c r="AU355" s="384"/>
      <c r="AV355" s="463"/>
      <c r="AW355" s="384"/>
      <c r="AX355" s="384"/>
      <c r="AY355" s="384"/>
      <c r="AZ355" s="384"/>
      <c r="BA355" s="463"/>
      <c r="BB355" s="384"/>
      <c r="BC355" s="384"/>
      <c r="BD355" s="384"/>
      <c r="BE355" s="384"/>
      <c r="BF355" s="463"/>
      <c r="BG355" s="384"/>
      <c r="BH355" s="384"/>
      <c r="BI355" s="384"/>
      <c r="BJ355" s="384"/>
      <c r="BK355" s="463"/>
      <c r="BL355" s="384"/>
      <c r="BM355" s="384"/>
      <c r="BN355" s="384"/>
      <c r="BO355" s="384"/>
    </row>
    <row r="359" spans="3:67">
      <c r="C359" s="463"/>
      <c r="D359" s="384"/>
      <c r="E359" s="384"/>
      <c r="F359" s="384"/>
      <c r="G359" s="384"/>
      <c r="H359" s="463"/>
      <c r="I359" s="384"/>
      <c r="J359" s="384"/>
      <c r="K359" s="384"/>
      <c r="L359" s="384"/>
      <c r="M359" s="463"/>
      <c r="N359" s="384"/>
      <c r="O359" s="384"/>
      <c r="P359" s="384"/>
      <c r="Q359" s="384"/>
      <c r="R359" s="463"/>
      <c r="S359" s="384"/>
      <c r="T359" s="384"/>
      <c r="U359" s="384"/>
      <c r="V359" s="384"/>
      <c r="W359" s="463"/>
      <c r="X359" s="384"/>
      <c r="Y359" s="384"/>
      <c r="Z359" s="384"/>
      <c r="AA359" s="384"/>
      <c r="AB359" s="463"/>
      <c r="AC359" s="384"/>
      <c r="AD359" s="384"/>
      <c r="AE359" s="384"/>
      <c r="AF359" s="384"/>
      <c r="AG359" s="463"/>
      <c r="AH359" s="384"/>
      <c r="AI359" s="384"/>
      <c r="AJ359" s="384"/>
      <c r="AK359" s="384"/>
      <c r="AL359" s="463"/>
      <c r="AM359" s="384"/>
      <c r="AN359" s="384"/>
      <c r="AO359" s="384"/>
      <c r="AP359" s="384"/>
      <c r="AQ359" s="463"/>
      <c r="AR359" s="384"/>
      <c r="AS359" s="384"/>
      <c r="AT359" s="384"/>
      <c r="AU359" s="384"/>
      <c r="AV359" s="463"/>
      <c r="AW359" s="384"/>
      <c r="AX359" s="384"/>
      <c r="AY359" s="384"/>
      <c r="AZ359" s="384"/>
      <c r="BA359" s="463"/>
      <c r="BB359" s="384"/>
      <c r="BC359" s="384"/>
      <c r="BD359" s="384"/>
      <c r="BE359" s="384"/>
      <c r="BF359" s="463"/>
      <c r="BG359" s="384"/>
      <c r="BH359" s="384"/>
      <c r="BI359" s="384"/>
      <c r="BJ359" s="384"/>
      <c r="BK359" s="463"/>
      <c r="BL359" s="384"/>
      <c r="BM359" s="384"/>
      <c r="BN359" s="384"/>
      <c r="BO359" s="384"/>
    </row>
    <row r="360" spans="3:67">
      <c r="C360" s="463"/>
      <c r="D360" s="384"/>
      <c r="E360" s="384"/>
      <c r="F360" s="384"/>
      <c r="G360" s="384"/>
      <c r="H360" s="463"/>
      <c r="I360" s="384"/>
      <c r="J360" s="384"/>
      <c r="K360" s="384"/>
      <c r="L360" s="384"/>
      <c r="M360" s="463"/>
      <c r="N360" s="384"/>
      <c r="O360" s="384"/>
      <c r="P360" s="384"/>
      <c r="Q360" s="384"/>
      <c r="R360" s="463"/>
      <c r="S360" s="384"/>
      <c r="T360" s="384"/>
      <c r="U360" s="384"/>
      <c r="V360" s="384"/>
      <c r="W360" s="463"/>
      <c r="X360" s="384"/>
      <c r="Y360" s="384"/>
      <c r="Z360" s="384"/>
      <c r="AA360" s="384"/>
      <c r="AB360" s="463"/>
      <c r="AC360" s="384"/>
      <c r="AD360" s="384"/>
      <c r="AE360" s="384"/>
      <c r="AF360" s="384"/>
      <c r="AG360" s="463"/>
      <c r="AH360" s="384"/>
      <c r="AI360" s="384"/>
      <c r="AJ360" s="384"/>
      <c r="AK360" s="384"/>
      <c r="AL360" s="463"/>
      <c r="AM360" s="384"/>
      <c r="AN360" s="384"/>
      <c r="AO360" s="384"/>
      <c r="AP360" s="384"/>
      <c r="AQ360" s="463"/>
      <c r="AR360" s="384"/>
      <c r="AS360" s="384"/>
      <c r="AT360" s="384"/>
      <c r="AU360" s="384"/>
      <c r="AV360" s="463"/>
      <c r="AW360" s="384"/>
      <c r="AX360" s="384"/>
      <c r="AY360" s="384"/>
      <c r="AZ360" s="384"/>
      <c r="BA360" s="463"/>
      <c r="BB360" s="384"/>
      <c r="BC360" s="384"/>
      <c r="BD360" s="384"/>
      <c r="BE360" s="384"/>
      <c r="BF360" s="463"/>
      <c r="BG360" s="384"/>
      <c r="BH360" s="384"/>
      <c r="BI360" s="384"/>
      <c r="BJ360" s="384"/>
      <c r="BK360" s="463"/>
      <c r="BL360" s="384"/>
      <c r="BM360" s="384"/>
      <c r="BN360" s="384"/>
      <c r="BO360" s="384"/>
    </row>
    <row r="361" spans="3:67">
      <c r="C361" s="504"/>
      <c r="D361" s="505"/>
      <c r="E361" s="505"/>
      <c r="F361" s="505"/>
      <c r="G361" s="505"/>
      <c r="H361" s="504"/>
      <c r="I361" s="505"/>
      <c r="J361" s="505"/>
      <c r="K361" s="505"/>
      <c r="L361" s="505"/>
      <c r="M361" s="504"/>
      <c r="N361" s="505"/>
      <c r="O361" s="505"/>
      <c r="P361" s="505"/>
      <c r="Q361" s="505"/>
      <c r="R361" s="504"/>
      <c r="S361" s="505"/>
      <c r="T361" s="505"/>
      <c r="U361" s="505"/>
      <c r="V361" s="505"/>
      <c r="W361" s="504"/>
      <c r="X361" s="505"/>
      <c r="Y361" s="505"/>
      <c r="Z361" s="505"/>
      <c r="AA361" s="505"/>
      <c r="AB361" s="504"/>
      <c r="AC361" s="505"/>
      <c r="AD361" s="505"/>
      <c r="AE361" s="505"/>
      <c r="AF361" s="505"/>
      <c r="AG361" s="504"/>
      <c r="AH361" s="505"/>
      <c r="AI361" s="505"/>
      <c r="AJ361" s="505"/>
      <c r="AK361" s="505"/>
      <c r="AL361" s="504"/>
      <c r="AM361" s="505"/>
      <c r="AN361" s="505"/>
      <c r="AO361" s="505"/>
      <c r="AP361" s="505"/>
      <c r="AQ361" s="504"/>
      <c r="AR361" s="505"/>
      <c r="AS361" s="505"/>
      <c r="AT361" s="505"/>
      <c r="AU361" s="505"/>
      <c r="AV361" s="504"/>
      <c r="AW361" s="505"/>
      <c r="AX361" s="505"/>
      <c r="AY361" s="505"/>
      <c r="AZ361" s="505"/>
      <c r="BA361" s="504"/>
      <c r="BB361" s="505"/>
      <c r="BC361" s="505"/>
      <c r="BD361" s="505"/>
      <c r="BE361" s="505"/>
      <c r="BF361" s="504"/>
      <c r="BG361" s="505"/>
      <c r="BH361" s="505"/>
      <c r="BI361" s="505"/>
      <c r="BJ361" s="505"/>
      <c r="BK361" s="504"/>
      <c r="BL361" s="505"/>
      <c r="BM361" s="505"/>
      <c r="BN361" s="505"/>
      <c r="BO361" s="505"/>
    </row>
    <row r="362" spans="3:67">
      <c r="C362" s="463"/>
      <c r="D362" s="384"/>
      <c r="E362" s="384"/>
      <c r="F362" s="384"/>
      <c r="G362" s="384"/>
      <c r="H362" s="463"/>
      <c r="I362" s="384"/>
      <c r="J362" s="384"/>
      <c r="K362" s="384"/>
      <c r="L362" s="384"/>
      <c r="M362" s="463"/>
      <c r="N362" s="384"/>
      <c r="O362" s="384"/>
      <c r="P362" s="384"/>
      <c r="Q362" s="384"/>
      <c r="R362" s="463"/>
      <c r="S362" s="384"/>
      <c r="T362" s="384"/>
      <c r="U362" s="384"/>
      <c r="V362" s="384"/>
      <c r="W362" s="463"/>
      <c r="X362" s="384"/>
      <c r="Y362" s="384"/>
      <c r="Z362" s="384"/>
      <c r="AA362" s="384"/>
      <c r="AB362" s="463"/>
      <c r="AC362" s="384"/>
      <c r="AD362" s="384"/>
      <c r="AE362" s="384"/>
      <c r="AF362" s="384"/>
      <c r="AG362" s="463"/>
      <c r="AH362" s="384"/>
      <c r="AI362" s="384"/>
      <c r="AJ362" s="384"/>
      <c r="AK362" s="384"/>
      <c r="AL362" s="463"/>
      <c r="AM362" s="384"/>
      <c r="AN362" s="384"/>
      <c r="AO362" s="384"/>
      <c r="AP362" s="384"/>
      <c r="AQ362" s="463"/>
      <c r="AR362" s="384"/>
      <c r="AS362" s="384"/>
      <c r="AT362" s="384"/>
      <c r="AU362" s="384"/>
      <c r="AV362" s="463"/>
      <c r="AW362" s="384"/>
      <c r="AX362" s="384"/>
      <c r="AY362" s="384"/>
      <c r="AZ362" s="384"/>
      <c r="BA362" s="463"/>
      <c r="BB362" s="384"/>
      <c r="BC362" s="384"/>
      <c r="BD362" s="384"/>
      <c r="BE362" s="384"/>
      <c r="BF362" s="463"/>
      <c r="BG362" s="384"/>
      <c r="BH362" s="384"/>
      <c r="BI362" s="384"/>
      <c r="BJ362" s="384"/>
      <c r="BK362" s="463"/>
      <c r="BL362" s="384"/>
      <c r="BM362" s="384"/>
      <c r="BN362" s="384"/>
      <c r="BO362" s="384"/>
    </row>
    <row r="363" spans="3:67">
      <c r="C363" s="511"/>
      <c r="D363" s="512"/>
      <c r="E363" s="512"/>
      <c r="F363" s="512"/>
      <c r="G363" s="512"/>
      <c r="H363" s="511"/>
      <c r="I363" s="512"/>
      <c r="J363" s="512"/>
      <c r="K363" s="512"/>
      <c r="L363" s="512"/>
      <c r="M363" s="511"/>
      <c r="N363" s="512"/>
      <c r="O363" s="512"/>
      <c r="P363" s="512"/>
      <c r="Q363" s="512"/>
      <c r="R363" s="511"/>
      <c r="S363" s="512"/>
      <c r="T363" s="512"/>
      <c r="U363" s="512"/>
      <c r="V363" s="512"/>
      <c r="W363" s="511"/>
      <c r="X363" s="512"/>
      <c r="Y363" s="512"/>
      <c r="Z363" s="512"/>
      <c r="AA363" s="512"/>
      <c r="AB363" s="511"/>
      <c r="AC363" s="512"/>
      <c r="AD363" s="512"/>
      <c r="AE363" s="512"/>
      <c r="AF363" s="512"/>
      <c r="AG363" s="511"/>
      <c r="AH363" s="512"/>
      <c r="AI363" s="512"/>
      <c r="AJ363" s="512"/>
      <c r="AK363" s="512"/>
      <c r="AL363" s="511"/>
      <c r="AM363" s="512"/>
      <c r="AN363" s="512"/>
      <c r="AO363" s="512"/>
      <c r="AP363" s="512"/>
      <c r="AQ363" s="511"/>
      <c r="AR363" s="512"/>
      <c r="AS363" s="512"/>
      <c r="AT363" s="512"/>
      <c r="AU363" s="512"/>
      <c r="AV363" s="511"/>
      <c r="AW363" s="512"/>
      <c r="AX363" s="512"/>
      <c r="AY363" s="512"/>
      <c r="AZ363" s="512"/>
      <c r="BA363" s="511"/>
      <c r="BB363" s="512"/>
      <c r="BC363" s="512"/>
      <c r="BD363" s="512"/>
      <c r="BE363" s="512"/>
      <c r="BF363" s="511"/>
      <c r="BG363" s="512"/>
      <c r="BH363" s="512"/>
      <c r="BI363" s="512"/>
      <c r="BJ363" s="512"/>
      <c r="BK363" s="511"/>
      <c r="BL363" s="512"/>
      <c r="BM363" s="512"/>
      <c r="BN363" s="512"/>
      <c r="BO363" s="512"/>
    </row>
    <row r="366" spans="3:67">
      <c r="C366" s="504"/>
      <c r="D366" s="505"/>
      <c r="E366" s="505"/>
      <c r="F366" s="505"/>
      <c r="G366" s="505"/>
      <c r="H366" s="504"/>
      <c r="I366" s="505"/>
      <c r="J366" s="505"/>
      <c r="K366" s="505"/>
      <c r="L366" s="505"/>
      <c r="M366" s="504"/>
      <c r="N366" s="505"/>
      <c r="O366" s="505"/>
      <c r="P366" s="505"/>
      <c r="Q366" s="505"/>
      <c r="R366" s="504"/>
      <c r="S366" s="505"/>
      <c r="T366" s="505"/>
      <c r="U366" s="505"/>
      <c r="V366" s="505"/>
      <c r="W366" s="504"/>
      <c r="X366" s="505"/>
      <c r="Y366" s="505"/>
      <c r="Z366" s="505"/>
      <c r="AA366" s="505"/>
      <c r="AB366" s="504"/>
      <c r="AC366" s="505"/>
      <c r="AD366" s="505"/>
      <c r="AE366" s="505"/>
      <c r="AF366" s="505"/>
      <c r="AG366" s="504"/>
      <c r="AH366" s="505"/>
      <c r="AI366" s="505"/>
      <c r="AJ366" s="505"/>
      <c r="AK366" s="505"/>
      <c r="AL366" s="504"/>
      <c r="AM366" s="505"/>
      <c r="AN366" s="505"/>
      <c r="AO366" s="505"/>
      <c r="AP366" s="505"/>
      <c r="AQ366" s="504"/>
      <c r="AR366" s="505"/>
      <c r="AS366" s="505"/>
      <c r="AT366" s="505"/>
      <c r="AU366" s="505"/>
      <c r="AV366" s="504"/>
      <c r="AW366" s="505"/>
      <c r="AX366" s="505"/>
      <c r="AY366" s="505"/>
      <c r="AZ366" s="505"/>
      <c r="BA366" s="504"/>
      <c r="BB366" s="505"/>
      <c r="BC366" s="505"/>
      <c r="BD366" s="505"/>
      <c r="BE366" s="505"/>
      <c r="BF366" s="504"/>
      <c r="BG366" s="505"/>
      <c r="BH366" s="505"/>
      <c r="BI366" s="505"/>
      <c r="BJ366" s="505"/>
      <c r="BK366" s="504"/>
      <c r="BL366" s="505"/>
      <c r="BM366" s="505"/>
      <c r="BN366" s="505"/>
      <c r="BO366" s="505"/>
    </row>
    <row r="367" spans="3:67">
      <c r="C367" s="463"/>
      <c r="D367" s="384"/>
      <c r="E367" s="384"/>
      <c r="F367" s="384"/>
      <c r="G367" s="384"/>
      <c r="H367" s="463"/>
      <c r="I367" s="384"/>
      <c r="J367" s="384"/>
      <c r="K367" s="384"/>
      <c r="L367" s="384"/>
      <c r="M367" s="463"/>
      <c r="N367" s="384"/>
      <c r="O367" s="384"/>
      <c r="P367" s="384"/>
      <c r="Q367" s="384"/>
      <c r="R367" s="463"/>
      <c r="S367" s="384"/>
      <c r="T367" s="384"/>
      <c r="U367" s="384"/>
      <c r="V367" s="384"/>
      <c r="W367" s="463"/>
      <c r="X367" s="384"/>
      <c r="Y367" s="384"/>
      <c r="Z367" s="384"/>
      <c r="AA367" s="384"/>
      <c r="AB367" s="463"/>
      <c r="AC367" s="384"/>
      <c r="AD367" s="384"/>
      <c r="AE367" s="384"/>
      <c r="AF367" s="384"/>
      <c r="AG367" s="463"/>
      <c r="AH367" s="384"/>
      <c r="AI367" s="384"/>
      <c r="AJ367" s="384"/>
      <c r="AK367" s="384"/>
      <c r="AL367" s="463"/>
      <c r="AM367" s="384"/>
      <c r="AN367" s="384"/>
      <c r="AO367" s="384"/>
      <c r="AP367" s="384"/>
      <c r="AQ367" s="463"/>
      <c r="AR367" s="384"/>
      <c r="AS367" s="384"/>
      <c r="AT367" s="384"/>
      <c r="AU367" s="384"/>
      <c r="AV367" s="463"/>
      <c r="AW367" s="384"/>
      <c r="AX367" s="384"/>
      <c r="AY367" s="384"/>
      <c r="AZ367" s="384"/>
      <c r="BA367" s="463"/>
      <c r="BB367" s="384"/>
      <c r="BC367" s="384"/>
      <c r="BD367" s="384"/>
      <c r="BE367" s="384"/>
      <c r="BF367" s="463"/>
      <c r="BG367" s="384"/>
      <c r="BH367" s="384"/>
      <c r="BI367" s="384"/>
      <c r="BJ367" s="384"/>
      <c r="BK367" s="463"/>
      <c r="BL367" s="384"/>
      <c r="BM367" s="384"/>
      <c r="BN367" s="384"/>
      <c r="BO367" s="384"/>
    </row>
    <row r="368" spans="3:67">
      <c r="C368" s="511"/>
      <c r="D368" s="512"/>
      <c r="E368" s="512"/>
      <c r="F368" s="512"/>
      <c r="G368" s="512"/>
      <c r="H368" s="511"/>
      <c r="I368" s="512"/>
      <c r="J368" s="512"/>
      <c r="K368" s="512"/>
      <c r="L368" s="512"/>
      <c r="M368" s="511"/>
      <c r="N368" s="512"/>
      <c r="O368" s="512"/>
      <c r="P368" s="512"/>
      <c r="Q368" s="512"/>
      <c r="R368" s="511"/>
      <c r="S368" s="512"/>
      <c r="T368" s="512"/>
      <c r="U368" s="512"/>
      <c r="V368" s="512"/>
      <c r="W368" s="511"/>
      <c r="X368" s="512"/>
      <c r="Y368" s="512"/>
      <c r="Z368" s="512"/>
      <c r="AA368" s="512"/>
      <c r="AB368" s="511"/>
      <c r="AC368" s="512"/>
      <c r="AD368" s="512"/>
      <c r="AE368" s="512"/>
      <c r="AF368" s="512"/>
      <c r="AG368" s="511"/>
      <c r="AH368" s="512"/>
      <c r="AI368" s="512"/>
      <c r="AJ368" s="512"/>
      <c r="AK368" s="512"/>
      <c r="AL368" s="511"/>
      <c r="AM368" s="512"/>
      <c r="AN368" s="512"/>
      <c r="AO368" s="512"/>
      <c r="AP368" s="512"/>
      <c r="AQ368" s="511"/>
      <c r="AR368" s="512"/>
      <c r="AS368" s="512"/>
      <c r="AT368" s="512"/>
      <c r="AU368" s="512"/>
      <c r="AV368" s="511"/>
      <c r="AW368" s="512"/>
      <c r="AX368" s="512"/>
      <c r="AY368" s="512"/>
      <c r="AZ368" s="512"/>
      <c r="BA368" s="511"/>
      <c r="BB368" s="512"/>
      <c r="BC368" s="512"/>
      <c r="BD368" s="512"/>
      <c r="BE368" s="512"/>
      <c r="BF368" s="511"/>
      <c r="BG368" s="512"/>
      <c r="BH368" s="512"/>
      <c r="BI368" s="512"/>
      <c r="BJ368" s="512"/>
      <c r="BK368" s="511"/>
      <c r="BL368" s="512"/>
      <c r="BM368" s="512"/>
      <c r="BN368" s="512"/>
      <c r="BO368" s="512"/>
    </row>
    <row r="370" spans="3:67">
      <c r="C370" s="515"/>
      <c r="D370" s="516"/>
      <c r="E370" s="516"/>
      <c r="F370" s="516"/>
      <c r="G370" s="516"/>
      <c r="H370" s="515"/>
      <c r="I370" s="516"/>
      <c r="J370" s="516"/>
      <c r="K370" s="516"/>
      <c r="L370" s="516"/>
      <c r="M370" s="515"/>
      <c r="N370" s="516"/>
      <c r="O370" s="516"/>
      <c r="P370" s="516"/>
      <c r="Q370" s="516"/>
      <c r="R370" s="515"/>
      <c r="S370" s="516"/>
      <c r="T370" s="516"/>
      <c r="U370" s="516"/>
      <c r="V370" s="516"/>
      <c r="W370" s="515"/>
      <c r="X370" s="516"/>
      <c r="Y370" s="516"/>
      <c r="Z370" s="516"/>
      <c r="AA370" s="516"/>
      <c r="AB370" s="515"/>
      <c r="AC370" s="516"/>
      <c r="AD370" s="516"/>
      <c r="AE370" s="516"/>
      <c r="AF370" s="516"/>
      <c r="AG370" s="515"/>
      <c r="AH370" s="516"/>
      <c r="AI370" s="516"/>
      <c r="AJ370" s="516"/>
      <c r="AK370" s="516"/>
      <c r="AL370" s="515"/>
      <c r="AM370" s="516"/>
      <c r="AN370" s="516"/>
      <c r="AO370" s="516"/>
      <c r="AP370" s="516"/>
      <c r="AQ370" s="515"/>
      <c r="AR370" s="516"/>
      <c r="AS370" s="516"/>
      <c r="AT370" s="516"/>
      <c r="AU370" s="516"/>
      <c r="AV370" s="515"/>
      <c r="AW370" s="516"/>
      <c r="AX370" s="516"/>
      <c r="AY370" s="516"/>
      <c r="AZ370" s="516"/>
      <c r="BA370" s="515"/>
      <c r="BB370" s="516"/>
      <c r="BC370" s="516"/>
      <c r="BD370" s="516"/>
      <c r="BE370" s="516"/>
      <c r="BF370" s="515"/>
      <c r="BG370" s="516"/>
      <c r="BH370" s="516"/>
      <c r="BI370" s="516"/>
      <c r="BJ370" s="516"/>
      <c r="BK370" s="515"/>
      <c r="BL370" s="516"/>
      <c r="BM370" s="516"/>
      <c r="BN370" s="516"/>
      <c r="BO370" s="516"/>
    </row>
    <row r="371" spans="3:67">
      <c r="C371" s="509"/>
      <c r="D371" s="510"/>
      <c r="E371" s="510"/>
      <c r="F371" s="510"/>
      <c r="G371" s="510"/>
      <c r="H371" s="509"/>
      <c r="I371" s="510"/>
      <c r="J371" s="510"/>
      <c r="K371" s="510"/>
      <c r="L371" s="510"/>
      <c r="M371" s="509"/>
      <c r="N371" s="510"/>
      <c r="O371" s="510"/>
      <c r="P371" s="510"/>
      <c r="Q371" s="510"/>
      <c r="R371" s="509"/>
      <c r="S371" s="510"/>
      <c r="T371" s="510"/>
      <c r="U371" s="510"/>
      <c r="V371" s="510"/>
      <c r="W371" s="509"/>
      <c r="X371" s="510"/>
      <c r="Y371" s="510"/>
      <c r="Z371" s="510"/>
      <c r="AA371" s="510"/>
      <c r="AB371" s="509"/>
      <c r="AC371" s="510"/>
      <c r="AD371" s="510"/>
      <c r="AE371" s="510"/>
      <c r="AF371" s="510"/>
      <c r="AG371" s="509"/>
      <c r="AH371" s="510"/>
      <c r="AI371" s="510"/>
      <c r="AJ371" s="510"/>
      <c r="AK371" s="510"/>
      <c r="AL371" s="509"/>
      <c r="AM371" s="510"/>
      <c r="AN371" s="510"/>
      <c r="AO371" s="510"/>
      <c r="AP371" s="510"/>
      <c r="AQ371" s="509"/>
      <c r="AR371" s="510"/>
      <c r="AS371" s="510"/>
      <c r="AT371" s="510"/>
      <c r="AU371" s="510"/>
      <c r="AV371" s="509"/>
      <c r="AW371" s="510"/>
      <c r="AX371" s="510"/>
      <c r="AY371" s="510"/>
      <c r="AZ371" s="510"/>
      <c r="BA371" s="509"/>
      <c r="BB371" s="510"/>
      <c r="BC371" s="510"/>
      <c r="BD371" s="510"/>
      <c r="BE371" s="510"/>
      <c r="BF371" s="509"/>
      <c r="BG371" s="510"/>
      <c r="BH371" s="510"/>
      <c r="BI371" s="510"/>
      <c r="BJ371" s="510"/>
      <c r="BK371" s="509"/>
      <c r="BL371" s="510"/>
      <c r="BM371" s="510"/>
      <c r="BN371" s="510"/>
      <c r="BO371" s="510"/>
    </row>
    <row r="372" spans="3:67">
      <c r="C372" s="463"/>
      <c r="D372" s="384"/>
      <c r="E372" s="384"/>
      <c r="F372" s="384"/>
      <c r="G372" s="384"/>
      <c r="H372" s="463"/>
      <c r="I372" s="384"/>
      <c r="J372" s="384"/>
      <c r="K372" s="384"/>
      <c r="L372" s="384"/>
      <c r="M372" s="463"/>
      <c r="N372" s="384"/>
      <c r="O372" s="384"/>
      <c r="P372" s="384"/>
      <c r="Q372" s="384"/>
      <c r="R372" s="463"/>
      <c r="S372" s="384"/>
      <c r="T372" s="384"/>
      <c r="U372" s="384"/>
      <c r="V372" s="384"/>
      <c r="W372" s="463"/>
      <c r="X372" s="384"/>
      <c r="Y372" s="384"/>
      <c r="Z372" s="384"/>
      <c r="AA372" s="384"/>
      <c r="AB372" s="463"/>
      <c r="AC372" s="384"/>
      <c r="AD372" s="384"/>
      <c r="AE372" s="384"/>
      <c r="AF372" s="384"/>
      <c r="AG372" s="463"/>
      <c r="AH372" s="384"/>
      <c r="AI372" s="384"/>
      <c r="AJ372" s="384"/>
      <c r="AK372" s="384"/>
      <c r="AL372" s="463"/>
      <c r="AM372" s="384"/>
      <c r="AN372" s="384"/>
      <c r="AO372" s="384"/>
      <c r="AP372" s="384"/>
      <c r="AQ372" s="463"/>
      <c r="AR372" s="384"/>
      <c r="AS372" s="384"/>
      <c r="AT372" s="384"/>
      <c r="AU372" s="384"/>
      <c r="AV372" s="463"/>
      <c r="AW372" s="384"/>
      <c r="AX372" s="384"/>
      <c r="AY372" s="384"/>
      <c r="AZ372" s="384"/>
      <c r="BA372" s="463"/>
      <c r="BB372" s="384"/>
      <c r="BC372" s="384"/>
      <c r="BD372" s="384"/>
      <c r="BE372" s="384"/>
      <c r="BF372" s="463"/>
      <c r="BG372" s="384"/>
      <c r="BH372" s="384"/>
      <c r="BI372" s="384"/>
      <c r="BJ372" s="384"/>
      <c r="BK372" s="463"/>
      <c r="BL372" s="384"/>
      <c r="BM372" s="384"/>
      <c r="BN372" s="384"/>
      <c r="BO372" s="384"/>
    </row>
    <row r="373" spans="3:67">
      <c r="C373" s="511"/>
      <c r="D373" s="512"/>
      <c r="E373" s="512"/>
      <c r="F373" s="512"/>
      <c r="G373" s="512"/>
      <c r="H373" s="511"/>
      <c r="I373" s="512"/>
      <c r="J373" s="512"/>
      <c r="K373" s="512"/>
      <c r="L373" s="512"/>
      <c r="M373" s="511"/>
      <c r="N373" s="512"/>
      <c r="O373" s="512"/>
      <c r="P373" s="512"/>
      <c r="Q373" s="512"/>
      <c r="R373" s="511"/>
      <c r="S373" s="512"/>
      <c r="T373" s="512"/>
      <c r="U373" s="512"/>
      <c r="V373" s="512"/>
      <c r="W373" s="511"/>
      <c r="X373" s="512"/>
      <c r="Y373" s="512"/>
      <c r="Z373" s="512"/>
      <c r="AA373" s="512"/>
      <c r="AB373" s="511"/>
      <c r="AC373" s="512"/>
      <c r="AD373" s="512"/>
      <c r="AE373" s="512"/>
      <c r="AF373" s="512"/>
      <c r="AG373" s="511"/>
      <c r="AH373" s="512"/>
      <c r="AI373" s="512"/>
      <c r="AJ373" s="512"/>
      <c r="AK373" s="512"/>
      <c r="AL373" s="511"/>
      <c r="AM373" s="512"/>
      <c r="AN373" s="512"/>
      <c r="AO373" s="512"/>
      <c r="AP373" s="512"/>
      <c r="AQ373" s="511"/>
      <c r="AR373" s="512"/>
      <c r="AS373" s="512"/>
      <c r="AT373" s="512"/>
      <c r="AU373" s="512"/>
      <c r="AV373" s="511"/>
      <c r="AW373" s="512"/>
      <c r="AX373" s="512"/>
      <c r="AY373" s="512"/>
      <c r="AZ373" s="512"/>
      <c r="BA373" s="511"/>
      <c r="BB373" s="512"/>
      <c r="BC373" s="512"/>
      <c r="BD373" s="512"/>
      <c r="BE373" s="512"/>
      <c r="BF373" s="511"/>
      <c r="BG373" s="512"/>
      <c r="BH373" s="512"/>
      <c r="BI373" s="512"/>
      <c r="BJ373" s="512"/>
      <c r="BK373" s="511"/>
      <c r="BL373" s="512"/>
      <c r="BM373" s="512"/>
      <c r="BN373" s="512"/>
      <c r="BO373" s="512"/>
    </row>
    <row r="375" spans="3:67">
      <c r="C375" s="517"/>
      <c r="D375" s="518"/>
      <c r="E375" s="518"/>
      <c r="F375" s="518"/>
      <c r="G375" s="518"/>
      <c r="H375" s="517"/>
      <c r="I375" s="518"/>
      <c r="J375" s="518"/>
      <c r="K375" s="518"/>
      <c r="L375" s="518"/>
      <c r="M375" s="517"/>
      <c r="N375" s="518"/>
      <c r="O375" s="518"/>
      <c r="P375" s="518"/>
      <c r="Q375" s="518"/>
      <c r="R375" s="517"/>
      <c r="S375" s="518"/>
      <c r="T375" s="518"/>
      <c r="U375" s="518"/>
      <c r="V375" s="518"/>
      <c r="W375" s="517"/>
      <c r="X375" s="518"/>
      <c r="Y375" s="518"/>
      <c r="Z375" s="518"/>
      <c r="AA375" s="518"/>
      <c r="AB375" s="517"/>
      <c r="AC375" s="518"/>
      <c r="AD375" s="518"/>
      <c r="AE375" s="518"/>
      <c r="AF375" s="518"/>
      <c r="AG375" s="517"/>
      <c r="AH375" s="518"/>
      <c r="AI375" s="518"/>
      <c r="AJ375" s="518"/>
      <c r="AK375" s="518"/>
      <c r="AL375" s="517"/>
      <c r="AM375" s="518"/>
      <c r="AN375" s="518"/>
      <c r="AO375" s="518"/>
      <c r="AP375" s="518"/>
      <c r="AQ375" s="517"/>
      <c r="AR375" s="518"/>
      <c r="AS375" s="518"/>
      <c r="AT375" s="518"/>
      <c r="AU375" s="518"/>
      <c r="AV375" s="517"/>
      <c r="AW375" s="518"/>
      <c r="AX375" s="518"/>
      <c r="AY375" s="518"/>
      <c r="AZ375" s="518"/>
      <c r="BA375" s="517"/>
      <c r="BB375" s="518"/>
      <c r="BC375" s="518"/>
      <c r="BD375" s="518"/>
      <c r="BE375" s="518"/>
      <c r="BF375" s="517"/>
      <c r="BG375" s="518"/>
      <c r="BH375" s="518"/>
      <c r="BI375" s="518"/>
      <c r="BJ375" s="518"/>
      <c r="BK375" s="517"/>
      <c r="BL375" s="518"/>
      <c r="BM375" s="518"/>
      <c r="BN375" s="518"/>
      <c r="BO375" s="518"/>
    </row>
    <row r="376" spans="3:67">
      <c r="C376" s="519"/>
      <c r="D376" s="520"/>
      <c r="E376" s="520"/>
      <c r="F376" s="520"/>
      <c r="G376" s="520"/>
      <c r="H376" s="519"/>
      <c r="I376" s="520"/>
      <c r="J376" s="520"/>
      <c r="K376" s="520"/>
      <c r="L376" s="520"/>
      <c r="M376" s="519"/>
      <c r="N376" s="520"/>
      <c r="O376" s="520"/>
      <c r="P376" s="520"/>
      <c r="Q376" s="520"/>
      <c r="R376" s="519"/>
      <c r="S376" s="520"/>
      <c r="T376" s="520"/>
      <c r="U376" s="520"/>
      <c r="V376" s="520"/>
      <c r="W376" s="519"/>
      <c r="X376" s="520"/>
      <c r="Y376" s="520"/>
      <c r="Z376" s="520"/>
      <c r="AA376" s="520"/>
      <c r="AB376" s="519"/>
      <c r="AC376" s="520"/>
      <c r="AD376" s="520"/>
      <c r="AE376" s="520"/>
      <c r="AF376" s="520"/>
      <c r="AG376" s="519"/>
      <c r="AH376" s="520"/>
      <c r="AI376" s="520"/>
      <c r="AJ376" s="520"/>
      <c r="AK376" s="520"/>
      <c r="AL376" s="519"/>
      <c r="AM376" s="520"/>
      <c r="AN376" s="520"/>
      <c r="AO376" s="520"/>
      <c r="AP376" s="520"/>
      <c r="AQ376" s="519"/>
      <c r="AR376" s="520"/>
      <c r="AS376" s="520"/>
      <c r="AT376" s="520"/>
      <c r="AU376" s="520"/>
      <c r="AV376" s="519"/>
      <c r="AW376" s="520"/>
      <c r="AX376" s="520"/>
      <c r="AY376" s="520"/>
      <c r="AZ376" s="520"/>
      <c r="BA376" s="519"/>
      <c r="BB376" s="520"/>
      <c r="BC376" s="520"/>
      <c r="BD376" s="520"/>
      <c r="BE376" s="520"/>
      <c r="BF376" s="519"/>
      <c r="BG376" s="520"/>
      <c r="BH376" s="520"/>
      <c r="BI376" s="520"/>
      <c r="BJ376" s="520"/>
      <c r="BK376" s="519"/>
      <c r="BL376" s="520"/>
      <c r="BM376" s="520"/>
      <c r="BN376" s="520"/>
      <c r="BO376" s="520"/>
    </row>
    <row r="377" spans="3:67">
      <c r="C377" s="463"/>
      <c r="D377" s="384"/>
      <c r="E377" s="384"/>
      <c r="F377" s="384"/>
      <c r="G377" s="384"/>
      <c r="H377" s="463"/>
      <c r="I377" s="384"/>
      <c r="J377" s="384"/>
      <c r="K377" s="384"/>
      <c r="L377" s="384"/>
      <c r="M377" s="463"/>
      <c r="N377" s="384"/>
      <c r="O377" s="384"/>
      <c r="P377" s="384"/>
      <c r="Q377" s="384"/>
      <c r="R377" s="463"/>
      <c r="S377" s="384"/>
      <c r="T377" s="384"/>
      <c r="U377" s="384"/>
      <c r="V377" s="384"/>
      <c r="W377" s="463"/>
      <c r="X377" s="384"/>
      <c r="Y377" s="384"/>
      <c r="Z377" s="384"/>
      <c r="AA377" s="384"/>
      <c r="AB377" s="463"/>
      <c r="AC377" s="384"/>
      <c r="AD377" s="384"/>
      <c r="AE377" s="384"/>
      <c r="AF377" s="384"/>
      <c r="AG377" s="463"/>
      <c r="AH377" s="384"/>
      <c r="AI377" s="384"/>
      <c r="AJ377" s="384"/>
      <c r="AK377" s="384"/>
      <c r="AL377" s="463"/>
      <c r="AM377" s="384"/>
      <c r="AN377" s="384"/>
      <c r="AO377" s="384"/>
      <c r="AP377" s="384"/>
      <c r="AQ377" s="463"/>
      <c r="AR377" s="384"/>
      <c r="AS377" s="384"/>
      <c r="AT377" s="384"/>
      <c r="AU377" s="384"/>
      <c r="AV377" s="463"/>
      <c r="AW377" s="384"/>
      <c r="AX377" s="384"/>
      <c r="AY377" s="384"/>
      <c r="AZ377" s="384"/>
      <c r="BA377" s="463"/>
      <c r="BB377" s="384"/>
      <c r="BC377" s="384"/>
      <c r="BD377" s="384"/>
      <c r="BE377" s="384"/>
      <c r="BF377" s="463"/>
      <c r="BG377" s="384"/>
      <c r="BH377" s="384"/>
      <c r="BI377" s="384"/>
      <c r="BJ377" s="384"/>
      <c r="BK377" s="463"/>
      <c r="BL377" s="384"/>
      <c r="BM377" s="384"/>
      <c r="BN377" s="384"/>
      <c r="BO377" s="384"/>
    </row>
    <row r="378" spans="3:67">
      <c r="C378" s="463"/>
      <c r="D378" s="384"/>
      <c r="E378" s="384"/>
      <c r="F378" s="384"/>
      <c r="G378" s="384"/>
      <c r="H378" s="463"/>
      <c r="I378" s="384"/>
      <c r="J378" s="384"/>
      <c r="K378" s="384"/>
      <c r="L378" s="384"/>
      <c r="M378" s="463"/>
      <c r="N378" s="384"/>
      <c r="O378" s="384"/>
      <c r="P378" s="384"/>
      <c r="Q378" s="384"/>
      <c r="R378" s="463"/>
      <c r="S378" s="384"/>
      <c r="T378" s="384"/>
      <c r="U378" s="384"/>
      <c r="V378" s="384"/>
      <c r="W378" s="463"/>
      <c r="X378" s="384"/>
      <c r="Y378" s="384"/>
      <c r="Z378" s="384"/>
      <c r="AA378" s="384"/>
      <c r="AB378" s="463"/>
      <c r="AC378" s="384"/>
      <c r="AD378" s="384"/>
      <c r="AE378" s="384"/>
      <c r="AF378" s="384"/>
      <c r="AG378" s="463"/>
      <c r="AH378" s="384"/>
      <c r="AI378" s="384"/>
      <c r="AJ378" s="384"/>
      <c r="AK378" s="384"/>
      <c r="AL378" s="463"/>
      <c r="AM378" s="384"/>
      <c r="AN378" s="384"/>
      <c r="AO378" s="384"/>
      <c r="AP378" s="384"/>
      <c r="AQ378" s="463"/>
      <c r="AR378" s="384"/>
      <c r="AS378" s="384"/>
      <c r="AT378" s="384"/>
      <c r="AU378" s="384"/>
      <c r="AV378" s="463"/>
      <c r="AW378" s="384"/>
      <c r="AX378" s="384"/>
      <c r="AY378" s="384"/>
      <c r="AZ378" s="384"/>
      <c r="BA378" s="463"/>
      <c r="BB378" s="384"/>
      <c r="BC378" s="384"/>
      <c r="BD378" s="384"/>
      <c r="BE378" s="384"/>
      <c r="BF378" s="463"/>
      <c r="BG378" s="384"/>
      <c r="BH378" s="384"/>
      <c r="BI378" s="384"/>
      <c r="BJ378" s="384"/>
      <c r="BK378" s="463"/>
      <c r="BL378" s="384"/>
      <c r="BM378" s="384"/>
      <c r="BN378" s="384"/>
      <c r="BO378" s="384"/>
    </row>
    <row r="379" spans="3:67">
      <c r="C379" s="463"/>
      <c r="D379" s="384"/>
      <c r="E379" s="384"/>
      <c r="F379" s="384"/>
      <c r="G379" s="384"/>
      <c r="H379" s="463"/>
      <c r="I379" s="384"/>
      <c r="J379" s="384"/>
      <c r="K379" s="384"/>
      <c r="L379" s="384"/>
      <c r="M379" s="463"/>
      <c r="N379" s="384"/>
      <c r="O379" s="384"/>
      <c r="P379" s="384"/>
      <c r="Q379" s="384"/>
      <c r="R379" s="463"/>
      <c r="S379" s="384"/>
      <c r="T379" s="384"/>
      <c r="U379" s="384"/>
      <c r="V379" s="384"/>
      <c r="W379" s="463"/>
      <c r="X379" s="384"/>
      <c r="Y379" s="384"/>
      <c r="Z379" s="384"/>
      <c r="AA379" s="384"/>
      <c r="AB379" s="463"/>
      <c r="AC379" s="384"/>
      <c r="AD379" s="384"/>
      <c r="AE379" s="384"/>
      <c r="AF379" s="384"/>
      <c r="AG379" s="463"/>
      <c r="AH379" s="384"/>
      <c r="AI379" s="384"/>
      <c r="AJ379" s="384"/>
      <c r="AK379" s="384"/>
      <c r="AL379" s="463"/>
      <c r="AM379" s="384"/>
      <c r="AN379" s="384"/>
      <c r="AO379" s="384"/>
      <c r="AP379" s="384"/>
      <c r="AQ379" s="463"/>
      <c r="AR379" s="384"/>
      <c r="AS379" s="384"/>
      <c r="AT379" s="384"/>
      <c r="AU379" s="384"/>
      <c r="AV379" s="463"/>
      <c r="AW379" s="384"/>
      <c r="AX379" s="384"/>
      <c r="AY379" s="384"/>
      <c r="AZ379" s="384"/>
      <c r="BA379" s="463"/>
      <c r="BB379" s="384"/>
      <c r="BC379" s="384"/>
      <c r="BD379" s="384"/>
      <c r="BE379" s="384"/>
      <c r="BF379" s="463"/>
      <c r="BG379" s="384"/>
      <c r="BH379" s="384"/>
      <c r="BI379" s="384"/>
      <c r="BJ379" s="384"/>
      <c r="BK379" s="463"/>
      <c r="BL379" s="384"/>
      <c r="BM379" s="384"/>
      <c r="BN379" s="384"/>
      <c r="BO379" s="384"/>
    </row>
    <row r="380" spans="3:67">
      <c r="C380" s="463"/>
      <c r="D380" s="384"/>
      <c r="E380" s="384"/>
      <c r="F380" s="384"/>
      <c r="G380" s="384"/>
      <c r="H380" s="463"/>
      <c r="I380" s="384"/>
      <c r="J380" s="384"/>
      <c r="K380" s="384"/>
      <c r="L380" s="384"/>
      <c r="M380" s="463"/>
      <c r="N380" s="384"/>
      <c r="O380" s="384"/>
      <c r="P380" s="384"/>
      <c r="Q380" s="384"/>
      <c r="R380" s="463"/>
      <c r="S380" s="384"/>
      <c r="T380" s="384"/>
      <c r="U380" s="384"/>
      <c r="V380" s="384"/>
      <c r="W380" s="463"/>
      <c r="X380" s="384"/>
      <c r="Y380" s="384"/>
      <c r="Z380" s="384"/>
      <c r="AA380" s="384"/>
      <c r="AB380" s="463"/>
      <c r="AC380" s="384"/>
      <c r="AD380" s="384"/>
      <c r="AE380" s="384"/>
      <c r="AF380" s="384"/>
      <c r="AG380" s="463"/>
      <c r="AH380" s="384"/>
      <c r="AI380" s="384"/>
      <c r="AJ380" s="384"/>
      <c r="AK380" s="384"/>
      <c r="AL380" s="463"/>
      <c r="AM380" s="384"/>
      <c r="AN380" s="384"/>
      <c r="AO380" s="384"/>
      <c r="AP380" s="384"/>
      <c r="AQ380" s="463"/>
      <c r="AR380" s="384"/>
      <c r="AS380" s="384"/>
      <c r="AT380" s="384"/>
      <c r="AU380" s="384"/>
      <c r="AV380" s="463"/>
      <c r="AW380" s="384"/>
      <c r="AX380" s="384"/>
      <c r="AY380" s="384"/>
      <c r="AZ380" s="384"/>
      <c r="BA380" s="463"/>
      <c r="BB380" s="384"/>
      <c r="BC380" s="384"/>
      <c r="BD380" s="384"/>
      <c r="BE380" s="384"/>
      <c r="BF380" s="463"/>
      <c r="BG380" s="384"/>
      <c r="BH380" s="384"/>
      <c r="BI380" s="384"/>
      <c r="BJ380" s="384"/>
      <c r="BK380" s="463"/>
      <c r="BL380" s="384"/>
      <c r="BM380" s="384"/>
      <c r="BN380" s="384"/>
      <c r="BO380" s="384"/>
    </row>
    <row r="381" spans="3:67">
      <c r="C381" s="521"/>
      <c r="D381" s="522"/>
      <c r="E381" s="522"/>
      <c r="F381" s="522"/>
      <c r="G381" s="522"/>
      <c r="H381" s="521"/>
      <c r="I381" s="522"/>
      <c r="J381" s="522"/>
      <c r="K381" s="522"/>
      <c r="L381" s="522"/>
      <c r="M381" s="521"/>
      <c r="N381" s="522"/>
      <c r="O381" s="522"/>
      <c r="P381" s="522"/>
      <c r="Q381" s="522"/>
      <c r="R381" s="521"/>
      <c r="S381" s="522"/>
      <c r="T381" s="522"/>
      <c r="U381" s="522"/>
      <c r="V381" s="522"/>
      <c r="W381" s="521"/>
      <c r="X381" s="522"/>
      <c r="Y381" s="522"/>
      <c r="Z381" s="522"/>
      <c r="AA381" s="522"/>
      <c r="AB381" s="521"/>
      <c r="AC381" s="522"/>
      <c r="AD381" s="522"/>
      <c r="AE381" s="522"/>
      <c r="AF381" s="522"/>
      <c r="AG381" s="521"/>
      <c r="AH381" s="522"/>
      <c r="AI381" s="522"/>
      <c r="AJ381" s="522"/>
      <c r="AK381" s="522"/>
      <c r="AL381" s="521"/>
      <c r="AM381" s="522"/>
      <c r="AN381" s="522"/>
      <c r="AO381" s="522"/>
      <c r="AP381" s="522"/>
      <c r="AQ381" s="521"/>
      <c r="AR381" s="522"/>
      <c r="AS381" s="522"/>
      <c r="AT381" s="522"/>
      <c r="AU381" s="522"/>
      <c r="AV381" s="521"/>
      <c r="AW381" s="522"/>
      <c r="AX381" s="522"/>
      <c r="AY381" s="522"/>
      <c r="AZ381" s="522"/>
      <c r="BA381" s="521"/>
      <c r="BB381" s="522"/>
      <c r="BC381" s="522"/>
      <c r="BD381" s="522"/>
      <c r="BE381" s="522"/>
      <c r="BF381" s="521"/>
      <c r="BG381" s="522"/>
      <c r="BH381" s="522"/>
      <c r="BI381" s="522"/>
      <c r="BJ381" s="522"/>
      <c r="BK381" s="521"/>
      <c r="BL381" s="522"/>
      <c r="BM381" s="522"/>
      <c r="BN381" s="522"/>
      <c r="BO381" s="522"/>
    </row>
    <row r="382" spans="3:67">
      <c r="C382" s="523"/>
      <c r="H382" s="523"/>
      <c r="M382" s="523"/>
      <c r="R382" s="523"/>
      <c r="W382" s="523"/>
      <c r="AB382" s="523"/>
      <c r="AG382" s="523"/>
      <c r="AL382" s="523"/>
      <c r="AQ382" s="523"/>
      <c r="AV382" s="523"/>
      <c r="BA382" s="523"/>
      <c r="BF382" s="523"/>
      <c r="BK382" s="523"/>
    </row>
    <row r="383" spans="3:67">
      <c r="C383" s="523"/>
      <c r="H383" s="523"/>
      <c r="M383" s="523"/>
      <c r="R383" s="523"/>
      <c r="W383" s="523"/>
      <c r="AB383" s="523"/>
      <c r="AG383" s="523"/>
      <c r="AL383" s="523"/>
      <c r="AQ383" s="523"/>
      <c r="AV383" s="523"/>
      <c r="BA383" s="523"/>
      <c r="BF383" s="523"/>
      <c r="BK383" s="523"/>
    </row>
    <row r="384" spans="3:67">
      <c r="C384" s="524"/>
      <c r="D384" s="384"/>
      <c r="E384" s="384"/>
      <c r="F384" s="384"/>
      <c r="G384" s="384"/>
      <c r="H384" s="524"/>
      <c r="I384" s="384"/>
      <c r="J384" s="384"/>
      <c r="K384" s="384"/>
      <c r="L384" s="384"/>
      <c r="M384" s="524"/>
      <c r="N384" s="384"/>
      <c r="O384" s="384"/>
      <c r="P384" s="384"/>
      <c r="Q384" s="384"/>
      <c r="R384" s="524"/>
      <c r="S384" s="384"/>
      <c r="T384" s="384"/>
      <c r="U384" s="384"/>
      <c r="V384" s="384"/>
      <c r="W384" s="524"/>
      <c r="X384" s="384"/>
      <c r="Y384" s="384"/>
      <c r="Z384" s="384"/>
      <c r="AA384" s="384"/>
      <c r="AB384" s="524"/>
      <c r="AC384" s="384"/>
      <c r="AD384" s="384"/>
      <c r="AE384" s="384"/>
      <c r="AF384" s="384"/>
      <c r="AG384" s="524"/>
      <c r="AH384" s="384"/>
      <c r="AI384" s="384"/>
      <c r="AJ384" s="384"/>
      <c r="AK384" s="384"/>
      <c r="AL384" s="524"/>
      <c r="AM384" s="384"/>
      <c r="AN384" s="384"/>
      <c r="AO384" s="384"/>
      <c r="AP384" s="384"/>
      <c r="AQ384" s="524"/>
      <c r="AR384" s="384"/>
      <c r="AS384" s="384"/>
      <c r="AT384" s="384"/>
      <c r="AU384" s="384"/>
      <c r="AV384" s="524"/>
      <c r="AW384" s="384"/>
      <c r="AX384" s="384"/>
      <c r="AY384" s="384"/>
      <c r="AZ384" s="384"/>
      <c r="BA384" s="524"/>
      <c r="BB384" s="384"/>
      <c r="BC384" s="384"/>
      <c r="BD384" s="384"/>
      <c r="BE384" s="384"/>
      <c r="BF384" s="524"/>
      <c r="BG384" s="384"/>
      <c r="BH384" s="384"/>
      <c r="BI384" s="384"/>
      <c r="BJ384" s="384"/>
      <c r="BK384" s="524"/>
      <c r="BL384" s="384"/>
      <c r="BM384" s="384"/>
      <c r="BN384" s="384"/>
      <c r="BO384" s="384"/>
    </row>
    <row r="386" spans="3:67">
      <c r="C386" s="525"/>
      <c r="D386" s="522"/>
      <c r="E386" s="522"/>
      <c r="F386" s="522"/>
      <c r="G386" s="522"/>
      <c r="H386" s="525"/>
      <c r="I386" s="522"/>
      <c r="J386" s="522"/>
      <c r="K386" s="522"/>
      <c r="L386" s="522"/>
      <c r="M386" s="525"/>
      <c r="N386" s="522"/>
      <c r="O386" s="522"/>
      <c r="P386" s="522"/>
      <c r="Q386" s="522"/>
      <c r="R386" s="525"/>
      <c r="S386" s="522"/>
      <c r="T386" s="522"/>
      <c r="U386" s="522"/>
      <c r="V386" s="522"/>
      <c r="W386" s="525"/>
      <c r="X386" s="522"/>
      <c r="Y386" s="522"/>
      <c r="Z386" s="522"/>
      <c r="AA386" s="522"/>
      <c r="AB386" s="525"/>
      <c r="AC386" s="522"/>
      <c r="AD386" s="522"/>
      <c r="AE386" s="522"/>
      <c r="AF386" s="522"/>
      <c r="AG386" s="525"/>
      <c r="AH386" s="522"/>
      <c r="AI386" s="522"/>
      <c r="AJ386" s="522"/>
      <c r="AK386" s="522"/>
      <c r="AL386" s="525"/>
      <c r="AM386" s="522"/>
      <c r="AN386" s="522"/>
      <c r="AO386" s="522"/>
      <c r="AP386" s="522"/>
      <c r="AQ386" s="525"/>
      <c r="AR386" s="522"/>
      <c r="AS386" s="522"/>
      <c r="AT386" s="522"/>
      <c r="AU386" s="522"/>
      <c r="AV386" s="525"/>
      <c r="AW386" s="522"/>
      <c r="AX386" s="522"/>
      <c r="AY386" s="522"/>
      <c r="AZ386" s="522"/>
      <c r="BA386" s="525"/>
      <c r="BB386" s="522"/>
      <c r="BC386" s="522"/>
      <c r="BD386" s="522"/>
      <c r="BE386" s="522"/>
      <c r="BF386" s="525"/>
      <c r="BG386" s="522"/>
      <c r="BH386" s="522"/>
      <c r="BI386" s="522"/>
      <c r="BJ386" s="522"/>
      <c r="BK386" s="525"/>
      <c r="BL386" s="522"/>
      <c r="BM386" s="522"/>
      <c r="BN386" s="522"/>
      <c r="BO386" s="522"/>
    </row>
    <row r="391" spans="3:67">
      <c r="C391" s="525"/>
      <c r="D391" s="522"/>
      <c r="E391" s="522"/>
      <c r="F391" s="522"/>
      <c r="G391" s="522"/>
      <c r="H391" s="525"/>
      <c r="I391" s="522"/>
      <c r="J391" s="522"/>
      <c r="K391" s="522"/>
      <c r="L391" s="522"/>
      <c r="M391" s="525"/>
      <c r="N391" s="522"/>
      <c r="O391" s="522"/>
      <c r="P391" s="522"/>
      <c r="Q391" s="522"/>
      <c r="R391" s="525"/>
      <c r="S391" s="522"/>
      <c r="T391" s="522"/>
      <c r="U391" s="522"/>
      <c r="V391" s="522"/>
      <c r="W391" s="525"/>
      <c r="X391" s="522"/>
      <c r="Y391" s="522"/>
      <c r="Z391" s="522"/>
      <c r="AA391" s="522"/>
      <c r="AB391" s="525"/>
      <c r="AC391" s="522"/>
      <c r="AD391" s="522"/>
      <c r="AE391" s="522"/>
      <c r="AF391" s="522"/>
      <c r="AG391" s="525"/>
      <c r="AH391" s="522"/>
      <c r="AI391" s="522"/>
      <c r="AJ391" s="522"/>
      <c r="AK391" s="522"/>
      <c r="AL391" s="525"/>
      <c r="AM391" s="522"/>
      <c r="AN391" s="522"/>
      <c r="AO391" s="522"/>
      <c r="AP391" s="522"/>
      <c r="AQ391" s="525"/>
      <c r="AR391" s="522"/>
      <c r="AS391" s="522"/>
      <c r="AT391" s="522"/>
      <c r="AU391" s="522"/>
      <c r="AV391" s="525"/>
      <c r="AW391" s="522"/>
      <c r="AX391" s="522"/>
      <c r="AY391" s="522"/>
      <c r="AZ391" s="522"/>
      <c r="BA391" s="525"/>
      <c r="BB391" s="522"/>
      <c r="BC391" s="522"/>
      <c r="BD391" s="522"/>
      <c r="BE391" s="522"/>
      <c r="BF391" s="525"/>
      <c r="BG391" s="522"/>
      <c r="BH391" s="522"/>
      <c r="BI391" s="522"/>
      <c r="BJ391" s="522"/>
      <c r="BK391" s="525"/>
      <c r="BL391" s="522"/>
      <c r="BM391" s="522"/>
      <c r="BN391" s="522"/>
      <c r="BO391" s="522"/>
    </row>
    <row r="392" spans="3:67">
      <c r="C392" s="463"/>
      <c r="D392" s="384"/>
      <c r="E392" s="384"/>
      <c r="F392" s="384"/>
      <c r="G392" s="384"/>
      <c r="H392" s="463"/>
      <c r="I392" s="384"/>
      <c r="J392" s="384"/>
      <c r="K392" s="384"/>
      <c r="L392" s="384"/>
      <c r="M392" s="463"/>
      <c r="N392" s="384"/>
      <c r="O392" s="384"/>
      <c r="P392" s="384"/>
      <c r="Q392" s="384"/>
      <c r="R392" s="463"/>
      <c r="S392" s="384"/>
      <c r="T392" s="384"/>
      <c r="U392" s="384"/>
      <c r="V392" s="384"/>
      <c r="W392" s="463"/>
      <c r="X392" s="384"/>
      <c r="Y392" s="384"/>
      <c r="Z392" s="384"/>
      <c r="AA392" s="384"/>
      <c r="AB392" s="463"/>
      <c r="AC392" s="384"/>
      <c r="AD392" s="384"/>
      <c r="AE392" s="384"/>
      <c r="AF392" s="384"/>
      <c r="AG392" s="463"/>
      <c r="AH392" s="384"/>
      <c r="AI392" s="384"/>
      <c r="AJ392" s="384"/>
      <c r="AK392" s="384"/>
      <c r="AL392" s="463"/>
      <c r="AM392" s="384"/>
      <c r="AN392" s="384"/>
      <c r="AO392" s="384"/>
      <c r="AP392" s="384"/>
      <c r="AQ392" s="463"/>
      <c r="AR392" s="384"/>
      <c r="AS392" s="384"/>
      <c r="AT392" s="384"/>
      <c r="AU392" s="384"/>
      <c r="AV392" s="463"/>
      <c r="AW392" s="384"/>
      <c r="AX392" s="384"/>
      <c r="AY392" s="384"/>
      <c r="AZ392" s="384"/>
      <c r="BA392" s="463"/>
      <c r="BB392" s="384"/>
      <c r="BC392" s="384"/>
      <c r="BD392" s="384"/>
      <c r="BE392" s="384"/>
      <c r="BF392" s="463"/>
      <c r="BG392" s="384"/>
      <c r="BH392" s="384"/>
      <c r="BI392" s="384"/>
      <c r="BJ392" s="384"/>
      <c r="BK392" s="463"/>
      <c r="BL392" s="384"/>
      <c r="BM392" s="384"/>
      <c r="BN392" s="384"/>
      <c r="BO392" s="384"/>
    </row>
    <row r="393" spans="3:67">
      <c r="C393" s="463"/>
      <c r="D393" s="384"/>
      <c r="E393" s="384"/>
      <c r="F393" s="384"/>
      <c r="G393" s="384"/>
      <c r="H393" s="463"/>
      <c r="I393" s="384"/>
      <c r="J393" s="384"/>
      <c r="K393" s="384"/>
      <c r="L393" s="384"/>
      <c r="M393" s="463"/>
      <c r="N393" s="384"/>
      <c r="O393" s="384"/>
      <c r="P393" s="384"/>
      <c r="Q393" s="384"/>
      <c r="R393" s="463"/>
      <c r="S393" s="384"/>
      <c r="T393" s="384"/>
      <c r="U393" s="384"/>
      <c r="V393" s="384"/>
      <c r="W393" s="463"/>
      <c r="X393" s="384"/>
      <c r="Y393" s="384"/>
      <c r="Z393" s="384"/>
      <c r="AA393" s="384"/>
      <c r="AB393" s="463"/>
      <c r="AC393" s="384"/>
      <c r="AD393" s="384"/>
      <c r="AE393" s="384"/>
      <c r="AF393" s="384"/>
      <c r="AG393" s="463"/>
      <c r="AH393" s="384"/>
      <c r="AI393" s="384"/>
      <c r="AJ393" s="384"/>
      <c r="AK393" s="384"/>
      <c r="AL393" s="463"/>
      <c r="AM393" s="384"/>
      <c r="AN393" s="384"/>
      <c r="AO393" s="384"/>
      <c r="AP393" s="384"/>
      <c r="AQ393" s="463"/>
      <c r="AR393" s="384"/>
      <c r="AS393" s="384"/>
      <c r="AT393" s="384"/>
      <c r="AU393" s="384"/>
      <c r="AV393" s="463"/>
      <c r="AW393" s="384"/>
      <c r="AX393" s="384"/>
      <c r="AY393" s="384"/>
      <c r="AZ393" s="384"/>
      <c r="BA393" s="463"/>
      <c r="BB393" s="384"/>
      <c r="BC393" s="384"/>
      <c r="BD393" s="384"/>
      <c r="BE393" s="384"/>
      <c r="BF393" s="463"/>
      <c r="BG393" s="384"/>
      <c r="BH393" s="384"/>
      <c r="BI393" s="384"/>
      <c r="BJ393" s="384"/>
      <c r="BK393" s="463"/>
      <c r="BL393" s="384"/>
      <c r="BM393" s="384"/>
      <c r="BN393" s="384"/>
      <c r="BO393" s="384"/>
    </row>
    <row r="394" spans="3:67">
      <c r="C394" s="463"/>
      <c r="D394" s="384"/>
      <c r="E394" s="384"/>
      <c r="F394" s="384"/>
      <c r="G394" s="384"/>
      <c r="H394" s="463"/>
      <c r="I394" s="384"/>
      <c r="J394" s="384"/>
      <c r="K394" s="384"/>
      <c r="L394" s="384"/>
      <c r="M394" s="463"/>
      <c r="N394" s="384"/>
      <c r="O394" s="384"/>
      <c r="P394" s="384"/>
      <c r="Q394" s="384"/>
      <c r="R394" s="463"/>
      <c r="S394" s="384"/>
      <c r="T394" s="384"/>
      <c r="U394" s="384"/>
      <c r="V394" s="384"/>
      <c r="W394" s="463"/>
      <c r="X394" s="384"/>
      <c r="Y394" s="384"/>
      <c r="Z394" s="384"/>
      <c r="AA394" s="384"/>
      <c r="AB394" s="463"/>
      <c r="AC394" s="384"/>
      <c r="AD394" s="384"/>
      <c r="AE394" s="384"/>
      <c r="AF394" s="384"/>
      <c r="AG394" s="463"/>
      <c r="AH394" s="384"/>
      <c r="AI394" s="384"/>
      <c r="AJ394" s="384"/>
      <c r="AK394" s="384"/>
      <c r="AL394" s="463"/>
      <c r="AM394" s="384"/>
      <c r="AN394" s="384"/>
      <c r="AO394" s="384"/>
      <c r="AP394" s="384"/>
      <c r="AQ394" s="463"/>
      <c r="AR394" s="384"/>
      <c r="AS394" s="384"/>
      <c r="AT394" s="384"/>
      <c r="AU394" s="384"/>
      <c r="AV394" s="463"/>
      <c r="AW394" s="384"/>
      <c r="AX394" s="384"/>
      <c r="AY394" s="384"/>
      <c r="AZ394" s="384"/>
      <c r="BA394" s="463"/>
      <c r="BB394" s="384"/>
      <c r="BC394" s="384"/>
      <c r="BD394" s="384"/>
      <c r="BE394" s="384"/>
      <c r="BF394" s="463"/>
      <c r="BG394" s="384"/>
      <c r="BH394" s="384"/>
      <c r="BI394" s="384"/>
      <c r="BJ394" s="384"/>
      <c r="BK394" s="463"/>
      <c r="BL394" s="384"/>
      <c r="BM394" s="384"/>
      <c r="BN394" s="384"/>
      <c r="BO394" s="384"/>
    </row>
    <row r="396" spans="3:67">
      <c r="C396" s="526"/>
      <c r="D396" s="527"/>
      <c r="E396" s="527"/>
      <c r="F396" s="527"/>
      <c r="G396" s="527"/>
      <c r="H396" s="526"/>
      <c r="I396" s="527"/>
      <c r="J396" s="527"/>
      <c r="K396" s="527"/>
      <c r="L396" s="527"/>
      <c r="M396" s="526"/>
      <c r="N396" s="527"/>
      <c r="O396" s="527"/>
      <c r="P396" s="527"/>
      <c r="Q396" s="527"/>
      <c r="R396" s="526"/>
      <c r="S396" s="527"/>
      <c r="T396" s="527"/>
      <c r="U396" s="527"/>
      <c r="V396" s="527"/>
      <c r="W396" s="526"/>
      <c r="X396" s="527"/>
      <c r="Y396" s="527"/>
      <c r="Z396" s="527"/>
      <c r="AA396" s="527"/>
      <c r="AB396" s="526"/>
      <c r="AC396" s="527"/>
      <c r="AD396" s="527"/>
      <c r="AE396" s="527"/>
      <c r="AF396" s="527"/>
      <c r="AG396" s="526"/>
      <c r="AH396" s="527"/>
      <c r="AI396" s="527"/>
      <c r="AJ396" s="527"/>
      <c r="AK396" s="527"/>
      <c r="AL396" s="526"/>
      <c r="AM396" s="527"/>
      <c r="AN396" s="527"/>
      <c r="AO396" s="527"/>
      <c r="AP396" s="527"/>
      <c r="AQ396" s="526"/>
      <c r="AR396" s="527"/>
      <c r="AS396" s="527"/>
      <c r="AT396" s="527"/>
      <c r="AU396" s="527"/>
      <c r="AV396" s="526"/>
      <c r="AW396" s="527"/>
      <c r="AX396" s="527"/>
      <c r="AY396" s="527"/>
      <c r="AZ396" s="527"/>
      <c r="BA396" s="526"/>
      <c r="BB396" s="527"/>
      <c r="BC396" s="527"/>
      <c r="BD396" s="527"/>
      <c r="BE396" s="527"/>
      <c r="BF396" s="526"/>
      <c r="BG396" s="527"/>
      <c r="BH396" s="527"/>
      <c r="BI396" s="527"/>
      <c r="BJ396" s="527"/>
      <c r="BK396" s="526"/>
      <c r="BL396" s="527"/>
      <c r="BM396" s="527"/>
      <c r="BN396" s="527"/>
      <c r="BO396" s="527"/>
    </row>
    <row r="397" spans="3:67">
      <c r="C397" s="524"/>
      <c r="D397" s="384"/>
      <c r="E397" s="384"/>
      <c r="F397" s="384"/>
      <c r="G397" s="384"/>
      <c r="H397" s="524"/>
      <c r="I397" s="384"/>
      <c r="J397" s="384"/>
      <c r="K397" s="384"/>
      <c r="L397" s="384"/>
      <c r="M397" s="524"/>
      <c r="N397" s="384"/>
      <c r="O397" s="384"/>
      <c r="P397" s="384"/>
      <c r="Q397" s="384"/>
      <c r="R397" s="524"/>
      <c r="S397" s="384"/>
      <c r="T397" s="384"/>
      <c r="U397" s="384"/>
      <c r="V397" s="384"/>
      <c r="W397" s="524"/>
      <c r="X397" s="384"/>
      <c r="Y397" s="384"/>
      <c r="Z397" s="384"/>
      <c r="AA397" s="384"/>
      <c r="AB397" s="524"/>
      <c r="AC397" s="384"/>
      <c r="AD397" s="384"/>
      <c r="AE397" s="384"/>
      <c r="AF397" s="384"/>
      <c r="AG397" s="524"/>
      <c r="AH397" s="384"/>
      <c r="AI397" s="384"/>
      <c r="AJ397" s="384"/>
      <c r="AK397" s="384"/>
      <c r="AL397" s="524"/>
      <c r="AM397" s="384"/>
      <c r="AN397" s="384"/>
      <c r="AO397" s="384"/>
      <c r="AP397" s="384"/>
      <c r="AQ397" s="524"/>
      <c r="AR397" s="384"/>
      <c r="AS397" s="384"/>
      <c r="AT397" s="384"/>
      <c r="AU397" s="384"/>
      <c r="AV397" s="524"/>
      <c r="AW397" s="384"/>
      <c r="AX397" s="384"/>
      <c r="AY397" s="384"/>
      <c r="AZ397" s="384"/>
      <c r="BA397" s="524"/>
      <c r="BB397" s="384"/>
      <c r="BC397" s="384"/>
      <c r="BD397" s="384"/>
      <c r="BE397" s="384"/>
      <c r="BF397" s="524"/>
      <c r="BG397" s="384"/>
      <c r="BH397" s="384"/>
      <c r="BI397" s="384"/>
      <c r="BJ397" s="384"/>
      <c r="BK397" s="524"/>
      <c r="BL397" s="384"/>
      <c r="BM397" s="384"/>
      <c r="BN397" s="384"/>
      <c r="BO397" s="384"/>
    </row>
    <row r="398" spans="3:67">
      <c r="C398" s="524"/>
      <c r="D398" s="384"/>
      <c r="E398" s="384"/>
      <c r="F398" s="384"/>
      <c r="G398" s="384"/>
      <c r="H398" s="524"/>
      <c r="I398" s="384"/>
      <c r="J398" s="384"/>
      <c r="K398" s="384"/>
      <c r="L398" s="384"/>
      <c r="M398" s="524"/>
      <c r="N398" s="384"/>
      <c r="O398" s="384"/>
      <c r="P398" s="384"/>
      <c r="Q398" s="384"/>
      <c r="R398" s="524"/>
      <c r="S398" s="384"/>
      <c r="T398" s="384"/>
      <c r="U398" s="384"/>
      <c r="V398" s="384"/>
      <c r="W398" s="524"/>
      <c r="X398" s="384"/>
      <c r="Y398" s="384"/>
      <c r="Z398" s="384"/>
      <c r="AA398" s="384"/>
      <c r="AB398" s="524"/>
      <c r="AC398" s="384"/>
      <c r="AD398" s="384"/>
      <c r="AE398" s="384"/>
      <c r="AF398" s="384"/>
      <c r="AG398" s="524"/>
      <c r="AH398" s="384"/>
      <c r="AI398" s="384"/>
      <c r="AJ398" s="384"/>
      <c r="AK398" s="384"/>
      <c r="AL398" s="524"/>
      <c r="AM398" s="384"/>
      <c r="AN398" s="384"/>
      <c r="AO398" s="384"/>
      <c r="AP398" s="384"/>
      <c r="AQ398" s="524"/>
      <c r="AR398" s="384"/>
      <c r="AS398" s="384"/>
      <c r="AT398" s="384"/>
      <c r="AU398" s="384"/>
      <c r="AV398" s="524"/>
      <c r="AW398" s="384"/>
      <c r="AX398" s="384"/>
      <c r="AY398" s="384"/>
      <c r="AZ398" s="384"/>
      <c r="BA398" s="524"/>
      <c r="BB398" s="384"/>
      <c r="BC398" s="384"/>
      <c r="BD398" s="384"/>
      <c r="BE398" s="384"/>
      <c r="BF398" s="524"/>
      <c r="BG398" s="384"/>
      <c r="BH398" s="384"/>
      <c r="BI398" s="384"/>
      <c r="BJ398" s="384"/>
      <c r="BK398" s="524"/>
      <c r="BL398" s="384"/>
      <c r="BM398" s="384"/>
      <c r="BN398" s="384"/>
      <c r="BO398" s="384"/>
    </row>
    <row r="399" spans="3:67">
      <c r="C399" s="524"/>
      <c r="D399" s="384"/>
      <c r="E399" s="384"/>
      <c r="F399" s="384"/>
      <c r="G399" s="384"/>
      <c r="H399" s="524"/>
      <c r="I399" s="384"/>
      <c r="J399" s="384"/>
      <c r="K399" s="384"/>
      <c r="L399" s="384"/>
      <c r="M399" s="524"/>
      <c r="N399" s="384"/>
      <c r="O399" s="384"/>
      <c r="P399" s="384"/>
      <c r="Q399" s="384"/>
      <c r="R399" s="524"/>
      <c r="S399" s="384"/>
      <c r="T399" s="384"/>
      <c r="U399" s="384"/>
      <c r="V399" s="384"/>
      <c r="W399" s="524"/>
      <c r="X399" s="384"/>
      <c r="Y399" s="384"/>
      <c r="Z399" s="384"/>
      <c r="AA399" s="384"/>
      <c r="AB399" s="524"/>
      <c r="AC399" s="384"/>
      <c r="AD399" s="384"/>
      <c r="AE399" s="384"/>
      <c r="AF399" s="384"/>
      <c r="AG399" s="524"/>
      <c r="AH399" s="384"/>
      <c r="AI399" s="384"/>
      <c r="AJ399" s="384"/>
      <c r="AK399" s="384"/>
      <c r="AL399" s="524"/>
      <c r="AM399" s="384"/>
      <c r="AN399" s="384"/>
      <c r="AO399" s="384"/>
      <c r="AP399" s="384"/>
      <c r="AQ399" s="524"/>
      <c r="AR399" s="384"/>
      <c r="AS399" s="384"/>
      <c r="AT399" s="384"/>
      <c r="AU399" s="384"/>
      <c r="AV399" s="524"/>
      <c r="AW399" s="384"/>
      <c r="AX399" s="384"/>
      <c r="AY399" s="384"/>
      <c r="AZ399" s="384"/>
      <c r="BA399" s="524"/>
      <c r="BB399" s="384"/>
      <c r="BC399" s="384"/>
      <c r="BD399" s="384"/>
      <c r="BE399" s="384"/>
      <c r="BF399" s="524"/>
      <c r="BG399" s="384"/>
      <c r="BH399" s="384"/>
      <c r="BI399" s="384"/>
      <c r="BJ399" s="384"/>
      <c r="BK399" s="524"/>
      <c r="BL399" s="384"/>
      <c r="BM399" s="384"/>
      <c r="BN399" s="384"/>
      <c r="BO399" s="384"/>
    </row>
    <row r="401" spans="3:67">
      <c r="C401" s="528"/>
      <c r="D401" s="498"/>
      <c r="E401" s="498"/>
      <c r="F401" s="498"/>
      <c r="G401" s="498"/>
      <c r="H401" s="528"/>
      <c r="I401" s="498"/>
      <c r="J401" s="498"/>
      <c r="K401" s="498"/>
      <c r="L401" s="498"/>
      <c r="M401" s="528"/>
      <c r="N401" s="498"/>
      <c r="O401" s="498"/>
      <c r="P401" s="498"/>
      <c r="Q401" s="498"/>
      <c r="R401" s="528"/>
      <c r="S401" s="498"/>
      <c r="T401" s="498"/>
      <c r="U401" s="498"/>
      <c r="V401" s="498"/>
      <c r="W401" s="528"/>
      <c r="X401" s="498"/>
      <c r="Y401" s="498"/>
      <c r="Z401" s="498"/>
      <c r="AA401" s="498"/>
      <c r="AB401" s="528"/>
      <c r="AC401" s="498"/>
      <c r="AD401" s="498"/>
      <c r="AE401" s="498"/>
      <c r="AF401" s="498"/>
      <c r="AG401" s="528"/>
      <c r="AH401" s="498"/>
      <c r="AI401" s="498"/>
      <c r="AJ401" s="498"/>
      <c r="AK401" s="498"/>
      <c r="AL401" s="528"/>
      <c r="AM401" s="498"/>
      <c r="AN401" s="498"/>
      <c r="AO401" s="498"/>
      <c r="AP401" s="498"/>
      <c r="AQ401" s="528"/>
      <c r="AR401" s="498"/>
      <c r="AS401" s="498"/>
      <c r="AT401" s="498"/>
      <c r="AU401" s="498"/>
      <c r="AV401" s="528"/>
      <c r="AW401" s="498"/>
      <c r="AX401" s="498"/>
      <c r="AY401" s="498"/>
      <c r="AZ401" s="498"/>
      <c r="BA401" s="528"/>
      <c r="BB401" s="498"/>
      <c r="BC401" s="498"/>
      <c r="BD401" s="498"/>
      <c r="BE401" s="498"/>
      <c r="BF401" s="528"/>
      <c r="BG401" s="498"/>
      <c r="BH401" s="498"/>
      <c r="BI401" s="498"/>
      <c r="BJ401" s="498"/>
      <c r="BK401" s="528"/>
      <c r="BL401" s="498"/>
      <c r="BM401" s="498"/>
      <c r="BN401" s="498"/>
      <c r="BO401" s="498"/>
    </row>
    <row r="402" spans="3:67">
      <c r="C402" s="529"/>
      <c r="H402" s="529"/>
      <c r="M402" s="529"/>
      <c r="R402" s="529"/>
      <c r="W402" s="529"/>
      <c r="AB402" s="529"/>
      <c r="AG402" s="529"/>
      <c r="AL402" s="529"/>
      <c r="AQ402" s="529"/>
      <c r="AV402" s="529"/>
      <c r="BA402" s="529"/>
      <c r="BF402" s="529"/>
      <c r="BK402" s="529"/>
    </row>
    <row r="403" spans="3:67">
      <c r="C403" s="529"/>
      <c r="H403" s="529"/>
      <c r="M403" s="529"/>
      <c r="R403" s="529"/>
      <c r="W403" s="529"/>
      <c r="AB403" s="529"/>
      <c r="AG403" s="529"/>
      <c r="AL403" s="529"/>
      <c r="AQ403" s="529"/>
      <c r="AV403" s="529"/>
      <c r="BA403" s="529"/>
      <c r="BF403" s="529"/>
      <c r="BK403" s="529"/>
    </row>
    <row r="405" spans="3:67">
      <c r="C405" s="530"/>
      <c r="D405" s="531"/>
      <c r="E405" s="531"/>
      <c r="F405" s="531"/>
      <c r="G405" s="531"/>
      <c r="H405" s="530"/>
      <c r="I405" s="531"/>
      <c r="J405" s="531"/>
      <c r="K405" s="531"/>
      <c r="L405" s="531"/>
      <c r="M405" s="530"/>
      <c r="N405" s="531"/>
      <c r="O405" s="531"/>
      <c r="P405" s="531"/>
      <c r="Q405" s="531"/>
      <c r="R405" s="530"/>
      <c r="S405" s="531"/>
      <c r="T405" s="531"/>
      <c r="U405" s="531"/>
      <c r="V405" s="531"/>
      <c r="W405" s="530"/>
      <c r="X405" s="531"/>
      <c r="Y405" s="531"/>
      <c r="Z405" s="531"/>
      <c r="AA405" s="531"/>
      <c r="AB405" s="530"/>
      <c r="AC405" s="531"/>
      <c r="AD405" s="531"/>
      <c r="AE405" s="531"/>
      <c r="AF405" s="531"/>
      <c r="AG405" s="530"/>
      <c r="AH405" s="531"/>
      <c r="AI405" s="531"/>
      <c r="AJ405" s="531"/>
      <c r="AK405" s="531"/>
      <c r="AL405" s="530"/>
      <c r="AM405" s="531"/>
      <c r="AN405" s="531"/>
      <c r="AO405" s="531"/>
      <c r="AP405" s="531"/>
      <c r="AQ405" s="530"/>
      <c r="AR405" s="531"/>
      <c r="AS405" s="531"/>
      <c r="AT405" s="531"/>
      <c r="AU405" s="531"/>
      <c r="AV405" s="530"/>
      <c r="AW405" s="531"/>
      <c r="AX405" s="531"/>
      <c r="AY405" s="531"/>
      <c r="AZ405" s="531"/>
      <c r="BA405" s="530"/>
      <c r="BB405" s="531"/>
      <c r="BC405" s="531"/>
      <c r="BD405" s="531"/>
      <c r="BE405" s="531"/>
      <c r="BF405" s="530"/>
      <c r="BG405" s="531"/>
      <c r="BH405" s="531"/>
      <c r="BI405" s="531"/>
      <c r="BJ405" s="531"/>
      <c r="BK405" s="530"/>
      <c r="BL405" s="531"/>
      <c r="BM405" s="531"/>
      <c r="BN405" s="531"/>
      <c r="BO405" s="531"/>
    </row>
    <row r="406" spans="3:67">
      <c r="C406" s="532"/>
      <c r="D406" s="533"/>
      <c r="E406" s="533"/>
      <c r="F406" s="533"/>
      <c r="G406" s="533"/>
      <c r="H406" s="532"/>
      <c r="I406" s="533"/>
      <c r="J406" s="533"/>
      <c r="K406" s="533"/>
      <c r="L406" s="533"/>
      <c r="M406" s="532"/>
      <c r="N406" s="533"/>
      <c r="O406" s="533"/>
      <c r="P406" s="533"/>
      <c r="Q406" s="533"/>
      <c r="R406" s="532"/>
      <c r="S406" s="533"/>
      <c r="T406" s="533"/>
      <c r="U406" s="533"/>
      <c r="V406" s="533"/>
      <c r="W406" s="532"/>
      <c r="X406" s="533"/>
      <c r="Y406" s="533"/>
      <c r="Z406" s="533"/>
      <c r="AA406" s="533"/>
      <c r="AB406" s="532"/>
      <c r="AC406" s="533"/>
      <c r="AD406" s="533"/>
      <c r="AE406" s="533"/>
      <c r="AF406" s="533"/>
      <c r="AG406" s="532"/>
      <c r="AH406" s="533"/>
      <c r="AI406" s="533"/>
      <c r="AJ406" s="533"/>
      <c r="AK406" s="533"/>
      <c r="AL406" s="532"/>
      <c r="AM406" s="533"/>
      <c r="AN406" s="533"/>
      <c r="AO406" s="533"/>
      <c r="AP406" s="533"/>
      <c r="AQ406" s="532"/>
      <c r="AR406" s="533"/>
      <c r="AS406" s="533"/>
      <c r="AT406" s="533"/>
      <c r="AU406" s="533"/>
      <c r="AV406" s="532"/>
      <c r="AW406" s="533"/>
      <c r="AX406" s="533"/>
      <c r="AY406" s="533"/>
      <c r="AZ406" s="533"/>
      <c r="BA406" s="532"/>
      <c r="BB406" s="533"/>
      <c r="BC406" s="533"/>
      <c r="BD406" s="533"/>
      <c r="BE406" s="533"/>
      <c r="BF406" s="532"/>
      <c r="BG406" s="533"/>
      <c r="BH406" s="533"/>
      <c r="BI406" s="533"/>
      <c r="BJ406" s="533"/>
      <c r="BK406" s="532"/>
      <c r="BL406" s="533"/>
      <c r="BM406" s="533"/>
      <c r="BN406" s="533"/>
      <c r="BO406" s="533"/>
    </row>
    <row r="413" spans="3:67">
      <c r="C413" s="463"/>
      <c r="D413" s="384"/>
      <c r="E413" s="384"/>
      <c r="F413" s="384"/>
      <c r="G413" s="384"/>
      <c r="H413" s="463"/>
      <c r="I413" s="384"/>
      <c r="J413" s="384"/>
      <c r="K413" s="384"/>
      <c r="L413" s="384"/>
      <c r="M413" s="463"/>
      <c r="N413" s="384"/>
      <c r="O413" s="384"/>
      <c r="P413" s="384"/>
      <c r="Q413" s="384"/>
      <c r="R413" s="463"/>
      <c r="S413" s="384"/>
      <c r="T413" s="384"/>
      <c r="U413" s="384"/>
      <c r="V413" s="384"/>
      <c r="W413" s="463"/>
      <c r="X413" s="384"/>
      <c r="Y413" s="384"/>
      <c r="Z413" s="384"/>
      <c r="AA413" s="384"/>
      <c r="AB413" s="463"/>
      <c r="AC413" s="384"/>
      <c r="AD413" s="384"/>
      <c r="AE413" s="384"/>
      <c r="AF413" s="384"/>
      <c r="AG413" s="463"/>
      <c r="AH413" s="384"/>
      <c r="AI413" s="384"/>
      <c r="AJ413" s="384"/>
      <c r="AK413" s="384"/>
      <c r="AL413" s="463"/>
      <c r="AM413" s="384"/>
      <c r="AN413" s="384"/>
      <c r="AO413" s="384"/>
      <c r="AP413" s="384"/>
      <c r="AQ413" s="463"/>
      <c r="AR413" s="384"/>
      <c r="AS413" s="384"/>
      <c r="AT413" s="384"/>
      <c r="AU413" s="384"/>
      <c r="AV413" s="463"/>
      <c r="AW413" s="384"/>
      <c r="AX413" s="384"/>
      <c r="AY413" s="384"/>
      <c r="AZ413" s="384"/>
      <c r="BA413" s="463"/>
      <c r="BB413" s="384"/>
      <c r="BC413" s="384"/>
      <c r="BD413" s="384"/>
      <c r="BE413" s="384"/>
      <c r="BF413" s="463"/>
      <c r="BG413" s="384"/>
      <c r="BH413" s="384"/>
      <c r="BI413" s="384"/>
      <c r="BJ413" s="384"/>
      <c r="BK413" s="463"/>
      <c r="BL413" s="384"/>
      <c r="BM413" s="384"/>
      <c r="BN413" s="384"/>
      <c r="BO413" s="384"/>
    </row>
    <row r="414" spans="3:67">
      <c r="C414" s="463"/>
      <c r="D414" s="384"/>
      <c r="E414" s="384"/>
      <c r="F414" s="384"/>
      <c r="G414" s="384"/>
      <c r="H414" s="463"/>
      <c r="I414" s="384"/>
      <c r="J414" s="384"/>
      <c r="K414" s="384"/>
      <c r="L414" s="384"/>
      <c r="M414" s="463"/>
      <c r="N414" s="384"/>
      <c r="O414" s="384"/>
      <c r="P414" s="384"/>
      <c r="Q414" s="384"/>
      <c r="R414" s="463"/>
      <c r="S414" s="384"/>
      <c r="T414" s="384"/>
      <c r="U414" s="384"/>
      <c r="V414" s="384"/>
      <c r="W414" s="463"/>
      <c r="X414" s="384"/>
      <c r="Y414" s="384"/>
      <c r="Z414" s="384"/>
      <c r="AA414" s="384"/>
      <c r="AB414" s="463"/>
      <c r="AC414" s="384"/>
      <c r="AD414" s="384"/>
      <c r="AE414" s="384"/>
      <c r="AF414" s="384"/>
      <c r="AG414" s="463"/>
      <c r="AH414" s="384"/>
      <c r="AI414" s="384"/>
      <c r="AJ414" s="384"/>
      <c r="AK414" s="384"/>
      <c r="AL414" s="463"/>
      <c r="AM414" s="384"/>
      <c r="AN414" s="384"/>
      <c r="AO414" s="384"/>
      <c r="AP414" s="384"/>
      <c r="AQ414" s="463"/>
      <c r="AR414" s="384"/>
      <c r="AS414" s="384"/>
      <c r="AT414" s="384"/>
      <c r="AU414" s="384"/>
      <c r="AV414" s="463"/>
      <c r="AW414" s="384"/>
      <c r="AX414" s="384"/>
      <c r="AY414" s="384"/>
      <c r="AZ414" s="384"/>
      <c r="BA414" s="463"/>
      <c r="BB414" s="384"/>
      <c r="BC414" s="384"/>
      <c r="BD414" s="384"/>
      <c r="BE414" s="384"/>
      <c r="BF414" s="463"/>
      <c r="BG414" s="384"/>
      <c r="BH414" s="384"/>
      <c r="BI414" s="384"/>
      <c r="BJ414" s="384"/>
      <c r="BK414" s="463"/>
      <c r="BL414" s="384"/>
      <c r="BM414" s="384"/>
      <c r="BN414" s="384"/>
      <c r="BO414" s="384"/>
    </row>
    <row r="416" spans="3:67">
      <c r="C416" s="463"/>
      <c r="D416" s="384"/>
      <c r="E416" s="384"/>
      <c r="F416" s="384"/>
      <c r="G416" s="384"/>
      <c r="H416" s="463"/>
      <c r="I416" s="384"/>
      <c r="J416" s="384"/>
      <c r="K416" s="384"/>
      <c r="L416" s="384"/>
      <c r="M416" s="463"/>
      <c r="N416" s="384"/>
      <c r="O416" s="384"/>
      <c r="P416" s="384"/>
      <c r="Q416" s="384"/>
      <c r="R416" s="463"/>
      <c r="S416" s="384"/>
      <c r="T416" s="384"/>
      <c r="U416" s="384"/>
      <c r="V416" s="384"/>
      <c r="W416" s="463"/>
      <c r="X416" s="384"/>
      <c r="Y416" s="384"/>
      <c r="Z416" s="384"/>
      <c r="AA416" s="384"/>
      <c r="AB416" s="463"/>
      <c r="AC416" s="384"/>
      <c r="AD416" s="384"/>
      <c r="AE416" s="384"/>
      <c r="AF416" s="384"/>
      <c r="AG416" s="463"/>
      <c r="AH416" s="384"/>
      <c r="AI416" s="384"/>
      <c r="AJ416" s="384"/>
      <c r="AK416" s="384"/>
      <c r="AL416" s="463"/>
      <c r="AM416" s="384"/>
      <c r="AN416" s="384"/>
      <c r="AO416" s="384"/>
      <c r="AP416" s="384"/>
      <c r="AQ416" s="463"/>
      <c r="AR416" s="384"/>
      <c r="AS416" s="384"/>
      <c r="AT416" s="384"/>
      <c r="AU416" s="384"/>
      <c r="AV416" s="463"/>
      <c r="AW416" s="384"/>
      <c r="AX416" s="384"/>
      <c r="AY416" s="384"/>
      <c r="AZ416" s="384"/>
      <c r="BA416" s="463"/>
      <c r="BB416" s="384"/>
      <c r="BC416" s="384"/>
      <c r="BD416" s="384"/>
      <c r="BE416" s="384"/>
      <c r="BF416" s="463"/>
      <c r="BG416" s="384"/>
      <c r="BH416" s="384"/>
      <c r="BI416" s="384"/>
      <c r="BJ416" s="384"/>
      <c r="BK416" s="463"/>
      <c r="BL416" s="384"/>
      <c r="BM416" s="384"/>
      <c r="BN416" s="384"/>
      <c r="BO416" s="384"/>
    </row>
    <row r="417" spans="3:67">
      <c r="C417" s="463"/>
      <c r="D417" s="384"/>
      <c r="E417" s="384"/>
      <c r="F417" s="384"/>
      <c r="G417" s="384"/>
      <c r="H417" s="463"/>
      <c r="I417" s="384"/>
      <c r="J417" s="384"/>
      <c r="K417" s="384"/>
      <c r="L417" s="384"/>
      <c r="M417" s="463"/>
      <c r="N417" s="384"/>
      <c r="O417" s="384"/>
      <c r="P417" s="384"/>
      <c r="Q417" s="384"/>
      <c r="R417" s="463"/>
      <c r="S417" s="384"/>
      <c r="T417" s="384"/>
      <c r="U417" s="384"/>
      <c r="V417" s="384"/>
      <c r="W417" s="463"/>
      <c r="X417" s="384"/>
      <c r="Y417" s="384"/>
      <c r="Z417" s="384"/>
      <c r="AA417" s="384"/>
      <c r="AB417" s="463"/>
      <c r="AC417" s="384"/>
      <c r="AD417" s="384"/>
      <c r="AE417" s="384"/>
      <c r="AF417" s="384"/>
      <c r="AG417" s="463"/>
      <c r="AH417" s="384"/>
      <c r="AI417" s="384"/>
      <c r="AJ417" s="384"/>
      <c r="AK417" s="384"/>
      <c r="AL417" s="463"/>
      <c r="AM417" s="384"/>
      <c r="AN417" s="384"/>
      <c r="AO417" s="384"/>
      <c r="AP417" s="384"/>
      <c r="AQ417" s="463"/>
      <c r="AR417" s="384"/>
      <c r="AS417" s="384"/>
      <c r="AT417" s="384"/>
      <c r="AU417" s="384"/>
      <c r="AV417" s="463"/>
      <c r="AW417" s="384"/>
      <c r="AX417" s="384"/>
      <c r="AY417" s="384"/>
      <c r="AZ417" s="384"/>
      <c r="BA417" s="463"/>
      <c r="BB417" s="384"/>
      <c r="BC417" s="384"/>
      <c r="BD417" s="384"/>
      <c r="BE417" s="384"/>
      <c r="BF417" s="463"/>
      <c r="BG417" s="384"/>
      <c r="BH417" s="384"/>
      <c r="BI417" s="384"/>
      <c r="BJ417" s="384"/>
      <c r="BK417" s="463"/>
      <c r="BL417" s="384"/>
      <c r="BM417" s="384"/>
      <c r="BN417" s="384"/>
      <c r="BO417" s="384"/>
    </row>
    <row r="418" spans="3:67">
      <c r="C418" s="534"/>
      <c r="D418" s="535"/>
      <c r="E418" s="535"/>
      <c r="F418" s="535"/>
      <c r="G418" s="535"/>
      <c r="H418" s="534"/>
      <c r="I418" s="535"/>
      <c r="J418" s="535"/>
      <c r="K418" s="535"/>
      <c r="L418" s="535"/>
      <c r="M418" s="534"/>
      <c r="N418" s="535"/>
      <c r="O418" s="535"/>
      <c r="P418" s="535"/>
      <c r="Q418" s="535"/>
      <c r="R418" s="534"/>
      <c r="S418" s="535"/>
      <c r="T418" s="535"/>
      <c r="U418" s="535"/>
      <c r="V418" s="535"/>
      <c r="W418" s="534"/>
      <c r="X418" s="535"/>
      <c r="Y418" s="535"/>
      <c r="Z418" s="535"/>
      <c r="AA418" s="535"/>
      <c r="AB418" s="534"/>
      <c r="AC418" s="535"/>
      <c r="AD418" s="535"/>
      <c r="AE418" s="535"/>
      <c r="AF418" s="535"/>
      <c r="AG418" s="534"/>
      <c r="AH418" s="535"/>
      <c r="AI418" s="535"/>
      <c r="AJ418" s="535"/>
      <c r="AK418" s="535"/>
      <c r="AL418" s="534"/>
      <c r="AM418" s="535"/>
      <c r="AN418" s="535"/>
      <c r="AO418" s="535"/>
      <c r="AP418" s="535"/>
      <c r="AQ418" s="534"/>
      <c r="AR418" s="535"/>
      <c r="AS418" s="535"/>
      <c r="AT418" s="535"/>
      <c r="AU418" s="535"/>
      <c r="AV418" s="534"/>
      <c r="AW418" s="535"/>
      <c r="AX418" s="535"/>
      <c r="AY418" s="535"/>
      <c r="AZ418" s="535"/>
      <c r="BA418" s="534"/>
      <c r="BB418" s="535"/>
      <c r="BC418" s="535"/>
      <c r="BD418" s="535"/>
      <c r="BE418" s="535"/>
      <c r="BF418" s="534"/>
      <c r="BG418" s="535"/>
      <c r="BH418" s="535"/>
      <c r="BI418" s="535"/>
      <c r="BJ418" s="535"/>
      <c r="BK418" s="534"/>
      <c r="BL418" s="535"/>
      <c r="BM418" s="535"/>
      <c r="BN418" s="535"/>
      <c r="BO418" s="535"/>
    </row>
    <row r="419" spans="3:67">
      <c r="C419" s="463"/>
      <c r="D419" s="384"/>
      <c r="E419" s="384"/>
      <c r="F419" s="384"/>
      <c r="G419" s="384"/>
      <c r="H419" s="463"/>
      <c r="I419" s="384"/>
      <c r="J419" s="384"/>
      <c r="K419" s="384"/>
      <c r="L419" s="384"/>
      <c r="M419" s="463"/>
      <c r="N419" s="384"/>
      <c r="O419" s="384"/>
      <c r="P419" s="384"/>
      <c r="Q419" s="384"/>
      <c r="R419" s="463"/>
      <c r="S419" s="384"/>
      <c r="T419" s="384"/>
      <c r="U419" s="384"/>
      <c r="V419" s="384"/>
      <c r="W419" s="463"/>
      <c r="X419" s="384"/>
      <c r="Y419" s="384"/>
      <c r="Z419" s="384"/>
      <c r="AA419" s="384"/>
      <c r="AB419" s="463"/>
      <c r="AC419" s="384"/>
      <c r="AD419" s="384"/>
      <c r="AE419" s="384"/>
      <c r="AF419" s="384"/>
      <c r="AG419" s="463"/>
      <c r="AH419" s="384"/>
      <c r="AI419" s="384"/>
      <c r="AJ419" s="384"/>
      <c r="AK419" s="384"/>
      <c r="AL419" s="463"/>
      <c r="AM419" s="384"/>
      <c r="AN419" s="384"/>
      <c r="AO419" s="384"/>
      <c r="AP419" s="384"/>
      <c r="AQ419" s="463"/>
      <c r="AR419" s="384"/>
      <c r="AS419" s="384"/>
      <c r="AT419" s="384"/>
      <c r="AU419" s="384"/>
      <c r="AV419" s="463"/>
      <c r="AW419" s="384"/>
      <c r="AX419" s="384"/>
      <c r="AY419" s="384"/>
      <c r="AZ419" s="384"/>
      <c r="BA419" s="463"/>
      <c r="BB419" s="384"/>
      <c r="BC419" s="384"/>
      <c r="BD419" s="384"/>
      <c r="BE419" s="384"/>
      <c r="BF419" s="463"/>
      <c r="BG419" s="384"/>
      <c r="BH419" s="384"/>
      <c r="BI419" s="384"/>
      <c r="BJ419" s="384"/>
      <c r="BK419" s="463"/>
      <c r="BL419" s="384"/>
      <c r="BM419" s="384"/>
      <c r="BN419" s="384"/>
      <c r="BO419" s="384"/>
    </row>
    <row r="422" spans="3:67">
      <c r="C422" s="536"/>
      <c r="D422" s="537"/>
      <c r="E422" s="537"/>
      <c r="F422" s="537"/>
      <c r="G422" s="537"/>
      <c r="H422" s="536"/>
      <c r="I422" s="537"/>
      <c r="J422" s="537"/>
      <c r="K422" s="537"/>
      <c r="L422" s="537"/>
      <c r="M422" s="536"/>
      <c r="N422" s="537"/>
      <c r="O422" s="537"/>
      <c r="P422" s="537"/>
      <c r="Q422" s="537"/>
      <c r="R422" s="536"/>
      <c r="S422" s="537"/>
      <c r="T422" s="537"/>
      <c r="U422" s="537"/>
      <c r="V422" s="537"/>
      <c r="W422" s="536"/>
      <c r="X422" s="537"/>
      <c r="Y422" s="537"/>
      <c r="Z422" s="537"/>
      <c r="AA422" s="537"/>
      <c r="AB422" s="536"/>
      <c r="AC422" s="537"/>
      <c r="AD422" s="537"/>
      <c r="AE422" s="537"/>
      <c r="AF422" s="537"/>
      <c r="AG422" s="536"/>
      <c r="AH422" s="537"/>
      <c r="AI422" s="537"/>
      <c r="AJ422" s="537"/>
      <c r="AK422" s="537"/>
      <c r="AL422" s="536"/>
      <c r="AM422" s="537"/>
      <c r="AN422" s="537"/>
      <c r="AO422" s="537"/>
      <c r="AP422" s="537"/>
      <c r="AQ422" s="536"/>
      <c r="AR422" s="537"/>
      <c r="AS422" s="537"/>
      <c r="AT422" s="537"/>
      <c r="AU422" s="537"/>
      <c r="AV422" s="536"/>
      <c r="AW422" s="537"/>
      <c r="AX422" s="537"/>
      <c r="AY422" s="537"/>
      <c r="AZ422" s="537"/>
      <c r="BA422" s="536"/>
      <c r="BB422" s="537"/>
      <c r="BC422" s="537"/>
      <c r="BD422" s="537"/>
      <c r="BE422" s="537"/>
      <c r="BF422" s="536"/>
      <c r="BG422" s="537"/>
      <c r="BH422" s="537"/>
      <c r="BI422" s="537"/>
      <c r="BJ422" s="537"/>
      <c r="BK422" s="536"/>
      <c r="BL422" s="537"/>
      <c r="BM422" s="537"/>
      <c r="BN422" s="537"/>
      <c r="BO422" s="537"/>
    </row>
    <row r="423" spans="3:67">
      <c r="C423" s="463"/>
      <c r="D423" s="384"/>
      <c r="E423" s="384"/>
      <c r="F423" s="384"/>
      <c r="G423" s="384"/>
      <c r="H423" s="463"/>
      <c r="I423" s="384"/>
      <c r="J423" s="384"/>
      <c r="K423" s="384"/>
      <c r="L423" s="384"/>
      <c r="M423" s="463"/>
      <c r="N423" s="384"/>
      <c r="O423" s="384"/>
      <c r="P423" s="384"/>
      <c r="Q423" s="384"/>
      <c r="R423" s="463"/>
      <c r="S423" s="384"/>
      <c r="T423" s="384"/>
      <c r="U423" s="384"/>
      <c r="V423" s="384"/>
      <c r="W423" s="463"/>
      <c r="X423" s="384"/>
      <c r="Y423" s="384"/>
      <c r="Z423" s="384"/>
      <c r="AA423" s="384"/>
      <c r="AB423" s="463"/>
      <c r="AC423" s="384"/>
      <c r="AD423" s="384"/>
      <c r="AE423" s="384"/>
      <c r="AF423" s="384"/>
      <c r="AG423" s="463"/>
      <c r="AH423" s="384"/>
      <c r="AI423" s="384"/>
      <c r="AJ423" s="384"/>
      <c r="AK423" s="384"/>
      <c r="AL423" s="463"/>
      <c r="AM423" s="384"/>
      <c r="AN423" s="384"/>
      <c r="AO423" s="384"/>
      <c r="AP423" s="384"/>
      <c r="AQ423" s="463"/>
      <c r="AR423" s="384"/>
      <c r="AS423" s="384"/>
      <c r="AT423" s="384"/>
      <c r="AU423" s="384"/>
      <c r="AV423" s="463"/>
      <c r="AW423" s="384"/>
      <c r="AX423" s="384"/>
      <c r="AY423" s="384"/>
      <c r="AZ423" s="384"/>
      <c r="BA423" s="463"/>
      <c r="BB423" s="384"/>
      <c r="BC423" s="384"/>
      <c r="BD423" s="384"/>
      <c r="BE423" s="384"/>
      <c r="BF423" s="463"/>
      <c r="BG423" s="384"/>
      <c r="BH423" s="384"/>
      <c r="BI423" s="384"/>
      <c r="BJ423" s="384"/>
      <c r="BK423" s="463"/>
      <c r="BL423" s="384"/>
      <c r="BM423" s="384"/>
      <c r="BN423" s="384"/>
      <c r="BO423" s="384"/>
    </row>
    <row r="424" spans="3:67">
      <c r="C424" s="463"/>
      <c r="D424" s="384"/>
      <c r="E424" s="384"/>
      <c r="F424" s="384"/>
      <c r="G424" s="384"/>
      <c r="H424" s="463"/>
      <c r="I424" s="384"/>
      <c r="J424" s="384"/>
      <c r="K424" s="384"/>
      <c r="L424" s="384"/>
      <c r="M424" s="463"/>
      <c r="N424" s="384"/>
      <c r="O424" s="384"/>
      <c r="P424" s="384"/>
      <c r="Q424" s="384"/>
      <c r="R424" s="463"/>
      <c r="S424" s="384"/>
      <c r="T424" s="384"/>
      <c r="U424" s="384"/>
      <c r="V424" s="384"/>
      <c r="W424" s="463"/>
      <c r="X424" s="384"/>
      <c r="Y424" s="384"/>
      <c r="Z424" s="384"/>
      <c r="AA424" s="384"/>
      <c r="AB424" s="463"/>
      <c r="AC424" s="384"/>
      <c r="AD424" s="384"/>
      <c r="AE424" s="384"/>
      <c r="AF424" s="384"/>
      <c r="AG424" s="463"/>
      <c r="AH424" s="384"/>
      <c r="AI424" s="384"/>
      <c r="AJ424" s="384"/>
      <c r="AK424" s="384"/>
      <c r="AL424" s="463"/>
      <c r="AM424" s="384"/>
      <c r="AN424" s="384"/>
      <c r="AO424" s="384"/>
      <c r="AP424" s="384"/>
      <c r="AQ424" s="463"/>
      <c r="AR424" s="384"/>
      <c r="AS424" s="384"/>
      <c r="AT424" s="384"/>
      <c r="AU424" s="384"/>
      <c r="AV424" s="463"/>
      <c r="AW424" s="384"/>
      <c r="AX424" s="384"/>
      <c r="AY424" s="384"/>
      <c r="AZ424" s="384"/>
      <c r="BA424" s="463"/>
      <c r="BB424" s="384"/>
      <c r="BC424" s="384"/>
      <c r="BD424" s="384"/>
      <c r="BE424" s="384"/>
      <c r="BF424" s="463"/>
      <c r="BG424" s="384"/>
      <c r="BH424" s="384"/>
      <c r="BI424" s="384"/>
      <c r="BJ424" s="384"/>
      <c r="BK424" s="463"/>
      <c r="BL424" s="384"/>
      <c r="BM424" s="384"/>
      <c r="BN424" s="384"/>
      <c r="BO424" s="384"/>
    </row>
    <row r="425" spans="3:67">
      <c r="C425" s="536"/>
      <c r="D425" s="537"/>
      <c r="E425" s="537"/>
      <c r="F425" s="537"/>
      <c r="G425" s="537"/>
      <c r="H425" s="536"/>
      <c r="I425" s="537"/>
      <c r="J425" s="537"/>
      <c r="K425" s="537"/>
      <c r="L425" s="537"/>
      <c r="M425" s="536"/>
      <c r="N425" s="537"/>
      <c r="O425" s="537"/>
      <c r="P425" s="537"/>
      <c r="Q425" s="537"/>
      <c r="R425" s="536"/>
      <c r="S425" s="537"/>
      <c r="T425" s="537"/>
      <c r="U425" s="537"/>
      <c r="V425" s="537"/>
      <c r="W425" s="536"/>
      <c r="X425" s="537"/>
      <c r="Y425" s="537"/>
      <c r="Z425" s="537"/>
      <c r="AA425" s="537"/>
      <c r="AB425" s="536"/>
      <c r="AC425" s="537"/>
      <c r="AD425" s="537"/>
      <c r="AE425" s="537"/>
      <c r="AF425" s="537"/>
      <c r="AG425" s="536"/>
      <c r="AH425" s="537"/>
      <c r="AI425" s="537"/>
      <c r="AJ425" s="537"/>
      <c r="AK425" s="537"/>
      <c r="AL425" s="536"/>
      <c r="AM425" s="537"/>
      <c r="AN425" s="537"/>
      <c r="AO425" s="537"/>
      <c r="AP425" s="537"/>
      <c r="AQ425" s="536"/>
      <c r="AR425" s="537"/>
      <c r="AS425" s="537"/>
      <c r="AT425" s="537"/>
      <c r="AU425" s="537"/>
      <c r="AV425" s="536"/>
      <c r="AW425" s="537"/>
      <c r="AX425" s="537"/>
      <c r="AY425" s="537"/>
      <c r="AZ425" s="537"/>
      <c r="BA425" s="536"/>
      <c r="BB425" s="537"/>
      <c r="BC425" s="537"/>
      <c r="BD425" s="537"/>
      <c r="BE425" s="537"/>
      <c r="BF425" s="536"/>
      <c r="BG425" s="537"/>
      <c r="BH425" s="537"/>
      <c r="BI425" s="537"/>
      <c r="BJ425" s="537"/>
      <c r="BK425" s="536"/>
      <c r="BL425" s="537"/>
      <c r="BM425" s="537"/>
      <c r="BN425" s="537"/>
      <c r="BO425" s="537"/>
    </row>
    <row r="426" spans="3:67">
      <c r="C426" s="463"/>
      <c r="D426" s="384"/>
      <c r="E426" s="384"/>
      <c r="F426" s="384"/>
      <c r="G426" s="384"/>
      <c r="H426" s="463"/>
      <c r="I426" s="384"/>
      <c r="J426" s="384"/>
      <c r="K426" s="384"/>
      <c r="L426" s="384"/>
      <c r="M426" s="463"/>
      <c r="N426" s="384"/>
      <c r="O426" s="384"/>
      <c r="P426" s="384"/>
      <c r="Q426" s="384"/>
      <c r="R426" s="463"/>
      <c r="S426" s="384"/>
      <c r="T426" s="384"/>
      <c r="U426" s="384"/>
      <c r="V426" s="384"/>
      <c r="W426" s="463"/>
      <c r="X426" s="384"/>
      <c r="Y426" s="384"/>
      <c r="Z426" s="384"/>
      <c r="AA426" s="384"/>
      <c r="AB426" s="463"/>
      <c r="AC426" s="384"/>
      <c r="AD426" s="384"/>
      <c r="AE426" s="384"/>
      <c r="AF426" s="384"/>
      <c r="AG426" s="463"/>
      <c r="AH426" s="384"/>
      <c r="AI426" s="384"/>
      <c r="AJ426" s="384"/>
      <c r="AK426" s="384"/>
      <c r="AL426" s="463"/>
      <c r="AM426" s="384"/>
      <c r="AN426" s="384"/>
      <c r="AO426" s="384"/>
      <c r="AP426" s="384"/>
      <c r="AQ426" s="463"/>
      <c r="AR426" s="384"/>
      <c r="AS426" s="384"/>
      <c r="AT426" s="384"/>
      <c r="AU426" s="384"/>
      <c r="AV426" s="463"/>
      <c r="AW426" s="384"/>
      <c r="AX426" s="384"/>
      <c r="AY426" s="384"/>
      <c r="AZ426" s="384"/>
      <c r="BA426" s="463"/>
      <c r="BB426" s="384"/>
      <c r="BC426" s="384"/>
      <c r="BD426" s="384"/>
      <c r="BE426" s="384"/>
      <c r="BF426" s="463"/>
      <c r="BG426" s="384"/>
      <c r="BH426" s="384"/>
      <c r="BI426" s="384"/>
      <c r="BJ426" s="384"/>
      <c r="BK426" s="463"/>
      <c r="BL426" s="384"/>
      <c r="BM426" s="384"/>
      <c r="BN426" s="384"/>
      <c r="BO426" s="384"/>
    </row>
    <row r="427" spans="3:67">
      <c r="C427" s="463"/>
      <c r="D427" s="384"/>
      <c r="E427" s="384"/>
      <c r="F427" s="384"/>
      <c r="G427" s="384"/>
      <c r="H427" s="463"/>
      <c r="I427" s="384"/>
      <c r="J427" s="384"/>
      <c r="K427" s="384"/>
      <c r="L427" s="384"/>
      <c r="M427" s="463"/>
      <c r="N427" s="384"/>
      <c r="O427" s="384"/>
      <c r="P427" s="384"/>
      <c r="Q427" s="384"/>
      <c r="R427" s="463"/>
      <c r="S427" s="384"/>
      <c r="T427" s="384"/>
      <c r="U427" s="384"/>
      <c r="V427" s="384"/>
      <c r="W427" s="463"/>
      <c r="X427" s="384"/>
      <c r="Y427" s="384"/>
      <c r="Z427" s="384"/>
      <c r="AA427" s="384"/>
      <c r="AB427" s="463"/>
      <c r="AC427" s="384"/>
      <c r="AD427" s="384"/>
      <c r="AE427" s="384"/>
      <c r="AF427" s="384"/>
      <c r="AG427" s="463"/>
      <c r="AH427" s="384"/>
      <c r="AI427" s="384"/>
      <c r="AJ427" s="384"/>
      <c r="AK427" s="384"/>
      <c r="AL427" s="463"/>
      <c r="AM427" s="384"/>
      <c r="AN427" s="384"/>
      <c r="AO427" s="384"/>
      <c r="AP427" s="384"/>
      <c r="AQ427" s="463"/>
      <c r="AR427" s="384"/>
      <c r="AS427" s="384"/>
      <c r="AT427" s="384"/>
      <c r="AU427" s="384"/>
      <c r="AV427" s="463"/>
      <c r="AW427" s="384"/>
      <c r="AX427" s="384"/>
      <c r="AY427" s="384"/>
      <c r="AZ427" s="384"/>
      <c r="BA427" s="463"/>
      <c r="BB427" s="384"/>
      <c r="BC427" s="384"/>
      <c r="BD427" s="384"/>
      <c r="BE427" s="384"/>
      <c r="BF427" s="463"/>
      <c r="BG427" s="384"/>
      <c r="BH427" s="384"/>
      <c r="BI427" s="384"/>
      <c r="BJ427" s="384"/>
      <c r="BK427" s="463"/>
      <c r="BL427" s="384"/>
      <c r="BM427" s="384"/>
      <c r="BN427" s="384"/>
      <c r="BO427" s="384"/>
    </row>
    <row r="429" spans="3:67">
      <c r="C429" s="463"/>
      <c r="D429" s="384"/>
      <c r="E429" s="384"/>
      <c r="F429" s="384"/>
      <c r="G429" s="384"/>
      <c r="H429" s="463"/>
      <c r="I429" s="384"/>
      <c r="J429" s="384"/>
      <c r="K429" s="384"/>
      <c r="L429" s="384"/>
      <c r="M429" s="463"/>
      <c r="N429" s="384"/>
      <c r="O429" s="384"/>
      <c r="P429" s="384"/>
      <c r="Q429" s="384"/>
      <c r="R429" s="463"/>
      <c r="S429" s="384"/>
      <c r="T429" s="384"/>
      <c r="U429" s="384"/>
      <c r="V429" s="384"/>
      <c r="W429" s="463"/>
      <c r="X429" s="384"/>
      <c r="Y429" s="384"/>
      <c r="Z429" s="384"/>
      <c r="AA429" s="384"/>
      <c r="AB429" s="463"/>
      <c r="AC429" s="384"/>
      <c r="AD429" s="384"/>
      <c r="AE429" s="384"/>
      <c r="AF429" s="384"/>
      <c r="AG429" s="463"/>
      <c r="AH429" s="384"/>
      <c r="AI429" s="384"/>
      <c r="AJ429" s="384"/>
      <c r="AK429" s="384"/>
      <c r="AL429" s="463"/>
      <c r="AM429" s="384"/>
      <c r="AN429" s="384"/>
      <c r="AO429" s="384"/>
      <c r="AP429" s="384"/>
      <c r="AQ429" s="463"/>
      <c r="AR429" s="384"/>
      <c r="AS429" s="384"/>
      <c r="AT429" s="384"/>
      <c r="AU429" s="384"/>
      <c r="AV429" s="463"/>
      <c r="AW429" s="384"/>
      <c r="AX429" s="384"/>
      <c r="AY429" s="384"/>
      <c r="AZ429" s="384"/>
      <c r="BA429" s="463"/>
      <c r="BB429" s="384"/>
      <c r="BC429" s="384"/>
      <c r="BD429" s="384"/>
      <c r="BE429" s="384"/>
      <c r="BF429" s="463"/>
      <c r="BG429" s="384"/>
      <c r="BH429" s="384"/>
      <c r="BI429" s="384"/>
      <c r="BJ429" s="384"/>
      <c r="BK429" s="463"/>
      <c r="BL429" s="384"/>
      <c r="BM429" s="384"/>
      <c r="BN429" s="384"/>
      <c r="BO429" s="384"/>
    </row>
    <row r="430" spans="3:67">
      <c r="C430" s="463"/>
      <c r="D430" s="384"/>
      <c r="E430" s="384"/>
      <c r="F430" s="384"/>
      <c r="G430" s="384"/>
      <c r="H430" s="463"/>
      <c r="I430" s="384"/>
      <c r="J430" s="384"/>
      <c r="K430" s="384"/>
      <c r="L430" s="384"/>
      <c r="M430" s="463"/>
      <c r="N430" s="384"/>
      <c r="O430" s="384"/>
      <c r="P430" s="384"/>
      <c r="Q430" s="384"/>
      <c r="R430" s="463"/>
      <c r="S430" s="384"/>
      <c r="T430" s="384"/>
      <c r="U430" s="384"/>
      <c r="V430" s="384"/>
      <c r="W430" s="463"/>
      <c r="X430" s="384"/>
      <c r="Y430" s="384"/>
      <c r="Z430" s="384"/>
      <c r="AA430" s="384"/>
      <c r="AB430" s="463"/>
      <c r="AC430" s="384"/>
      <c r="AD430" s="384"/>
      <c r="AE430" s="384"/>
      <c r="AF430" s="384"/>
      <c r="AG430" s="463"/>
      <c r="AH430" s="384"/>
      <c r="AI430" s="384"/>
      <c r="AJ430" s="384"/>
      <c r="AK430" s="384"/>
      <c r="AL430" s="463"/>
      <c r="AM430" s="384"/>
      <c r="AN430" s="384"/>
      <c r="AO430" s="384"/>
      <c r="AP430" s="384"/>
      <c r="AQ430" s="463"/>
      <c r="AR430" s="384"/>
      <c r="AS430" s="384"/>
      <c r="AT430" s="384"/>
      <c r="AU430" s="384"/>
      <c r="AV430" s="463"/>
      <c r="AW430" s="384"/>
      <c r="AX430" s="384"/>
      <c r="AY430" s="384"/>
      <c r="AZ430" s="384"/>
      <c r="BA430" s="463"/>
      <c r="BB430" s="384"/>
      <c r="BC430" s="384"/>
      <c r="BD430" s="384"/>
      <c r="BE430" s="384"/>
      <c r="BF430" s="463"/>
      <c r="BG430" s="384"/>
      <c r="BH430" s="384"/>
      <c r="BI430" s="384"/>
      <c r="BJ430" s="384"/>
      <c r="BK430" s="463"/>
      <c r="BL430" s="384"/>
      <c r="BM430" s="384"/>
      <c r="BN430" s="384"/>
      <c r="BO430" s="384"/>
    </row>
    <row r="431" spans="3:67">
      <c r="C431" s="463"/>
      <c r="D431" s="384"/>
      <c r="E431" s="384"/>
      <c r="F431" s="384"/>
      <c r="G431" s="384"/>
      <c r="H431" s="463"/>
      <c r="I431" s="384"/>
      <c r="J431" s="384"/>
      <c r="K431" s="384"/>
      <c r="L431" s="384"/>
      <c r="M431" s="463"/>
      <c r="N431" s="384"/>
      <c r="O431" s="384"/>
      <c r="P431" s="384"/>
      <c r="Q431" s="384"/>
      <c r="R431" s="463"/>
      <c r="S431" s="384"/>
      <c r="T431" s="384"/>
      <c r="U431" s="384"/>
      <c r="V431" s="384"/>
      <c r="W431" s="463"/>
      <c r="X431" s="384"/>
      <c r="Y431" s="384"/>
      <c r="Z431" s="384"/>
      <c r="AA431" s="384"/>
      <c r="AB431" s="463"/>
      <c r="AC431" s="384"/>
      <c r="AD431" s="384"/>
      <c r="AE431" s="384"/>
      <c r="AF431" s="384"/>
      <c r="AG431" s="463"/>
      <c r="AH431" s="384"/>
      <c r="AI431" s="384"/>
      <c r="AJ431" s="384"/>
      <c r="AK431" s="384"/>
      <c r="AL431" s="463"/>
      <c r="AM431" s="384"/>
      <c r="AN431" s="384"/>
      <c r="AO431" s="384"/>
      <c r="AP431" s="384"/>
      <c r="AQ431" s="463"/>
      <c r="AR431" s="384"/>
      <c r="AS431" s="384"/>
      <c r="AT431" s="384"/>
      <c r="AU431" s="384"/>
      <c r="AV431" s="463"/>
      <c r="AW431" s="384"/>
      <c r="AX431" s="384"/>
      <c r="AY431" s="384"/>
      <c r="AZ431" s="384"/>
      <c r="BA431" s="463"/>
      <c r="BB431" s="384"/>
      <c r="BC431" s="384"/>
      <c r="BD431" s="384"/>
      <c r="BE431" s="384"/>
      <c r="BF431" s="463"/>
      <c r="BG431" s="384"/>
      <c r="BH431" s="384"/>
      <c r="BI431" s="384"/>
      <c r="BJ431" s="384"/>
      <c r="BK431" s="463"/>
      <c r="BL431" s="384"/>
      <c r="BM431" s="384"/>
      <c r="BN431" s="384"/>
      <c r="BO431" s="384"/>
    </row>
    <row r="435" spans="3:67">
      <c r="C435" s="463"/>
      <c r="D435" s="384"/>
      <c r="E435" s="384"/>
      <c r="F435" s="384"/>
      <c r="G435" s="384"/>
      <c r="H435" s="463"/>
      <c r="I435" s="384"/>
      <c r="J435" s="384"/>
      <c r="K435" s="384"/>
      <c r="L435" s="384"/>
      <c r="M435" s="463"/>
      <c r="N435" s="384"/>
      <c r="O435" s="384"/>
      <c r="P435" s="384"/>
      <c r="Q435" s="384"/>
      <c r="R435" s="463"/>
      <c r="S435" s="384"/>
      <c r="T435" s="384"/>
      <c r="U435" s="384"/>
      <c r="V435" s="384"/>
      <c r="W435" s="463"/>
      <c r="X435" s="384"/>
      <c r="Y435" s="384"/>
      <c r="Z435" s="384"/>
      <c r="AA435" s="384"/>
      <c r="AB435" s="463"/>
      <c r="AC435" s="384"/>
      <c r="AD435" s="384"/>
      <c r="AE435" s="384"/>
      <c r="AF435" s="384"/>
      <c r="AG435" s="463"/>
      <c r="AH435" s="384"/>
      <c r="AI435" s="384"/>
      <c r="AJ435" s="384"/>
      <c r="AK435" s="384"/>
      <c r="AL435" s="463"/>
      <c r="AM435" s="384"/>
      <c r="AN435" s="384"/>
      <c r="AO435" s="384"/>
      <c r="AP435" s="384"/>
      <c r="AQ435" s="463"/>
      <c r="AR435" s="384"/>
      <c r="AS435" s="384"/>
      <c r="AT435" s="384"/>
      <c r="AU435" s="384"/>
      <c r="AV435" s="463"/>
      <c r="AW435" s="384"/>
      <c r="AX435" s="384"/>
      <c r="AY435" s="384"/>
      <c r="AZ435" s="384"/>
      <c r="BA435" s="463"/>
      <c r="BB435" s="384"/>
      <c r="BC435" s="384"/>
      <c r="BD435" s="384"/>
      <c r="BE435" s="384"/>
      <c r="BF435" s="463"/>
      <c r="BG435" s="384"/>
      <c r="BH435" s="384"/>
      <c r="BI435" s="384"/>
      <c r="BJ435" s="384"/>
      <c r="BK435" s="463"/>
      <c r="BL435" s="384"/>
      <c r="BM435" s="384"/>
      <c r="BN435" s="384"/>
      <c r="BO435" s="384"/>
    </row>
    <row r="436" spans="3:67">
      <c r="C436" s="463"/>
      <c r="D436" s="384"/>
      <c r="E436" s="384"/>
      <c r="F436" s="384"/>
      <c r="G436" s="384"/>
      <c r="H436" s="463"/>
      <c r="I436" s="384"/>
      <c r="J436" s="384"/>
      <c r="K436" s="384"/>
      <c r="L436" s="384"/>
      <c r="M436" s="463"/>
      <c r="N436" s="384"/>
      <c r="O436" s="384"/>
      <c r="P436" s="384"/>
      <c r="Q436" s="384"/>
      <c r="R436" s="463"/>
      <c r="S436" s="384"/>
      <c r="T436" s="384"/>
      <c r="U436" s="384"/>
      <c r="V436" s="384"/>
      <c r="W436" s="463"/>
      <c r="X436" s="384"/>
      <c r="Y436" s="384"/>
      <c r="Z436" s="384"/>
      <c r="AA436" s="384"/>
      <c r="AB436" s="463"/>
      <c r="AC436" s="384"/>
      <c r="AD436" s="384"/>
      <c r="AE436" s="384"/>
      <c r="AF436" s="384"/>
      <c r="AG436" s="463"/>
      <c r="AH436" s="384"/>
      <c r="AI436" s="384"/>
      <c r="AJ436" s="384"/>
      <c r="AK436" s="384"/>
      <c r="AL436" s="463"/>
      <c r="AM436" s="384"/>
      <c r="AN436" s="384"/>
      <c r="AO436" s="384"/>
      <c r="AP436" s="384"/>
      <c r="AQ436" s="463"/>
      <c r="AR436" s="384"/>
      <c r="AS436" s="384"/>
      <c r="AT436" s="384"/>
      <c r="AU436" s="384"/>
      <c r="AV436" s="463"/>
      <c r="AW436" s="384"/>
      <c r="AX436" s="384"/>
      <c r="AY436" s="384"/>
      <c r="AZ436" s="384"/>
      <c r="BA436" s="463"/>
      <c r="BB436" s="384"/>
      <c r="BC436" s="384"/>
      <c r="BD436" s="384"/>
      <c r="BE436" s="384"/>
      <c r="BF436" s="463"/>
      <c r="BG436" s="384"/>
      <c r="BH436" s="384"/>
      <c r="BI436" s="384"/>
      <c r="BJ436" s="384"/>
      <c r="BK436" s="463"/>
      <c r="BL436" s="384"/>
      <c r="BM436" s="384"/>
      <c r="BN436" s="384"/>
      <c r="BO436" s="384"/>
    </row>
    <row r="437" spans="3:67">
      <c r="C437" s="463"/>
      <c r="D437" s="384"/>
      <c r="E437" s="384"/>
      <c r="F437" s="384"/>
      <c r="G437" s="384"/>
      <c r="H437" s="463"/>
      <c r="I437" s="384"/>
      <c r="J437" s="384"/>
      <c r="K437" s="384"/>
      <c r="L437" s="384"/>
      <c r="M437" s="463"/>
      <c r="N437" s="384"/>
      <c r="O437" s="384"/>
      <c r="P437" s="384"/>
      <c r="Q437" s="384"/>
      <c r="R437" s="463"/>
      <c r="S437" s="384"/>
      <c r="T437" s="384"/>
      <c r="U437" s="384"/>
      <c r="V437" s="384"/>
      <c r="W437" s="463"/>
      <c r="X437" s="384"/>
      <c r="Y437" s="384"/>
      <c r="Z437" s="384"/>
      <c r="AA437" s="384"/>
      <c r="AB437" s="463"/>
      <c r="AC437" s="384"/>
      <c r="AD437" s="384"/>
      <c r="AE437" s="384"/>
      <c r="AF437" s="384"/>
      <c r="AG437" s="463"/>
      <c r="AH437" s="384"/>
      <c r="AI437" s="384"/>
      <c r="AJ437" s="384"/>
      <c r="AK437" s="384"/>
      <c r="AL437" s="463"/>
      <c r="AM437" s="384"/>
      <c r="AN437" s="384"/>
      <c r="AO437" s="384"/>
      <c r="AP437" s="384"/>
      <c r="AQ437" s="463"/>
      <c r="AR437" s="384"/>
      <c r="AS437" s="384"/>
      <c r="AT437" s="384"/>
      <c r="AU437" s="384"/>
      <c r="AV437" s="463"/>
      <c r="AW437" s="384"/>
      <c r="AX437" s="384"/>
      <c r="AY437" s="384"/>
      <c r="AZ437" s="384"/>
      <c r="BA437" s="463"/>
      <c r="BB437" s="384"/>
      <c r="BC437" s="384"/>
      <c r="BD437" s="384"/>
      <c r="BE437" s="384"/>
      <c r="BF437" s="463"/>
      <c r="BG437" s="384"/>
      <c r="BH437" s="384"/>
      <c r="BI437" s="384"/>
      <c r="BJ437" s="384"/>
      <c r="BK437" s="463"/>
      <c r="BL437" s="384"/>
      <c r="BM437" s="384"/>
      <c r="BN437" s="384"/>
      <c r="BO437" s="384"/>
    </row>
    <row r="438" spans="3:67">
      <c r="C438" s="463"/>
      <c r="D438" s="384"/>
      <c r="E438" s="384"/>
      <c r="F438" s="384"/>
      <c r="G438" s="384"/>
      <c r="H438" s="463"/>
      <c r="I438" s="384"/>
      <c r="J438" s="384"/>
      <c r="K438" s="384"/>
      <c r="L438" s="384"/>
      <c r="M438" s="463"/>
      <c r="N438" s="384"/>
      <c r="O438" s="384"/>
      <c r="P438" s="384"/>
      <c r="Q438" s="384"/>
      <c r="R438" s="463"/>
      <c r="S438" s="384"/>
      <c r="T438" s="384"/>
      <c r="U438" s="384"/>
      <c r="V438" s="384"/>
      <c r="W438" s="463"/>
      <c r="X438" s="384"/>
      <c r="Y438" s="384"/>
      <c r="Z438" s="384"/>
      <c r="AA438" s="384"/>
      <c r="AB438" s="463"/>
      <c r="AC438" s="384"/>
      <c r="AD438" s="384"/>
      <c r="AE438" s="384"/>
      <c r="AF438" s="384"/>
      <c r="AG438" s="463"/>
      <c r="AH438" s="384"/>
      <c r="AI438" s="384"/>
      <c r="AJ438" s="384"/>
      <c r="AK438" s="384"/>
      <c r="AL438" s="463"/>
      <c r="AM438" s="384"/>
      <c r="AN438" s="384"/>
      <c r="AO438" s="384"/>
      <c r="AP438" s="384"/>
      <c r="AQ438" s="463"/>
      <c r="AR438" s="384"/>
      <c r="AS438" s="384"/>
      <c r="AT438" s="384"/>
      <c r="AU438" s="384"/>
      <c r="AV438" s="463"/>
      <c r="AW438" s="384"/>
      <c r="AX438" s="384"/>
      <c r="AY438" s="384"/>
      <c r="AZ438" s="384"/>
      <c r="BA438" s="463"/>
      <c r="BB438" s="384"/>
      <c r="BC438" s="384"/>
      <c r="BD438" s="384"/>
      <c r="BE438" s="384"/>
      <c r="BF438" s="463"/>
      <c r="BG438" s="384"/>
      <c r="BH438" s="384"/>
      <c r="BI438" s="384"/>
      <c r="BJ438" s="384"/>
      <c r="BK438" s="463"/>
      <c r="BL438" s="384"/>
      <c r="BM438" s="384"/>
      <c r="BN438" s="384"/>
      <c r="BO438" s="384"/>
    </row>
    <row r="441" spans="3:67">
      <c r="C441" s="490"/>
      <c r="D441" s="490"/>
      <c r="E441" s="490"/>
      <c r="F441" s="490"/>
      <c r="G441" s="490"/>
      <c r="H441" s="490"/>
      <c r="I441" s="490"/>
      <c r="J441" s="490"/>
      <c r="K441" s="490"/>
      <c r="L441" s="490"/>
      <c r="M441" s="490"/>
      <c r="N441" s="490"/>
      <c r="O441" s="490"/>
      <c r="P441" s="490"/>
      <c r="Q441" s="490"/>
      <c r="R441" s="490"/>
      <c r="S441" s="490"/>
      <c r="T441" s="490"/>
      <c r="U441" s="490"/>
      <c r="V441" s="490"/>
      <c r="W441" s="490"/>
      <c r="X441" s="490"/>
      <c r="Y441" s="490"/>
      <c r="Z441" s="490"/>
      <c r="AA441" s="490"/>
      <c r="AB441" s="490"/>
      <c r="AC441" s="490"/>
      <c r="AD441" s="490"/>
      <c r="AE441" s="490"/>
      <c r="AF441" s="490"/>
      <c r="AG441" s="490"/>
      <c r="AH441" s="490"/>
      <c r="AI441" s="490"/>
      <c r="AJ441" s="490"/>
      <c r="AK441" s="490"/>
      <c r="AL441" s="490"/>
      <c r="AM441" s="490"/>
      <c r="AN441" s="490"/>
      <c r="AO441" s="490"/>
      <c r="AP441" s="490"/>
      <c r="AQ441" s="490"/>
      <c r="AR441" s="490"/>
      <c r="AS441" s="490"/>
      <c r="AT441" s="490"/>
      <c r="AU441" s="490"/>
      <c r="AV441" s="490"/>
      <c r="AW441" s="490"/>
      <c r="AX441" s="490"/>
      <c r="AY441" s="490"/>
      <c r="AZ441" s="490"/>
      <c r="BA441" s="490"/>
      <c r="BB441" s="490"/>
      <c r="BC441" s="490"/>
      <c r="BD441" s="490"/>
      <c r="BE441" s="490"/>
      <c r="BF441" s="490"/>
      <c r="BG441" s="490"/>
      <c r="BH441" s="490"/>
      <c r="BI441" s="490"/>
      <c r="BJ441" s="490"/>
      <c r="BK441" s="490"/>
      <c r="BL441" s="490"/>
      <c r="BM441" s="490"/>
      <c r="BN441" s="490"/>
      <c r="BO441" s="490"/>
    </row>
    <row r="442" spans="3:67">
      <c r="C442" s="490"/>
      <c r="D442" s="490"/>
      <c r="E442" s="490"/>
      <c r="F442" s="490"/>
      <c r="G442" s="490"/>
      <c r="H442" s="490"/>
      <c r="I442" s="490"/>
      <c r="J442" s="490"/>
      <c r="K442" s="490"/>
      <c r="L442" s="490"/>
      <c r="M442" s="490"/>
      <c r="N442" s="490"/>
      <c r="O442" s="490"/>
      <c r="P442" s="490"/>
      <c r="Q442" s="490"/>
      <c r="R442" s="490"/>
      <c r="S442" s="490"/>
      <c r="T442" s="490"/>
      <c r="U442" s="490"/>
      <c r="V442" s="490"/>
      <c r="W442" s="490"/>
      <c r="X442" s="490"/>
      <c r="Y442" s="490"/>
      <c r="Z442" s="490"/>
      <c r="AA442" s="490"/>
      <c r="AB442" s="490"/>
      <c r="AC442" s="490"/>
      <c r="AD442" s="490"/>
      <c r="AE442" s="490"/>
      <c r="AF442" s="490"/>
      <c r="AG442" s="490"/>
      <c r="AH442" s="490"/>
      <c r="AI442" s="490"/>
      <c r="AJ442" s="490"/>
      <c r="AK442" s="490"/>
      <c r="AL442" s="490"/>
      <c r="AM442" s="490"/>
      <c r="AN442" s="490"/>
      <c r="AO442" s="490"/>
      <c r="AP442" s="490"/>
      <c r="AQ442" s="490"/>
      <c r="AR442" s="490"/>
      <c r="AS442" s="490"/>
      <c r="AT442" s="490"/>
      <c r="AU442" s="490"/>
      <c r="AV442" s="490"/>
      <c r="AW442" s="490"/>
      <c r="AX442" s="490"/>
      <c r="AY442" s="490"/>
      <c r="AZ442" s="490"/>
      <c r="BA442" s="490"/>
      <c r="BB442" s="490"/>
      <c r="BC442" s="490"/>
      <c r="BD442" s="490"/>
      <c r="BE442" s="490"/>
      <c r="BF442" s="490"/>
      <c r="BG442" s="490"/>
      <c r="BH442" s="490"/>
      <c r="BI442" s="490"/>
      <c r="BJ442" s="490"/>
      <c r="BK442" s="490"/>
      <c r="BL442" s="490"/>
      <c r="BM442" s="490"/>
      <c r="BN442" s="490"/>
      <c r="BO442" s="490"/>
    </row>
    <row r="443" spans="3:67">
      <c r="C443" s="490"/>
      <c r="D443" s="490"/>
      <c r="E443" s="490"/>
      <c r="F443" s="490"/>
      <c r="G443" s="490"/>
      <c r="H443" s="490"/>
      <c r="I443" s="490"/>
      <c r="J443" s="490"/>
      <c r="K443" s="490"/>
      <c r="L443" s="490"/>
      <c r="M443" s="490"/>
      <c r="N443" s="490"/>
      <c r="O443" s="490"/>
      <c r="P443" s="490"/>
      <c r="Q443" s="490"/>
      <c r="R443" s="490"/>
      <c r="S443" s="490"/>
      <c r="T443" s="490"/>
      <c r="U443" s="490"/>
      <c r="V443" s="490"/>
      <c r="W443" s="490"/>
      <c r="X443" s="490"/>
      <c r="Y443" s="490"/>
      <c r="Z443" s="490"/>
      <c r="AA443" s="490"/>
      <c r="AB443" s="490"/>
      <c r="AC443" s="490"/>
      <c r="AD443" s="490"/>
      <c r="AE443" s="490"/>
      <c r="AF443" s="490"/>
      <c r="AG443" s="490"/>
      <c r="AH443" s="490"/>
      <c r="AI443" s="490"/>
      <c r="AJ443" s="490"/>
      <c r="AK443" s="490"/>
      <c r="AL443" s="490"/>
      <c r="AM443" s="490"/>
      <c r="AN443" s="490"/>
      <c r="AO443" s="490"/>
      <c r="AP443" s="490"/>
      <c r="AQ443" s="490"/>
      <c r="AR443" s="490"/>
      <c r="AS443" s="490"/>
      <c r="AT443" s="490"/>
      <c r="AU443" s="490"/>
      <c r="AV443" s="490"/>
      <c r="AW443" s="490"/>
      <c r="AX443" s="490"/>
      <c r="AY443" s="490"/>
      <c r="AZ443" s="490"/>
      <c r="BA443" s="490"/>
      <c r="BB443" s="490"/>
      <c r="BC443" s="490"/>
      <c r="BD443" s="490"/>
      <c r="BE443" s="490"/>
      <c r="BF443" s="490"/>
      <c r="BG443" s="490"/>
      <c r="BH443" s="490"/>
      <c r="BI443" s="490"/>
      <c r="BJ443" s="490"/>
      <c r="BK443" s="490"/>
      <c r="BL443" s="490"/>
      <c r="BM443" s="490"/>
      <c r="BN443" s="490"/>
      <c r="BO443" s="490"/>
    </row>
    <row r="444" spans="3:67">
      <c r="C444" s="394"/>
      <c r="D444" s="394"/>
      <c r="E444" s="394"/>
      <c r="F444" s="394"/>
      <c r="G444" s="394"/>
      <c r="H444" s="394"/>
      <c r="I444" s="394"/>
      <c r="J444" s="394"/>
      <c r="K444" s="394"/>
      <c r="L444" s="394"/>
      <c r="M444" s="394"/>
      <c r="N444" s="394"/>
      <c r="O444" s="394"/>
      <c r="P444" s="394"/>
      <c r="Q444" s="394"/>
      <c r="R444" s="394"/>
      <c r="S444" s="394"/>
      <c r="T444" s="394"/>
      <c r="U444" s="394"/>
      <c r="V444" s="394"/>
      <c r="W444" s="394"/>
      <c r="X444" s="394"/>
      <c r="Y444" s="394"/>
      <c r="Z444" s="394"/>
      <c r="AA444" s="394"/>
      <c r="AB444" s="394"/>
      <c r="AC444" s="394"/>
      <c r="AD444" s="394"/>
      <c r="AE444" s="394"/>
      <c r="AF444" s="394"/>
      <c r="AG444" s="394"/>
      <c r="AH444" s="394"/>
      <c r="AI444" s="394"/>
      <c r="AJ444" s="394"/>
      <c r="AK444" s="394"/>
      <c r="AL444" s="394"/>
      <c r="AM444" s="394"/>
      <c r="AN444" s="394"/>
      <c r="AO444" s="394"/>
      <c r="AP444" s="394"/>
      <c r="AQ444" s="394"/>
      <c r="AR444" s="394"/>
      <c r="AS444" s="394"/>
      <c r="AT444" s="394"/>
      <c r="AU444" s="394"/>
      <c r="AV444" s="394"/>
      <c r="AW444" s="394"/>
      <c r="AX444" s="394"/>
      <c r="AY444" s="394"/>
      <c r="AZ444" s="394"/>
      <c r="BA444" s="394"/>
      <c r="BB444" s="394"/>
      <c r="BC444" s="394"/>
      <c r="BD444" s="394"/>
      <c r="BE444" s="394"/>
      <c r="BF444" s="394"/>
      <c r="BG444" s="394"/>
      <c r="BH444" s="394"/>
      <c r="BI444" s="394"/>
      <c r="BJ444" s="394"/>
      <c r="BK444" s="394"/>
      <c r="BL444" s="394"/>
      <c r="BM444" s="394"/>
      <c r="BN444" s="394"/>
      <c r="BO444" s="394"/>
    </row>
    <row r="445" spans="3:67">
      <c r="C445" s="538"/>
      <c r="D445" s="538"/>
      <c r="E445" s="538"/>
      <c r="F445" s="538"/>
      <c r="G445" s="538"/>
      <c r="H445" s="538"/>
      <c r="I445" s="538"/>
      <c r="J445" s="538"/>
      <c r="K445" s="538"/>
      <c r="L445" s="538"/>
      <c r="M445" s="538"/>
      <c r="N445" s="538"/>
      <c r="O445" s="538"/>
      <c r="P445" s="538"/>
      <c r="Q445" s="538"/>
      <c r="R445" s="538"/>
      <c r="S445" s="538"/>
      <c r="T445" s="538"/>
      <c r="U445" s="538"/>
      <c r="V445" s="538"/>
      <c r="W445" s="538"/>
      <c r="X445" s="538"/>
      <c r="Y445" s="538"/>
      <c r="Z445" s="538"/>
      <c r="AA445" s="538"/>
      <c r="AB445" s="538"/>
      <c r="AC445" s="538"/>
      <c r="AD445" s="538"/>
      <c r="AE445" s="538"/>
      <c r="AF445" s="538"/>
      <c r="AG445" s="538"/>
      <c r="AH445" s="538"/>
      <c r="AI445" s="538"/>
      <c r="AJ445" s="538"/>
      <c r="AK445" s="538"/>
      <c r="AL445" s="538"/>
      <c r="AM445" s="538"/>
      <c r="AN445" s="538"/>
      <c r="AO445" s="538"/>
      <c r="AP445" s="538"/>
      <c r="AQ445" s="538"/>
      <c r="AR445" s="538"/>
      <c r="AS445" s="538"/>
      <c r="AT445" s="538"/>
      <c r="AU445" s="538"/>
      <c r="AV445" s="538"/>
      <c r="AW445" s="538"/>
      <c r="AX445" s="538"/>
      <c r="AY445" s="538"/>
      <c r="AZ445" s="538"/>
      <c r="BA445" s="538"/>
      <c r="BB445" s="538"/>
      <c r="BC445" s="538"/>
      <c r="BD445" s="538"/>
      <c r="BE445" s="538"/>
      <c r="BF445" s="538"/>
      <c r="BG445" s="538"/>
      <c r="BH445" s="538"/>
      <c r="BI445" s="538"/>
      <c r="BJ445" s="538"/>
      <c r="BK445" s="538"/>
      <c r="BL445" s="538"/>
      <c r="BM445" s="538"/>
      <c r="BN445" s="538"/>
      <c r="BO445" s="538"/>
    </row>
    <row r="446" spans="3:67">
      <c r="C446" s="490"/>
      <c r="D446" s="490"/>
      <c r="E446" s="490"/>
      <c r="F446" s="490"/>
      <c r="G446" s="490"/>
      <c r="H446" s="490"/>
      <c r="I446" s="490"/>
      <c r="J446" s="490"/>
      <c r="K446" s="490"/>
      <c r="L446" s="490"/>
      <c r="M446" s="490"/>
      <c r="N446" s="490"/>
      <c r="O446" s="490"/>
      <c r="P446" s="490"/>
      <c r="Q446" s="490"/>
      <c r="R446" s="490"/>
      <c r="S446" s="490"/>
      <c r="T446" s="490"/>
      <c r="U446" s="490"/>
      <c r="V446" s="490"/>
      <c r="W446" s="490"/>
      <c r="X446" s="490"/>
      <c r="Y446" s="490"/>
      <c r="Z446" s="490"/>
      <c r="AA446" s="490"/>
      <c r="AB446" s="490"/>
      <c r="AC446" s="490"/>
      <c r="AD446" s="490"/>
      <c r="AE446" s="490"/>
      <c r="AF446" s="490"/>
      <c r="AG446" s="490"/>
      <c r="AH446" s="490"/>
      <c r="AI446" s="490"/>
      <c r="AJ446" s="490"/>
      <c r="AK446" s="490"/>
      <c r="AL446" s="490"/>
      <c r="AM446" s="490"/>
      <c r="AN446" s="490"/>
      <c r="AO446" s="490"/>
      <c r="AP446" s="490"/>
      <c r="AQ446" s="490"/>
      <c r="AR446" s="490"/>
      <c r="AS446" s="490"/>
      <c r="AT446" s="490"/>
      <c r="AU446" s="490"/>
      <c r="AV446" s="490"/>
      <c r="AW446" s="490"/>
      <c r="AX446" s="490"/>
      <c r="AY446" s="490"/>
      <c r="AZ446" s="490"/>
      <c r="BA446" s="490"/>
      <c r="BB446" s="490"/>
      <c r="BC446" s="490"/>
      <c r="BD446" s="490"/>
      <c r="BE446" s="490"/>
      <c r="BF446" s="490"/>
      <c r="BG446" s="490"/>
      <c r="BH446" s="490"/>
      <c r="BI446" s="490"/>
      <c r="BJ446" s="490"/>
      <c r="BK446" s="490"/>
      <c r="BL446" s="490"/>
      <c r="BM446" s="490"/>
      <c r="BN446" s="490"/>
      <c r="BO446" s="490"/>
    </row>
    <row r="447" spans="3:67">
      <c r="C447" s="490"/>
      <c r="D447" s="490"/>
      <c r="E447" s="490"/>
      <c r="F447" s="490"/>
      <c r="G447" s="490"/>
      <c r="H447" s="490"/>
      <c r="I447" s="490"/>
      <c r="J447" s="490"/>
      <c r="K447" s="490"/>
      <c r="L447" s="490"/>
      <c r="M447" s="490"/>
      <c r="N447" s="490"/>
      <c r="O447" s="490"/>
      <c r="P447" s="490"/>
      <c r="Q447" s="490"/>
      <c r="R447" s="490"/>
      <c r="S447" s="490"/>
      <c r="T447" s="490"/>
      <c r="U447" s="490"/>
      <c r="V447" s="490"/>
      <c r="W447" s="490"/>
      <c r="X447" s="490"/>
      <c r="Y447" s="490"/>
      <c r="Z447" s="490"/>
      <c r="AA447" s="490"/>
      <c r="AB447" s="490"/>
      <c r="AC447" s="490"/>
      <c r="AD447" s="490"/>
      <c r="AE447" s="490"/>
      <c r="AF447" s="490"/>
      <c r="AG447" s="490"/>
      <c r="AH447" s="490"/>
      <c r="AI447" s="490"/>
      <c r="AJ447" s="490"/>
      <c r="AK447" s="490"/>
      <c r="AL447" s="490"/>
      <c r="AM447" s="490"/>
      <c r="AN447" s="490"/>
      <c r="AO447" s="490"/>
      <c r="AP447" s="490"/>
      <c r="AQ447" s="490"/>
      <c r="AR447" s="490"/>
      <c r="AS447" s="490"/>
      <c r="AT447" s="490"/>
      <c r="AU447" s="490"/>
      <c r="AV447" s="490"/>
      <c r="AW447" s="490"/>
      <c r="AX447" s="490"/>
      <c r="AY447" s="490"/>
      <c r="AZ447" s="490"/>
      <c r="BA447" s="490"/>
      <c r="BB447" s="490"/>
      <c r="BC447" s="490"/>
      <c r="BD447" s="490"/>
      <c r="BE447" s="490"/>
      <c r="BF447" s="490"/>
      <c r="BG447" s="490"/>
      <c r="BH447" s="490"/>
      <c r="BI447" s="490"/>
      <c r="BJ447" s="490"/>
      <c r="BK447" s="490"/>
      <c r="BL447" s="490"/>
      <c r="BM447" s="490"/>
      <c r="BN447" s="490"/>
      <c r="BO447" s="490"/>
    </row>
    <row r="448" spans="3:67">
      <c r="C448" s="394"/>
      <c r="D448" s="394"/>
      <c r="E448" s="394"/>
      <c r="F448" s="394"/>
      <c r="G448" s="394"/>
      <c r="H448" s="394"/>
      <c r="I448" s="394"/>
      <c r="J448" s="394"/>
      <c r="K448" s="394"/>
      <c r="L448" s="394"/>
      <c r="M448" s="394"/>
      <c r="N448" s="394"/>
      <c r="O448" s="394"/>
      <c r="P448" s="394"/>
      <c r="Q448" s="394"/>
      <c r="R448" s="394"/>
      <c r="S448" s="394"/>
      <c r="T448" s="394"/>
      <c r="U448" s="394"/>
      <c r="V448" s="394"/>
      <c r="W448" s="394"/>
      <c r="X448" s="394"/>
      <c r="Y448" s="394"/>
      <c r="Z448" s="394"/>
      <c r="AA448" s="394"/>
      <c r="AB448" s="394"/>
      <c r="AC448" s="394"/>
      <c r="AD448" s="394"/>
      <c r="AE448" s="394"/>
      <c r="AF448" s="394"/>
      <c r="AG448" s="394"/>
      <c r="AH448" s="394"/>
      <c r="AI448" s="394"/>
      <c r="AJ448" s="394"/>
      <c r="AK448" s="394"/>
      <c r="AL448" s="394"/>
      <c r="AM448" s="394"/>
      <c r="AN448" s="394"/>
      <c r="AO448" s="394"/>
      <c r="AP448" s="394"/>
      <c r="AQ448" s="394"/>
      <c r="AR448" s="394"/>
      <c r="AS448" s="394"/>
      <c r="AT448" s="394"/>
      <c r="AU448" s="394"/>
      <c r="AV448" s="394"/>
      <c r="AW448" s="394"/>
      <c r="AX448" s="394"/>
      <c r="AY448" s="394"/>
      <c r="AZ448" s="394"/>
      <c r="BA448" s="394"/>
      <c r="BB448" s="394"/>
      <c r="BC448" s="394"/>
      <c r="BD448" s="394"/>
      <c r="BE448" s="394"/>
      <c r="BF448" s="394"/>
      <c r="BG448" s="394"/>
      <c r="BH448" s="394"/>
      <c r="BI448" s="394"/>
      <c r="BJ448" s="394"/>
      <c r="BK448" s="394"/>
      <c r="BL448" s="394"/>
      <c r="BM448" s="394"/>
      <c r="BN448" s="394"/>
      <c r="BO448" s="394"/>
    </row>
    <row r="449" spans="3:67">
      <c r="C449" s="394"/>
      <c r="D449" s="394"/>
      <c r="E449" s="394"/>
      <c r="F449" s="394"/>
      <c r="G449" s="394"/>
      <c r="H449" s="394"/>
      <c r="I449" s="394"/>
      <c r="J449" s="394"/>
      <c r="K449" s="394"/>
      <c r="L449" s="394"/>
      <c r="M449" s="394"/>
      <c r="N449" s="394"/>
      <c r="O449" s="394"/>
      <c r="P449" s="394"/>
      <c r="Q449" s="394"/>
      <c r="R449" s="394"/>
      <c r="S449" s="394"/>
      <c r="T449" s="394"/>
      <c r="U449" s="394"/>
      <c r="V449" s="394"/>
      <c r="W449" s="394"/>
      <c r="X449" s="394"/>
      <c r="Y449" s="394"/>
      <c r="Z449" s="394"/>
      <c r="AA449" s="394"/>
      <c r="AB449" s="394"/>
      <c r="AC449" s="394"/>
      <c r="AD449" s="394"/>
      <c r="AE449" s="394"/>
      <c r="AF449" s="394"/>
      <c r="AG449" s="394"/>
      <c r="AH449" s="394"/>
      <c r="AI449" s="394"/>
      <c r="AJ449" s="394"/>
      <c r="AK449" s="394"/>
      <c r="AL449" s="394"/>
      <c r="AM449" s="394"/>
      <c r="AN449" s="394"/>
      <c r="AO449" s="394"/>
      <c r="AP449" s="394"/>
      <c r="AQ449" s="394"/>
      <c r="AR449" s="394"/>
      <c r="AS449" s="394"/>
      <c r="AT449" s="394"/>
      <c r="AU449" s="394"/>
      <c r="AV449" s="394"/>
      <c r="AW449" s="394"/>
      <c r="AX449" s="394"/>
      <c r="AY449" s="394"/>
      <c r="AZ449" s="394"/>
      <c r="BA449" s="394"/>
      <c r="BB449" s="394"/>
      <c r="BC449" s="394"/>
      <c r="BD449" s="394"/>
      <c r="BE449" s="394"/>
      <c r="BF449" s="394"/>
      <c r="BG449" s="394"/>
      <c r="BH449" s="394"/>
      <c r="BI449" s="394"/>
      <c r="BJ449" s="394"/>
      <c r="BK449" s="394"/>
      <c r="BL449" s="394"/>
      <c r="BM449" s="394"/>
      <c r="BN449" s="394"/>
      <c r="BO449" s="394"/>
    </row>
    <row r="450" spans="3:67">
      <c r="C450" s="490"/>
      <c r="D450" s="490"/>
      <c r="E450" s="490"/>
      <c r="F450" s="490"/>
      <c r="G450" s="490"/>
      <c r="H450" s="490"/>
      <c r="I450" s="490"/>
      <c r="J450" s="490"/>
      <c r="K450" s="490"/>
      <c r="L450" s="490"/>
      <c r="M450" s="490"/>
      <c r="N450" s="490"/>
      <c r="O450" s="490"/>
      <c r="P450" s="490"/>
      <c r="Q450" s="490"/>
      <c r="R450" s="490"/>
      <c r="S450" s="490"/>
      <c r="T450" s="490"/>
      <c r="U450" s="490"/>
      <c r="V450" s="490"/>
      <c r="W450" s="490"/>
      <c r="X450" s="490"/>
      <c r="Y450" s="490"/>
      <c r="Z450" s="490"/>
      <c r="AA450" s="490"/>
      <c r="AB450" s="490"/>
      <c r="AC450" s="490"/>
      <c r="AD450" s="490"/>
      <c r="AE450" s="490"/>
      <c r="AF450" s="490"/>
      <c r="AG450" s="490"/>
      <c r="AH450" s="490"/>
      <c r="AI450" s="490"/>
      <c r="AJ450" s="490"/>
      <c r="AK450" s="490"/>
      <c r="AL450" s="490"/>
      <c r="AM450" s="490"/>
      <c r="AN450" s="490"/>
      <c r="AO450" s="490"/>
      <c r="AP450" s="490"/>
      <c r="AQ450" s="490"/>
      <c r="AR450" s="490"/>
      <c r="AS450" s="490"/>
      <c r="AT450" s="490"/>
      <c r="AU450" s="490"/>
      <c r="AV450" s="490"/>
      <c r="AW450" s="490"/>
      <c r="AX450" s="490"/>
      <c r="AY450" s="490"/>
      <c r="AZ450" s="490"/>
      <c r="BA450" s="490"/>
      <c r="BB450" s="490"/>
      <c r="BC450" s="490"/>
      <c r="BD450" s="490"/>
      <c r="BE450" s="490"/>
      <c r="BF450" s="490"/>
      <c r="BG450" s="490"/>
      <c r="BH450" s="490"/>
      <c r="BI450" s="490"/>
      <c r="BJ450" s="490"/>
      <c r="BK450" s="490"/>
      <c r="BL450" s="490"/>
      <c r="BM450" s="490"/>
      <c r="BN450" s="490"/>
      <c r="BO450" s="490"/>
    </row>
    <row r="451" spans="3:67">
      <c r="C451" s="539"/>
      <c r="D451" s="539"/>
      <c r="E451" s="539"/>
      <c r="F451" s="539"/>
      <c r="G451" s="539"/>
      <c r="H451" s="539"/>
      <c r="I451" s="539"/>
      <c r="J451" s="539"/>
      <c r="K451" s="539"/>
      <c r="L451" s="539"/>
      <c r="M451" s="539"/>
      <c r="N451" s="539"/>
      <c r="O451" s="539"/>
      <c r="P451" s="539"/>
      <c r="Q451" s="539"/>
      <c r="R451" s="539"/>
      <c r="S451" s="539"/>
      <c r="T451" s="539"/>
      <c r="U451" s="539"/>
      <c r="V451" s="539"/>
      <c r="W451" s="539"/>
      <c r="X451" s="539"/>
      <c r="Y451" s="539"/>
      <c r="Z451" s="539"/>
      <c r="AA451" s="539"/>
      <c r="AB451" s="539"/>
      <c r="AC451" s="539"/>
      <c r="AD451" s="539"/>
      <c r="AE451" s="539"/>
      <c r="AF451" s="539"/>
      <c r="AG451" s="539"/>
      <c r="AH451" s="539"/>
      <c r="AI451" s="539"/>
      <c r="AJ451" s="539"/>
      <c r="AK451" s="539"/>
      <c r="AL451" s="539"/>
      <c r="AM451" s="539"/>
      <c r="AN451" s="539"/>
      <c r="AO451" s="539"/>
      <c r="AP451" s="539"/>
      <c r="AQ451" s="539"/>
      <c r="AR451" s="539"/>
      <c r="AS451" s="539"/>
      <c r="AT451" s="539"/>
      <c r="AU451" s="539"/>
      <c r="AV451" s="539"/>
      <c r="AW451" s="539"/>
      <c r="AX451" s="539"/>
      <c r="AY451" s="539"/>
      <c r="AZ451" s="539"/>
      <c r="BA451" s="539"/>
      <c r="BB451" s="539"/>
      <c r="BC451" s="539"/>
      <c r="BD451" s="539"/>
      <c r="BE451" s="539"/>
      <c r="BF451" s="539"/>
      <c r="BG451" s="539"/>
      <c r="BH451" s="539"/>
      <c r="BI451" s="539"/>
      <c r="BJ451" s="539"/>
      <c r="BK451" s="539"/>
      <c r="BL451" s="539"/>
      <c r="BM451" s="539"/>
      <c r="BN451" s="539"/>
      <c r="BO451" s="539"/>
    </row>
    <row r="452" spans="3:67">
      <c r="C452" s="394"/>
      <c r="D452" s="394"/>
      <c r="E452" s="394"/>
      <c r="F452" s="394"/>
      <c r="G452" s="394"/>
      <c r="H452" s="394"/>
      <c r="I452" s="394"/>
      <c r="J452" s="394"/>
      <c r="K452" s="394"/>
      <c r="L452" s="394"/>
      <c r="M452" s="394"/>
      <c r="N452" s="394"/>
      <c r="O452" s="394"/>
      <c r="P452" s="394"/>
      <c r="Q452" s="394"/>
      <c r="R452" s="394"/>
      <c r="S452" s="394"/>
      <c r="T452" s="394"/>
      <c r="U452" s="394"/>
      <c r="V452" s="394"/>
      <c r="W452" s="394"/>
      <c r="X452" s="394"/>
      <c r="Y452" s="394"/>
      <c r="Z452" s="394"/>
      <c r="AA452" s="394"/>
      <c r="AB452" s="394"/>
      <c r="AC452" s="394"/>
      <c r="AD452" s="394"/>
      <c r="AE452" s="394"/>
      <c r="AF452" s="394"/>
      <c r="AG452" s="394"/>
      <c r="AH452" s="394"/>
      <c r="AI452" s="394"/>
      <c r="AJ452" s="394"/>
      <c r="AK452" s="394"/>
      <c r="AL452" s="394"/>
      <c r="AM452" s="394"/>
      <c r="AN452" s="394"/>
      <c r="AO452" s="394"/>
      <c r="AP452" s="394"/>
      <c r="AQ452" s="394"/>
      <c r="AR452" s="394"/>
      <c r="AS452" s="394"/>
      <c r="AT452" s="394"/>
      <c r="AU452" s="394"/>
      <c r="AV452" s="394"/>
      <c r="AW452" s="394"/>
      <c r="AX452" s="394"/>
      <c r="AY452" s="394"/>
      <c r="AZ452" s="394"/>
      <c r="BA452" s="394"/>
      <c r="BB452" s="394"/>
      <c r="BC452" s="394"/>
      <c r="BD452" s="394"/>
      <c r="BE452" s="394"/>
      <c r="BF452" s="394"/>
      <c r="BG452" s="394"/>
      <c r="BH452" s="394"/>
      <c r="BI452" s="394"/>
      <c r="BJ452" s="394"/>
      <c r="BK452" s="394"/>
      <c r="BL452" s="394"/>
      <c r="BM452" s="394"/>
      <c r="BN452" s="394"/>
      <c r="BO452" s="394"/>
    </row>
    <row r="453" spans="3:67">
      <c r="C453" s="394"/>
      <c r="D453" s="394"/>
      <c r="E453" s="394"/>
      <c r="F453" s="394"/>
      <c r="G453" s="394"/>
      <c r="H453" s="394"/>
      <c r="I453" s="394"/>
      <c r="J453" s="394"/>
      <c r="K453" s="394"/>
      <c r="L453" s="394"/>
      <c r="M453" s="394"/>
      <c r="N453" s="394"/>
      <c r="O453" s="394"/>
      <c r="P453" s="394"/>
      <c r="Q453" s="394"/>
      <c r="R453" s="394"/>
      <c r="S453" s="394"/>
      <c r="T453" s="394"/>
      <c r="U453" s="394"/>
      <c r="V453" s="394"/>
      <c r="W453" s="394"/>
      <c r="X453" s="394"/>
      <c r="Y453" s="394"/>
      <c r="Z453" s="394"/>
      <c r="AA453" s="394"/>
      <c r="AB453" s="394"/>
      <c r="AC453" s="394"/>
      <c r="AD453" s="394"/>
      <c r="AE453" s="394"/>
      <c r="AF453" s="394"/>
      <c r="AG453" s="394"/>
      <c r="AH453" s="394"/>
      <c r="AI453" s="394"/>
      <c r="AJ453" s="394"/>
      <c r="AK453" s="394"/>
      <c r="AL453" s="394"/>
      <c r="AM453" s="394"/>
      <c r="AN453" s="394"/>
      <c r="AO453" s="394"/>
      <c r="AP453" s="394"/>
      <c r="AQ453" s="394"/>
      <c r="AR453" s="394"/>
      <c r="AS453" s="394"/>
      <c r="AT453" s="394"/>
      <c r="AU453" s="394"/>
      <c r="AV453" s="394"/>
      <c r="AW453" s="394"/>
      <c r="AX453" s="394"/>
      <c r="AY453" s="394"/>
      <c r="AZ453" s="394"/>
      <c r="BA453" s="394"/>
      <c r="BB453" s="394"/>
      <c r="BC453" s="394"/>
      <c r="BD453" s="394"/>
      <c r="BE453" s="394"/>
      <c r="BF453" s="394"/>
      <c r="BG453" s="394"/>
      <c r="BH453" s="394"/>
      <c r="BI453" s="394"/>
      <c r="BJ453" s="394"/>
      <c r="BK453" s="394"/>
      <c r="BL453" s="394"/>
      <c r="BM453" s="394"/>
      <c r="BN453" s="394"/>
      <c r="BO453" s="394"/>
    </row>
    <row r="454" spans="3:67">
      <c r="C454" s="540"/>
      <c r="D454" s="540"/>
      <c r="E454" s="540"/>
      <c r="F454" s="540"/>
      <c r="G454" s="540"/>
      <c r="H454" s="540"/>
      <c r="I454" s="540"/>
      <c r="J454" s="540"/>
      <c r="K454" s="540"/>
      <c r="L454" s="540"/>
      <c r="M454" s="540"/>
      <c r="N454" s="540"/>
      <c r="O454" s="540"/>
      <c r="P454" s="540"/>
      <c r="Q454" s="540"/>
      <c r="R454" s="540"/>
      <c r="S454" s="540"/>
      <c r="T454" s="540"/>
      <c r="U454" s="540"/>
      <c r="V454" s="540"/>
      <c r="W454" s="540"/>
      <c r="X454" s="540"/>
      <c r="Y454" s="540"/>
      <c r="Z454" s="540"/>
      <c r="AA454" s="540"/>
      <c r="AB454" s="540"/>
      <c r="AC454" s="540"/>
      <c r="AD454" s="540"/>
      <c r="AE454" s="540"/>
      <c r="AF454" s="540"/>
      <c r="AG454" s="540"/>
      <c r="AH454" s="540"/>
      <c r="AI454" s="540"/>
      <c r="AJ454" s="540"/>
      <c r="AK454" s="540"/>
      <c r="AL454" s="540"/>
      <c r="AM454" s="540"/>
      <c r="AN454" s="540"/>
      <c r="AO454" s="540"/>
      <c r="AP454" s="540"/>
      <c r="AQ454" s="540"/>
      <c r="AR454" s="540"/>
      <c r="AS454" s="540"/>
      <c r="AT454" s="540"/>
      <c r="AU454" s="540"/>
      <c r="AV454" s="540"/>
      <c r="AW454" s="540"/>
      <c r="AX454" s="540"/>
      <c r="AY454" s="540"/>
      <c r="AZ454" s="540"/>
      <c r="BA454" s="540"/>
      <c r="BB454" s="540"/>
      <c r="BC454" s="540"/>
      <c r="BD454" s="540"/>
      <c r="BE454" s="540"/>
      <c r="BF454" s="540"/>
      <c r="BG454" s="540"/>
      <c r="BH454" s="540"/>
      <c r="BI454" s="540"/>
      <c r="BJ454" s="540"/>
      <c r="BK454" s="540"/>
      <c r="BL454" s="540"/>
      <c r="BM454" s="540"/>
      <c r="BN454" s="540"/>
      <c r="BO454" s="540"/>
    </row>
    <row r="455" spans="3:67">
      <c r="C455" s="490"/>
      <c r="D455" s="490"/>
      <c r="E455" s="490"/>
      <c r="F455" s="490"/>
      <c r="G455" s="490"/>
      <c r="H455" s="490"/>
      <c r="I455" s="490"/>
      <c r="J455" s="490"/>
      <c r="K455" s="490"/>
      <c r="L455" s="490"/>
      <c r="M455" s="490"/>
      <c r="N455" s="490"/>
      <c r="O455" s="490"/>
      <c r="P455" s="490"/>
      <c r="Q455" s="490"/>
      <c r="R455" s="490"/>
      <c r="S455" s="490"/>
      <c r="T455" s="490"/>
      <c r="U455" s="490"/>
      <c r="V455" s="490"/>
      <c r="W455" s="490"/>
      <c r="X455" s="490"/>
      <c r="Y455" s="490"/>
      <c r="Z455" s="490"/>
      <c r="AA455" s="490"/>
      <c r="AB455" s="490"/>
      <c r="AC455" s="490"/>
      <c r="AD455" s="490"/>
      <c r="AE455" s="490"/>
      <c r="AF455" s="490"/>
      <c r="AG455" s="490"/>
      <c r="AH455" s="490"/>
      <c r="AI455" s="490"/>
      <c r="AJ455" s="490"/>
      <c r="AK455" s="490"/>
      <c r="AL455" s="490"/>
      <c r="AM455" s="490"/>
      <c r="AN455" s="490"/>
      <c r="AO455" s="490"/>
      <c r="AP455" s="490"/>
      <c r="AQ455" s="490"/>
      <c r="AR455" s="490"/>
      <c r="AS455" s="490"/>
      <c r="AT455" s="490"/>
      <c r="AU455" s="490"/>
      <c r="AV455" s="490"/>
      <c r="AW455" s="490"/>
      <c r="AX455" s="490"/>
      <c r="AY455" s="490"/>
      <c r="AZ455" s="490"/>
      <c r="BA455" s="490"/>
      <c r="BB455" s="490"/>
      <c r="BC455" s="490"/>
      <c r="BD455" s="490"/>
      <c r="BE455" s="490"/>
      <c r="BF455" s="490"/>
      <c r="BG455" s="490"/>
      <c r="BH455" s="490"/>
      <c r="BI455" s="490"/>
      <c r="BJ455" s="490"/>
      <c r="BK455" s="490"/>
      <c r="BL455" s="490"/>
      <c r="BM455" s="490"/>
      <c r="BN455" s="490"/>
      <c r="BO455" s="490"/>
    </row>
    <row r="456" spans="3:67">
      <c r="C456" s="490"/>
      <c r="D456" s="490"/>
      <c r="E456" s="490"/>
      <c r="F456" s="490"/>
      <c r="G456" s="490"/>
      <c r="H456" s="490"/>
      <c r="I456" s="490"/>
      <c r="J456" s="490"/>
      <c r="K456" s="490"/>
      <c r="L456" s="490"/>
      <c r="M456" s="490"/>
      <c r="N456" s="490"/>
      <c r="O456" s="490"/>
      <c r="P456" s="490"/>
      <c r="Q456" s="490"/>
      <c r="R456" s="490"/>
      <c r="S456" s="490"/>
      <c r="T456" s="490"/>
      <c r="U456" s="490"/>
      <c r="V456" s="490"/>
      <c r="W456" s="490"/>
      <c r="X456" s="490"/>
      <c r="Y456" s="490"/>
      <c r="Z456" s="490"/>
      <c r="AA456" s="490"/>
      <c r="AB456" s="490"/>
      <c r="AC456" s="490"/>
      <c r="AD456" s="490"/>
      <c r="AE456" s="490"/>
      <c r="AF456" s="490"/>
      <c r="AG456" s="490"/>
      <c r="AH456" s="490"/>
      <c r="AI456" s="490"/>
      <c r="AJ456" s="490"/>
      <c r="AK456" s="490"/>
      <c r="AL456" s="490"/>
      <c r="AM456" s="490"/>
      <c r="AN456" s="490"/>
      <c r="AO456" s="490"/>
      <c r="AP456" s="490"/>
      <c r="AQ456" s="490"/>
      <c r="AR456" s="490"/>
      <c r="AS456" s="490"/>
      <c r="AT456" s="490"/>
      <c r="AU456" s="490"/>
      <c r="AV456" s="490"/>
      <c r="AW456" s="490"/>
      <c r="AX456" s="490"/>
      <c r="AY456" s="490"/>
      <c r="AZ456" s="490"/>
      <c r="BA456" s="490"/>
      <c r="BB456" s="490"/>
      <c r="BC456" s="490"/>
      <c r="BD456" s="490"/>
      <c r="BE456" s="490"/>
      <c r="BF456" s="490"/>
      <c r="BG456" s="490"/>
      <c r="BH456" s="490"/>
      <c r="BI456" s="490"/>
      <c r="BJ456" s="490"/>
      <c r="BK456" s="490"/>
      <c r="BL456" s="490"/>
      <c r="BM456" s="490"/>
      <c r="BN456" s="490"/>
      <c r="BO456" s="490"/>
    </row>
    <row r="457" spans="3:67">
      <c r="C457" s="541"/>
      <c r="D457" s="541"/>
      <c r="E457" s="541"/>
      <c r="F457" s="541"/>
      <c r="G457" s="541"/>
      <c r="H457" s="541"/>
      <c r="I457" s="541"/>
      <c r="J457" s="541"/>
      <c r="K457" s="541"/>
      <c r="L457" s="541"/>
      <c r="M457" s="541"/>
      <c r="N457" s="541"/>
      <c r="O457" s="541"/>
      <c r="P457" s="541"/>
      <c r="Q457" s="541"/>
      <c r="R457" s="541"/>
      <c r="S457" s="541"/>
      <c r="T457" s="541"/>
      <c r="U457" s="541"/>
      <c r="V457" s="541"/>
      <c r="W457" s="541"/>
      <c r="X457" s="541"/>
      <c r="Y457" s="541"/>
      <c r="Z457" s="541"/>
      <c r="AA457" s="541"/>
      <c r="AB457" s="541"/>
      <c r="AC457" s="541"/>
      <c r="AD457" s="541"/>
      <c r="AE457" s="541"/>
      <c r="AF457" s="541"/>
      <c r="AG457" s="541"/>
      <c r="AH457" s="541"/>
      <c r="AI457" s="541"/>
      <c r="AJ457" s="541"/>
      <c r="AK457" s="541"/>
      <c r="AL457" s="541"/>
      <c r="AM457" s="541"/>
      <c r="AN457" s="541"/>
      <c r="AO457" s="541"/>
      <c r="AP457" s="541"/>
      <c r="AQ457" s="541"/>
      <c r="AR457" s="541"/>
      <c r="AS457" s="541"/>
      <c r="AT457" s="541"/>
      <c r="AU457" s="541"/>
      <c r="AV457" s="541"/>
      <c r="AW457" s="541"/>
      <c r="AX457" s="541"/>
      <c r="AY457" s="541"/>
      <c r="AZ457" s="541"/>
      <c r="BA457" s="541"/>
      <c r="BB457" s="541"/>
      <c r="BC457" s="541"/>
      <c r="BD457" s="541"/>
      <c r="BE457" s="541"/>
      <c r="BF457" s="541"/>
      <c r="BG457" s="541"/>
      <c r="BH457" s="541"/>
      <c r="BI457" s="541"/>
      <c r="BJ457" s="541"/>
      <c r="BK457" s="541"/>
      <c r="BL457" s="541"/>
      <c r="BM457" s="541"/>
      <c r="BN457" s="541"/>
      <c r="BO457" s="541"/>
    </row>
    <row r="458" spans="3:67">
      <c r="C458" s="394"/>
      <c r="D458" s="394"/>
      <c r="E458" s="394"/>
      <c r="F458" s="394"/>
      <c r="G458" s="394"/>
      <c r="H458" s="394"/>
      <c r="I458" s="394"/>
      <c r="J458" s="394"/>
      <c r="K458" s="394"/>
      <c r="L458" s="394"/>
      <c r="M458" s="394"/>
      <c r="N458" s="394"/>
      <c r="O458" s="394"/>
      <c r="P458" s="394"/>
      <c r="Q458" s="394"/>
      <c r="R458" s="394"/>
      <c r="S458" s="394"/>
      <c r="T458" s="394"/>
      <c r="U458" s="394"/>
      <c r="V458" s="394"/>
      <c r="W458" s="394"/>
      <c r="X458" s="394"/>
      <c r="Y458" s="394"/>
      <c r="Z458" s="394"/>
      <c r="AA458" s="394"/>
      <c r="AB458" s="394"/>
      <c r="AC458" s="394"/>
      <c r="AD458" s="394"/>
      <c r="AE458" s="394"/>
      <c r="AF458" s="394"/>
      <c r="AG458" s="394"/>
      <c r="AH458" s="394"/>
      <c r="AI458" s="394"/>
      <c r="AJ458" s="394"/>
      <c r="AK458" s="394"/>
      <c r="AL458" s="394"/>
      <c r="AM458" s="394"/>
      <c r="AN458" s="394"/>
      <c r="AO458" s="394"/>
      <c r="AP458" s="394"/>
      <c r="AQ458" s="394"/>
      <c r="AR458" s="394"/>
      <c r="AS458" s="394"/>
      <c r="AT458" s="394"/>
      <c r="AU458" s="394"/>
      <c r="AV458" s="394"/>
      <c r="AW458" s="394"/>
      <c r="AX458" s="394"/>
      <c r="AY458" s="394"/>
      <c r="AZ458" s="394"/>
      <c r="BA458" s="394"/>
      <c r="BB458" s="394"/>
      <c r="BC458" s="394"/>
      <c r="BD458" s="394"/>
      <c r="BE458" s="394"/>
      <c r="BF458" s="394"/>
      <c r="BG458" s="394"/>
      <c r="BH458" s="394"/>
      <c r="BI458" s="394"/>
      <c r="BJ458" s="394"/>
      <c r="BK458" s="394"/>
      <c r="BL458" s="394"/>
      <c r="BM458" s="394"/>
      <c r="BN458" s="394"/>
      <c r="BO458" s="394"/>
    </row>
    <row r="459" spans="3:67">
      <c r="C459" s="542"/>
      <c r="D459" s="542"/>
      <c r="E459" s="542"/>
      <c r="F459" s="542"/>
      <c r="G459" s="542"/>
      <c r="H459" s="542"/>
      <c r="I459" s="542"/>
      <c r="J459" s="542"/>
      <c r="K459" s="542"/>
      <c r="L459" s="542"/>
      <c r="M459" s="542"/>
      <c r="N459" s="542"/>
      <c r="O459" s="542"/>
      <c r="P459" s="542"/>
      <c r="Q459" s="542"/>
      <c r="R459" s="542"/>
      <c r="S459" s="542"/>
      <c r="T459" s="542"/>
      <c r="U459" s="542"/>
      <c r="V459" s="542"/>
      <c r="W459" s="542"/>
      <c r="X459" s="542"/>
      <c r="Y459" s="542"/>
      <c r="Z459" s="542"/>
      <c r="AA459" s="542"/>
      <c r="AB459" s="542"/>
      <c r="AC459" s="542"/>
      <c r="AD459" s="542"/>
      <c r="AE459" s="542"/>
      <c r="AF459" s="542"/>
      <c r="AG459" s="542"/>
      <c r="AH459" s="542"/>
      <c r="AI459" s="542"/>
      <c r="AJ459" s="542"/>
      <c r="AK459" s="542"/>
      <c r="AL459" s="542"/>
      <c r="AM459" s="542"/>
      <c r="AN459" s="542"/>
      <c r="AO459" s="542"/>
      <c r="AP459" s="542"/>
      <c r="AQ459" s="542"/>
      <c r="AR459" s="542"/>
      <c r="AS459" s="542"/>
      <c r="AT459" s="542"/>
      <c r="AU459" s="542"/>
      <c r="AV459" s="542"/>
      <c r="AW459" s="542"/>
      <c r="AX459" s="542"/>
      <c r="AY459" s="542"/>
      <c r="AZ459" s="542"/>
      <c r="BA459" s="542"/>
      <c r="BB459" s="542"/>
      <c r="BC459" s="542"/>
      <c r="BD459" s="542"/>
      <c r="BE459" s="542"/>
      <c r="BF459" s="542"/>
      <c r="BG459" s="542"/>
      <c r="BH459" s="542"/>
      <c r="BI459" s="542"/>
      <c r="BJ459" s="542"/>
      <c r="BK459" s="542"/>
      <c r="BL459" s="542"/>
      <c r="BM459" s="542"/>
      <c r="BN459" s="542"/>
      <c r="BO459" s="542"/>
    </row>
    <row r="460" spans="3:67">
      <c r="C460" s="543"/>
      <c r="D460" s="543"/>
      <c r="E460" s="543"/>
      <c r="F460" s="543"/>
      <c r="G460" s="543"/>
      <c r="H460" s="543"/>
      <c r="I460" s="543"/>
      <c r="J460" s="543"/>
      <c r="K460" s="543"/>
      <c r="L460" s="543"/>
      <c r="M460" s="543"/>
      <c r="N460" s="543"/>
      <c r="O460" s="543"/>
      <c r="P460" s="543"/>
      <c r="Q460" s="543"/>
      <c r="R460" s="543"/>
      <c r="S460" s="543"/>
      <c r="T460" s="543"/>
      <c r="U460" s="543"/>
      <c r="V460" s="543"/>
      <c r="W460" s="543"/>
      <c r="X460" s="543"/>
      <c r="Y460" s="543"/>
      <c r="Z460" s="543"/>
      <c r="AA460" s="543"/>
      <c r="AB460" s="543"/>
      <c r="AC460" s="543"/>
      <c r="AD460" s="543"/>
      <c r="AE460" s="543"/>
      <c r="AF460" s="543"/>
      <c r="AG460" s="543"/>
      <c r="AH460" s="543"/>
      <c r="AI460" s="543"/>
      <c r="AJ460" s="543"/>
      <c r="AK460" s="543"/>
      <c r="AL460" s="543"/>
      <c r="AM460" s="543"/>
      <c r="AN460" s="543"/>
      <c r="AO460" s="543"/>
      <c r="AP460" s="543"/>
      <c r="AQ460" s="543"/>
      <c r="AR460" s="543"/>
      <c r="AS460" s="543"/>
      <c r="AT460" s="543"/>
      <c r="AU460" s="543"/>
      <c r="AV460" s="543"/>
      <c r="AW460" s="543"/>
      <c r="AX460" s="543"/>
      <c r="AY460" s="543"/>
      <c r="AZ460" s="543"/>
      <c r="BA460" s="543"/>
      <c r="BB460" s="543"/>
      <c r="BC460" s="543"/>
      <c r="BD460" s="543"/>
      <c r="BE460" s="543"/>
      <c r="BF460" s="543"/>
      <c r="BG460" s="543"/>
      <c r="BH460" s="543"/>
      <c r="BI460" s="543"/>
      <c r="BJ460" s="543"/>
      <c r="BK460" s="543"/>
      <c r="BL460" s="543"/>
      <c r="BM460" s="543"/>
      <c r="BN460" s="543"/>
      <c r="BO460" s="543"/>
    </row>
    <row r="461" spans="3:67">
      <c r="C461" s="543"/>
      <c r="D461" s="543"/>
      <c r="E461" s="543"/>
      <c r="F461" s="543"/>
      <c r="G461" s="543"/>
      <c r="H461" s="543"/>
      <c r="I461" s="543"/>
      <c r="J461" s="543"/>
      <c r="K461" s="543"/>
      <c r="L461" s="543"/>
      <c r="M461" s="543"/>
      <c r="N461" s="543"/>
      <c r="O461" s="543"/>
      <c r="P461" s="543"/>
      <c r="Q461" s="543"/>
      <c r="R461" s="543"/>
      <c r="S461" s="543"/>
      <c r="T461" s="543"/>
      <c r="U461" s="543"/>
      <c r="V461" s="543"/>
      <c r="W461" s="543"/>
      <c r="X461" s="543"/>
      <c r="Y461" s="543"/>
      <c r="Z461" s="543"/>
      <c r="AA461" s="543"/>
      <c r="AB461" s="543"/>
      <c r="AC461" s="543"/>
      <c r="AD461" s="543"/>
      <c r="AE461" s="543"/>
      <c r="AF461" s="543"/>
      <c r="AG461" s="543"/>
      <c r="AH461" s="543"/>
      <c r="AI461" s="543"/>
      <c r="AJ461" s="543"/>
      <c r="AK461" s="543"/>
      <c r="AL461" s="543"/>
      <c r="AM461" s="543"/>
      <c r="AN461" s="543"/>
      <c r="AO461" s="543"/>
      <c r="AP461" s="543"/>
      <c r="AQ461" s="543"/>
      <c r="AR461" s="543"/>
      <c r="AS461" s="543"/>
      <c r="AT461" s="543"/>
      <c r="AU461" s="543"/>
      <c r="AV461" s="543"/>
      <c r="AW461" s="543"/>
      <c r="AX461" s="543"/>
      <c r="AY461" s="543"/>
      <c r="AZ461" s="543"/>
      <c r="BA461" s="543"/>
      <c r="BB461" s="543"/>
      <c r="BC461" s="543"/>
      <c r="BD461" s="543"/>
      <c r="BE461" s="543"/>
      <c r="BF461" s="543"/>
      <c r="BG461" s="543"/>
      <c r="BH461" s="543"/>
      <c r="BI461" s="543"/>
      <c r="BJ461" s="543"/>
      <c r="BK461" s="543"/>
      <c r="BL461" s="543"/>
      <c r="BM461" s="543"/>
      <c r="BN461" s="543"/>
      <c r="BO461" s="543"/>
    </row>
    <row r="462" spans="3:67">
      <c r="C462" s="543"/>
      <c r="D462" s="543"/>
      <c r="E462" s="543"/>
      <c r="F462" s="543"/>
      <c r="G462" s="543"/>
      <c r="H462" s="543"/>
      <c r="I462" s="543"/>
      <c r="J462" s="543"/>
      <c r="K462" s="543"/>
      <c r="L462" s="543"/>
      <c r="M462" s="543"/>
      <c r="N462" s="543"/>
      <c r="O462" s="543"/>
      <c r="P462" s="543"/>
      <c r="Q462" s="543"/>
      <c r="R462" s="543"/>
      <c r="S462" s="543"/>
      <c r="T462" s="543"/>
      <c r="U462" s="543"/>
      <c r="V462" s="543"/>
      <c r="W462" s="543"/>
      <c r="X462" s="543"/>
      <c r="Y462" s="543"/>
      <c r="Z462" s="543"/>
      <c r="AA462" s="543"/>
      <c r="AB462" s="543"/>
      <c r="AC462" s="543"/>
      <c r="AD462" s="543"/>
      <c r="AE462" s="543"/>
      <c r="AF462" s="543"/>
      <c r="AG462" s="543"/>
      <c r="AH462" s="543"/>
      <c r="AI462" s="543"/>
      <c r="AJ462" s="543"/>
      <c r="AK462" s="543"/>
      <c r="AL462" s="543"/>
      <c r="AM462" s="543"/>
      <c r="AN462" s="543"/>
      <c r="AO462" s="543"/>
      <c r="AP462" s="543"/>
      <c r="AQ462" s="543"/>
      <c r="AR462" s="543"/>
      <c r="AS462" s="543"/>
      <c r="AT462" s="543"/>
      <c r="AU462" s="543"/>
      <c r="AV462" s="543"/>
      <c r="AW462" s="543"/>
      <c r="AX462" s="543"/>
      <c r="AY462" s="543"/>
      <c r="AZ462" s="543"/>
      <c r="BA462" s="543"/>
      <c r="BB462" s="543"/>
      <c r="BC462" s="543"/>
      <c r="BD462" s="543"/>
      <c r="BE462" s="543"/>
      <c r="BF462" s="543"/>
      <c r="BG462" s="543"/>
      <c r="BH462" s="543"/>
      <c r="BI462" s="543"/>
      <c r="BJ462" s="543"/>
      <c r="BK462" s="543"/>
      <c r="BL462" s="543"/>
      <c r="BM462" s="543"/>
      <c r="BN462" s="543"/>
      <c r="BO462" s="543"/>
    </row>
    <row r="463" spans="3:67">
      <c r="C463" s="544"/>
      <c r="D463" s="545"/>
      <c r="E463" s="545"/>
      <c r="F463" s="545"/>
      <c r="G463" s="545"/>
      <c r="H463" s="544"/>
      <c r="I463" s="545"/>
      <c r="J463" s="545"/>
      <c r="K463" s="545"/>
      <c r="L463" s="545"/>
      <c r="M463" s="544"/>
      <c r="N463" s="545"/>
      <c r="O463" s="545"/>
      <c r="P463" s="545"/>
      <c r="Q463" s="545"/>
      <c r="R463" s="544"/>
      <c r="S463" s="545"/>
      <c r="T463" s="545"/>
      <c r="U463" s="545"/>
      <c r="V463" s="545"/>
      <c r="W463" s="544"/>
      <c r="X463" s="545"/>
      <c r="Y463" s="545"/>
      <c r="Z463" s="545"/>
      <c r="AA463" s="545"/>
      <c r="AB463" s="544"/>
      <c r="AC463" s="545"/>
      <c r="AD463" s="545"/>
      <c r="AE463" s="545"/>
      <c r="AF463" s="545"/>
      <c r="AG463" s="544"/>
      <c r="AH463" s="545"/>
      <c r="AI463" s="545"/>
      <c r="AJ463" s="545"/>
      <c r="AK463" s="545"/>
      <c r="AL463" s="544"/>
      <c r="AM463" s="545"/>
      <c r="AN463" s="545"/>
      <c r="AO463" s="545"/>
      <c r="AP463" s="545"/>
      <c r="AQ463" s="544"/>
      <c r="AR463" s="545"/>
      <c r="AS463" s="545"/>
      <c r="AT463" s="545"/>
      <c r="AU463" s="545"/>
      <c r="AV463" s="544"/>
      <c r="AW463" s="545"/>
      <c r="AX463" s="545"/>
      <c r="AY463" s="545"/>
      <c r="AZ463" s="545"/>
      <c r="BA463" s="544"/>
      <c r="BB463" s="545"/>
      <c r="BC463" s="545"/>
      <c r="BD463" s="545"/>
      <c r="BE463" s="545"/>
      <c r="BF463" s="544"/>
      <c r="BG463" s="545"/>
      <c r="BH463" s="545"/>
      <c r="BI463" s="545"/>
      <c r="BJ463" s="545"/>
      <c r="BK463" s="544"/>
      <c r="BL463" s="545"/>
      <c r="BM463" s="545"/>
      <c r="BN463" s="545"/>
      <c r="BO463" s="545"/>
    </row>
    <row r="464" spans="3:67">
      <c r="C464" s="544"/>
      <c r="D464" s="545"/>
      <c r="E464" s="545"/>
      <c r="F464" s="545"/>
      <c r="G464" s="545"/>
      <c r="H464" s="544"/>
      <c r="I464" s="545"/>
      <c r="J464" s="545"/>
      <c r="K464" s="545"/>
      <c r="L464" s="545"/>
      <c r="M464" s="544"/>
      <c r="N464" s="545"/>
      <c r="O464" s="545"/>
      <c r="P464" s="545"/>
      <c r="Q464" s="545"/>
      <c r="R464" s="544"/>
      <c r="S464" s="545"/>
      <c r="T464" s="545"/>
      <c r="U464" s="545"/>
      <c r="V464" s="545"/>
      <c r="W464" s="544"/>
      <c r="X464" s="545"/>
      <c r="Y464" s="545"/>
      <c r="Z464" s="545"/>
      <c r="AA464" s="545"/>
      <c r="AB464" s="544"/>
      <c r="AC464" s="545"/>
      <c r="AD464" s="545"/>
      <c r="AE464" s="545"/>
      <c r="AF464" s="545"/>
      <c r="AG464" s="544"/>
      <c r="AH464" s="545"/>
      <c r="AI464" s="545"/>
      <c r="AJ464" s="545"/>
      <c r="AK464" s="545"/>
      <c r="AL464" s="544"/>
      <c r="AM464" s="545"/>
      <c r="AN464" s="545"/>
      <c r="AO464" s="545"/>
      <c r="AP464" s="545"/>
      <c r="AQ464" s="544"/>
      <c r="AR464" s="545"/>
      <c r="AS464" s="545"/>
      <c r="AT464" s="545"/>
      <c r="AU464" s="545"/>
      <c r="AV464" s="544"/>
      <c r="AW464" s="545"/>
      <c r="AX464" s="545"/>
      <c r="AY464" s="545"/>
      <c r="AZ464" s="545"/>
      <c r="BA464" s="544"/>
      <c r="BB464" s="545"/>
      <c r="BC464" s="545"/>
      <c r="BD464" s="545"/>
      <c r="BE464" s="545"/>
      <c r="BF464" s="544"/>
      <c r="BG464" s="545"/>
      <c r="BH464" s="545"/>
      <c r="BI464" s="545"/>
      <c r="BJ464" s="545"/>
      <c r="BK464" s="544"/>
      <c r="BL464" s="545"/>
      <c r="BM464" s="545"/>
      <c r="BN464" s="545"/>
      <c r="BO464" s="545"/>
    </row>
    <row r="465" spans="3:67">
      <c r="C465" s="490"/>
      <c r="D465" s="490"/>
      <c r="E465" s="490"/>
      <c r="F465" s="490"/>
      <c r="G465" s="490"/>
      <c r="H465" s="490"/>
      <c r="I465" s="490"/>
      <c r="J465" s="490"/>
      <c r="K465" s="490"/>
      <c r="L465" s="490"/>
      <c r="M465" s="490"/>
      <c r="N465" s="490"/>
      <c r="O465" s="490"/>
      <c r="P465" s="490"/>
      <c r="Q465" s="490"/>
      <c r="R465" s="490"/>
      <c r="S465" s="490"/>
      <c r="T465" s="490"/>
      <c r="U465" s="490"/>
      <c r="V465" s="490"/>
      <c r="W465" s="490"/>
      <c r="X465" s="490"/>
      <c r="Y465" s="490"/>
      <c r="Z465" s="490"/>
      <c r="AA465" s="490"/>
      <c r="AB465" s="490"/>
      <c r="AC465" s="490"/>
      <c r="AD465" s="490"/>
      <c r="AE465" s="490"/>
      <c r="AF465" s="490"/>
      <c r="AG465" s="490"/>
      <c r="AH465" s="490"/>
      <c r="AI465" s="490"/>
      <c r="AJ465" s="490"/>
      <c r="AK465" s="490"/>
      <c r="AL465" s="490"/>
      <c r="AM465" s="490"/>
      <c r="AN465" s="490"/>
      <c r="AO465" s="490"/>
      <c r="AP465" s="490"/>
      <c r="AQ465" s="490"/>
      <c r="AR465" s="490"/>
      <c r="AS465" s="490"/>
      <c r="AT465" s="490"/>
      <c r="AU465" s="490"/>
      <c r="AV465" s="490"/>
      <c r="AW465" s="490"/>
      <c r="AX465" s="490"/>
      <c r="AY465" s="490"/>
      <c r="AZ465" s="490"/>
      <c r="BA465" s="490"/>
      <c r="BB465" s="490"/>
      <c r="BC465" s="490"/>
      <c r="BD465" s="490"/>
      <c r="BE465" s="490"/>
      <c r="BF465" s="490"/>
      <c r="BG465" s="490"/>
      <c r="BH465" s="490"/>
      <c r="BI465" s="490"/>
      <c r="BJ465" s="490"/>
      <c r="BK465" s="490"/>
      <c r="BL465" s="490"/>
      <c r="BM465" s="490"/>
      <c r="BN465" s="490"/>
      <c r="BO465" s="490"/>
    </row>
    <row r="466" spans="3:67">
      <c r="C466" s="488"/>
      <c r="D466" s="488"/>
      <c r="E466" s="488"/>
      <c r="F466" s="488"/>
      <c r="G466" s="488"/>
      <c r="H466" s="488"/>
      <c r="I466" s="488"/>
      <c r="J466" s="488"/>
      <c r="K466" s="488"/>
      <c r="L466" s="488"/>
      <c r="M466" s="488"/>
      <c r="N466" s="488"/>
      <c r="O466" s="488"/>
      <c r="P466" s="488"/>
      <c r="Q466" s="488"/>
      <c r="R466" s="488"/>
      <c r="S466" s="488"/>
      <c r="T466" s="488"/>
      <c r="U466" s="488"/>
      <c r="V466" s="488"/>
      <c r="W466" s="488"/>
      <c r="X466" s="488"/>
      <c r="Y466" s="488"/>
      <c r="Z466" s="488"/>
      <c r="AA466" s="488"/>
      <c r="AB466" s="488"/>
      <c r="AC466" s="488"/>
      <c r="AD466" s="488"/>
      <c r="AE466" s="488"/>
      <c r="AF466" s="488"/>
      <c r="AG466" s="488"/>
      <c r="AH466" s="488"/>
      <c r="AI466" s="488"/>
      <c r="AJ466" s="488"/>
      <c r="AK466" s="488"/>
      <c r="AL466" s="488"/>
      <c r="AM466" s="488"/>
      <c r="AN466" s="488"/>
      <c r="AO466" s="488"/>
      <c r="AP466" s="488"/>
      <c r="AQ466" s="488"/>
      <c r="AR466" s="488"/>
      <c r="AS466" s="488"/>
      <c r="AT466" s="488"/>
      <c r="AU466" s="488"/>
      <c r="AV466" s="488"/>
      <c r="AW466" s="488"/>
      <c r="AX466" s="488"/>
      <c r="AY466" s="488"/>
      <c r="AZ466" s="488"/>
      <c r="BA466" s="488"/>
      <c r="BB466" s="488"/>
      <c r="BC466" s="488"/>
      <c r="BD466" s="488"/>
      <c r="BE466" s="488"/>
      <c r="BF466" s="488"/>
      <c r="BG466" s="488"/>
      <c r="BH466" s="488"/>
      <c r="BI466" s="488"/>
      <c r="BJ466" s="488"/>
      <c r="BK466" s="488"/>
      <c r="BL466" s="488"/>
      <c r="BM466" s="488"/>
      <c r="BN466" s="488"/>
      <c r="BO466" s="488"/>
    </row>
    <row r="467" spans="3:67">
      <c r="C467" s="486"/>
      <c r="D467" s="486"/>
      <c r="E467" s="486"/>
      <c r="F467" s="486"/>
      <c r="G467" s="486"/>
      <c r="H467" s="486"/>
      <c r="I467" s="486"/>
      <c r="J467" s="486"/>
      <c r="K467" s="486"/>
      <c r="L467" s="486"/>
      <c r="M467" s="486"/>
      <c r="N467" s="486"/>
      <c r="O467" s="486"/>
      <c r="P467" s="486"/>
      <c r="Q467" s="486"/>
      <c r="R467" s="486"/>
      <c r="S467" s="486"/>
      <c r="T467" s="486"/>
      <c r="U467" s="486"/>
      <c r="V467" s="486"/>
      <c r="W467" s="486"/>
      <c r="X467" s="486"/>
      <c r="Y467" s="486"/>
      <c r="Z467" s="486"/>
      <c r="AA467" s="486"/>
      <c r="AB467" s="486"/>
      <c r="AC467" s="486"/>
      <c r="AD467" s="486"/>
      <c r="AE467" s="486"/>
      <c r="AF467" s="486"/>
      <c r="AG467" s="486"/>
      <c r="AH467" s="486"/>
      <c r="AI467" s="486"/>
      <c r="AJ467" s="486"/>
      <c r="AK467" s="486"/>
      <c r="AL467" s="486"/>
      <c r="AM467" s="486"/>
      <c r="AN467" s="486"/>
      <c r="AO467" s="486"/>
      <c r="AP467" s="486"/>
      <c r="AQ467" s="486"/>
      <c r="AR467" s="486"/>
      <c r="AS467" s="486"/>
      <c r="AT467" s="486"/>
      <c r="AU467" s="486"/>
      <c r="AV467" s="486"/>
      <c r="AW467" s="486"/>
      <c r="AX467" s="486"/>
      <c r="AY467" s="486"/>
      <c r="AZ467" s="486"/>
      <c r="BA467" s="486"/>
      <c r="BB467" s="486"/>
      <c r="BC467" s="486"/>
      <c r="BD467" s="486"/>
      <c r="BE467" s="486"/>
      <c r="BF467" s="486"/>
      <c r="BG467" s="486"/>
      <c r="BH467" s="486"/>
      <c r="BI467" s="486"/>
      <c r="BJ467" s="486"/>
      <c r="BK467" s="486"/>
      <c r="BL467" s="486"/>
      <c r="BM467" s="486"/>
      <c r="BN467" s="486"/>
      <c r="BO467" s="486"/>
    </row>
    <row r="468" spans="3:67">
      <c r="C468" s="490"/>
      <c r="D468" s="490"/>
      <c r="E468" s="490"/>
      <c r="F468" s="490"/>
      <c r="G468" s="490"/>
      <c r="H468" s="490"/>
      <c r="I468" s="490"/>
      <c r="J468" s="490"/>
      <c r="K468" s="490"/>
      <c r="L468" s="490"/>
      <c r="M468" s="490"/>
      <c r="N468" s="490"/>
      <c r="O468" s="490"/>
      <c r="P468" s="490"/>
      <c r="Q468" s="490"/>
      <c r="R468" s="490"/>
      <c r="S468" s="490"/>
      <c r="T468" s="490"/>
      <c r="U468" s="490"/>
      <c r="V468" s="490"/>
      <c r="W468" s="490"/>
      <c r="X468" s="490"/>
      <c r="Y468" s="490"/>
      <c r="Z468" s="490"/>
      <c r="AA468" s="490"/>
      <c r="AB468" s="490"/>
      <c r="AC468" s="490"/>
      <c r="AD468" s="490"/>
      <c r="AE468" s="490"/>
      <c r="AF468" s="490"/>
      <c r="AG468" s="490"/>
      <c r="AH468" s="490"/>
      <c r="AI468" s="490"/>
      <c r="AJ468" s="490"/>
      <c r="AK468" s="490"/>
      <c r="AL468" s="490"/>
      <c r="AM468" s="490"/>
      <c r="AN468" s="490"/>
      <c r="AO468" s="490"/>
      <c r="AP468" s="490"/>
      <c r="AQ468" s="490"/>
      <c r="AR468" s="490"/>
      <c r="AS468" s="490"/>
      <c r="AT468" s="490"/>
      <c r="AU468" s="490"/>
      <c r="AV468" s="490"/>
      <c r="AW468" s="490"/>
      <c r="AX468" s="490"/>
      <c r="AY468" s="490"/>
      <c r="AZ468" s="490"/>
      <c r="BA468" s="490"/>
      <c r="BB468" s="490"/>
      <c r="BC468" s="490"/>
      <c r="BD468" s="490"/>
      <c r="BE468" s="490"/>
      <c r="BF468" s="490"/>
      <c r="BG468" s="490"/>
      <c r="BH468" s="490"/>
      <c r="BI468" s="490"/>
      <c r="BJ468" s="490"/>
      <c r="BK468" s="490"/>
      <c r="BL468" s="490"/>
      <c r="BM468" s="490"/>
      <c r="BN468" s="490"/>
      <c r="BO468" s="490"/>
    </row>
    <row r="469" spans="3:67">
      <c r="C469" s="394"/>
      <c r="D469" s="394"/>
      <c r="E469" s="394"/>
      <c r="F469" s="394"/>
      <c r="G469" s="394"/>
      <c r="H469" s="394"/>
      <c r="I469" s="394"/>
      <c r="J469" s="394"/>
      <c r="K469" s="394"/>
      <c r="L469" s="394"/>
      <c r="M469" s="394"/>
      <c r="N469" s="394"/>
      <c r="O469" s="394"/>
      <c r="P469" s="394"/>
      <c r="Q469" s="394"/>
      <c r="R469" s="394"/>
      <c r="S469" s="394"/>
      <c r="T469" s="394"/>
      <c r="U469" s="394"/>
      <c r="V469" s="394"/>
      <c r="W469" s="394"/>
      <c r="X469" s="394"/>
      <c r="Y469" s="394"/>
      <c r="Z469" s="394"/>
      <c r="AA469" s="394"/>
      <c r="AB469" s="394"/>
      <c r="AC469" s="394"/>
      <c r="AD469" s="394"/>
      <c r="AE469" s="394"/>
      <c r="AF469" s="394"/>
      <c r="AG469" s="394"/>
      <c r="AH469" s="394"/>
      <c r="AI469" s="394"/>
      <c r="AJ469" s="394"/>
      <c r="AK469" s="394"/>
      <c r="AL469" s="394"/>
      <c r="AM469" s="394"/>
      <c r="AN469" s="394"/>
      <c r="AO469" s="394"/>
      <c r="AP469" s="394"/>
      <c r="AQ469" s="394"/>
      <c r="AR469" s="394"/>
      <c r="AS469" s="394"/>
      <c r="AT469" s="394"/>
      <c r="AU469" s="394"/>
      <c r="AV469" s="394"/>
      <c r="AW469" s="394"/>
      <c r="AX469" s="394"/>
      <c r="AY469" s="394"/>
      <c r="AZ469" s="394"/>
      <c r="BA469" s="394"/>
      <c r="BB469" s="394"/>
      <c r="BC469" s="394"/>
      <c r="BD469" s="394"/>
      <c r="BE469" s="394"/>
      <c r="BF469" s="394"/>
      <c r="BG469" s="394"/>
      <c r="BH469" s="394"/>
      <c r="BI469" s="394"/>
      <c r="BJ469" s="394"/>
      <c r="BK469" s="394"/>
      <c r="BL469" s="394"/>
      <c r="BM469" s="394"/>
      <c r="BN469" s="394"/>
      <c r="BO469" s="394"/>
    </row>
    <row r="470" spans="3:67">
      <c r="C470" s="490"/>
      <c r="D470" s="490"/>
      <c r="E470" s="490"/>
      <c r="F470" s="490"/>
      <c r="G470" s="490"/>
      <c r="H470" s="490"/>
      <c r="I470" s="490"/>
      <c r="J470" s="490"/>
      <c r="K470" s="490"/>
      <c r="L470" s="490"/>
      <c r="M470" s="490"/>
      <c r="N470" s="490"/>
      <c r="O470" s="490"/>
      <c r="P470" s="490"/>
      <c r="Q470" s="490"/>
      <c r="R470" s="490"/>
      <c r="S470" s="490"/>
      <c r="T470" s="490"/>
      <c r="U470" s="490"/>
      <c r="V470" s="490"/>
      <c r="W470" s="490"/>
      <c r="X470" s="490"/>
      <c r="Y470" s="490"/>
      <c r="Z470" s="490"/>
      <c r="AA470" s="490"/>
      <c r="AB470" s="490"/>
      <c r="AC470" s="490"/>
      <c r="AD470" s="490"/>
      <c r="AE470" s="490"/>
      <c r="AF470" s="490"/>
      <c r="AG470" s="490"/>
      <c r="AH470" s="490"/>
      <c r="AI470" s="490"/>
      <c r="AJ470" s="490"/>
      <c r="AK470" s="490"/>
      <c r="AL470" s="490"/>
      <c r="AM470" s="490"/>
      <c r="AN470" s="490"/>
      <c r="AO470" s="490"/>
      <c r="AP470" s="490"/>
      <c r="AQ470" s="490"/>
      <c r="AR470" s="490"/>
      <c r="AS470" s="490"/>
      <c r="AT470" s="490"/>
      <c r="AU470" s="490"/>
      <c r="AV470" s="490"/>
      <c r="AW470" s="490"/>
      <c r="AX470" s="490"/>
      <c r="AY470" s="490"/>
      <c r="AZ470" s="490"/>
      <c r="BA470" s="490"/>
      <c r="BB470" s="490"/>
      <c r="BC470" s="490"/>
      <c r="BD470" s="490"/>
      <c r="BE470" s="490"/>
      <c r="BF470" s="490"/>
      <c r="BG470" s="490"/>
      <c r="BH470" s="490"/>
      <c r="BI470" s="490"/>
      <c r="BJ470" s="490"/>
      <c r="BK470" s="490"/>
      <c r="BL470" s="490"/>
      <c r="BM470" s="490"/>
      <c r="BN470" s="490"/>
      <c r="BO470" s="490"/>
    </row>
    <row r="471" spans="3:67">
      <c r="C471" s="490"/>
      <c r="D471" s="490"/>
      <c r="E471" s="490"/>
      <c r="F471" s="490"/>
      <c r="G471" s="490"/>
      <c r="H471" s="490"/>
      <c r="I471" s="490"/>
      <c r="J471" s="490"/>
      <c r="K471" s="490"/>
      <c r="L471" s="490"/>
      <c r="M471" s="490"/>
      <c r="N471" s="490"/>
      <c r="O471" s="490"/>
      <c r="P471" s="490"/>
      <c r="Q471" s="490"/>
      <c r="R471" s="490"/>
      <c r="S471" s="490"/>
      <c r="T471" s="490"/>
      <c r="U471" s="490"/>
      <c r="V471" s="490"/>
      <c r="W471" s="490"/>
      <c r="X471" s="490"/>
      <c r="Y471" s="490"/>
      <c r="Z471" s="490"/>
      <c r="AA471" s="490"/>
      <c r="AB471" s="490"/>
      <c r="AC471" s="490"/>
      <c r="AD471" s="490"/>
      <c r="AE471" s="490"/>
      <c r="AF471" s="490"/>
      <c r="AG471" s="490"/>
      <c r="AH471" s="490"/>
      <c r="AI471" s="490"/>
      <c r="AJ471" s="490"/>
      <c r="AK471" s="490"/>
      <c r="AL471" s="490"/>
      <c r="AM471" s="490"/>
      <c r="AN471" s="490"/>
      <c r="AO471" s="490"/>
      <c r="AP471" s="490"/>
      <c r="AQ471" s="490"/>
      <c r="AR471" s="490"/>
      <c r="AS471" s="490"/>
      <c r="AT471" s="490"/>
      <c r="AU471" s="490"/>
      <c r="AV471" s="490"/>
      <c r="AW471" s="490"/>
      <c r="AX471" s="490"/>
      <c r="AY471" s="490"/>
      <c r="AZ471" s="490"/>
      <c r="BA471" s="490"/>
      <c r="BB471" s="490"/>
      <c r="BC471" s="490"/>
      <c r="BD471" s="490"/>
      <c r="BE471" s="490"/>
      <c r="BF471" s="490"/>
      <c r="BG471" s="490"/>
      <c r="BH471" s="490"/>
      <c r="BI471" s="490"/>
      <c r="BJ471" s="490"/>
      <c r="BK471" s="490"/>
      <c r="BL471" s="490"/>
      <c r="BM471" s="490"/>
      <c r="BN471" s="490"/>
      <c r="BO471" s="490"/>
    </row>
    <row r="472" spans="3:67">
      <c r="C472" s="490"/>
      <c r="D472" s="490"/>
      <c r="E472" s="490"/>
      <c r="F472" s="490"/>
      <c r="G472" s="490"/>
      <c r="H472" s="490"/>
      <c r="I472" s="490"/>
      <c r="J472" s="490"/>
      <c r="K472" s="490"/>
      <c r="L472" s="490"/>
      <c r="M472" s="490"/>
      <c r="N472" s="490"/>
      <c r="O472" s="490"/>
      <c r="P472" s="490"/>
      <c r="Q472" s="490"/>
      <c r="R472" s="490"/>
      <c r="S472" s="490"/>
      <c r="T472" s="490"/>
      <c r="U472" s="490"/>
      <c r="V472" s="490"/>
      <c r="W472" s="490"/>
      <c r="X472" s="490"/>
      <c r="Y472" s="490"/>
      <c r="Z472" s="490"/>
      <c r="AA472" s="490"/>
      <c r="AB472" s="490"/>
      <c r="AC472" s="490"/>
      <c r="AD472" s="490"/>
      <c r="AE472" s="490"/>
      <c r="AF472" s="490"/>
      <c r="AG472" s="490"/>
      <c r="AH472" s="490"/>
      <c r="AI472" s="490"/>
      <c r="AJ472" s="490"/>
      <c r="AK472" s="490"/>
      <c r="AL472" s="490"/>
      <c r="AM472" s="490"/>
      <c r="AN472" s="490"/>
      <c r="AO472" s="490"/>
      <c r="AP472" s="490"/>
      <c r="AQ472" s="490"/>
      <c r="AR472" s="490"/>
      <c r="AS472" s="490"/>
      <c r="AT472" s="490"/>
      <c r="AU472" s="490"/>
      <c r="AV472" s="490"/>
      <c r="AW472" s="490"/>
      <c r="AX472" s="490"/>
      <c r="AY472" s="490"/>
      <c r="AZ472" s="490"/>
      <c r="BA472" s="490"/>
      <c r="BB472" s="490"/>
      <c r="BC472" s="490"/>
      <c r="BD472" s="490"/>
      <c r="BE472" s="490"/>
      <c r="BF472" s="490"/>
      <c r="BG472" s="490"/>
      <c r="BH472" s="490"/>
      <c r="BI472" s="490"/>
      <c r="BJ472" s="490"/>
      <c r="BK472" s="490"/>
      <c r="BL472" s="490"/>
      <c r="BM472" s="490"/>
      <c r="BN472" s="490"/>
      <c r="BO472" s="490"/>
    </row>
    <row r="473" spans="3:67">
      <c r="C473" s="490"/>
      <c r="D473" s="490"/>
      <c r="E473" s="490"/>
      <c r="F473" s="490"/>
      <c r="G473" s="490"/>
      <c r="H473" s="490"/>
      <c r="I473" s="490"/>
      <c r="J473" s="490"/>
      <c r="K473" s="490"/>
      <c r="L473" s="490"/>
      <c r="M473" s="490"/>
      <c r="N473" s="490"/>
      <c r="O473" s="490"/>
      <c r="P473" s="490"/>
      <c r="Q473" s="490"/>
      <c r="R473" s="490"/>
      <c r="S473" s="490"/>
      <c r="T473" s="490"/>
      <c r="U473" s="490"/>
      <c r="V473" s="490"/>
      <c r="W473" s="490"/>
      <c r="X473" s="490"/>
      <c r="Y473" s="490"/>
      <c r="Z473" s="490"/>
      <c r="AA473" s="490"/>
      <c r="AB473" s="490"/>
      <c r="AC473" s="490"/>
      <c r="AD473" s="490"/>
      <c r="AE473" s="490"/>
      <c r="AF473" s="490"/>
      <c r="AG473" s="490"/>
      <c r="AH473" s="490"/>
      <c r="AI473" s="490"/>
      <c r="AJ473" s="490"/>
      <c r="AK473" s="490"/>
      <c r="AL473" s="490"/>
      <c r="AM473" s="490"/>
      <c r="AN473" s="490"/>
      <c r="AO473" s="490"/>
      <c r="AP473" s="490"/>
      <c r="AQ473" s="490"/>
      <c r="AR473" s="490"/>
      <c r="AS473" s="490"/>
      <c r="AT473" s="490"/>
      <c r="AU473" s="490"/>
      <c r="AV473" s="490"/>
      <c r="AW473" s="490"/>
      <c r="AX473" s="490"/>
      <c r="AY473" s="490"/>
      <c r="AZ473" s="490"/>
      <c r="BA473" s="490"/>
      <c r="BB473" s="490"/>
      <c r="BC473" s="490"/>
      <c r="BD473" s="490"/>
      <c r="BE473" s="490"/>
      <c r="BF473" s="490"/>
      <c r="BG473" s="490"/>
      <c r="BH473" s="490"/>
      <c r="BI473" s="490"/>
      <c r="BJ473" s="490"/>
      <c r="BK473" s="490"/>
      <c r="BL473" s="490"/>
      <c r="BM473" s="490"/>
      <c r="BN473" s="490"/>
      <c r="BO473" s="490"/>
    </row>
    <row r="474" spans="3:67">
      <c r="C474" s="490"/>
      <c r="D474" s="490"/>
      <c r="E474" s="490"/>
      <c r="F474" s="490"/>
      <c r="G474" s="490"/>
      <c r="H474" s="490"/>
      <c r="I474" s="490"/>
      <c r="J474" s="490"/>
      <c r="K474" s="490"/>
      <c r="L474" s="490"/>
      <c r="M474" s="490"/>
      <c r="N474" s="490"/>
      <c r="O474" s="490"/>
      <c r="P474" s="490"/>
      <c r="Q474" s="490"/>
      <c r="R474" s="490"/>
      <c r="S474" s="490"/>
      <c r="T474" s="490"/>
      <c r="U474" s="490"/>
      <c r="V474" s="490"/>
      <c r="W474" s="490"/>
      <c r="X474" s="490"/>
      <c r="Y474" s="490"/>
      <c r="Z474" s="490"/>
      <c r="AA474" s="490"/>
      <c r="AB474" s="490"/>
      <c r="AC474" s="490"/>
      <c r="AD474" s="490"/>
      <c r="AE474" s="490"/>
      <c r="AF474" s="490"/>
      <c r="AG474" s="490"/>
      <c r="AH474" s="490"/>
      <c r="AI474" s="490"/>
      <c r="AJ474" s="490"/>
      <c r="AK474" s="490"/>
      <c r="AL474" s="490"/>
      <c r="AM474" s="490"/>
      <c r="AN474" s="490"/>
      <c r="AO474" s="490"/>
      <c r="AP474" s="490"/>
      <c r="AQ474" s="490"/>
      <c r="AR474" s="490"/>
      <c r="AS474" s="490"/>
      <c r="AT474" s="490"/>
      <c r="AU474" s="490"/>
      <c r="AV474" s="490"/>
      <c r="AW474" s="490"/>
      <c r="AX474" s="490"/>
      <c r="AY474" s="490"/>
      <c r="AZ474" s="490"/>
      <c r="BA474" s="490"/>
      <c r="BB474" s="490"/>
      <c r="BC474" s="490"/>
      <c r="BD474" s="490"/>
      <c r="BE474" s="490"/>
      <c r="BF474" s="490"/>
      <c r="BG474" s="490"/>
      <c r="BH474" s="490"/>
      <c r="BI474" s="490"/>
      <c r="BJ474" s="490"/>
      <c r="BK474" s="490"/>
      <c r="BL474" s="490"/>
      <c r="BM474" s="490"/>
      <c r="BN474" s="490"/>
      <c r="BO474" s="490"/>
    </row>
    <row r="475" spans="3:67">
      <c r="C475" s="490"/>
      <c r="D475" s="490"/>
      <c r="E475" s="490"/>
      <c r="F475" s="490"/>
      <c r="G475" s="490"/>
      <c r="H475" s="490"/>
      <c r="I475" s="490"/>
      <c r="J475" s="490"/>
      <c r="K475" s="490"/>
      <c r="L475" s="490"/>
      <c r="M475" s="490"/>
      <c r="N475" s="490"/>
      <c r="O475" s="490"/>
      <c r="P475" s="490"/>
      <c r="Q475" s="490"/>
      <c r="R475" s="490"/>
      <c r="S475" s="490"/>
      <c r="T475" s="490"/>
      <c r="U475" s="490"/>
      <c r="V475" s="490"/>
      <c r="W475" s="490"/>
      <c r="X475" s="490"/>
      <c r="Y475" s="490"/>
      <c r="Z475" s="490"/>
      <c r="AA475" s="490"/>
      <c r="AB475" s="490"/>
      <c r="AC475" s="490"/>
      <c r="AD475" s="490"/>
      <c r="AE475" s="490"/>
      <c r="AF475" s="490"/>
      <c r="AG475" s="490"/>
      <c r="AH475" s="490"/>
      <c r="AI475" s="490"/>
      <c r="AJ475" s="490"/>
      <c r="AK475" s="490"/>
      <c r="AL475" s="490"/>
      <c r="AM475" s="490"/>
      <c r="AN475" s="490"/>
      <c r="AO475" s="490"/>
      <c r="AP475" s="490"/>
      <c r="AQ475" s="490"/>
      <c r="AR475" s="490"/>
      <c r="AS475" s="490"/>
      <c r="AT475" s="490"/>
      <c r="AU475" s="490"/>
      <c r="AV475" s="490"/>
      <c r="AW475" s="490"/>
      <c r="AX475" s="490"/>
      <c r="AY475" s="490"/>
      <c r="AZ475" s="490"/>
      <c r="BA475" s="490"/>
      <c r="BB475" s="490"/>
      <c r="BC475" s="490"/>
      <c r="BD475" s="490"/>
      <c r="BE475" s="490"/>
      <c r="BF475" s="490"/>
      <c r="BG475" s="490"/>
      <c r="BH475" s="490"/>
      <c r="BI475" s="490"/>
      <c r="BJ475" s="490"/>
      <c r="BK475" s="490"/>
      <c r="BL475" s="490"/>
      <c r="BM475" s="490"/>
      <c r="BN475" s="490"/>
      <c r="BO475" s="490"/>
    </row>
    <row r="476" spans="3:67">
      <c r="C476" s="546"/>
      <c r="D476" s="546"/>
      <c r="E476" s="546"/>
      <c r="F476" s="546"/>
      <c r="G476" s="546"/>
      <c r="H476" s="546"/>
      <c r="I476" s="546"/>
      <c r="J476" s="546"/>
      <c r="K476" s="546"/>
      <c r="L476" s="546"/>
      <c r="M476" s="546"/>
      <c r="N476" s="546"/>
      <c r="O476" s="546"/>
      <c r="P476" s="546"/>
      <c r="Q476" s="546"/>
      <c r="R476" s="546"/>
      <c r="S476" s="546"/>
      <c r="T476" s="546"/>
      <c r="U476" s="546"/>
      <c r="V476" s="546"/>
      <c r="W476" s="546"/>
      <c r="X476" s="546"/>
      <c r="Y476" s="546"/>
      <c r="Z476" s="546"/>
      <c r="AA476" s="546"/>
      <c r="AB476" s="546"/>
      <c r="AC476" s="546"/>
      <c r="AD476" s="546"/>
      <c r="AE476" s="546"/>
      <c r="AF476" s="546"/>
      <c r="AG476" s="546"/>
      <c r="AH476" s="546"/>
      <c r="AI476" s="546"/>
      <c r="AJ476" s="546"/>
      <c r="AK476" s="546"/>
      <c r="AL476" s="546"/>
      <c r="AM476" s="546"/>
      <c r="AN476" s="546"/>
      <c r="AO476" s="546"/>
      <c r="AP476" s="546"/>
      <c r="AQ476" s="546"/>
      <c r="AR476" s="546"/>
      <c r="AS476" s="546"/>
      <c r="AT476" s="546"/>
      <c r="AU476" s="546"/>
      <c r="AV476" s="546"/>
      <c r="AW476" s="546"/>
      <c r="AX476" s="546"/>
      <c r="AY476" s="546"/>
      <c r="AZ476" s="546"/>
      <c r="BA476" s="546"/>
      <c r="BB476" s="546"/>
      <c r="BC476" s="546"/>
      <c r="BD476" s="546"/>
      <c r="BE476" s="546"/>
      <c r="BF476" s="546"/>
      <c r="BG476" s="546"/>
      <c r="BH476" s="546"/>
      <c r="BI476" s="546"/>
      <c r="BJ476" s="546"/>
      <c r="BK476" s="546"/>
      <c r="BL476" s="546"/>
      <c r="BM476" s="546"/>
      <c r="BN476" s="546"/>
      <c r="BO476" s="546"/>
    </row>
    <row r="477" spans="3:67">
      <c r="C477" s="394"/>
      <c r="D477" s="394"/>
      <c r="E477" s="394"/>
      <c r="F477" s="394"/>
      <c r="G477" s="394"/>
      <c r="H477" s="394"/>
      <c r="I477" s="394"/>
      <c r="J477" s="394"/>
      <c r="K477" s="394"/>
      <c r="L477" s="394"/>
      <c r="M477" s="394"/>
      <c r="N477" s="394"/>
      <c r="O477" s="394"/>
      <c r="P477" s="394"/>
      <c r="Q477" s="394"/>
      <c r="R477" s="394"/>
      <c r="S477" s="394"/>
      <c r="T477" s="394"/>
      <c r="U477" s="394"/>
      <c r="V477" s="394"/>
      <c r="W477" s="394"/>
      <c r="X477" s="394"/>
      <c r="Y477" s="394"/>
      <c r="Z477" s="394"/>
      <c r="AA477" s="394"/>
      <c r="AB477" s="394"/>
      <c r="AC477" s="394"/>
      <c r="AD477" s="394"/>
      <c r="AE477" s="394"/>
      <c r="AF477" s="394"/>
      <c r="AG477" s="394"/>
      <c r="AH477" s="394"/>
      <c r="AI477" s="394"/>
      <c r="AJ477" s="394"/>
      <c r="AK477" s="394"/>
      <c r="AL477" s="394"/>
      <c r="AM477" s="394"/>
      <c r="AN477" s="394"/>
      <c r="AO477" s="394"/>
      <c r="AP477" s="394"/>
      <c r="AQ477" s="394"/>
      <c r="AR477" s="394"/>
      <c r="AS477" s="394"/>
      <c r="AT477" s="394"/>
      <c r="AU477" s="394"/>
      <c r="AV477" s="394"/>
      <c r="AW477" s="394"/>
      <c r="AX477" s="394"/>
      <c r="AY477" s="394"/>
      <c r="AZ477" s="394"/>
      <c r="BA477" s="394"/>
      <c r="BB477" s="394"/>
      <c r="BC477" s="394"/>
      <c r="BD477" s="394"/>
      <c r="BE477" s="394"/>
      <c r="BF477" s="394"/>
      <c r="BG477" s="394"/>
      <c r="BH477" s="394"/>
      <c r="BI477" s="394"/>
      <c r="BJ477" s="394"/>
      <c r="BK477" s="394"/>
      <c r="BL477" s="394"/>
      <c r="BM477" s="394"/>
      <c r="BN477" s="394"/>
      <c r="BO477" s="394"/>
    </row>
    <row r="478" spans="3:67">
      <c r="C478" s="394"/>
      <c r="D478" s="394"/>
      <c r="E478" s="394"/>
      <c r="F478" s="394"/>
      <c r="G478" s="394"/>
      <c r="H478" s="394"/>
      <c r="I478" s="394"/>
      <c r="J478" s="394"/>
      <c r="K478" s="394"/>
      <c r="L478" s="394"/>
      <c r="M478" s="394"/>
      <c r="N478" s="394"/>
      <c r="O478" s="394"/>
      <c r="P478" s="394"/>
      <c r="Q478" s="394"/>
      <c r="R478" s="394"/>
      <c r="S478" s="394"/>
      <c r="T478" s="394"/>
      <c r="U478" s="394"/>
      <c r="V478" s="394"/>
      <c r="W478" s="394"/>
      <c r="X478" s="394"/>
      <c r="Y478" s="394"/>
      <c r="Z478" s="394"/>
      <c r="AA478" s="394"/>
      <c r="AB478" s="394"/>
      <c r="AC478" s="394"/>
      <c r="AD478" s="394"/>
      <c r="AE478" s="394"/>
      <c r="AF478" s="394"/>
      <c r="AG478" s="394"/>
      <c r="AH478" s="394"/>
      <c r="AI478" s="394"/>
      <c r="AJ478" s="394"/>
      <c r="AK478" s="394"/>
      <c r="AL478" s="394"/>
      <c r="AM478" s="394"/>
      <c r="AN478" s="394"/>
      <c r="AO478" s="394"/>
      <c r="AP478" s="394"/>
      <c r="AQ478" s="394"/>
      <c r="AR478" s="394"/>
      <c r="AS478" s="394"/>
      <c r="AT478" s="394"/>
      <c r="AU478" s="394"/>
      <c r="AV478" s="394"/>
      <c r="AW478" s="394"/>
      <c r="AX478" s="394"/>
      <c r="AY478" s="394"/>
      <c r="AZ478" s="394"/>
      <c r="BA478" s="394"/>
      <c r="BB478" s="394"/>
      <c r="BC478" s="394"/>
      <c r="BD478" s="394"/>
      <c r="BE478" s="394"/>
      <c r="BF478" s="394"/>
      <c r="BG478" s="394"/>
      <c r="BH478" s="394"/>
      <c r="BI478" s="394"/>
      <c r="BJ478" s="394"/>
      <c r="BK478" s="394"/>
      <c r="BL478" s="394"/>
      <c r="BM478" s="394"/>
      <c r="BN478" s="394"/>
      <c r="BO478" s="394"/>
    </row>
    <row r="479" spans="3:67"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46"/>
      <c r="AB479" s="546"/>
      <c r="AC479" s="546"/>
      <c r="AD479" s="546"/>
      <c r="AE479" s="546"/>
      <c r="AF479" s="546"/>
      <c r="AG479" s="546"/>
      <c r="AH479" s="546"/>
      <c r="AI479" s="546"/>
      <c r="AJ479" s="546"/>
      <c r="AK479" s="546"/>
      <c r="AL479" s="546"/>
      <c r="AM479" s="546"/>
      <c r="AN479" s="546"/>
      <c r="AO479" s="546"/>
      <c r="AP479" s="546"/>
      <c r="AQ479" s="546"/>
      <c r="AR479" s="546"/>
      <c r="AS479" s="546"/>
      <c r="AT479" s="546"/>
      <c r="AU479" s="546"/>
      <c r="AV479" s="546"/>
      <c r="AW479" s="546"/>
      <c r="AX479" s="546"/>
      <c r="AY479" s="546"/>
      <c r="AZ479" s="546"/>
      <c r="BA479" s="546"/>
      <c r="BB479" s="546"/>
      <c r="BC479" s="546"/>
      <c r="BD479" s="546"/>
      <c r="BE479" s="546"/>
      <c r="BF479" s="546"/>
      <c r="BG479" s="546"/>
      <c r="BH479" s="546"/>
      <c r="BI479" s="546"/>
      <c r="BJ479" s="546"/>
      <c r="BK479" s="546"/>
      <c r="BL479" s="546"/>
      <c r="BM479" s="546"/>
      <c r="BN479" s="546"/>
      <c r="BO479" s="546"/>
    </row>
    <row r="480" spans="3:67">
      <c r="C480" s="546"/>
      <c r="D480" s="546"/>
      <c r="E480" s="546"/>
      <c r="F480" s="546"/>
      <c r="G480" s="546"/>
      <c r="H480" s="546"/>
      <c r="I480" s="546"/>
      <c r="J480" s="546"/>
      <c r="K480" s="546"/>
      <c r="L480" s="546"/>
      <c r="M480" s="546"/>
      <c r="N480" s="546"/>
      <c r="O480" s="546"/>
      <c r="P480" s="546"/>
      <c r="Q480" s="546"/>
      <c r="R480" s="546"/>
      <c r="S480" s="546"/>
      <c r="T480" s="546"/>
      <c r="U480" s="546"/>
      <c r="V480" s="546"/>
      <c r="W480" s="546"/>
      <c r="X480" s="546"/>
      <c r="Y480" s="546"/>
      <c r="Z480" s="546"/>
      <c r="AA480" s="546"/>
      <c r="AB480" s="546"/>
      <c r="AC480" s="546"/>
      <c r="AD480" s="546"/>
      <c r="AE480" s="546"/>
      <c r="AF480" s="546"/>
      <c r="AG480" s="546"/>
      <c r="AH480" s="546"/>
      <c r="AI480" s="546"/>
      <c r="AJ480" s="546"/>
      <c r="AK480" s="546"/>
      <c r="AL480" s="546"/>
      <c r="AM480" s="546"/>
      <c r="AN480" s="546"/>
      <c r="AO480" s="546"/>
      <c r="AP480" s="546"/>
      <c r="AQ480" s="546"/>
      <c r="AR480" s="546"/>
      <c r="AS480" s="546"/>
      <c r="AT480" s="546"/>
      <c r="AU480" s="546"/>
      <c r="AV480" s="546"/>
      <c r="AW480" s="546"/>
      <c r="AX480" s="546"/>
      <c r="AY480" s="546"/>
      <c r="AZ480" s="546"/>
      <c r="BA480" s="546"/>
      <c r="BB480" s="546"/>
      <c r="BC480" s="546"/>
      <c r="BD480" s="546"/>
      <c r="BE480" s="546"/>
      <c r="BF480" s="546"/>
      <c r="BG480" s="546"/>
      <c r="BH480" s="546"/>
      <c r="BI480" s="546"/>
      <c r="BJ480" s="546"/>
      <c r="BK480" s="546"/>
      <c r="BL480" s="546"/>
      <c r="BM480" s="546"/>
      <c r="BN480" s="546"/>
      <c r="BO480" s="546"/>
    </row>
    <row r="481" spans="3:67">
      <c r="C481" s="490"/>
      <c r="D481" s="490"/>
      <c r="E481" s="490"/>
      <c r="F481" s="490"/>
      <c r="G481" s="490"/>
      <c r="H481" s="490"/>
      <c r="I481" s="490"/>
      <c r="J481" s="490"/>
      <c r="K481" s="490"/>
      <c r="L481" s="490"/>
      <c r="M481" s="490"/>
      <c r="N481" s="490"/>
      <c r="O481" s="490"/>
      <c r="P481" s="490"/>
      <c r="Q481" s="490"/>
      <c r="R481" s="490"/>
      <c r="S481" s="490"/>
      <c r="T481" s="490"/>
      <c r="U481" s="490"/>
      <c r="V481" s="490"/>
      <c r="W481" s="490"/>
      <c r="X481" s="490"/>
      <c r="Y481" s="490"/>
      <c r="Z481" s="490"/>
      <c r="AA481" s="490"/>
      <c r="AB481" s="490"/>
      <c r="AC481" s="490"/>
      <c r="AD481" s="490"/>
      <c r="AE481" s="490"/>
      <c r="AF481" s="490"/>
      <c r="AG481" s="490"/>
      <c r="AH481" s="490"/>
      <c r="AI481" s="490"/>
      <c r="AJ481" s="490"/>
      <c r="AK481" s="490"/>
      <c r="AL481" s="490"/>
      <c r="AM481" s="490"/>
      <c r="AN481" s="490"/>
      <c r="AO481" s="490"/>
      <c r="AP481" s="490"/>
      <c r="AQ481" s="490"/>
      <c r="AR481" s="490"/>
      <c r="AS481" s="490"/>
      <c r="AT481" s="490"/>
      <c r="AU481" s="490"/>
      <c r="AV481" s="490"/>
      <c r="AW481" s="490"/>
      <c r="AX481" s="490"/>
      <c r="AY481" s="490"/>
      <c r="AZ481" s="490"/>
      <c r="BA481" s="490"/>
      <c r="BB481" s="490"/>
      <c r="BC481" s="490"/>
      <c r="BD481" s="490"/>
      <c r="BE481" s="490"/>
      <c r="BF481" s="490"/>
      <c r="BG481" s="490"/>
      <c r="BH481" s="490"/>
      <c r="BI481" s="490"/>
      <c r="BJ481" s="490"/>
      <c r="BK481" s="490"/>
      <c r="BL481" s="490"/>
      <c r="BM481" s="490"/>
      <c r="BN481" s="490"/>
      <c r="BO481" s="490"/>
    </row>
    <row r="482" spans="3:67">
      <c r="C482" s="490"/>
      <c r="D482" s="490"/>
      <c r="E482" s="490"/>
      <c r="F482" s="490"/>
      <c r="G482" s="490"/>
      <c r="H482" s="490"/>
      <c r="I482" s="490"/>
      <c r="J482" s="490"/>
      <c r="K482" s="490"/>
      <c r="L482" s="490"/>
      <c r="M482" s="490"/>
      <c r="N482" s="490"/>
      <c r="O482" s="490"/>
      <c r="P482" s="490"/>
      <c r="Q482" s="490"/>
      <c r="R482" s="490"/>
      <c r="S482" s="490"/>
      <c r="T482" s="490"/>
      <c r="U482" s="490"/>
      <c r="V482" s="490"/>
      <c r="W482" s="490"/>
      <c r="X482" s="490"/>
      <c r="Y482" s="490"/>
      <c r="Z482" s="490"/>
      <c r="AA482" s="490"/>
      <c r="AB482" s="490"/>
      <c r="AC482" s="490"/>
      <c r="AD482" s="490"/>
      <c r="AE482" s="490"/>
      <c r="AF482" s="490"/>
      <c r="AG482" s="490"/>
      <c r="AH482" s="490"/>
      <c r="AI482" s="490"/>
      <c r="AJ482" s="490"/>
      <c r="AK482" s="490"/>
      <c r="AL482" s="490"/>
      <c r="AM482" s="490"/>
      <c r="AN482" s="490"/>
      <c r="AO482" s="490"/>
      <c r="AP482" s="490"/>
      <c r="AQ482" s="490"/>
      <c r="AR482" s="490"/>
      <c r="AS482" s="490"/>
      <c r="AT482" s="490"/>
      <c r="AU482" s="490"/>
      <c r="AV482" s="490"/>
      <c r="AW482" s="490"/>
      <c r="AX482" s="490"/>
      <c r="AY482" s="490"/>
      <c r="AZ482" s="490"/>
      <c r="BA482" s="490"/>
      <c r="BB482" s="490"/>
      <c r="BC482" s="490"/>
      <c r="BD482" s="490"/>
      <c r="BE482" s="490"/>
      <c r="BF482" s="490"/>
      <c r="BG482" s="490"/>
      <c r="BH482" s="490"/>
      <c r="BI482" s="490"/>
      <c r="BJ482" s="490"/>
      <c r="BK482" s="490"/>
      <c r="BL482" s="490"/>
      <c r="BM482" s="490"/>
      <c r="BN482" s="490"/>
      <c r="BO482" s="490"/>
    </row>
    <row r="483" spans="3:67">
      <c r="C483" s="490"/>
      <c r="D483" s="490"/>
      <c r="E483" s="490"/>
      <c r="F483" s="490"/>
      <c r="G483" s="490"/>
      <c r="H483" s="490"/>
      <c r="I483" s="490"/>
      <c r="J483" s="490"/>
      <c r="K483" s="490"/>
      <c r="L483" s="490"/>
      <c r="M483" s="490"/>
      <c r="N483" s="490"/>
      <c r="O483" s="490"/>
      <c r="P483" s="490"/>
      <c r="Q483" s="490"/>
      <c r="R483" s="490"/>
      <c r="S483" s="490"/>
      <c r="T483" s="490"/>
      <c r="U483" s="490"/>
      <c r="V483" s="490"/>
      <c r="W483" s="490"/>
      <c r="X483" s="490"/>
      <c r="Y483" s="490"/>
      <c r="Z483" s="490"/>
      <c r="AA483" s="490"/>
      <c r="AB483" s="490"/>
      <c r="AC483" s="490"/>
      <c r="AD483" s="490"/>
      <c r="AE483" s="490"/>
      <c r="AF483" s="490"/>
      <c r="AG483" s="490"/>
      <c r="AH483" s="490"/>
      <c r="AI483" s="490"/>
      <c r="AJ483" s="490"/>
      <c r="AK483" s="490"/>
      <c r="AL483" s="490"/>
      <c r="AM483" s="490"/>
      <c r="AN483" s="490"/>
      <c r="AO483" s="490"/>
      <c r="AP483" s="490"/>
      <c r="AQ483" s="490"/>
      <c r="AR483" s="490"/>
      <c r="AS483" s="490"/>
      <c r="AT483" s="490"/>
      <c r="AU483" s="490"/>
      <c r="AV483" s="490"/>
      <c r="AW483" s="490"/>
      <c r="AX483" s="490"/>
      <c r="AY483" s="490"/>
      <c r="AZ483" s="490"/>
      <c r="BA483" s="490"/>
      <c r="BB483" s="490"/>
      <c r="BC483" s="490"/>
      <c r="BD483" s="490"/>
      <c r="BE483" s="490"/>
      <c r="BF483" s="490"/>
      <c r="BG483" s="490"/>
      <c r="BH483" s="490"/>
      <c r="BI483" s="490"/>
      <c r="BJ483" s="490"/>
      <c r="BK483" s="490"/>
      <c r="BL483" s="490"/>
      <c r="BM483" s="490"/>
      <c r="BN483" s="490"/>
      <c r="BO483" s="490"/>
    </row>
    <row r="484" spans="3:67">
      <c r="C484" s="394"/>
      <c r="D484" s="394"/>
      <c r="E484" s="394"/>
      <c r="F484" s="394"/>
      <c r="G484" s="394"/>
      <c r="H484" s="394"/>
      <c r="I484" s="394"/>
      <c r="J484" s="394"/>
      <c r="K484" s="394"/>
      <c r="L484" s="394"/>
      <c r="M484" s="394"/>
      <c r="N484" s="394"/>
      <c r="O484" s="394"/>
      <c r="P484" s="394"/>
      <c r="Q484" s="394"/>
      <c r="R484" s="394"/>
      <c r="S484" s="394"/>
      <c r="T484" s="394"/>
      <c r="U484" s="394"/>
      <c r="V484" s="394"/>
      <c r="W484" s="394"/>
      <c r="X484" s="394"/>
      <c r="Y484" s="394"/>
      <c r="Z484" s="394"/>
      <c r="AA484" s="394"/>
      <c r="AB484" s="394"/>
      <c r="AC484" s="394"/>
      <c r="AD484" s="394"/>
      <c r="AE484" s="394"/>
      <c r="AF484" s="394"/>
      <c r="AG484" s="394"/>
      <c r="AH484" s="394"/>
      <c r="AI484" s="394"/>
      <c r="AJ484" s="394"/>
      <c r="AK484" s="394"/>
      <c r="AL484" s="394"/>
      <c r="AM484" s="394"/>
      <c r="AN484" s="394"/>
      <c r="AO484" s="394"/>
      <c r="AP484" s="394"/>
      <c r="AQ484" s="394"/>
      <c r="AR484" s="394"/>
      <c r="AS484" s="394"/>
      <c r="AT484" s="394"/>
      <c r="AU484" s="394"/>
      <c r="AV484" s="394"/>
      <c r="AW484" s="394"/>
      <c r="AX484" s="394"/>
      <c r="AY484" s="394"/>
      <c r="AZ484" s="394"/>
      <c r="BA484" s="394"/>
      <c r="BB484" s="394"/>
      <c r="BC484" s="394"/>
      <c r="BD484" s="394"/>
      <c r="BE484" s="394"/>
      <c r="BF484" s="394"/>
      <c r="BG484" s="394"/>
      <c r="BH484" s="394"/>
      <c r="BI484" s="394"/>
      <c r="BJ484" s="394"/>
      <c r="BK484" s="394"/>
      <c r="BL484" s="394"/>
      <c r="BM484" s="394"/>
      <c r="BN484" s="394"/>
      <c r="BO484" s="394"/>
    </row>
    <row r="485" spans="3:67">
      <c r="C485" s="547"/>
      <c r="D485" s="394"/>
      <c r="E485" s="394"/>
      <c r="F485" s="394"/>
      <c r="G485" s="394"/>
      <c r="H485" s="547"/>
      <c r="I485" s="394"/>
      <c r="J485" s="394"/>
      <c r="K485" s="394"/>
      <c r="L485" s="394"/>
      <c r="M485" s="547"/>
      <c r="N485" s="394"/>
      <c r="O485" s="394"/>
      <c r="P485" s="394"/>
      <c r="Q485" s="394"/>
      <c r="R485" s="547"/>
      <c r="S485" s="394"/>
      <c r="T485" s="394"/>
      <c r="U485" s="394"/>
      <c r="V485" s="394"/>
      <c r="W485" s="547"/>
      <c r="X485" s="394"/>
      <c r="Y485" s="394"/>
      <c r="Z485" s="394"/>
      <c r="AA485" s="394"/>
      <c r="AB485" s="547"/>
      <c r="AC485" s="394"/>
      <c r="AD485" s="394"/>
      <c r="AE485" s="394"/>
      <c r="AF485" s="394"/>
      <c r="AG485" s="547"/>
      <c r="AH485" s="394"/>
      <c r="AI485" s="394"/>
      <c r="AJ485" s="394"/>
      <c r="AK485" s="394"/>
      <c r="AL485" s="547"/>
      <c r="AM485" s="394"/>
      <c r="AN485" s="394"/>
      <c r="AO485" s="394"/>
      <c r="AP485" s="394"/>
      <c r="AQ485" s="547"/>
      <c r="AR485" s="394"/>
      <c r="AS485" s="394"/>
      <c r="AT485" s="394"/>
      <c r="AU485" s="394"/>
      <c r="AV485" s="547"/>
      <c r="AW485" s="394"/>
      <c r="AX485" s="394"/>
      <c r="AY485" s="394"/>
      <c r="AZ485" s="394"/>
      <c r="BA485" s="547"/>
      <c r="BB485" s="394"/>
      <c r="BC485" s="394"/>
      <c r="BD485" s="394"/>
      <c r="BE485" s="394"/>
      <c r="BF485" s="547"/>
      <c r="BG485" s="394"/>
      <c r="BH485" s="394"/>
      <c r="BI485" s="394"/>
      <c r="BJ485" s="394"/>
      <c r="BK485" s="547"/>
      <c r="BL485" s="394"/>
      <c r="BM485" s="394"/>
      <c r="BN485" s="394"/>
      <c r="BO485" s="394"/>
    </row>
    <row r="486" spans="3:67">
      <c r="C486" s="394"/>
      <c r="D486" s="394"/>
      <c r="E486" s="394"/>
      <c r="F486" s="394"/>
      <c r="G486" s="394"/>
      <c r="H486" s="394"/>
      <c r="I486" s="394"/>
      <c r="J486" s="394"/>
      <c r="K486" s="394"/>
      <c r="L486" s="394"/>
      <c r="M486" s="394"/>
      <c r="N486" s="394"/>
      <c r="O486" s="394"/>
      <c r="P486" s="394"/>
      <c r="Q486" s="394"/>
      <c r="R486" s="394"/>
      <c r="S486" s="394"/>
      <c r="T486" s="394"/>
      <c r="U486" s="394"/>
      <c r="V486" s="394"/>
      <c r="W486" s="394"/>
      <c r="X486" s="394"/>
      <c r="Y486" s="394"/>
      <c r="Z486" s="394"/>
      <c r="AA486" s="394"/>
      <c r="AB486" s="394"/>
      <c r="AC486" s="394"/>
      <c r="AD486" s="394"/>
      <c r="AE486" s="394"/>
      <c r="AF486" s="394"/>
      <c r="AG486" s="394"/>
      <c r="AH486" s="394"/>
      <c r="AI486" s="394"/>
      <c r="AJ486" s="394"/>
      <c r="AK486" s="394"/>
      <c r="AL486" s="394"/>
      <c r="AM486" s="394"/>
      <c r="AN486" s="394"/>
      <c r="AO486" s="394"/>
      <c r="AP486" s="394"/>
      <c r="AQ486" s="394"/>
      <c r="AR486" s="394"/>
      <c r="AS486" s="394"/>
      <c r="AT486" s="394"/>
      <c r="AU486" s="394"/>
      <c r="AV486" s="394"/>
      <c r="AW486" s="394"/>
      <c r="AX486" s="394"/>
      <c r="AY486" s="394"/>
      <c r="AZ486" s="394"/>
      <c r="BA486" s="394"/>
      <c r="BB486" s="394"/>
      <c r="BC486" s="394"/>
      <c r="BD486" s="394"/>
      <c r="BE486" s="394"/>
      <c r="BF486" s="394"/>
      <c r="BG486" s="394"/>
      <c r="BH486" s="394"/>
      <c r="BI486" s="394"/>
      <c r="BJ486" s="394"/>
      <c r="BK486" s="394"/>
      <c r="BL486" s="394"/>
      <c r="BM486" s="394"/>
      <c r="BN486" s="394"/>
      <c r="BO486" s="394"/>
    </row>
    <row r="487" spans="3:67">
      <c r="C487" s="548"/>
      <c r="D487" s="543"/>
      <c r="E487" s="543"/>
      <c r="F487" s="543"/>
      <c r="G487" s="543"/>
      <c r="H487" s="548"/>
      <c r="I487" s="543"/>
      <c r="J487" s="543"/>
      <c r="K487" s="543"/>
      <c r="L487" s="543"/>
      <c r="M487" s="548"/>
      <c r="N487" s="543"/>
      <c r="O487" s="543"/>
      <c r="P487" s="543"/>
      <c r="Q487" s="543"/>
      <c r="R487" s="548"/>
      <c r="S487" s="543"/>
      <c r="T487" s="543"/>
      <c r="U487" s="543"/>
      <c r="V487" s="543"/>
      <c r="W487" s="548"/>
      <c r="X487" s="543"/>
      <c r="Y487" s="543"/>
      <c r="Z487" s="543"/>
      <c r="AA487" s="543"/>
      <c r="AB487" s="548"/>
      <c r="AC487" s="543"/>
      <c r="AD487" s="543"/>
      <c r="AE487" s="543"/>
      <c r="AF487" s="543"/>
      <c r="AG487" s="548"/>
      <c r="AH487" s="543"/>
      <c r="AI487" s="543"/>
      <c r="AJ487" s="543"/>
      <c r="AK487" s="543"/>
      <c r="AL487" s="548"/>
      <c r="AM487" s="543"/>
      <c r="AN487" s="543"/>
      <c r="AO487" s="543"/>
      <c r="AP487" s="543"/>
      <c r="AQ487" s="548"/>
      <c r="AR487" s="543"/>
      <c r="AS487" s="543"/>
      <c r="AT487" s="543"/>
      <c r="AU487" s="543"/>
      <c r="AV487" s="548"/>
      <c r="AW487" s="543"/>
      <c r="AX487" s="543"/>
      <c r="AY487" s="543"/>
      <c r="AZ487" s="543"/>
      <c r="BA487" s="548"/>
      <c r="BB487" s="543"/>
      <c r="BC487" s="543"/>
      <c r="BD487" s="543"/>
      <c r="BE487" s="543"/>
      <c r="BF487" s="548"/>
      <c r="BG487" s="543"/>
      <c r="BH487" s="543"/>
      <c r="BI487" s="543"/>
      <c r="BJ487" s="543"/>
      <c r="BK487" s="548"/>
      <c r="BL487" s="543"/>
      <c r="BM487" s="543"/>
      <c r="BN487" s="543"/>
      <c r="BO487" s="543"/>
    </row>
    <row r="488" spans="3:67">
      <c r="C488" s="547"/>
      <c r="D488" s="394"/>
      <c r="E488" s="394"/>
      <c r="F488" s="394"/>
      <c r="G488" s="394"/>
      <c r="H488" s="547"/>
      <c r="I488" s="394"/>
      <c r="J488" s="394"/>
      <c r="K488" s="394"/>
      <c r="L488" s="394"/>
      <c r="M488" s="547"/>
      <c r="N488" s="394"/>
      <c r="O488" s="394"/>
      <c r="P488" s="394"/>
      <c r="Q488" s="394"/>
      <c r="R488" s="547"/>
      <c r="S488" s="394"/>
      <c r="T488" s="394"/>
      <c r="U488" s="394"/>
      <c r="V488" s="394"/>
      <c r="W488" s="547"/>
      <c r="X488" s="394"/>
      <c r="Y488" s="394"/>
      <c r="Z488" s="394"/>
      <c r="AA488" s="394"/>
      <c r="AB488" s="547"/>
      <c r="AC488" s="394"/>
      <c r="AD488" s="394"/>
      <c r="AE488" s="394"/>
      <c r="AF488" s="394"/>
      <c r="AG488" s="547"/>
      <c r="AH488" s="394"/>
      <c r="AI488" s="394"/>
      <c r="AJ488" s="394"/>
      <c r="AK488" s="394"/>
      <c r="AL488" s="547"/>
      <c r="AM488" s="394"/>
      <c r="AN488" s="394"/>
      <c r="AO488" s="394"/>
      <c r="AP488" s="394"/>
      <c r="AQ488" s="547"/>
      <c r="AR488" s="394"/>
      <c r="AS488" s="394"/>
      <c r="AT488" s="394"/>
      <c r="AU488" s="394"/>
      <c r="AV488" s="547"/>
      <c r="AW488" s="394"/>
      <c r="AX488" s="394"/>
      <c r="AY488" s="394"/>
      <c r="AZ488" s="394"/>
      <c r="BA488" s="547"/>
      <c r="BB488" s="394"/>
      <c r="BC488" s="394"/>
      <c r="BD488" s="394"/>
      <c r="BE488" s="394"/>
      <c r="BF488" s="547"/>
      <c r="BG488" s="394"/>
      <c r="BH488" s="394"/>
      <c r="BI488" s="394"/>
      <c r="BJ488" s="394"/>
      <c r="BK488" s="547"/>
      <c r="BL488" s="394"/>
      <c r="BM488" s="394"/>
      <c r="BN488" s="394"/>
      <c r="BO488" s="394"/>
    </row>
    <row r="489" spans="3:67">
      <c r="C489" s="547"/>
      <c r="D489" s="394"/>
      <c r="E489" s="394"/>
      <c r="F489" s="394"/>
      <c r="G489" s="394"/>
      <c r="H489" s="547"/>
      <c r="I489" s="394"/>
      <c r="J489" s="394"/>
      <c r="K489" s="394"/>
      <c r="L489" s="394"/>
      <c r="M489" s="547"/>
      <c r="N489" s="394"/>
      <c r="O489" s="394"/>
      <c r="P489" s="394"/>
      <c r="Q489" s="394"/>
      <c r="R489" s="547"/>
      <c r="S489" s="394"/>
      <c r="T489" s="394"/>
      <c r="U489" s="394"/>
      <c r="V489" s="394"/>
      <c r="W489" s="547"/>
      <c r="X489" s="394"/>
      <c r="Y489" s="394"/>
      <c r="Z489" s="394"/>
      <c r="AA489" s="394"/>
      <c r="AB489" s="547"/>
      <c r="AC489" s="394"/>
      <c r="AD489" s="394"/>
      <c r="AE489" s="394"/>
      <c r="AF489" s="394"/>
      <c r="AG489" s="547"/>
      <c r="AH489" s="394"/>
      <c r="AI489" s="394"/>
      <c r="AJ489" s="394"/>
      <c r="AK489" s="394"/>
      <c r="AL489" s="547"/>
      <c r="AM489" s="394"/>
      <c r="AN489" s="394"/>
      <c r="AO489" s="394"/>
      <c r="AP489" s="394"/>
      <c r="AQ489" s="547"/>
      <c r="AR489" s="394"/>
      <c r="AS489" s="394"/>
      <c r="AT489" s="394"/>
      <c r="AU489" s="394"/>
      <c r="AV489" s="547"/>
      <c r="AW489" s="394"/>
      <c r="AX489" s="394"/>
      <c r="AY489" s="394"/>
      <c r="AZ489" s="394"/>
      <c r="BA489" s="547"/>
      <c r="BB489" s="394"/>
      <c r="BC489" s="394"/>
      <c r="BD489" s="394"/>
      <c r="BE489" s="394"/>
      <c r="BF489" s="547"/>
      <c r="BG489" s="394"/>
      <c r="BH489" s="394"/>
      <c r="BI489" s="394"/>
      <c r="BJ489" s="394"/>
      <c r="BK489" s="547"/>
      <c r="BL489" s="394"/>
      <c r="BM489" s="394"/>
      <c r="BN489" s="394"/>
      <c r="BO489" s="394"/>
    </row>
    <row r="490" spans="3:67">
      <c r="C490" s="394"/>
      <c r="D490" s="394"/>
      <c r="E490" s="394"/>
      <c r="F490" s="394"/>
      <c r="G490" s="394"/>
      <c r="H490" s="394"/>
      <c r="I490" s="394"/>
      <c r="J490" s="394"/>
      <c r="K490" s="394"/>
      <c r="L490" s="394"/>
      <c r="M490" s="394"/>
      <c r="N490" s="394"/>
      <c r="O490" s="394"/>
      <c r="P490" s="394"/>
      <c r="Q490" s="394"/>
      <c r="R490" s="394"/>
      <c r="S490" s="394"/>
      <c r="T490" s="394"/>
      <c r="U490" s="394"/>
      <c r="V490" s="394"/>
      <c r="W490" s="394"/>
      <c r="X490" s="394"/>
      <c r="Y490" s="394"/>
      <c r="Z490" s="394"/>
      <c r="AA490" s="394"/>
      <c r="AB490" s="394"/>
      <c r="AC490" s="394"/>
      <c r="AD490" s="394"/>
      <c r="AE490" s="394"/>
      <c r="AF490" s="394"/>
      <c r="AG490" s="394"/>
      <c r="AH490" s="394"/>
      <c r="AI490" s="394"/>
      <c r="AJ490" s="394"/>
      <c r="AK490" s="394"/>
      <c r="AL490" s="394"/>
      <c r="AM490" s="394"/>
      <c r="AN490" s="394"/>
      <c r="AO490" s="394"/>
      <c r="AP490" s="394"/>
      <c r="AQ490" s="394"/>
      <c r="AR490" s="394"/>
      <c r="AS490" s="394"/>
      <c r="AT490" s="394"/>
      <c r="AU490" s="394"/>
      <c r="AV490" s="394"/>
      <c r="AW490" s="394"/>
      <c r="AX490" s="394"/>
      <c r="AY490" s="394"/>
      <c r="AZ490" s="394"/>
      <c r="BA490" s="394"/>
      <c r="BB490" s="394"/>
      <c r="BC490" s="394"/>
      <c r="BD490" s="394"/>
      <c r="BE490" s="394"/>
      <c r="BF490" s="394"/>
      <c r="BG490" s="394"/>
      <c r="BH490" s="394"/>
      <c r="BI490" s="394"/>
      <c r="BJ490" s="394"/>
      <c r="BK490" s="394"/>
      <c r="BL490" s="394"/>
      <c r="BM490" s="394"/>
      <c r="BN490" s="394"/>
      <c r="BO490" s="394"/>
    </row>
    <row r="491" spans="3:67">
      <c r="C491" s="394"/>
      <c r="D491" s="394"/>
      <c r="E491" s="394"/>
      <c r="F491" s="394"/>
      <c r="G491" s="394"/>
      <c r="H491" s="394"/>
      <c r="I491" s="394"/>
      <c r="J491" s="394"/>
      <c r="K491" s="394"/>
      <c r="L491" s="394"/>
      <c r="M491" s="394"/>
      <c r="N491" s="394"/>
      <c r="O491" s="394"/>
      <c r="P491" s="394"/>
      <c r="Q491" s="394"/>
      <c r="R491" s="394"/>
      <c r="S491" s="394"/>
      <c r="T491" s="394"/>
      <c r="U491" s="394"/>
      <c r="V491" s="394"/>
      <c r="W491" s="394"/>
      <c r="X491" s="394"/>
      <c r="Y491" s="394"/>
      <c r="Z491" s="394"/>
      <c r="AA491" s="394"/>
      <c r="AB491" s="394"/>
      <c r="AC491" s="394"/>
      <c r="AD491" s="394"/>
      <c r="AE491" s="394"/>
      <c r="AF491" s="394"/>
      <c r="AG491" s="394"/>
      <c r="AH491" s="394"/>
      <c r="AI491" s="394"/>
      <c r="AJ491" s="394"/>
      <c r="AK491" s="394"/>
      <c r="AL491" s="394"/>
      <c r="AM491" s="394"/>
      <c r="AN491" s="394"/>
      <c r="AO491" s="394"/>
      <c r="AP491" s="394"/>
      <c r="AQ491" s="394"/>
      <c r="AR491" s="394"/>
      <c r="AS491" s="394"/>
      <c r="AT491" s="394"/>
      <c r="AU491" s="394"/>
      <c r="AV491" s="394"/>
      <c r="AW491" s="394"/>
      <c r="AX491" s="394"/>
      <c r="AY491" s="394"/>
      <c r="AZ491" s="394"/>
      <c r="BA491" s="394"/>
      <c r="BB491" s="394"/>
      <c r="BC491" s="394"/>
      <c r="BD491" s="394"/>
      <c r="BE491" s="394"/>
      <c r="BF491" s="394"/>
      <c r="BG491" s="394"/>
      <c r="BH491" s="394"/>
      <c r="BI491" s="394"/>
      <c r="BJ491" s="394"/>
      <c r="BK491" s="394"/>
      <c r="BL491" s="394"/>
      <c r="BM491" s="394"/>
      <c r="BN491" s="394"/>
      <c r="BO491" s="394"/>
    </row>
    <row r="492" spans="3:67">
      <c r="C492" s="394"/>
      <c r="D492" s="394"/>
      <c r="E492" s="394"/>
      <c r="F492" s="394"/>
      <c r="G492" s="394"/>
      <c r="H492" s="394"/>
      <c r="I492" s="394"/>
      <c r="J492" s="394"/>
      <c r="K492" s="394"/>
      <c r="L492" s="394"/>
      <c r="M492" s="394"/>
      <c r="N492" s="394"/>
      <c r="O492" s="394"/>
      <c r="P492" s="394"/>
      <c r="Q492" s="394"/>
      <c r="R492" s="394"/>
      <c r="S492" s="394"/>
      <c r="T492" s="394"/>
      <c r="U492" s="394"/>
      <c r="V492" s="394"/>
      <c r="W492" s="394"/>
      <c r="X492" s="394"/>
      <c r="Y492" s="394"/>
      <c r="Z492" s="394"/>
      <c r="AA492" s="394"/>
      <c r="AB492" s="394"/>
      <c r="AC492" s="394"/>
      <c r="AD492" s="394"/>
      <c r="AE492" s="394"/>
      <c r="AF492" s="394"/>
      <c r="AG492" s="394"/>
      <c r="AH492" s="394"/>
      <c r="AI492" s="394"/>
      <c r="AJ492" s="394"/>
      <c r="AK492" s="394"/>
      <c r="AL492" s="394"/>
      <c r="AM492" s="394"/>
      <c r="AN492" s="394"/>
      <c r="AO492" s="394"/>
      <c r="AP492" s="394"/>
      <c r="AQ492" s="394"/>
      <c r="AR492" s="394"/>
      <c r="AS492" s="394"/>
      <c r="AT492" s="394"/>
      <c r="AU492" s="394"/>
      <c r="AV492" s="394"/>
      <c r="AW492" s="394"/>
      <c r="AX492" s="394"/>
      <c r="AY492" s="394"/>
      <c r="AZ492" s="394"/>
      <c r="BA492" s="394"/>
      <c r="BB492" s="394"/>
      <c r="BC492" s="394"/>
      <c r="BD492" s="394"/>
      <c r="BE492" s="394"/>
      <c r="BF492" s="394"/>
      <c r="BG492" s="394"/>
      <c r="BH492" s="394"/>
      <c r="BI492" s="394"/>
      <c r="BJ492" s="394"/>
      <c r="BK492" s="394"/>
      <c r="BL492" s="394"/>
      <c r="BM492" s="394"/>
      <c r="BN492" s="394"/>
      <c r="BO492" s="394"/>
    </row>
    <row r="493" spans="3:67">
      <c r="C493" s="490"/>
      <c r="D493" s="394"/>
      <c r="E493" s="394"/>
      <c r="F493" s="394"/>
      <c r="G493" s="394"/>
      <c r="H493" s="490"/>
      <c r="I493" s="394"/>
      <c r="J493" s="394"/>
      <c r="K493" s="394"/>
      <c r="L493" s="394"/>
      <c r="M493" s="490"/>
      <c r="N493" s="394"/>
      <c r="O493" s="394"/>
      <c r="P493" s="394"/>
      <c r="Q493" s="394"/>
      <c r="R493" s="490"/>
      <c r="S493" s="394"/>
      <c r="T493" s="394"/>
      <c r="U493" s="394"/>
      <c r="V493" s="394"/>
      <c r="W493" s="490"/>
      <c r="X493" s="394"/>
      <c r="Y493" s="394"/>
      <c r="Z493" s="394"/>
      <c r="AA493" s="394"/>
      <c r="AB493" s="490"/>
      <c r="AC493" s="394"/>
      <c r="AD493" s="394"/>
      <c r="AE493" s="394"/>
      <c r="AF493" s="394"/>
      <c r="AG493" s="490"/>
      <c r="AH493" s="394"/>
      <c r="AI493" s="394"/>
      <c r="AJ493" s="394"/>
      <c r="AK493" s="394"/>
      <c r="AL493" s="490"/>
      <c r="AM493" s="394"/>
      <c r="AN493" s="394"/>
      <c r="AO493" s="394"/>
      <c r="AP493" s="394"/>
      <c r="AQ493" s="490"/>
      <c r="AR493" s="394"/>
      <c r="AS493" s="394"/>
      <c r="AT493" s="394"/>
      <c r="AU493" s="394"/>
      <c r="AV493" s="490"/>
      <c r="AW493" s="394"/>
      <c r="AX493" s="394"/>
      <c r="AY493" s="394"/>
      <c r="AZ493" s="394"/>
      <c r="BA493" s="490"/>
      <c r="BB493" s="394"/>
      <c r="BC493" s="394"/>
      <c r="BD493" s="394"/>
      <c r="BE493" s="394"/>
      <c r="BF493" s="490"/>
      <c r="BG493" s="394"/>
      <c r="BH493" s="394"/>
      <c r="BI493" s="394"/>
      <c r="BJ493" s="394"/>
      <c r="BK493" s="490"/>
      <c r="BL493" s="394"/>
      <c r="BM493" s="394"/>
      <c r="BN493" s="394"/>
      <c r="BO493" s="394"/>
    </row>
    <row r="494" spans="3:67">
      <c r="C494" s="547"/>
      <c r="D494" s="394"/>
      <c r="E494" s="394"/>
      <c r="F494" s="394"/>
      <c r="G494" s="394"/>
      <c r="H494" s="547"/>
      <c r="I494" s="394"/>
      <c r="J494" s="394"/>
      <c r="K494" s="394"/>
      <c r="L494" s="394"/>
      <c r="M494" s="547"/>
      <c r="N494" s="394"/>
      <c r="O494" s="394"/>
      <c r="P494" s="394"/>
      <c r="Q494" s="394"/>
      <c r="R494" s="547"/>
      <c r="S494" s="394"/>
      <c r="T494" s="394"/>
      <c r="U494" s="394"/>
      <c r="V494" s="394"/>
      <c r="W494" s="547"/>
      <c r="X494" s="394"/>
      <c r="Y494" s="394"/>
      <c r="Z494" s="394"/>
      <c r="AA494" s="394"/>
      <c r="AB494" s="547"/>
      <c r="AC494" s="394"/>
      <c r="AD494" s="394"/>
      <c r="AE494" s="394"/>
      <c r="AF494" s="394"/>
      <c r="AG494" s="547"/>
      <c r="AH494" s="394"/>
      <c r="AI494" s="394"/>
      <c r="AJ494" s="394"/>
      <c r="AK494" s="394"/>
      <c r="AL494" s="547"/>
      <c r="AM494" s="394"/>
      <c r="AN494" s="394"/>
      <c r="AO494" s="394"/>
      <c r="AP494" s="394"/>
      <c r="AQ494" s="547"/>
      <c r="AR494" s="394"/>
      <c r="AS494" s="394"/>
      <c r="AT494" s="394"/>
      <c r="AU494" s="394"/>
      <c r="AV494" s="547"/>
      <c r="AW494" s="394"/>
      <c r="AX494" s="394"/>
      <c r="AY494" s="394"/>
      <c r="AZ494" s="394"/>
      <c r="BA494" s="547"/>
      <c r="BB494" s="394"/>
      <c r="BC494" s="394"/>
      <c r="BD494" s="394"/>
      <c r="BE494" s="394"/>
      <c r="BF494" s="547"/>
      <c r="BG494" s="394"/>
      <c r="BH494" s="394"/>
      <c r="BI494" s="394"/>
      <c r="BJ494" s="394"/>
      <c r="BK494" s="547"/>
      <c r="BL494" s="394"/>
      <c r="BM494" s="394"/>
      <c r="BN494" s="394"/>
      <c r="BO494" s="394"/>
    </row>
    <row r="495" spans="3:67">
      <c r="C495" s="547"/>
      <c r="D495" s="394"/>
      <c r="E495" s="394"/>
      <c r="F495" s="394"/>
      <c r="G495" s="394"/>
      <c r="H495" s="547"/>
      <c r="I495" s="394"/>
      <c r="J495" s="394"/>
      <c r="K495" s="394"/>
      <c r="L495" s="394"/>
      <c r="M495" s="547"/>
      <c r="N495" s="394"/>
      <c r="O495" s="394"/>
      <c r="P495" s="394"/>
      <c r="Q495" s="394"/>
      <c r="R495" s="547"/>
      <c r="S495" s="394"/>
      <c r="T495" s="394"/>
      <c r="U495" s="394"/>
      <c r="V495" s="394"/>
      <c r="W495" s="547"/>
      <c r="X495" s="394"/>
      <c r="Y495" s="394"/>
      <c r="Z495" s="394"/>
      <c r="AA495" s="394"/>
      <c r="AB495" s="547"/>
      <c r="AC495" s="394"/>
      <c r="AD495" s="394"/>
      <c r="AE495" s="394"/>
      <c r="AF495" s="394"/>
      <c r="AG495" s="547"/>
      <c r="AH495" s="394"/>
      <c r="AI495" s="394"/>
      <c r="AJ495" s="394"/>
      <c r="AK495" s="394"/>
      <c r="AL495" s="547"/>
      <c r="AM495" s="394"/>
      <c r="AN495" s="394"/>
      <c r="AO495" s="394"/>
      <c r="AP495" s="394"/>
      <c r="AQ495" s="547"/>
      <c r="AR495" s="394"/>
      <c r="AS495" s="394"/>
      <c r="AT495" s="394"/>
      <c r="AU495" s="394"/>
      <c r="AV495" s="547"/>
      <c r="AW495" s="394"/>
      <c r="AX495" s="394"/>
      <c r="AY495" s="394"/>
      <c r="AZ495" s="394"/>
      <c r="BA495" s="547"/>
      <c r="BB495" s="394"/>
      <c r="BC495" s="394"/>
      <c r="BD495" s="394"/>
      <c r="BE495" s="394"/>
      <c r="BF495" s="547"/>
      <c r="BG495" s="394"/>
      <c r="BH495" s="394"/>
      <c r="BI495" s="394"/>
      <c r="BJ495" s="394"/>
      <c r="BK495" s="547"/>
      <c r="BL495" s="394"/>
      <c r="BM495" s="394"/>
      <c r="BN495" s="394"/>
      <c r="BO495" s="394"/>
    </row>
    <row r="496" spans="3:67">
      <c r="C496" s="394"/>
      <c r="D496" s="394"/>
      <c r="E496" s="394"/>
      <c r="F496" s="394"/>
      <c r="G496" s="394"/>
      <c r="H496" s="394"/>
      <c r="I496" s="394"/>
      <c r="J496" s="394"/>
      <c r="K496" s="394"/>
      <c r="L496" s="394"/>
      <c r="M496" s="394"/>
      <c r="N496" s="394"/>
      <c r="O496" s="394"/>
      <c r="P496" s="394"/>
      <c r="Q496" s="394"/>
      <c r="R496" s="394"/>
      <c r="S496" s="394"/>
      <c r="T496" s="394"/>
      <c r="U496" s="394"/>
      <c r="V496" s="394"/>
      <c r="W496" s="394"/>
      <c r="X496" s="394"/>
      <c r="Y496" s="394"/>
      <c r="Z496" s="394"/>
      <c r="AA496" s="394"/>
      <c r="AB496" s="394"/>
      <c r="AC496" s="394"/>
      <c r="AD496" s="394"/>
      <c r="AE496" s="394"/>
      <c r="AF496" s="394"/>
      <c r="AG496" s="394"/>
      <c r="AH496" s="394"/>
      <c r="AI496" s="394"/>
      <c r="AJ496" s="394"/>
      <c r="AK496" s="394"/>
      <c r="AL496" s="394"/>
      <c r="AM496" s="394"/>
      <c r="AN496" s="394"/>
      <c r="AO496" s="394"/>
      <c r="AP496" s="394"/>
      <c r="AQ496" s="394"/>
      <c r="AR496" s="394"/>
      <c r="AS496" s="394"/>
      <c r="AT496" s="394"/>
      <c r="AU496" s="394"/>
      <c r="AV496" s="394"/>
      <c r="AW496" s="394"/>
      <c r="AX496" s="394"/>
      <c r="AY496" s="394"/>
      <c r="AZ496" s="394"/>
      <c r="BA496" s="394"/>
      <c r="BB496" s="394"/>
      <c r="BC496" s="394"/>
      <c r="BD496" s="394"/>
      <c r="BE496" s="394"/>
      <c r="BF496" s="394"/>
      <c r="BG496" s="394"/>
      <c r="BH496" s="394"/>
      <c r="BI496" s="394"/>
      <c r="BJ496" s="394"/>
      <c r="BK496" s="394"/>
      <c r="BL496" s="394"/>
      <c r="BM496" s="394"/>
      <c r="BN496" s="394"/>
      <c r="BO496" s="394"/>
    </row>
    <row r="497" spans="3:67">
      <c r="C497" s="543"/>
      <c r="D497" s="543"/>
      <c r="E497" s="543"/>
      <c r="F497" s="543"/>
      <c r="G497" s="543"/>
      <c r="H497" s="543"/>
      <c r="I497" s="543"/>
      <c r="J497" s="543"/>
      <c r="K497" s="543"/>
      <c r="L497" s="543"/>
      <c r="M497" s="543"/>
      <c r="N497" s="543"/>
      <c r="O497" s="543"/>
      <c r="P497" s="543"/>
      <c r="Q497" s="543"/>
      <c r="R497" s="543"/>
      <c r="S497" s="543"/>
      <c r="T497" s="543"/>
      <c r="U497" s="543"/>
      <c r="V497" s="543"/>
      <c r="W497" s="543"/>
      <c r="X497" s="543"/>
      <c r="Y497" s="543"/>
      <c r="Z497" s="543"/>
      <c r="AA497" s="543"/>
      <c r="AB497" s="543"/>
      <c r="AC497" s="543"/>
      <c r="AD497" s="543"/>
      <c r="AE497" s="543"/>
      <c r="AF497" s="543"/>
      <c r="AG497" s="543"/>
      <c r="AH497" s="543"/>
      <c r="AI497" s="543"/>
      <c r="AJ497" s="543"/>
      <c r="AK497" s="543"/>
      <c r="AL497" s="543"/>
      <c r="AM497" s="543"/>
      <c r="AN497" s="543"/>
      <c r="AO497" s="543"/>
      <c r="AP497" s="543"/>
      <c r="AQ497" s="543"/>
      <c r="AR497" s="543"/>
      <c r="AS497" s="543"/>
      <c r="AT497" s="543"/>
      <c r="AU497" s="543"/>
      <c r="AV497" s="543"/>
      <c r="AW497" s="543"/>
      <c r="AX497" s="543"/>
      <c r="AY497" s="543"/>
      <c r="AZ497" s="543"/>
      <c r="BA497" s="543"/>
      <c r="BB497" s="543"/>
      <c r="BC497" s="543"/>
      <c r="BD497" s="543"/>
      <c r="BE497" s="543"/>
      <c r="BF497" s="543"/>
      <c r="BG497" s="543"/>
      <c r="BH497" s="543"/>
      <c r="BI497" s="543"/>
      <c r="BJ497" s="543"/>
      <c r="BK497" s="543"/>
      <c r="BL497" s="543"/>
      <c r="BM497" s="543"/>
      <c r="BN497" s="543"/>
      <c r="BO497" s="543"/>
    </row>
    <row r="498" spans="3:67">
      <c r="C498" s="547"/>
      <c r="D498" s="394"/>
      <c r="E498" s="394"/>
      <c r="F498" s="394"/>
      <c r="G498" s="394"/>
      <c r="H498" s="547"/>
      <c r="I498" s="394"/>
      <c r="J498" s="394"/>
      <c r="K498" s="394"/>
      <c r="L498" s="394"/>
      <c r="M498" s="547"/>
      <c r="N498" s="394"/>
      <c r="O498" s="394"/>
      <c r="P498" s="394"/>
      <c r="Q498" s="394"/>
      <c r="R498" s="547"/>
      <c r="S498" s="394"/>
      <c r="T498" s="394"/>
      <c r="U498" s="394"/>
      <c r="V498" s="394"/>
      <c r="W498" s="547"/>
      <c r="X498" s="394"/>
      <c r="Y498" s="394"/>
      <c r="Z498" s="394"/>
      <c r="AA498" s="394"/>
      <c r="AB498" s="547"/>
      <c r="AC498" s="394"/>
      <c r="AD498" s="394"/>
      <c r="AE498" s="394"/>
      <c r="AF498" s="394"/>
      <c r="AG498" s="547"/>
      <c r="AH498" s="394"/>
      <c r="AI498" s="394"/>
      <c r="AJ498" s="394"/>
      <c r="AK498" s="394"/>
      <c r="AL498" s="547"/>
      <c r="AM498" s="394"/>
      <c r="AN498" s="394"/>
      <c r="AO498" s="394"/>
      <c r="AP498" s="394"/>
      <c r="AQ498" s="547"/>
      <c r="AR498" s="394"/>
      <c r="AS498" s="394"/>
      <c r="AT498" s="394"/>
      <c r="AU498" s="394"/>
      <c r="AV498" s="547"/>
      <c r="AW498" s="394"/>
      <c r="AX498" s="394"/>
      <c r="AY498" s="394"/>
      <c r="AZ498" s="394"/>
      <c r="BA498" s="547"/>
      <c r="BB498" s="394"/>
      <c r="BC498" s="394"/>
      <c r="BD498" s="394"/>
      <c r="BE498" s="394"/>
      <c r="BF498" s="547"/>
      <c r="BG498" s="394"/>
      <c r="BH498" s="394"/>
      <c r="BI498" s="394"/>
      <c r="BJ498" s="394"/>
      <c r="BK498" s="547"/>
      <c r="BL498" s="394"/>
      <c r="BM498" s="394"/>
      <c r="BN498" s="394"/>
      <c r="BO498" s="394"/>
    </row>
    <row r="499" spans="3:67">
      <c r="C499" s="547"/>
      <c r="D499" s="394"/>
      <c r="E499" s="394"/>
      <c r="F499" s="394"/>
      <c r="G499" s="394"/>
      <c r="H499" s="547"/>
      <c r="I499" s="394"/>
      <c r="J499" s="394"/>
      <c r="K499" s="394"/>
      <c r="L499" s="394"/>
      <c r="M499" s="547"/>
      <c r="N499" s="394"/>
      <c r="O499" s="394"/>
      <c r="P499" s="394"/>
      <c r="Q499" s="394"/>
      <c r="R499" s="547"/>
      <c r="S499" s="394"/>
      <c r="T499" s="394"/>
      <c r="U499" s="394"/>
      <c r="V499" s="394"/>
      <c r="W499" s="547"/>
      <c r="X499" s="394"/>
      <c r="Y499" s="394"/>
      <c r="Z499" s="394"/>
      <c r="AA499" s="394"/>
      <c r="AB499" s="547"/>
      <c r="AC499" s="394"/>
      <c r="AD499" s="394"/>
      <c r="AE499" s="394"/>
      <c r="AF499" s="394"/>
      <c r="AG499" s="547"/>
      <c r="AH499" s="394"/>
      <c r="AI499" s="394"/>
      <c r="AJ499" s="394"/>
      <c r="AK499" s="394"/>
      <c r="AL499" s="547"/>
      <c r="AM499" s="394"/>
      <c r="AN499" s="394"/>
      <c r="AO499" s="394"/>
      <c r="AP499" s="394"/>
      <c r="AQ499" s="547"/>
      <c r="AR499" s="394"/>
      <c r="AS499" s="394"/>
      <c r="AT499" s="394"/>
      <c r="AU499" s="394"/>
      <c r="AV499" s="547"/>
      <c r="AW499" s="394"/>
      <c r="AX499" s="394"/>
      <c r="AY499" s="394"/>
      <c r="AZ499" s="394"/>
      <c r="BA499" s="547"/>
      <c r="BB499" s="394"/>
      <c r="BC499" s="394"/>
      <c r="BD499" s="394"/>
      <c r="BE499" s="394"/>
      <c r="BF499" s="547"/>
      <c r="BG499" s="394"/>
      <c r="BH499" s="394"/>
      <c r="BI499" s="394"/>
      <c r="BJ499" s="394"/>
      <c r="BK499" s="547"/>
      <c r="BL499" s="394"/>
      <c r="BM499" s="394"/>
      <c r="BN499" s="394"/>
      <c r="BO499" s="394"/>
    </row>
    <row r="500" spans="3:67">
      <c r="C500" s="546"/>
      <c r="D500" s="546"/>
      <c r="E500" s="546"/>
      <c r="F500" s="546"/>
      <c r="G500" s="546"/>
      <c r="H500" s="546"/>
      <c r="I500" s="546"/>
      <c r="J500" s="546"/>
      <c r="K500" s="546"/>
      <c r="L500" s="546"/>
      <c r="M500" s="546"/>
      <c r="N500" s="546"/>
      <c r="O500" s="546"/>
      <c r="P500" s="546"/>
      <c r="Q500" s="546"/>
      <c r="R500" s="546"/>
      <c r="S500" s="546"/>
      <c r="T500" s="546"/>
      <c r="U500" s="546"/>
      <c r="V500" s="546"/>
      <c r="W500" s="546"/>
      <c r="X500" s="546"/>
      <c r="Y500" s="546"/>
      <c r="Z500" s="546"/>
      <c r="AA500" s="546"/>
      <c r="AB500" s="546"/>
      <c r="AC500" s="546"/>
      <c r="AD500" s="546"/>
      <c r="AE500" s="546"/>
      <c r="AF500" s="546"/>
      <c r="AG500" s="546"/>
      <c r="AH500" s="546"/>
      <c r="AI500" s="546"/>
      <c r="AJ500" s="546"/>
      <c r="AK500" s="546"/>
      <c r="AL500" s="546"/>
      <c r="AM500" s="546"/>
      <c r="AN500" s="546"/>
      <c r="AO500" s="546"/>
      <c r="AP500" s="546"/>
      <c r="AQ500" s="546"/>
      <c r="AR500" s="546"/>
      <c r="AS500" s="546"/>
      <c r="AT500" s="546"/>
      <c r="AU500" s="546"/>
      <c r="AV500" s="546"/>
      <c r="AW500" s="546"/>
      <c r="AX500" s="546"/>
      <c r="AY500" s="546"/>
      <c r="AZ500" s="546"/>
      <c r="BA500" s="546"/>
      <c r="BB500" s="546"/>
      <c r="BC500" s="546"/>
      <c r="BD500" s="546"/>
      <c r="BE500" s="546"/>
      <c r="BF500" s="546"/>
      <c r="BG500" s="546"/>
      <c r="BH500" s="546"/>
      <c r="BI500" s="546"/>
      <c r="BJ500" s="546"/>
      <c r="BK500" s="546"/>
      <c r="BL500" s="546"/>
      <c r="BM500" s="546"/>
      <c r="BN500" s="546"/>
      <c r="BO500" s="546"/>
    </row>
    <row r="501" spans="3:67">
      <c r="C501" s="541"/>
      <c r="D501" s="541"/>
      <c r="E501" s="541"/>
      <c r="F501" s="541"/>
      <c r="G501" s="541"/>
      <c r="H501" s="541"/>
      <c r="I501" s="541"/>
      <c r="J501" s="541"/>
      <c r="K501" s="541"/>
      <c r="L501" s="541"/>
      <c r="M501" s="541"/>
      <c r="N501" s="541"/>
      <c r="O501" s="541"/>
      <c r="P501" s="541"/>
      <c r="Q501" s="541"/>
      <c r="R501" s="541"/>
      <c r="S501" s="541"/>
      <c r="T501" s="541"/>
      <c r="U501" s="541"/>
      <c r="V501" s="541"/>
      <c r="W501" s="541"/>
      <c r="X501" s="541"/>
      <c r="Y501" s="541"/>
      <c r="Z501" s="541"/>
      <c r="AA501" s="541"/>
      <c r="AB501" s="541"/>
      <c r="AC501" s="541"/>
      <c r="AD501" s="541"/>
      <c r="AE501" s="541"/>
      <c r="AF501" s="541"/>
      <c r="AG501" s="541"/>
      <c r="AH501" s="541"/>
      <c r="AI501" s="541"/>
      <c r="AJ501" s="541"/>
      <c r="AK501" s="541"/>
      <c r="AL501" s="541"/>
      <c r="AM501" s="541"/>
      <c r="AN501" s="541"/>
      <c r="AO501" s="541"/>
      <c r="AP501" s="541"/>
      <c r="AQ501" s="541"/>
      <c r="AR501" s="541"/>
      <c r="AS501" s="541"/>
      <c r="AT501" s="541"/>
      <c r="AU501" s="541"/>
      <c r="AV501" s="541"/>
      <c r="AW501" s="541"/>
      <c r="AX501" s="541"/>
      <c r="AY501" s="541"/>
      <c r="AZ501" s="541"/>
      <c r="BA501" s="541"/>
      <c r="BB501" s="541"/>
      <c r="BC501" s="541"/>
      <c r="BD501" s="541"/>
      <c r="BE501" s="541"/>
      <c r="BF501" s="541"/>
      <c r="BG501" s="541"/>
      <c r="BH501" s="541"/>
      <c r="BI501" s="541"/>
      <c r="BJ501" s="541"/>
      <c r="BK501" s="541"/>
      <c r="BL501" s="541"/>
      <c r="BM501" s="541"/>
      <c r="BN501" s="541"/>
      <c r="BO501" s="541"/>
    </row>
    <row r="502" spans="3:67">
      <c r="C502" s="394"/>
      <c r="D502" s="394"/>
      <c r="E502" s="394"/>
      <c r="F502" s="394"/>
      <c r="G502" s="394"/>
      <c r="H502" s="394"/>
      <c r="I502" s="394"/>
      <c r="J502" s="394"/>
      <c r="K502" s="394"/>
      <c r="L502" s="394"/>
      <c r="M502" s="394"/>
      <c r="N502" s="394"/>
      <c r="O502" s="394"/>
      <c r="P502" s="394"/>
      <c r="Q502" s="394"/>
      <c r="R502" s="394"/>
      <c r="S502" s="394"/>
      <c r="T502" s="394"/>
      <c r="U502" s="394"/>
      <c r="V502" s="394"/>
      <c r="W502" s="394"/>
      <c r="X502" s="394"/>
      <c r="Y502" s="394"/>
      <c r="Z502" s="394"/>
      <c r="AA502" s="394"/>
      <c r="AB502" s="394"/>
      <c r="AC502" s="394"/>
      <c r="AD502" s="394"/>
      <c r="AE502" s="394"/>
      <c r="AF502" s="394"/>
      <c r="AG502" s="394"/>
      <c r="AH502" s="394"/>
      <c r="AI502" s="394"/>
      <c r="AJ502" s="394"/>
      <c r="AK502" s="394"/>
      <c r="AL502" s="394"/>
      <c r="AM502" s="394"/>
      <c r="AN502" s="394"/>
      <c r="AO502" s="394"/>
      <c r="AP502" s="394"/>
      <c r="AQ502" s="394"/>
      <c r="AR502" s="394"/>
      <c r="AS502" s="394"/>
      <c r="AT502" s="394"/>
      <c r="AU502" s="394"/>
      <c r="AV502" s="394"/>
      <c r="AW502" s="394"/>
      <c r="AX502" s="394"/>
      <c r="AY502" s="394"/>
      <c r="AZ502" s="394"/>
      <c r="BA502" s="394"/>
      <c r="BB502" s="394"/>
      <c r="BC502" s="394"/>
      <c r="BD502" s="394"/>
      <c r="BE502" s="394"/>
      <c r="BF502" s="394"/>
      <c r="BG502" s="394"/>
      <c r="BH502" s="394"/>
      <c r="BI502" s="394"/>
      <c r="BJ502" s="394"/>
      <c r="BK502" s="394"/>
      <c r="BL502" s="394"/>
      <c r="BM502" s="394"/>
      <c r="BN502" s="394"/>
      <c r="BO502" s="394"/>
    </row>
    <row r="503" spans="3:67">
      <c r="C503" s="490"/>
      <c r="D503" s="490"/>
      <c r="E503" s="490"/>
      <c r="F503" s="490"/>
      <c r="G503" s="490"/>
      <c r="H503" s="490"/>
      <c r="I503" s="490"/>
      <c r="J503" s="490"/>
      <c r="K503" s="490"/>
      <c r="L503" s="490"/>
      <c r="M503" s="490"/>
      <c r="N503" s="490"/>
      <c r="O503" s="490"/>
      <c r="P503" s="490"/>
      <c r="Q503" s="490"/>
      <c r="R503" s="490"/>
      <c r="S503" s="490"/>
      <c r="T503" s="490"/>
      <c r="U503" s="490"/>
      <c r="V503" s="490"/>
      <c r="W503" s="490"/>
      <c r="X503" s="490"/>
      <c r="Y503" s="490"/>
      <c r="Z503" s="490"/>
      <c r="AA503" s="490"/>
      <c r="AB503" s="490"/>
      <c r="AC503" s="490"/>
      <c r="AD503" s="490"/>
      <c r="AE503" s="490"/>
      <c r="AF503" s="490"/>
      <c r="AG503" s="490"/>
      <c r="AH503" s="490"/>
      <c r="AI503" s="490"/>
      <c r="AJ503" s="490"/>
      <c r="AK503" s="490"/>
      <c r="AL503" s="490"/>
      <c r="AM503" s="490"/>
      <c r="AN503" s="490"/>
      <c r="AO503" s="490"/>
      <c r="AP503" s="490"/>
      <c r="AQ503" s="490"/>
      <c r="AR503" s="490"/>
      <c r="AS503" s="490"/>
      <c r="AT503" s="490"/>
      <c r="AU503" s="490"/>
      <c r="AV503" s="490"/>
      <c r="AW503" s="490"/>
      <c r="AX503" s="490"/>
      <c r="AY503" s="490"/>
      <c r="AZ503" s="490"/>
      <c r="BA503" s="490"/>
      <c r="BB503" s="490"/>
      <c r="BC503" s="490"/>
      <c r="BD503" s="490"/>
      <c r="BE503" s="490"/>
      <c r="BF503" s="490"/>
      <c r="BG503" s="490"/>
      <c r="BH503" s="490"/>
      <c r="BI503" s="490"/>
      <c r="BJ503" s="490"/>
      <c r="BK503" s="490"/>
      <c r="BL503" s="490"/>
      <c r="BM503" s="490"/>
      <c r="BN503" s="490"/>
      <c r="BO503" s="490"/>
    </row>
    <row r="504" spans="3:67">
      <c r="C504" s="543"/>
      <c r="D504" s="543"/>
      <c r="E504" s="543"/>
      <c r="F504" s="543"/>
      <c r="G504" s="543"/>
      <c r="H504" s="543"/>
      <c r="I504" s="543"/>
      <c r="J504" s="543"/>
      <c r="K504" s="543"/>
      <c r="L504" s="543"/>
      <c r="M504" s="543"/>
      <c r="N504" s="543"/>
      <c r="O504" s="543"/>
      <c r="P504" s="543"/>
      <c r="Q504" s="543"/>
      <c r="R504" s="543"/>
      <c r="S504" s="543"/>
      <c r="T504" s="543"/>
      <c r="U504" s="543"/>
      <c r="V504" s="543"/>
      <c r="W504" s="543"/>
      <c r="X504" s="543"/>
      <c r="Y504" s="543"/>
      <c r="Z504" s="543"/>
      <c r="AA504" s="543"/>
      <c r="AB504" s="543"/>
      <c r="AC504" s="543"/>
      <c r="AD504" s="543"/>
      <c r="AE504" s="543"/>
      <c r="AF504" s="543"/>
      <c r="AG504" s="543"/>
      <c r="AH504" s="543"/>
      <c r="AI504" s="543"/>
      <c r="AJ504" s="543"/>
      <c r="AK504" s="543"/>
      <c r="AL504" s="543"/>
      <c r="AM504" s="543"/>
      <c r="AN504" s="543"/>
      <c r="AO504" s="543"/>
      <c r="AP504" s="543"/>
      <c r="AQ504" s="543"/>
      <c r="AR504" s="543"/>
      <c r="AS504" s="543"/>
      <c r="AT504" s="543"/>
      <c r="AU504" s="543"/>
      <c r="AV504" s="543"/>
      <c r="AW504" s="543"/>
      <c r="AX504" s="543"/>
      <c r="AY504" s="543"/>
      <c r="AZ504" s="543"/>
      <c r="BA504" s="543"/>
      <c r="BB504" s="543"/>
      <c r="BC504" s="543"/>
      <c r="BD504" s="543"/>
      <c r="BE504" s="543"/>
      <c r="BF504" s="543"/>
      <c r="BG504" s="543"/>
      <c r="BH504" s="543"/>
      <c r="BI504" s="543"/>
      <c r="BJ504" s="543"/>
      <c r="BK504" s="543"/>
      <c r="BL504" s="543"/>
      <c r="BM504" s="543"/>
      <c r="BN504" s="543"/>
      <c r="BO504" s="543"/>
    </row>
    <row r="505" spans="3:67">
      <c r="C505" s="543"/>
      <c r="D505" s="543"/>
      <c r="E505" s="543"/>
      <c r="F505" s="543"/>
      <c r="G505" s="543"/>
      <c r="H505" s="543"/>
      <c r="I505" s="543"/>
      <c r="J505" s="543"/>
      <c r="K505" s="543"/>
      <c r="L505" s="543"/>
      <c r="M505" s="543"/>
      <c r="N505" s="543"/>
      <c r="O505" s="543"/>
      <c r="P505" s="543"/>
      <c r="Q505" s="543"/>
      <c r="R505" s="543"/>
      <c r="S505" s="543"/>
      <c r="T505" s="543"/>
      <c r="U505" s="543"/>
      <c r="V505" s="543"/>
      <c r="W505" s="543"/>
      <c r="X505" s="543"/>
      <c r="Y505" s="543"/>
      <c r="Z505" s="543"/>
      <c r="AA505" s="543"/>
      <c r="AB505" s="543"/>
      <c r="AC505" s="543"/>
      <c r="AD505" s="543"/>
      <c r="AE505" s="543"/>
      <c r="AF505" s="543"/>
      <c r="AG505" s="543"/>
      <c r="AH505" s="543"/>
      <c r="AI505" s="543"/>
      <c r="AJ505" s="543"/>
      <c r="AK505" s="543"/>
      <c r="AL505" s="543"/>
      <c r="AM505" s="543"/>
      <c r="AN505" s="543"/>
      <c r="AO505" s="543"/>
      <c r="AP505" s="543"/>
      <c r="AQ505" s="543"/>
      <c r="AR505" s="543"/>
      <c r="AS505" s="543"/>
      <c r="AT505" s="543"/>
      <c r="AU505" s="543"/>
      <c r="AV505" s="543"/>
      <c r="AW505" s="543"/>
      <c r="AX505" s="543"/>
      <c r="AY505" s="543"/>
      <c r="AZ505" s="543"/>
      <c r="BA505" s="543"/>
      <c r="BB505" s="543"/>
      <c r="BC505" s="543"/>
      <c r="BD505" s="543"/>
      <c r="BE505" s="543"/>
      <c r="BF505" s="543"/>
      <c r="BG505" s="543"/>
      <c r="BH505" s="543"/>
      <c r="BI505" s="543"/>
      <c r="BJ505" s="543"/>
      <c r="BK505" s="543"/>
      <c r="BL505" s="543"/>
      <c r="BM505" s="543"/>
      <c r="BN505" s="543"/>
      <c r="BO505" s="543"/>
    </row>
    <row r="506" spans="3:67">
      <c r="C506" s="546"/>
      <c r="D506" s="546"/>
      <c r="E506" s="546"/>
      <c r="F506" s="546"/>
      <c r="G506" s="546"/>
      <c r="H506" s="546"/>
      <c r="I506" s="546"/>
      <c r="J506" s="546"/>
      <c r="K506" s="546"/>
      <c r="L506" s="546"/>
      <c r="M506" s="546"/>
      <c r="N506" s="546"/>
      <c r="O506" s="546"/>
      <c r="P506" s="546"/>
      <c r="Q506" s="546"/>
      <c r="R506" s="546"/>
      <c r="S506" s="546"/>
      <c r="T506" s="546"/>
      <c r="U506" s="546"/>
      <c r="V506" s="546"/>
      <c r="W506" s="546"/>
      <c r="X506" s="546"/>
      <c r="Y506" s="546"/>
      <c r="Z506" s="546"/>
      <c r="AA506" s="546"/>
      <c r="AB506" s="546"/>
      <c r="AC506" s="546"/>
      <c r="AD506" s="546"/>
      <c r="AE506" s="546"/>
      <c r="AF506" s="546"/>
      <c r="AG506" s="546"/>
      <c r="AH506" s="546"/>
      <c r="AI506" s="546"/>
      <c r="AJ506" s="546"/>
      <c r="AK506" s="546"/>
      <c r="AL506" s="546"/>
      <c r="AM506" s="546"/>
      <c r="AN506" s="546"/>
      <c r="AO506" s="546"/>
      <c r="AP506" s="546"/>
      <c r="AQ506" s="546"/>
      <c r="AR506" s="546"/>
      <c r="AS506" s="546"/>
      <c r="AT506" s="546"/>
      <c r="AU506" s="546"/>
      <c r="AV506" s="546"/>
      <c r="AW506" s="546"/>
      <c r="AX506" s="546"/>
      <c r="AY506" s="546"/>
      <c r="AZ506" s="546"/>
      <c r="BA506" s="546"/>
      <c r="BB506" s="546"/>
      <c r="BC506" s="546"/>
      <c r="BD506" s="546"/>
      <c r="BE506" s="546"/>
      <c r="BF506" s="546"/>
      <c r="BG506" s="546"/>
      <c r="BH506" s="546"/>
      <c r="BI506" s="546"/>
      <c r="BJ506" s="546"/>
      <c r="BK506" s="546"/>
      <c r="BL506" s="546"/>
      <c r="BM506" s="546"/>
      <c r="BN506" s="546"/>
      <c r="BO506" s="546"/>
    </row>
    <row r="507" spans="3:67">
      <c r="C507" s="544"/>
      <c r="D507" s="545"/>
      <c r="E507" s="545"/>
      <c r="F507" s="545"/>
      <c r="G507" s="545"/>
      <c r="H507" s="544"/>
      <c r="I507" s="545"/>
      <c r="J507" s="545"/>
      <c r="K507" s="545"/>
      <c r="L507" s="545"/>
      <c r="M507" s="544"/>
      <c r="N507" s="545"/>
      <c r="O507" s="545"/>
      <c r="P507" s="545"/>
      <c r="Q507" s="545"/>
      <c r="R507" s="544"/>
      <c r="S507" s="545"/>
      <c r="T507" s="545"/>
      <c r="U507" s="545"/>
      <c r="V507" s="545"/>
      <c r="W507" s="544"/>
      <c r="X507" s="545"/>
      <c r="Y507" s="545"/>
      <c r="Z507" s="545"/>
      <c r="AA507" s="545"/>
      <c r="AB507" s="544"/>
      <c r="AC507" s="545"/>
      <c r="AD507" s="545"/>
      <c r="AE507" s="545"/>
      <c r="AF507" s="545"/>
      <c r="AG507" s="544"/>
      <c r="AH507" s="545"/>
      <c r="AI507" s="545"/>
      <c r="AJ507" s="545"/>
      <c r="AK507" s="545"/>
      <c r="AL507" s="544"/>
      <c r="AM507" s="545"/>
      <c r="AN507" s="545"/>
      <c r="AO507" s="545"/>
      <c r="AP507" s="545"/>
      <c r="AQ507" s="544"/>
      <c r="AR507" s="545"/>
      <c r="AS507" s="545"/>
      <c r="AT507" s="545"/>
      <c r="AU507" s="545"/>
      <c r="AV507" s="544"/>
      <c r="AW507" s="545"/>
      <c r="AX507" s="545"/>
      <c r="AY507" s="545"/>
      <c r="AZ507" s="545"/>
      <c r="BA507" s="544"/>
      <c r="BB507" s="545"/>
      <c r="BC507" s="545"/>
      <c r="BD507" s="545"/>
      <c r="BE507" s="545"/>
      <c r="BF507" s="544"/>
      <c r="BG507" s="545"/>
      <c r="BH507" s="545"/>
      <c r="BI507" s="545"/>
      <c r="BJ507" s="545"/>
      <c r="BK507" s="544"/>
      <c r="BL507" s="545"/>
      <c r="BM507" s="545"/>
      <c r="BN507" s="545"/>
      <c r="BO507" s="545"/>
    </row>
    <row r="508" spans="3:67">
      <c r="C508" s="544"/>
      <c r="D508" s="545"/>
      <c r="E508" s="545"/>
      <c r="F508" s="545"/>
      <c r="G508" s="545"/>
      <c r="H508" s="544"/>
      <c r="I508" s="545"/>
      <c r="J508" s="545"/>
      <c r="K508" s="545"/>
      <c r="L508" s="545"/>
      <c r="M508" s="544"/>
      <c r="N508" s="545"/>
      <c r="O508" s="545"/>
      <c r="P508" s="545"/>
      <c r="Q508" s="545"/>
      <c r="R508" s="544"/>
      <c r="S508" s="545"/>
      <c r="T508" s="545"/>
      <c r="U508" s="545"/>
      <c r="V508" s="545"/>
      <c r="W508" s="544"/>
      <c r="X508" s="545"/>
      <c r="Y508" s="545"/>
      <c r="Z508" s="545"/>
      <c r="AA508" s="545"/>
      <c r="AB508" s="544"/>
      <c r="AC508" s="545"/>
      <c r="AD508" s="545"/>
      <c r="AE508" s="545"/>
      <c r="AF508" s="545"/>
      <c r="AG508" s="544"/>
      <c r="AH508" s="545"/>
      <c r="AI508" s="545"/>
      <c r="AJ508" s="545"/>
      <c r="AK508" s="545"/>
      <c r="AL508" s="544"/>
      <c r="AM508" s="545"/>
      <c r="AN508" s="545"/>
      <c r="AO508" s="545"/>
      <c r="AP508" s="545"/>
      <c r="AQ508" s="544"/>
      <c r="AR508" s="545"/>
      <c r="AS508" s="545"/>
      <c r="AT508" s="545"/>
      <c r="AU508" s="545"/>
      <c r="AV508" s="544"/>
      <c r="AW508" s="545"/>
      <c r="AX508" s="545"/>
      <c r="AY508" s="545"/>
      <c r="AZ508" s="545"/>
      <c r="BA508" s="544"/>
      <c r="BB508" s="545"/>
      <c r="BC508" s="545"/>
      <c r="BD508" s="545"/>
      <c r="BE508" s="545"/>
      <c r="BF508" s="544"/>
      <c r="BG508" s="545"/>
      <c r="BH508" s="545"/>
      <c r="BI508" s="545"/>
      <c r="BJ508" s="545"/>
      <c r="BK508" s="544"/>
      <c r="BL508" s="545"/>
      <c r="BM508" s="545"/>
      <c r="BN508" s="545"/>
      <c r="BO508" s="545"/>
    </row>
    <row r="509" spans="3:67">
      <c r="C509" s="544"/>
      <c r="D509" s="545"/>
      <c r="E509" s="545"/>
      <c r="F509" s="545"/>
      <c r="G509" s="545"/>
      <c r="H509" s="544"/>
      <c r="I509" s="545"/>
      <c r="J509" s="545"/>
      <c r="K509" s="545"/>
      <c r="L509" s="545"/>
      <c r="M509" s="544"/>
      <c r="N509" s="545"/>
      <c r="O509" s="545"/>
      <c r="P509" s="545"/>
      <c r="Q509" s="545"/>
      <c r="R509" s="544"/>
      <c r="S509" s="545"/>
      <c r="T509" s="545"/>
      <c r="U509" s="545"/>
      <c r="V509" s="545"/>
      <c r="W509" s="544"/>
      <c r="X509" s="545"/>
      <c r="Y509" s="545"/>
      <c r="Z509" s="545"/>
      <c r="AA509" s="545"/>
      <c r="AB509" s="544"/>
      <c r="AC509" s="545"/>
      <c r="AD509" s="545"/>
      <c r="AE509" s="545"/>
      <c r="AF509" s="545"/>
      <c r="AG509" s="544"/>
      <c r="AH509" s="545"/>
      <c r="AI509" s="545"/>
      <c r="AJ509" s="545"/>
      <c r="AK509" s="545"/>
      <c r="AL509" s="544"/>
      <c r="AM509" s="545"/>
      <c r="AN509" s="545"/>
      <c r="AO509" s="545"/>
      <c r="AP509" s="545"/>
      <c r="AQ509" s="544"/>
      <c r="AR509" s="545"/>
      <c r="AS509" s="545"/>
      <c r="AT509" s="545"/>
      <c r="AU509" s="545"/>
      <c r="AV509" s="544"/>
      <c r="AW509" s="545"/>
      <c r="AX509" s="545"/>
      <c r="AY509" s="545"/>
      <c r="AZ509" s="545"/>
      <c r="BA509" s="544"/>
      <c r="BB509" s="545"/>
      <c r="BC509" s="545"/>
      <c r="BD509" s="545"/>
      <c r="BE509" s="545"/>
      <c r="BF509" s="544"/>
      <c r="BG509" s="545"/>
      <c r="BH509" s="545"/>
      <c r="BI509" s="545"/>
      <c r="BJ509" s="545"/>
      <c r="BK509" s="544"/>
      <c r="BL509" s="545"/>
      <c r="BM509" s="545"/>
      <c r="BN509" s="545"/>
      <c r="BO509" s="545"/>
    </row>
    <row r="510" spans="3:67">
      <c r="C510" s="490"/>
      <c r="D510" s="490"/>
      <c r="E510" s="490"/>
      <c r="F510" s="490"/>
      <c r="G510" s="490"/>
      <c r="H510" s="490"/>
      <c r="I510" s="490"/>
      <c r="J510" s="490"/>
      <c r="K510" s="490"/>
      <c r="L510" s="490"/>
      <c r="M510" s="490"/>
      <c r="N510" s="490"/>
      <c r="O510" s="490"/>
      <c r="P510" s="490"/>
      <c r="Q510" s="490"/>
      <c r="R510" s="490"/>
      <c r="S510" s="490"/>
      <c r="T510" s="490"/>
      <c r="U510" s="490"/>
      <c r="V510" s="490"/>
      <c r="W510" s="490"/>
      <c r="X510" s="490"/>
      <c r="Y510" s="490"/>
      <c r="Z510" s="490"/>
      <c r="AA510" s="490"/>
      <c r="AB510" s="490"/>
      <c r="AC510" s="490"/>
      <c r="AD510" s="490"/>
      <c r="AE510" s="490"/>
      <c r="AF510" s="490"/>
      <c r="AG510" s="490"/>
      <c r="AH510" s="490"/>
      <c r="AI510" s="490"/>
      <c r="AJ510" s="490"/>
      <c r="AK510" s="490"/>
      <c r="AL510" s="490"/>
      <c r="AM510" s="490"/>
      <c r="AN510" s="490"/>
      <c r="AO510" s="490"/>
      <c r="AP510" s="490"/>
      <c r="AQ510" s="490"/>
      <c r="AR510" s="490"/>
      <c r="AS510" s="490"/>
      <c r="AT510" s="490"/>
      <c r="AU510" s="490"/>
      <c r="AV510" s="490"/>
      <c r="AW510" s="490"/>
      <c r="AX510" s="490"/>
      <c r="AY510" s="490"/>
      <c r="AZ510" s="490"/>
      <c r="BA510" s="490"/>
      <c r="BB510" s="490"/>
      <c r="BC510" s="490"/>
      <c r="BD510" s="490"/>
      <c r="BE510" s="490"/>
      <c r="BF510" s="490"/>
      <c r="BG510" s="490"/>
      <c r="BH510" s="490"/>
      <c r="BI510" s="490"/>
      <c r="BJ510" s="490"/>
      <c r="BK510" s="490"/>
      <c r="BL510" s="490"/>
      <c r="BM510" s="490"/>
      <c r="BN510" s="490"/>
      <c r="BO510" s="490"/>
    </row>
    <row r="511" spans="3:67">
      <c r="C511" s="549"/>
      <c r="D511" s="549"/>
      <c r="E511" s="549"/>
      <c r="F511" s="549"/>
      <c r="G511" s="549"/>
      <c r="H511" s="549"/>
      <c r="I511" s="549"/>
      <c r="J511" s="549"/>
      <c r="K511" s="549"/>
      <c r="L511" s="549"/>
      <c r="M511" s="549"/>
      <c r="N511" s="549"/>
      <c r="O511" s="549"/>
      <c r="P511" s="549"/>
      <c r="Q511" s="549"/>
      <c r="R511" s="549"/>
      <c r="S511" s="549"/>
      <c r="T511" s="549"/>
      <c r="U511" s="549"/>
      <c r="V511" s="549"/>
      <c r="W511" s="549"/>
      <c r="X511" s="549"/>
      <c r="Y511" s="549"/>
      <c r="Z511" s="549"/>
      <c r="AA511" s="549"/>
      <c r="AB511" s="549"/>
      <c r="AC511" s="549"/>
      <c r="AD511" s="549"/>
      <c r="AE511" s="549"/>
      <c r="AF511" s="549"/>
      <c r="AG511" s="549"/>
      <c r="AH511" s="549"/>
      <c r="AI511" s="549"/>
      <c r="AJ511" s="549"/>
      <c r="AK511" s="549"/>
      <c r="AL511" s="549"/>
      <c r="AM511" s="549"/>
      <c r="AN511" s="549"/>
      <c r="AO511" s="549"/>
      <c r="AP511" s="549"/>
      <c r="AQ511" s="549"/>
      <c r="AR511" s="549"/>
      <c r="AS511" s="549"/>
      <c r="AT511" s="549"/>
      <c r="AU511" s="549"/>
      <c r="AV511" s="549"/>
      <c r="AW511" s="549"/>
      <c r="AX511" s="549"/>
      <c r="AY511" s="549"/>
      <c r="AZ511" s="549"/>
      <c r="BA511" s="549"/>
      <c r="BB511" s="549"/>
      <c r="BC511" s="549"/>
      <c r="BD511" s="549"/>
      <c r="BE511" s="549"/>
      <c r="BF511" s="549"/>
      <c r="BG511" s="549"/>
      <c r="BH511" s="549"/>
      <c r="BI511" s="549"/>
      <c r="BJ511" s="549"/>
      <c r="BK511" s="549"/>
      <c r="BL511" s="549"/>
      <c r="BM511" s="549"/>
      <c r="BN511" s="549"/>
      <c r="BO511" s="549"/>
    </row>
    <row r="512" spans="3:67">
      <c r="C512" s="490"/>
      <c r="D512" s="490"/>
      <c r="E512" s="490"/>
      <c r="F512" s="490"/>
      <c r="G512" s="490"/>
      <c r="H512" s="490"/>
      <c r="I512" s="490"/>
      <c r="J512" s="490"/>
      <c r="K512" s="490"/>
      <c r="L512" s="490"/>
      <c r="M512" s="490"/>
      <c r="N512" s="490"/>
      <c r="O512" s="490"/>
      <c r="P512" s="490"/>
      <c r="Q512" s="490"/>
      <c r="R512" s="490"/>
      <c r="S512" s="490"/>
      <c r="T512" s="490"/>
      <c r="U512" s="490"/>
      <c r="V512" s="490"/>
      <c r="W512" s="490"/>
      <c r="X512" s="490"/>
      <c r="Y512" s="490"/>
      <c r="Z512" s="490"/>
      <c r="AA512" s="490"/>
      <c r="AB512" s="490"/>
      <c r="AC512" s="490"/>
      <c r="AD512" s="490"/>
      <c r="AE512" s="490"/>
      <c r="AF512" s="490"/>
      <c r="AG512" s="490"/>
      <c r="AH512" s="490"/>
      <c r="AI512" s="490"/>
      <c r="AJ512" s="490"/>
      <c r="AK512" s="490"/>
      <c r="AL512" s="490"/>
      <c r="AM512" s="490"/>
      <c r="AN512" s="490"/>
      <c r="AO512" s="490"/>
      <c r="AP512" s="490"/>
      <c r="AQ512" s="490"/>
      <c r="AR512" s="490"/>
      <c r="AS512" s="490"/>
      <c r="AT512" s="490"/>
      <c r="AU512" s="490"/>
      <c r="AV512" s="490"/>
      <c r="AW512" s="490"/>
      <c r="AX512" s="490"/>
      <c r="AY512" s="490"/>
      <c r="AZ512" s="490"/>
      <c r="BA512" s="490"/>
      <c r="BB512" s="490"/>
      <c r="BC512" s="490"/>
      <c r="BD512" s="490"/>
      <c r="BE512" s="490"/>
      <c r="BF512" s="490"/>
      <c r="BG512" s="490"/>
      <c r="BH512" s="490"/>
      <c r="BI512" s="490"/>
      <c r="BJ512" s="490"/>
      <c r="BK512" s="490"/>
      <c r="BL512" s="490"/>
      <c r="BM512" s="490"/>
      <c r="BN512" s="490"/>
      <c r="BO512" s="490"/>
    </row>
    <row r="513" spans="3:67">
      <c r="C513" s="394"/>
      <c r="D513" s="394"/>
      <c r="E513" s="394"/>
      <c r="F513" s="394"/>
      <c r="G513" s="394"/>
      <c r="H513" s="394"/>
      <c r="I513" s="394"/>
      <c r="J513" s="394"/>
      <c r="K513" s="394"/>
      <c r="L513" s="394"/>
      <c r="M513" s="394"/>
      <c r="N513" s="394"/>
      <c r="O513" s="394"/>
      <c r="P513" s="394"/>
      <c r="Q513" s="394"/>
      <c r="R513" s="394"/>
      <c r="S513" s="394"/>
      <c r="T513" s="394"/>
      <c r="U513" s="394"/>
      <c r="V513" s="394"/>
      <c r="W513" s="394"/>
      <c r="X513" s="394"/>
      <c r="Y513" s="394"/>
      <c r="Z513" s="394"/>
      <c r="AA513" s="394"/>
      <c r="AB513" s="394"/>
      <c r="AC513" s="394"/>
      <c r="AD513" s="394"/>
      <c r="AE513" s="394"/>
      <c r="AF513" s="394"/>
      <c r="AG513" s="394"/>
      <c r="AH513" s="394"/>
      <c r="AI513" s="394"/>
      <c r="AJ513" s="394"/>
      <c r="AK513" s="394"/>
      <c r="AL513" s="394"/>
      <c r="AM513" s="394"/>
      <c r="AN513" s="394"/>
      <c r="AO513" s="394"/>
      <c r="AP513" s="394"/>
      <c r="AQ513" s="394"/>
      <c r="AR513" s="394"/>
      <c r="AS513" s="394"/>
      <c r="AT513" s="394"/>
      <c r="AU513" s="394"/>
      <c r="AV513" s="394"/>
      <c r="AW513" s="394"/>
      <c r="AX513" s="394"/>
      <c r="AY513" s="394"/>
      <c r="AZ513" s="394"/>
      <c r="BA513" s="394"/>
      <c r="BB513" s="394"/>
      <c r="BC513" s="394"/>
      <c r="BD513" s="394"/>
      <c r="BE513" s="394"/>
      <c r="BF513" s="394"/>
      <c r="BG513" s="394"/>
      <c r="BH513" s="394"/>
      <c r="BI513" s="394"/>
      <c r="BJ513" s="394"/>
      <c r="BK513" s="394"/>
      <c r="BL513" s="394"/>
      <c r="BM513" s="394"/>
      <c r="BN513" s="394"/>
      <c r="BO513" s="394"/>
    </row>
    <row r="514" spans="3:67">
      <c r="C514" s="490"/>
      <c r="D514" s="490"/>
      <c r="E514" s="490"/>
      <c r="F514" s="490"/>
      <c r="G514" s="490"/>
      <c r="H514" s="490"/>
      <c r="I514" s="490"/>
      <c r="J514" s="490"/>
      <c r="K514" s="490"/>
      <c r="L514" s="490"/>
      <c r="M514" s="490"/>
      <c r="N514" s="490"/>
      <c r="O514" s="490"/>
      <c r="P514" s="490"/>
      <c r="Q514" s="490"/>
      <c r="R514" s="490"/>
      <c r="S514" s="490"/>
      <c r="T514" s="490"/>
      <c r="U514" s="490"/>
      <c r="V514" s="490"/>
      <c r="W514" s="490"/>
      <c r="X514" s="490"/>
      <c r="Y514" s="490"/>
      <c r="Z514" s="490"/>
      <c r="AA514" s="490"/>
      <c r="AB514" s="490"/>
      <c r="AC514" s="490"/>
      <c r="AD514" s="490"/>
      <c r="AE514" s="490"/>
      <c r="AF514" s="490"/>
      <c r="AG514" s="490"/>
      <c r="AH514" s="490"/>
      <c r="AI514" s="490"/>
      <c r="AJ514" s="490"/>
      <c r="AK514" s="490"/>
      <c r="AL514" s="490"/>
      <c r="AM514" s="490"/>
      <c r="AN514" s="490"/>
      <c r="AO514" s="490"/>
      <c r="AP514" s="490"/>
      <c r="AQ514" s="490"/>
      <c r="AR514" s="490"/>
      <c r="AS514" s="490"/>
      <c r="AT514" s="490"/>
      <c r="AU514" s="490"/>
      <c r="AV514" s="490"/>
      <c r="AW514" s="490"/>
      <c r="AX514" s="490"/>
      <c r="AY514" s="490"/>
      <c r="AZ514" s="490"/>
      <c r="BA514" s="490"/>
      <c r="BB514" s="490"/>
      <c r="BC514" s="490"/>
      <c r="BD514" s="490"/>
      <c r="BE514" s="490"/>
      <c r="BF514" s="490"/>
      <c r="BG514" s="490"/>
      <c r="BH514" s="490"/>
      <c r="BI514" s="490"/>
      <c r="BJ514" s="490"/>
      <c r="BK514" s="490"/>
      <c r="BL514" s="490"/>
      <c r="BM514" s="490"/>
      <c r="BN514" s="490"/>
      <c r="BO514" s="490"/>
    </row>
    <row r="515" spans="3:67">
      <c r="C515" s="490"/>
      <c r="D515" s="490"/>
      <c r="E515" s="490"/>
      <c r="F515" s="490"/>
      <c r="G515" s="490"/>
      <c r="H515" s="490"/>
      <c r="I515" s="490"/>
      <c r="J515" s="490"/>
      <c r="K515" s="490"/>
      <c r="L515" s="490"/>
      <c r="M515" s="490"/>
      <c r="N515" s="490"/>
      <c r="O515" s="490"/>
      <c r="P515" s="490"/>
      <c r="Q515" s="490"/>
      <c r="R515" s="490"/>
      <c r="S515" s="490"/>
      <c r="T515" s="490"/>
      <c r="U515" s="490"/>
      <c r="V515" s="490"/>
      <c r="W515" s="490"/>
      <c r="X515" s="490"/>
      <c r="Y515" s="490"/>
      <c r="Z515" s="490"/>
      <c r="AA515" s="490"/>
      <c r="AB515" s="490"/>
      <c r="AC515" s="490"/>
      <c r="AD515" s="490"/>
      <c r="AE515" s="490"/>
      <c r="AF515" s="490"/>
      <c r="AG515" s="490"/>
      <c r="AH515" s="490"/>
      <c r="AI515" s="490"/>
      <c r="AJ515" s="490"/>
      <c r="AK515" s="490"/>
      <c r="AL515" s="490"/>
      <c r="AM515" s="490"/>
      <c r="AN515" s="490"/>
      <c r="AO515" s="490"/>
      <c r="AP515" s="490"/>
      <c r="AQ515" s="490"/>
      <c r="AR515" s="490"/>
      <c r="AS515" s="490"/>
      <c r="AT515" s="490"/>
      <c r="AU515" s="490"/>
      <c r="AV515" s="490"/>
      <c r="AW515" s="490"/>
      <c r="AX515" s="490"/>
      <c r="AY515" s="490"/>
      <c r="AZ515" s="490"/>
      <c r="BA515" s="490"/>
      <c r="BB515" s="490"/>
      <c r="BC515" s="490"/>
      <c r="BD515" s="490"/>
      <c r="BE515" s="490"/>
      <c r="BF515" s="490"/>
      <c r="BG515" s="490"/>
      <c r="BH515" s="490"/>
      <c r="BI515" s="490"/>
      <c r="BJ515" s="490"/>
      <c r="BK515" s="490"/>
      <c r="BL515" s="490"/>
      <c r="BM515" s="490"/>
      <c r="BN515" s="490"/>
      <c r="BO515" s="490"/>
    </row>
    <row r="516" spans="3:67">
      <c r="C516" s="519"/>
      <c r="D516" s="519"/>
      <c r="E516" s="519"/>
      <c r="F516" s="519"/>
      <c r="G516" s="519"/>
      <c r="H516" s="519"/>
      <c r="I516" s="519"/>
      <c r="J516" s="519"/>
      <c r="K516" s="519"/>
      <c r="L516" s="519"/>
      <c r="M516" s="519"/>
      <c r="N516" s="519"/>
      <c r="O516" s="519"/>
      <c r="P516" s="519"/>
      <c r="Q516" s="519"/>
      <c r="R516" s="519"/>
      <c r="S516" s="519"/>
      <c r="T516" s="519"/>
      <c r="U516" s="519"/>
      <c r="V516" s="519"/>
      <c r="W516" s="519"/>
      <c r="X516" s="519"/>
      <c r="Y516" s="519"/>
      <c r="Z516" s="519"/>
      <c r="AA516" s="519"/>
      <c r="AB516" s="519"/>
      <c r="AC516" s="519"/>
      <c r="AD516" s="519"/>
      <c r="AE516" s="519"/>
      <c r="AF516" s="519"/>
      <c r="AG516" s="519"/>
      <c r="AH516" s="519"/>
      <c r="AI516" s="519"/>
      <c r="AJ516" s="519"/>
      <c r="AK516" s="519"/>
      <c r="AL516" s="519"/>
      <c r="AM516" s="519"/>
      <c r="AN516" s="519"/>
      <c r="AO516" s="519"/>
      <c r="AP516" s="519"/>
      <c r="AQ516" s="519"/>
      <c r="AR516" s="519"/>
      <c r="AS516" s="519"/>
      <c r="AT516" s="519"/>
      <c r="AU516" s="519"/>
      <c r="AV516" s="519"/>
      <c r="AW516" s="519"/>
      <c r="AX516" s="519"/>
      <c r="AY516" s="519"/>
      <c r="AZ516" s="519"/>
      <c r="BA516" s="519"/>
      <c r="BB516" s="519"/>
      <c r="BC516" s="519"/>
      <c r="BD516" s="519"/>
      <c r="BE516" s="519"/>
      <c r="BF516" s="519"/>
      <c r="BG516" s="519"/>
      <c r="BH516" s="519"/>
      <c r="BI516" s="519"/>
      <c r="BJ516" s="519"/>
      <c r="BK516" s="519"/>
      <c r="BL516" s="519"/>
      <c r="BM516" s="519"/>
      <c r="BN516" s="519"/>
      <c r="BO516" s="519"/>
    </row>
    <row r="517" spans="3:67">
      <c r="C517" s="541"/>
      <c r="D517" s="490"/>
      <c r="E517" s="490"/>
      <c r="F517" s="490"/>
      <c r="G517" s="490"/>
      <c r="H517" s="541"/>
      <c r="I517" s="490"/>
      <c r="J517" s="490"/>
      <c r="K517" s="490"/>
      <c r="L517" s="490"/>
      <c r="M517" s="541"/>
      <c r="N517" s="490"/>
      <c r="O517" s="490"/>
      <c r="P517" s="490"/>
      <c r="Q517" s="490"/>
      <c r="R517" s="541"/>
      <c r="S517" s="490"/>
      <c r="T517" s="490"/>
      <c r="U517" s="490"/>
      <c r="V517" s="490"/>
      <c r="W517" s="541"/>
      <c r="X517" s="490"/>
      <c r="Y517" s="490"/>
      <c r="Z517" s="490"/>
      <c r="AA517" s="490"/>
      <c r="AB517" s="541"/>
      <c r="AC517" s="490"/>
      <c r="AD517" s="490"/>
      <c r="AE517" s="490"/>
      <c r="AF517" s="490"/>
      <c r="AG517" s="541"/>
      <c r="AH517" s="490"/>
      <c r="AI517" s="490"/>
      <c r="AJ517" s="490"/>
      <c r="AK517" s="490"/>
      <c r="AL517" s="541"/>
      <c r="AM517" s="490"/>
      <c r="AN517" s="490"/>
      <c r="AO517" s="490"/>
      <c r="AP517" s="490"/>
      <c r="AQ517" s="541"/>
      <c r="AR517" s="490"/>
      <c r="AS517" s="490"/>
      <c r="AT517" s="490"/>
      <c r="AU517" s="490"/>
      <c r="AV517" s="541"/>
      <c r="AW517" s="490"/>
      <c r="AX517" s="490"/>
      <c r="AY517" s="490"/>
      <c r="AZ517" s="490"/>
      <c r="BA517" s="541"/>
      <c r="BB517" s="490"/>
      <c r="BC517" s="490"/>
      <c r="BD517" s="490"/>
      <c r="BE517" s="490"/>
      <c r="BF517" s="541"/>
      <c r="BG517" s="490"/>
      <c r="BH517" s="490"/>
      <c r="BI517" s="490"/>
      <c r="BJ517" s="490"/>
      <c r="BK517" s="541"/>
      <c r="BL517" s="490"/>
      <c r="BM517" s="490"/>
      <c r="BN517" s="490"/>
      <c r="BO517" s="490"/>
    </row>
    <row r="518" spans="3:67">
      <c r="C518" s="541"/>
      <c r="D518" s="490"/>
      <c r="E518" s="490"/>
      <c r="F518" s="490"/>
      <c r="G518" s="490"/>
      <c r="H518" s="541"/>
      <c r="I518" s="490"/>
      <c r="J518" s="490"/>
      <c r="K518" s="490"/>
      <c r="L518" s="490"/>
      <c r="M518" s="541"/>
      <c r="N518" s="490"/>
      <c r="O518" s="490"/>
      <c r="P518" s="490"/>
      <c r="Q518" s="490"/>
      <c r="R518" s="541"/>
      <c r="S518" s="490"/>
      <c r="T518" s="490"/>
      <c r="U518" s="490"/>
      <c r="V518" s="490"/>
      <c r="W518" s="541"/>
      <c r="X518" s="490"/>
      <c r="Y518" s="490"/>
      <c r="Z518" s="490"/>
      <c r="AA518" s="490"/>
      <c r="AB518" s="541"/>
      <c r="AC518" s="490"/>
      <c r="AD518" s="490"/>
      <c r="AE518" s="490"/>
      <c r="AF518" s="490"/>
      <c r="AG518" s="541"/>
      <c r="AH518" s="490"/>
      <c r="AI518" s="490"/>
      <c r="AJ518" s="490"/>
      <c r="AK518" s="490"/>
      <c r="AL518" s="541"/>
      <c r="AM518" s="490"/>
      <c r="AN518" s="490"/>
      <c r="AO518" s="490"/>
      <c r="AP518" s="490"/>
      <c r="AQ518" s="541"/>
      <c r="AR518" s="490"/>
      <c r="AS518" s="490"/>
      <c r="AT518" s="490"/>
      <c r="AU518" s="490"/>
      <c r="AV518" s="541"/>
      <c r="AW518" s="490"/>
      <c r="AX518" s="490"/>
      <c r="AY518" s="490"/>
      <c r="AZ518" s="490"/>
      <c r="BA518" s="541"/>
      <c r="BB518" s="490"/>
      <c r="BC518" s="490"/>
      <c r="BD518" s="490"/>
      <c r="BE518" s="490"/>
      <c r="BF518" s="541"/>
      <c r="BG518" s="490"/>
      <c r="BH518" s="490"/>
      <c r="BI518" s="490"/>
      <c r="BJ518" s="490"/>
      <c r="BK518" s="541"/>
      <c r="BL518" s="490"/>
      <c r="BM518" s="490"/>
      <c r="BN518" s="490"/>
      <c r="BO518" s="490"/>
    </row>
    <row r="519" spans="3:67">
      <c r="C519" s="542"/>
      <c r="D519" s="542"/>
      <c r="E519" s="542"/>
      <c r="F519" s="542"/>
      <c r="G519" s="542"/>
      <c r="H519" s="542"/>
      <c r="I519" s="542"/>
      <c r="J519" s="542"/>
      <c r="K519" s="542"/>
      <c r="L519" s="542"/>
      <c r="M519" s="542"/>
      <c r="N519" s="542"/>
      <c r="O519" s="542"/>
      <c r="P519" s="542"/>
      <c r="Q519" s="542"/>
      <c r="R519" s="542"/>
      <c r="S519" s="542"/>
      <c r="T519" s="542"/>
      <c r="U519" s="542"/>
      <c r="V519" s="542"/>
      <c r="W519" s="542"/>
      <c r="X519" s="542"/>
      <c r="Y519" s="542"/>
      <c r="Z519" s="542"/>
      <c r="AA519" s="542"/>
      <c r="AB519" s="542"/>
      <c r="AC519" s="542"/>
      <c r="AD519" s="542"/>
      <c r="AE519" s="542"/>
      <c r="AF519" s="542"/>
      <c r="AG519" s="542"/>
      <c r="AH519" s="542"/>
      <c r="AI519" s="542"/>
      <c r="AJ519" s="542"/>
      <c r="AK519" s="542"/>
      <c r="AL519" s="542"/>
      <c r="AM519" s="542"/>
      <c r="AN519" s="542"/>
      <c r="AO519" s="542"/>
      <c r="AP519" s="542"/>
      <c r="AQ519" s="542"/>
      <c r="AR519" s="542"/>
      <c r="AS519" s="542"/>
      <c r="AT519" s="542"/>
      <c r="AU519" s="542"/>
      <c r="AV519" s="542"/>
      <c r="AW519" s="542"/>
      <c r="AX519" s="542"/>
      <c r="AY519" s="542"/>
      <c r="AZ519" s="542"/>
      <c r="BA519" s="542"/>
      <c r="BB519" s="542"/>
      <c r="BC519" s="542"/>
      <c r="BD519" s="542"/>
      <c r="BE519" s="542"/>
      <c r="BF519" s="542"/>
      <c r="BG519" s="542"/>
      <c r="BH519" s="542"/>
      <c r="BI519" s="542"/>
      <c r="BJ519" s="542"/>
      <c r="BK519" s="542"/>
      <c r="BL519" s="542"/>
      <c r="BM519" s="542"/>
      <c r="BN519" s="542"/>
      <c r="BO519" s="542"/>
    </row>
    <row r="520" spans="3:67">
      <c r="C520" s="490"/>
      <c r="D520" s="490"/>
      <c r="E520" s="490"/>
      <c r="F520" s="490"/>
      <c r="G520" s="490"/>
      <c r="H520" s="490"/>
      <c r="I520" s="490"/>
      <c r="J520" s="490"/>
      <c r="K520" s="490"/>
      <c r="L520" s="490"/>
      <c r="M520" s="490"/>
      <c r="N520" s="490"/>
      <c r="O520" s="490"/>
      <c r="P520" s="490"/>
      <c r="Q520" s="490"/>
      <c r="R520" s="490"/>
      <c r="S520" s="490"/>
      <c r="T520" s="490"/>
      <c r="U520" s="490"/>
      <c r="V520" s="490"/>
      <c r="W520" s="490"/>
      <c r="X520" s="490"/>
      <c r="Y520" s="490"/>
      <c r="Z520" s="490"/>
      <c r="AA520" s="490"/>
      <c r="AB520" s="490"/>
      <c r="AC520" s="490"/>
      <c r="AD520" s="490"/>
      <c r="AE520" s="490"/>
      <c r="AF520" s="490"/>
      <c r="AG520" s="490"/>
      <c r="AH520" s="490"/>
      <c r="AI520" s="490"/>
      <c r="AJ520" s="490"/>
      <c r="AK520" s="490"/>
      <c r="AL520" s="490"/>
      <c r="AM520" s="490"/>
      <c r="AN520" s="490"/>
      <c r="AO520" s="490"/>
      <c r="AP520" s="490"/>
      <c r="AQ520" s="490"/>
      <c r="AR520" s="490"/>
      <c r="AS520" s="490"/>
      <c r="AT520" s="490"/>
      <c r="AU520" s="490"/>
      <c r="AV520" s="490"/>
      <c r="AW520" s="490"/>
      <c r="AX520" s="490"/>
      <c r="AY520" s="490"/>
      <c r="AZ520" s="490"/>
      <c r="BA520" s="490"/>
      <c r="BB520" s="490"/>
      <c r="BC520" s="490"/>
      <c r="BD520" s="490"/>
      <c r="BE520" s="490"/>
      <c r="BF520" s="490"/>
      <c r="BG520" s="490"/>
      <c r="BH520" s="490"/>
      <c r="BI520" s="490"/>
      <c r="BJ520" s="490"/>
      <c r="BK520" s="490"/>
      <c r="BL520" s="490"/>
      <c r="BM520" s="490"/>
      <c r="BN520" s="490"/>
      <c r="BO520" s="490"/>
    </row>
    <row r="521" spans="3:67">
      <c r="C521" s="541"/>
      <c r="D521" s="490"/>
      <c r="E521" s="490"/>
      <c r="F521" s="490"/>
      <c r="G521" s="490"/>
      <c r="H521" s="541"/>
      <c r="I521" s="490"/>
      <c r="J521" s="490"/>
      <c r="K521" s="490"/>
      <c r="L521" s="490"/>
      <c r="M521" s="541"/>
      <c r="N521" s="490"/>
      <c r="O521" s="490"/>
      <c r="P521" s="490"/>
      <c r="Q521" s="490"/>
      <c r="R521" s="541"/>
      <c r="S521" s="490"/>
      <c r="T521" s="490"/>
      <c r="U521" s="490"/>
      <c r="V521" s="490"/>
      <c r="W521" s="541"/>
      <c r="X521" s="490"/>
      <c r="Y521" s="490"/>
      <c r="Z521" s="490"/>
      <c r="AA521" s="490"/>
      <c r="AB521" s="541"/>
      <c r="AC521" s="490"/>
      <c r="AD521" s="490"/>
      <c r="AE521" s="490"/>
      <c r="AF521" s="490"/>
      <c r="AG521" s="541"/>
      <c r="AH521" s="490"/>
      <c r="AI521" s="490"/>
      <c r="AJ521" s="490"/>
      <c r="AK521" s="490"/>
      <c r="AL521" s="541"/>
      <c r="AM521" s="490"/>
      <c r="AN521" s="490"/>
      <c r="AO521" s="490"/>
      <c r="AP521" s="490"/>
      <c r="AQ521" s="541"/>
      <c r="AR521" s="490"/>
      <c r="AS521" s="490"/>
      <c r="AT521" s="490"/>
      <c r="AU521" s="490"/>
      <c r="AV521" s="541"/>
      <c r="AW521" s="490"/>
      <c r="AX521" s="490"/>
      <c r="AY521" s="490"/>
      <c r="AZ521" s="490"/>
      <c r="BA521" s="541"/>
      <c r="BB521" s="490"/>
      <c r="BC521" s="490"/>
      <c r="BD521" s="490"/>
      <c r="BE521" s="490"/>
      <c r="BF521" s="541"/>
      <c r="BG521" s="490"/>
      <c r="BH521" s="490"/>
      <c r="BI521" s="490"/>
      <c r="BJ521" s="490"/>
      <c r="BK521" s="541"/>
      <c r="BL521" s="490"/>
      <c r="BM521" s="490"/>
      <c r="BN521" s="490"/>
      <c r="BO521" s="490"/>
    </row>
    <row r="522" spans="3:67">
      <c r="C522" s="541"/>
      <c r="D522" s="490"/>
      <c r="E522" s="490"/>
      <c r="F522" s="490"/>
      <c r="G522" s="490"/>
      <c r="H522" s="541"/>
      <c r="I522" s="490"/>
      <c r="J522" s="490"/>
      <c r="K522" s="490"/>
      <c r="L522" s="490"/>
      <c r="M522" s="541"/>
      <c r="N522" s="490"/>
      <c r="O522" s="490"/>
      <c r="P522" s="490"/>
      <c r="Q522" s="490"/>
      <c r="R522" s="541"/>
      <c r="S522" s="490"/>
      <c r="T522" s="490"/>
      <c r="U522" s="490"/>
      <c r="V522" s="490"/>
      <c r="W522" s="541"/>
      <c r="X522" s="490"/>
      <c r="Y522" s="490"/>
      <c r="Z522" s="490"/>
      <c r="AA522" s="490"/>
      <c r="AB522" s="541"/>
      <c r="AC522" s="490"/>
      <c r="AD522" s="490"/>
      <c r="AE522" s="490"/>
      <c r="AF522" s="490"/>
      <c r="AG522" s="541"/>
      <c r="AH522" s="490"/>
      <c r="AI522" s="490"/>
      <c r="AJ522" s="490"/>
      <c r="AK522" s="490"/>
      <c r="AL522" s="541"/>
      <c r="AM522" s="490"/>
      <c r="AN522" s="490"/>
      <c r="AO522" s="490"/>
      <c r="AP522" s="490"/>
      <c r="AQ522" s="541"/>
      <c r="AR522" s="490"/>
      <c r="AS522" s="490"/>
      <c r="AT522" s="490"/>
      <c r="AU522" s="490"/>
      <c r="AV522" s="541"/>
      <c r="AW522" s="490"/>
      <c r="AX522" s="490"/>
      <c r="AY522" s="490"/>
      <c r="AZ522" s="490"/>
      <c r="BA522" s="541"/>
      <c r="BB522" s="490"/>
      <c r="BC522" s="490"/>
      <c r="BD522" s="490"/>
      <c r="BE522" s="490"/>
      <c r="BF522" s="541"/>
      <c r="BG522" s="490"/>
      <c r="BH522" s="490"/>
      <c r="BI522" s="490"/>
      <c r="BJ522" s="490"/>
      <c r="BK522" s="541"/>
      <c r="BL522" s="490"/>
      <c r="BM522" s="490"/>
      <c r="BN522" s="490"/>
      <c r="BO522" s="490"/>
    </row>
    <row r="523" spans="3:67">
      <c r="C523" s="541"/>
      <c r="D523" s="490"/>
      <c r="E523" s="490"/>
      <c r="F523" s="490"/>
      <c r="G523" s="490"/>
      <c r="H523" s="541"/>
      <c r="I523" s="490"/>
      <c r="J523" s="490"/>
      <c r="K523" s="490"/>
      <c r="L523" s="490"/>
      <c r="M523" s="541"/>
      <c r="N523" s="490"/>
      <c r="O523" s="490"/>
      <c r="P523" s="490"/>
      <c r="Q523" s="490"/>
      <c r="R523" s="541"/>
      <c r="S523" s="490"/>
      <c r="T523" s="490"/>
      <c r="U523" s="490"/>
      <c r="V523" s="490"/>
      <c r="W523" s="541"/>
      <c r="X523" s="490"/>
      <c r="Y523" s="490"/>
      <c r="Z523" s="490"/>
      <c r="AA523" s="490"/>
      <c r="AB523" s="541"/>
      <c r="AC523" s="490"/>
      <c r="AD523" s="490"/>
      <c r="AE523" s="490"/>
      <c r="AF523" s="490"/>
      <c r="AG523" s="541"/>
      <c r="AH523" s="490"/>
      <c r="AI523" s="490"/>
      <c r="AJ523" s="490"/>
      <c r="AK523" s="490"/>
      <c r="AL523" s="541"/>
      <c r="AM523" s="490"/>
      <c r="AN523" s="490"/>
      <c r="AO523" s="490"/>
      <c r="AP523" s="490"/>
      <c r="AQ523" s="541"/>
      <c r="AR523" s="490"/>
      <c r="AS523" s="490"/>
      <c r="AT523" s="490"/>
      <c r="AU523" s="490"/>
      <c r="AV523" s="541"/>
      <c r="AW523" s="490"/>
      <c r="AX523" s="490"/>
      <c r="AY523" s="490"/>
      <c r="AZ523" s="490"/>
      <c r="BA523" s="541"/>
      <c r="BB523" s="490"/>
      <c r="BC523" s="490"/>
      <c r="BD523" s="490"/>
      <c r="BE523" s="490"/>
      <c r="BF523" s="541"/>
      <c r="BG523" s="490"/>
      <c r="BH523" s="490"/>
      <c r="BI523" s="490"/>
      <c r="BJ523" s="490"/>
      <c r="BK523" s="541"/>
      <c r="BL523" s="490"/>
      <c r="BM523" s="490"/>
      <c r="BN523" s="490"/>
      <c r="BO523" s="490"/>
    </row>
    <row r="524" spans="3:67">
      <c r="C524" s="541"/>
      <c r="D524" s="490"/>
      <c r="E524" s="490"/>
      <c r="F524" s="490"/>
      <c r="G524" s="490"/>
      <c r="H524" s="541"/>
      <c r="I524" s="490"/>
      <c r="J524" s="490"/>
      <c r="K524" s="490"/>
      <c r="L524" s="490"/>
      <c r="M524" s="541"/>
      <c r="N524" s="490"/>
      <c r="O524" s="490"/>
      <c r="P524" s="490"/>
      <c r="Q524" s="490"/>
      <c r="R524" s="541"/>
      <c r="S524" s="490"/>
      <c r="T524" s="490"/>
      <c r="U524" s="490"/>
      <c r="V524" s="490"/>
      <c r="W524" s="541"/>
      <c r="X524" s="490"/>
      <c r="Y524" s="490"/>
      <c r="Z524" s="490"/>
      <c r="AA524" s="490"/>
      <c r="AB524" s="541"/>
      <c r="AC524" s="490"/>
      <c r="AD524" s="490"/>
      <c r="AE524" s="490"/>
      <c r="AF524" s="490"/>
      <c r="AG524" s="541"/>
      <c r="AH524" s="490"/>
      <c r="AI524" s="490"/>
      <c r="AJ524" s="490"/>
      <c r="AK524" s="490"/>
      <c r="AL524" s="541"/>
      <c r="AM524" s="490"/>
      <c r="AN524" s="490"/>
      <c r="AO524" s="490"/>
      <c r="AP524" s="490"/>
      <c r="AQ524" s="541"/>
      <c r="AR524" s="490"/>
      <c r="AS524" s="490"/>
      <c r="AT524" s="490"/>
      <c r="AU524" s="490"/>
      <c r="AV524" s="541"/>
      <c r="AW524" s="490"/>
      <c r="AX524" s="490"/>
      <c r="AY524" s="490"/>
      <c r="AZ524" s="490"/>
      <c r="BA524" s="541"/>
      <c r="BB524" s="490"/>
      <c r="BC524" s="490"/>
      <c r="BD524" s="490"/>
      <c r="BE524" s="490"/>
      <c r="BF524" s="541"/>
      <c r="BG524" s="490"/>
      <c r="BH524" s="490"/>
      <c r="BI524" s="490"/>
      <c r="BJ524" s="490"/>
      <c r="BK524" s="541"/>
      <c r="BL524" s="490"/>
      <c r="BM524" s="490"/>
      <c r="BN524" s="490"/>
      <c r="BO524" s="490"/>
    </row>
    <row r="525" spans="3:67">
      <c r="C525" s="541"/>
      <c r="D525" s="490"/>
      <c r="E525" s="490"/>
      <c r="F525" s="490"/>
      <c r="G525" s="490"/>
      <c r="H525" s="541"/>
      <c r="I525" s="490"/>
      <c r="J525" s="490"/>
      <c r="K525" s="490"/>
      <c r="L525" s="490"/>
      <c r="M525" s="541"/>
      <c r="N525" s="490"/>
      <c r="O525" s="490"/>
      <c r="P525" s="490"/>
      <c r="Q525" s="490"/>
      <c r="R525" s="541"/>
      <c r="S525" s="490"/>
      <c r="T525" s="490"/>
      <c r="U525" s="490"/>
      <c r="V525" s="490"/>
      <c r="W525" s="541"/>
      <c r="X525" s="490"/>
      <c r="Y525" s="490"/>
      <c r="Z525" s="490"/>
      <c r="AA525" s="490"/>
      <c r="AB525" s="541"/>
      <c r="AC525" s="490"/>
      <c r="AD525" s="490"/>
      <c r="AE525" s="490"/>
      <c r="AF525" s="490"/>
      <c r="AG525" s="541"/>
      <c r="AH525" s="490"/>
      <c r="AI525" s="490"/>
      <c r="AJ525" s="490"/>
      <c r="AK525" s="490"/>
      <c r="AL525" s="541"/>
      <c r="AM525" s="490"/>
      <c r="AN525" s="490"/>
      <c r="AO525" s="490"/>
      <c r="AP525" s="490"/>
      <c r="AQ525" s="541"/>
      <c r="AR525" s="490"/>
      <c r="AS525" s="490"/>
      <c r="AT525" s="490"/>
      <c r="AU525" s="490"/>
      <c r="AV525" s="541"/>
      <c r="AW525" s="490"/>
      <c r="AX525" s="490"/>
      <c r="AY525" s="490"/>
      <c r="AZ525" s="490"/>
      <c r="BA525" s="541"/>
      <c r="BB525" s="490"/>
      <c r="BC525" s="490"/>
      <c r="BD525" s="490"/>
      <c r="BE525" s="490"/>
      <c r="BF525" s="541"/>
      <c r="BG525" s="490"/>
      <c r="BH525" s="490"/>
      <c r="BI525" s="490"/>
      <c r="BJ525" s="490"/>
      <c r="BK525" s="541"/>
      <c r="BL525" s="490"/>
      <c r="BM525" s="490"/>
      <c r="BN525" s="490"/>
      <c r="BO525" s="490"/>
    </row>
    <row r="526" spans="3:67">
      <c r="C526" s="541"/>
      <c r="D526" s="490"/>
      <c r="E526" s="490"/>
      <c r="F526" s="490"/>
      <c r="G526" s="490"/>
      <c r="H526" s="541"/>
      <c r="I526" s="490"/>
      <c r="J526" s="490"/>
      <c r="K526" s="490"/>
      <c r="L526" s="490"/>
      <c r="M526" s="541"/>
      <c r="N526" s="490"/>
      <c r="O526" s="490"/>
      <c r="P526" s="490"/>
      <c r="Q526" s="490"/>
      <c r="R526" s="541"/>
      <c r="S526" s="490"/>
      <c r="T526" s="490"/>
      <c r="U526" s="490"/>
      <c r="V526" s="490"/>
      <c r="W526" s="541"/>
      <c r="X526" s="490"/>
      <c r="Y526" s="490"/>
      <c r="Z526" s="490"/>
      <c r="AA526" s="490"/>
      <c r="AB526" s="541"/>
      <c r="AC526" s="490"/>
      <c r="AD526" s="490"/>
      <c r="AE526" s="490"/>
      <c r="AF526" s="490"/>
      <c r="AG526" s="541"/>
      <c r="AH526" s="490"/>
      <c r="AI526" s="490"/>
      <c r="AJ526" s="490"/>
      <c r="AK526" s="490"/>
      <c r="AL526" s="541"/>
      <c r="AM526" s="490"/>
      <c r="AN526" s="490"/>
      <c r="AO526" s="490"/>
      <c r="AP526" s="490"/>
      <c r="AQ526" s="541"/>
      <c r="AR526" s="490"/>
      <c r="AS526" s="490"/>
      <c r="AT526" s="490"/>
      <c r="AU526" s="490"/>
      <c r="AV526" s="541"/>
      <c r="AW526" s="490"/>
      <c r="AX526" s="490"/>
      <c r="AY526" s="490"/>
      <c r="AZ526" s="490"/>
      <c r="BA526" s="541"/>
      <c r="BB526" s="490"/>
      <c r="BC526" s="490"/>
      <c r="BD526" s="490"/>
      <c r="BE526" s="490"/>
      <c r="BF526" s="541"/>
      <c r="BG526" s="490"/>
      <c r="BH526" s="490"/>
      <c r="BI526" s="490"/>
      <c r="BJ526" s="490"/>
      <c r="BK526" s="541"/>
      <c r="BL526" s="490"/>
      <c r="BM526" s="490"/>
      <c r="BN526" s="490"/>
      <c r="BO526" s="490"/>
    </row>
    <row r="527" spans="3:67">
      <c r="C527" s="490"/>
      <c r="D527" s="490"/>
      <c r="E527" s="490"/>
      <c r="F527" s="490"/>
      <c r="G527" s="490"/>
      <c r="H527" s="490"/>
      <c r="I527" s="490"/>
      <c r="J527" s="490"/>
      <c r="K527" s="490"/>
      <c r="L527" s="490"/>
      <c r="M527" s="490"/>
      <c r="N527" s="490"/>
      <c r="O527" s="490"/>
      <c r="P527" s="490"/>
      <c r="Q527" s="490"/>
      <c r="R527" s="490"/>
      <c r="S527" s="490"/>
      <c r="T527" s="490"/>
      <c r="U527" s="490"/>
      <c r="V527" s="490"/>
      <c r="W527" s="490"/>
      <c r="X527" s="490"/>
      <c r="Y527" s="490"/>
      <c r="Z527" s="490"/>
      <c r="AA527" s="490"/>
      <c r="AB527" s="490"/>
      <c r="AC527" s="490"/>
      <c r="AD527" s="490"/>
      <c r="AE527" s="490"/>
      <c r="AF527" s="490"/>
      <c r="AG527" s="490"/>
      <c r="AH527" s="490"/>
      <c r="AI527" s="490"/>
      <c r="AJ527" s="490"/>
      <c r="AK527" s="490"/>
      <c r="AL527" s="490"/>
      <c r="AM527" s="490"/>
      <c r="AN527" s="490"/>
      <c r="AO527" s="490"/>
      <c r="AP527" s="490"/>
      <c r="AQ527" s="490"/>
      <c r="AR527" s="490"/>
      <c r="AS527" s="490"/>
      <c r="AT527" s="490"/>
      <c r="AU527" s="490"/>
      <c r="AV527" s="490"/>
      <c r="AW527" s="490"/>
      <c r="AX527" s="490"/>
      <c r="AY527" s="490"/>
      <c r="AZ527" s="490"/>
      <c r="BA527" s="490"/>
      <c r="BB527" s="490"/>
      <c r="BC527" s="490"/>
      <c r="BD527" s="490"/>
      <c r="BE527" s="490"/>
      <c r="BF527" s="490"/>
      <c r="BG527" s="490"/>
      <c r="BH527" s="490"/>
      <c r="BI527" s="490"/>
      <c r="BJ527" s="490"/>
      <c r="BK527" s="490"/>
      <c r="BL527" s="490"/>
      <c r="BM527" s="490"/>
      <c r="BN527" s="490"/>
      <c r="BO527" s="490"/>
    </row>
    <row r="528" spans="3:67">
      <c r="C528" s="490"/>
      <c r="D528" s="490"/>
      <c r="E528" s="490"/>
      <c r="F528" s="490"/>
      <c r="G528" s="490"/>
      <c r="H528" s="490"/>
      <c r="I528" s="490"/>
      <c r="J528" s="490"/>
      <c r="K528" s="490"/>
      <c r="L528" s="490"/>
      <c r="M528" s="490"/>
      <c r="N528" s="490"/>
      <c r="O528" s="490"/>
      <c r="P528" s="490"/>
      <c r="Q528" s="490"/>
      <c r="R528" s="490"/>
      <c r="S528" s="490"/>
      <c r="T528" s="490"/>
      <c r="U528" s="490"/>
      <c r="V528" s="490"/>
      <c r="W528" s="490"/>
      <c r="X528" s="490"/>
      <c r="Y528" s="490"/>
      <c r="Z528" s="490"/>
      <c r="AA528" s="490"/>
      <c r="AB528" s="490"/>
      <c r="AC528" s="490"/>
      <c r="AD528" s="490"/>
      <c r="AE528" s="490"/>
      <c r="AF528" s="490"/>
      <c r="AG528" s="490"/>
      <c r="AH528" s="490"/>
      <c r="AI528" s="490"/>
      <c r="AJ528" s="490"/>
      <c r="AK528" s="490"/>
      <c r="AL528" s="490"/>
      <c r="AM528" s="490"/>
      <c r="AN528" s="490"/>
      <c r="AO528" s="490"/>
      <c r="AP528" s="490"/>
      <c r="AQ528" s="490"/>
      <c r="AR528" s="490"/>
      <c r="AS528" s="490"/>
      <c r="AT528" s="490"/>
      <c r="AU528" s="490"/>
      <c r="AV528" s="490"/>
      <c r="AW528" s="490"/>
      <c r="AX528" s="490"/>
      <c r="AY528" s="490"/>
      <c r="AZ528" s="490"/>
      <c r="BA528" s="490"/>
      <c r="BB528" s="490"/>
      <c r="BC528" s="490"/>
      <c r="BD528" s="490"/>
      <c r="BE528" s="490"/>
      <c r="BF528" s="490"/>
      <c r="BG528" s="490"/>
      <c r="BH528" s="490"/>
      <c r="BI528" s="490"/>
      <c r="BJ528" s="490"/>
      <c r="BK528" s="490"/>
      <c r="BL528" s="490"/>
      <c r="BM528" s="490"/>
      <c r="BN528" s="490"/>
      <c r="BO528" s="490"/>
    </row>
    <row r="529" spans="3:67">
      <c r="C529" s="394"/>
      <c r="D529" s="394"/>
      <c r="E529" s="394"/>
      <c r="F529" s="394"/>
      <c r="G529" s="394"/>
      <c r="H529" s="394"/>
      <c r="I529" s="394"/>
      <c r="J529" s="394"/>
      <c r="K529" s="394"/>
      <c r="L529" s="394"/>
      <c r="M529" s="394"/>
      <c r="N529" s="394"/>
      <c r="O529" s="394"/>
      <c r="P529" s="394"/>
      <c r="Q529" s="394"/>
      <c r="R529" s="394"/>
      <c r="S529" s="394"/>
      <c r="T529" s="394"/>
      <c r="U529" s="394"/>
      <c r="V529" s="394"/>
      <c r="W529" s="394"/>
      <c r="X529" s="394"/>
      <c r="Y529" s="394"/>
      <c r="Z529" s="394"/>
      <c r="AA529" s="394"/>
      <c r="AB529" s="394"/>
      <c r="AC529" s="394"/>
      <c r="AD529" s="394"/>
      <c r="AE529" s="394"/>
      <c r="AF529" s="394"/>
      <c r="AG529" s="394"/>
      <c r="AH529" s="394"/>
      <c r="AI529" s="394"/>
      <c r="AJ529" s="394"/>
      <c r="AK529" s="394"/>
      <c r="AL529" s="394"/>
      <c r="AM529" s="394"/>
      <c r="AN529" s="394"/>
      <c r="AO529" s="394"/>
      <c r="AP529" s="394"/>
      <c r="AQ529" s="394"/>
      <c r="AR529" s="394"/>
      <c r="AS529" s="394"/>
      <c r="AT529" s="394"/>
      <c r="AU529" s="394"/>
      <c r="AV529" s="394"/>
      <c r="AW529" s="394"/>
      <c r="AX529" s="394"/>
      <c r="AY529" s="394"/>
      <c r="AZ529" s="394"/>
      <c r="BA529" s="394"/>
      <c r="BB529" s="394"/>
      <c r="BC529" s="394"/>
      <c r="BD529" s="394"/>
      <c r="BE529" s="394"/>
      <c r="BF529" s="394"/>
      <c r="BG529" s="394"/>
      <c r="BH529" s="394"/>
      <c r="BI529" s="394"/>
      <c r="BJ529" s="394"/>
      <c r="BK529" s="394"/>
      <c r="BL529" s="394"/>
      <c r="BM529" s="394"/>
      <c r="BN529" s="394"/>
      <c r="BO529" s="394"/>
    </row>
    <row r="530" spans="3:67">
      <c r="C530" s="470"/>
      <c r="D530" s="470"/>
      <c r="E530" s="470"/>
      <c r="F530" s="470"/>
      <c r="G530" s="470"/>
      <c r="H530" s="470"/>
      <c r="I530" s="470"/>
      <c r="J530" s="470"/>
      <c r="K530" s="470"/>
      <c r="L530" s="470"/>
      <c r="M530" s="470"/>
      <c r="N530" s="470"/>
      <c r="O530" s="470"/>
      <c r="P530" s="470"/>
      <c r="Q530" s="470"/>
      <c r="R530" s="470"/>
      <c r="S530" s="470"/>
      <c r="T530" s="470"/>
      <c r="U530" s="470"/>
      <c r="V530" s="470"/>
      <c r="W530" s="470"/>
      <c r="X530" s="470"/>
      <c r="Y530" s="470"/>
      <c r="Z530" s="470"/>
      <c r="AA530" s="470"/>
      <c r="AB530" s="470"/>
      <c r="AC530" s="470"/>
      <c r="AD530" s="470"/>
      <c r="AE530" s="470"/>
      <c r="AF530" s="470"/>
      <c r="AG530" s="470"/>
      <c r="AH530" s="470"/>
      <c r="AI530" s="470"/>
      <c r="AJ530" s="470"/>
      <c r="AK530" s="470"/>
      <c r="AL530" s="470"/>
      <c r="AM530" s="470"/>
      <c r="AN530" s="470"/>
      <c r="AO530" s="470"/>
      <c r="AP530" s="470"/>
      <c r="AQ530" s="470"/>
      <c r="AR530" s="470"/>
      <c r="AS530" s="470"/>
      <c r="AT530" s="470"/>
      <c r="AU530" s="470"/>
      <c r="AV530" s="470"/>
      <c r="AW530" s="470"/>
      <c r="AX530" s="470"/>
      <c r="AY530" s="470"/>
      <c r="AZ530" s="470"/>
      <c r="BA530" s="470"/>
      <c r="BB530" s="470"/>
      <c r="BC530" s="470"/>
      <c r="BD530" s="470"/>
      <c r="BE530" s="470"/>
      <c r="BF530" s="470"/>
      <c r="BG530" s="470"/>
      <c r="BH530" s="470"/>
      <c r="BI530" s="470"/>
      <c r="BJ530" s="470"/>
      <c r="BK530" s="470"/>
      <c r="BL530" s="470"/>
      <c r="BM530" s="470"/>
      <c r="BN530" s="470"/>
      <c r="BO530" s="470"/>
    </row>
    <row r="531" spans="3:67">
      <c r="C531" s="550"/>
      <c r="D531" s="550"/>
      <c r="E531" s="550"/>
      <c r="F531" s="550"/>
      <c r="G531" s="550"/>
      <c r="H531" s="550"/>
      <c r="I531" s="550"/>
      <c r="J531" s="550"/>
      <c r="K531" s="550"/>
      <c r="L531" s="550"/>
      <c r="M531" s="550"/>
      <c r="N531" s="550"/>
      <c r="O531" s="550"/>
      <c r="P531" s="550"/>
      <c r="Q531" s="550"/>
      <c r="R531" s="550"/>
      <c r="S531" s="550"/>
      <c r="T531" s="550"/>
      <c r="U531" s="550"/>
      <c r="V531" s="550"/>
      <c r="W531" s="550"/>
      <c r="X531" s="550"/>
      <c r="Y531" s="550"/>
      <c r="Z531" s="550"/>
      <c r="AA531" s="550"/>
      <c r="AB531" s="550"/>
      <c r="AC531" s="550"/>
      <c r="AD531" s="550"/>
      <c r="AE531" s="550"/>
      <c r="AF531" s="550"/>
      <c r="AG531" s="550"/>
      <c r="AH531" s="550"/>
      <c r="AI531" s="550"/>
      <c r="AJ531" s="550"/>
      <c r="AK531" s="550"/>
      <c r="AL531" s="550"/>
      <c r="AM531" s="550"/>
      <c r="AN531" s="550"/>
      <c r="AO531" s="550"/>
      <c r="AP531" s="550"/>
      <c r="AQ531" s="550"/>
      <c r="AR531" s="550"/>
      <c r="AS531" s="550"/>
      <c r="AT531" s="550"/>
      <c r="AU531" s="550"/>
      <c r="AV531" s="550"/>
      <c r="AW531" s="550"/>
      <c r="AX531" s="550"/>
      <c r="AY531" s="550"/>
      <c r="AZ531" s="550"/>
      <c r="BA531" s="550"/>
      <c r="BB531" s="550"/>
      <c r="BC531" s="550"/>
      <c r="BD531" s="550"/>
      <c r="BE531" s="550"/>
      <c r="BF531" s="550"/>
      <c r="BG531" s="550"/>
      <c r="BH531" s="550"/>
      <c r="BI531" s="550"/>
      <c r="BJ531" s="550"/>
      <c r="BK531" s="550"/>
      <c r="BL531" s="550"/>
      <c r="BM531" s="550"/>
      <c r="BN531" s="550"/>
      <c r="BO531" s="550"/>
    </row>
    <row r="532" spans="3:67">
      <c r="C532" s="550"/>
      <c r="D532" s="550"/>
      <c r="E532" s="550"/>
      <c r="F532" s="550"/>
      <c r="G532" s="550"/>
      <c r="H532" s="550"/>
      <c r="I532" s="550"/>
      <c r="J532" s="550"/>
      <c r="K532" s="550"/>
      <c r="L532" s="550"/>
      <c r="M532" s="550"/>
      <c r="N532" s="550"/>
      <c r="O532" s="550"/>
      <c r="P532" s="550"/>
      <c r="Q532" s="550"/>
      <c r="R532" s="550"/>
      <c r="S532" s="550"/>
      <c r="T532" s="550"/>
      <c r="U532" s="550"/>
      <c r="V532" s="550"/>
      <c r="W532" s="550"/>
      <c r="X532" s="550"/>
      <c r="Y532" s="550"/>
      <c r="Z532" s="550"/>
      <c r="AA532" s="550"/>
      <c r="AB532" s="550"/>
      <c r="AC532" s="550"/>
      <c r="AD532" s="550"/>
      <c r="AE532" s="550"/>
      <c r="AF532" s="550"/>
      <c r="AG532" s="550"/>
      <c r="AH532" s="550"/>
      <c r="AI532" s="550"/>
      <c r="AJ532" s="550"/>
      <c r="AK532" s="550"/>
      <c r="AL532" s="550"/>
      <c r="AM532" s="550"/>
      <c r="AN532" s="550"/>
      <c r="AO532" s="550"/>
      <c r="AP532" s="550"/>
      <c r="AQ532" s="550"/>
      <c r="AR532" s="550"/>
      <c r="AS532" s="550"/>
      <c r="AT532" s="550"/>
      <c r="AU532" s="550"/>
      <c r="AV532" s="550"/>
      <c r="AW532" s="550"/>
      <c r="AX532" s="550"/>
      <c r="AY532" s="550"/>
      <c r="AZ532" s="550"/>
      <c r="BA532" s="550"/>
      <c r="BB532" s="550"/>
      <c r="BC532" s="550"/>
      <c r="BD532" s="550"/>
      <c r="BE532" s="550"/>
      <c r="BF532" s="550"/>
      <c r="BG532" s="550"/>
      <c r="BH532" s="550"/>
      <c r="BI532" s="550"/>
      <c r="BJ532" s="550"/>
      <c r="BK532" s="550"/>
      <c r="BL532" s="550"/>
      <c r="BM532" s="550"/>
      <c r="BN532" s="550"/>
      <c r="BO532" s="550"/>
    </row>
    <row r="533" spans="3:67">
      <c r="C533" s="551"/>
      <c r="D533" s="545"/>
      <c r="E533" s="545"/>
      <c r="F533" s="545"/>
      <c r="G533" s="545"/>
      <c r="H533" s="551"/>
      <c r="I533" s="545"/>
      <c r="J533" s="545"/>
      <c r="K533" s="545"/>
      <c r="L533" s="545"/>
      <c r="M533" s="551"/>
      <c r="N533" s="545"/>
      <c r="O533" s="545"/>
      <c r="P533" s="545"/>
      <c r="Q533" s="545"/>
      <c r="R533" s="551"/>
      <c r="S533" s="545"/>
      <c r="T533" s="545"/>
      <c r="U533" s="545"/>
      <c r="V533" s="545"/>
      <c r="W533" s="551"/>
      <c r="X533" s="545"/>
      <c r="Y533" s="545"/>
      <c r="Z533" s="545"/>
      <c r="AA533" s="545"/>
      <c r="AB533" s="551"/>
      <c r="AC533" s="545"/>
      <c r="AD533" s="545"/>
      <c r="AE533" s="545"/>
      <c r="AF533" s="545"/>
      <c r="AG533" s="551"/>
      <c r="AH533" s="545"/>
      <c r="AI533" s="545"/>
      <c r="AJ533" s="545"/>
      <c r="AK533" s="545"/>
      <c r="AL533" s="551"/>
      <c r="AM533" s="545"/>
      <c r="AN533" s="545"/>
      <c r="AO533" s="545"/>
      <c r="AP533" s="545"/>
      <c r="AQ533" s="551"/>
      <c r="AR533" s="545"/>
      <c r="AS533" s="545"/>
      <c r="AT533" s="545"/>
      <c r="AU533" s="545"/>
      <c r="AV533" s="551"/>
      <c r="AW533" s="545"/>
      <c r="AX533" s="545"/>
      <c r="AY533" s="545"/>
      <c r="AZ533" s="545"/>
      <c r="BA533" s="551"/>
      <c r="BB533" s="545"/>
      <c r="BC533" s="545"/>
      <c r="BD533" s="545"/>
      <c r="BE533" s="545"/>
      <c r="BF533" s="551"/>
      <c r="BG533" s="545"/>
      <c r="BH533" s="545"/>
      <c r="BI533" s="545"/>
      <c r="BJ533" s="545"/>
      <c r="BK533" s="551"/>
      <c r="BL533" s="545"/>
      <c r="BM533" s="545"/>
      <c r="BN533" s="545"/>
      <c r="BO533" s="545"/>
    </row>
    <row r="534" spans="3:67">
      <c r="C534" s="552"/>
      <c r="D534" s="552"/>
      <c r="E534" s="552"/>
      <c r="F534" s="552"/>
      <c r="G534" s="552"/>
      <c r="H534" s="552"/>
      <c r="I534" s="552"/>
      <c r="J534" s="552"/>
      <c r="K534" s="552"/>
      <c r="L534" s="552"/>
      <c r="M534" s="552"/>
      <c r="N534" s="552"/>
      <c r="O534" s="552"/>
      <c r="P534" s="552"/>
      <c r="Q534" s="552"/>
      <c r="R534" s="552"/>
      <c r="S534" s="552"/>
      <c r="T534" s="552"/>
      <c r="U534" s="552"/>
      <c r="V534" s="552"/>
      <c r="W534" s="552"/>
      <c r="X534" s="552"/>
      <c r="Y534" s="552"/>
      <c r="Z534" s="552"/>
      <c r="AA534" s="552"/>
      <c r="AB534" s="552"/>
      <c r="AC534" s="552"/>
      <c r="AD534" s="552"/>
      <c r="AE534" s="552"/>
      <c r="AF534" s="552"/>
      <c r="AG534" s="552"/>
      <c r="AH534" s="552"/>
      <c r="AI534" s="552"/>
      <c r="AJ534" s="552"/>
      <c r="AK534" s="552"/>
      <c r="AL534" s="552"/>
      <c r="AM534" s="552"/>
      <c r="AN534" s="552"/>
      <c r="AO534" s="552"/>
      <c r="AP534" s="552"/>
      <c r="AQ534" s="552"/>
      <c r="AR534" s="552"/>
      <c r="AS534" s="552"/>
      <c r="AT534" s="552"/>
      <c r="AU534" s="552"/>
      <c r="AV534" s="552"/>
      <c r="AW534" s="552"/>
      <c r="AX534" s="552"/>
      <c r="AY534" s="552"/>
      <c r="AZ534" s="552"/>
      <c r="BA534" s="552"/>
      <c r="BB534" s="552"/>
      <c r="BC534" s="552"/>
      <c r="BD534" s="552"/>
      <c r="BE534" s="552"/>
      <c r="BF534" s="552"/>
      <c r="BG534" s="552"/>
      <c r="BH534" s="552"/>
      <c r="BI534" s="552"/>
      <c r="BJ534" s="552"/>
      <c r="BK534" s="552"/>
      <c r="BL534" s="552"/>
      <c r="BM534" s="552"/>
      <c r="BN534" s="552"/>
      <c r="BO534" s="552"/>
    </row>
    <row r="535" spans="3:67">
      <c r="C535" s="541"/>
      <c r="D535" s="490"/>
      <c r="E535" s="490"/>
      <c r="F535" s="490"/>
      <c r="G535" s="490"/>
      <c r="H535" s="541"/>
      <c r="I535" s="490"/>
      <c r="J535" s="490"/>
      <c r="K535" s="490"/>
      <c r="L535" s="490"/>
      <c r="M535" s="541"/>
      <c r="N535" s="490"/>
      <c r="O535" s="490"/>
      <c r="P535" s="490"/>
      <c r="Q535" s="490"/>
      <c r="R535" s="541"/>
      <c r="S535" s="490"/>
      <c r="T535" s="490"/>
      <c r="U535" s="490"/>
      <c r="V535" s="490"/>
      <c r="W535" s="541"/>
      <c r="X535" s="490"/>
      <c r="Y535" s="490"/>
      <c r="Z535" s="490"/>
      <c r="AA535" s="490"/>
      <c r="AB535" s="541"/>
      <c r="AC535" s="490"/>
      <c r="AD535" s="490"/>
      <c r="AE535" s="490"/>
      <c r="AF535" s="490"/>
      <c r="AG535" s="541"/>
      <c r="AH535" s="490"/>
      <c r="AI535" s="490"/>
      <c r="AJ535" s="490"/>
      <c r="AK535" s="490"/>
      <c r="AL535" s="541"/>
      <c r="AM535" s="490"/>
      <c r="AN535" s="490"/>
      <c r="AO535" s="490"/>
      <c r="AP535" s="490"/>
      <c r="AQ535" s="541"/>
      <c r="AR535" s="490"/>
      <c r="AS535" s="490"/>
      <c r="AT535" s="490"/>
      <c r="AU535" s="490"/>
      <c r="AV535" s="541"/>
      <c r="AW535" s="490"/>
      <c r="AX535" s="490"/>
      <c r="AY535" s="490"/>
      <c r="AZ535" s="490"/>
      <c r="BA535" s="541"/>
      <c r="BB535" s="490"/>
      <c r="BC535" s="490"/>
      <c r="BD535" s="490"/>
      <c r="BE535" s="490"/>
      <c r="BF535" s="541"/>
      <c r="BG535" s="490"/>
      <c r="BH535" s="490"/>
      <c r="BI535" s="490"/>
      <c r="BJ535" s="490"/>
      <c r="BK535" s="541"/>
      <c r="BL535" s="490"/>
      <c r="BM535" s="490"/>
      <c r="BN535" s="490"/>
      <c r="BO535" s="490"/>
    </row>
    <row r="536" spans="3:67">
      <c r="C536" s="490"/>
      <c r="D536" s="490"/>
      <c r="E536" s="490"/>
      <c r="F536" s="490"/>
      <c r="G536" s="490"/>
      <c r="H536" s="490"/>
      <c r="I536" s="490"/>
      <c r="J536" s="490"/>
      <c r="K536" s="490"/>
      <c r="L536" s="490"/>
      <c r="M536" s="490"/>
      <c r="N536" s="490"/>
      <c r="O536" s="490"/>
      <c r="P536" s="490"/>
      <c r="Q536" s="490"/>
      <c r="R536" s="490"/>
      <c r="S536" s="490"/>
      <c r="T536" s="490"/>
      <c r="U536" s="490"/>
      <c r="V536" s="490"/>
      <c r="W536" s="490"/>
      <c r="X536" s="490"/>
      <c r="Y536" s="490"/>
      <c r="Z536" s="490"/>
      <c r="AA536" s="490"/>
      <c r="AB536" s="490"/>
      <c r="AC536" s="490"/>
      <c r="AD536" s="490"/>
      <c r="AE536" s="490"/>
      <c r="AF536" s="490"/>
      <c r="AG536" s="490"/>
      <c r="AH536" s="490"/>
      <c r="AI536" s="490"/>
      <c r="AJ536" s="490"/>
      <c r="AK536" s="490"/>
      <c r="AL536" s="490"/>
      <c r="AM536" s="490"/>
      <c r="AN536" s="490"/>
      <c r="AO536" s="490"/>
      <c r="AP536" s="490"/>
      <c r="AQ536" s="490"/>
      <c r="AR536" s="490"/>
      <c r="AS536" s="490"/>
      <c r="AT536" s="490"/>
      <c r="AU536" s="490"/>
      <c r="AV536" s="490"/>
      <c r="AW536" s="490"/>
      <c r="AX536" s="490"/>
      <c r="AY536" s="490"/>
      <c r="AZ536" s="490"/>
      <c r="BA536" s="490"/>
      <c r="BB536" s="490"/>
      <c r="BC536" s="490"/>
      <c r="BD536" s="490"/>
      <c r="BE536" s="490"/>
      <c r="BF536" s="490"/>
      <c r="BG536" s="490"/>
      <c r="BH536" s="490"/>
      <c r="BI536" s="490"/>
      <c r="BJ536" s="490"/>
      <c r="BK536" s="490"/>
      <c r="BL536" s="490"/>
      <c r="BM536" s="490"/>
      <c r="BN536" s="490"/>
      <c r="BO536" s="490"/>
    </row>
    <row r="537" spans="3:67">
      <c r="C537" s="490"/>
      <c r="D537" s="490"/>
      <c r="E537" s="490"/>
      <c r="F537" s="490"/>
      <c r="G537" s="490"/>
      <c r="H537" s="490"/>
      <c r="I537" s="490"/>
      <c r="J537" s="490"/>
      <c r="K537" s="490"/>
      <c r="L537" s="490"/>
      <c r="M537" s="490"/>
      <c r="N537" s="490"/>
      <c r="O537" s="490"/>
      <c r="P537" s="490"/>
      <c r="Q537" s="490"/>
      <c r="R537" s="490"/>
      <c r="S537" s="490"/>
      <c r="T537" s="490"/>
      <c r="U537" s="490"/>
      <c r="V537" s="490"/>
      <c r="W537" s="490"/>
      <c r="X537" s="490"/>
      <c r="Y537" s="490"/>
      <c r="Z537" s="490"/>
      <c r="AA537" s="490"/>
      <c r="AB537" s="490"/>
      <c r="AC537" s="490"/>
      <c r="AD537" s="490"/>
      <c r="AE537" s="490"/>
      <c r="AF537" s="490"/>
      <c r="AG537" s="490"/>
      <c r="AH537" s="490"/>
      <c r="AI537" s="490"/>
      <c r="AJ537" s="490"/>
      <c r="AK537" s="490"/>
      <c r="AL537" s="490"/>
      <c r="AM537" s="490"/>
      <c r="AN537" s="490"/>
      <c r="AO537" s="490"/>
      <c r="AP537" s="490"/>
      <c r="AQ537" s="490"/>
      <c r="AR537" s="490"/>
      <c r="AS537" s="490"/>
      <c r="AT537" s="490"/>
      <c r="AU537" s="490"/>
      <c r="AV537" s="490"/>
      <c r="AW537" s="490"/>
      <c r="AX537" s="490"/>
      <c r="AY537" s="490"/>
      <c r="AZ537" s="490"/>
      <c r="BA537" s="490"/>
      <c r="BB537" s="490"/>
      <c r="BC537" s="490"/>
      <c r="BD537" s="490"/>
      <c r="BE537" s="490"/>
      <c r="BF537" s="490"/>
      <c r="BG537" s="490"/>
      <c r="BH537" s="490"/>
      <c r="BI537" s="490"/>
      <c r="BJ537" s="490"/>
      <c r="BK537" s="490"/>
      <c r="BL537" s="490"/>
      <c r="BM537" s="490"/>
      <c r="BN537" s="490"/>
      <c r="BO537" s="490"/>
    </row>
    <row r="538" spans="3:67">
      <c r="C538" s="490"/>
      <c r="D538" s="490"/>
      <c r="E538" s="490"/>
      <c r="F538" s="490"/>
      <c r="G538" s="490"/>
      <c r="H538" s="490"/>
      <c r="I538" s="490"/>
      <c r="J538" s="490"/>
      <c r="K538" s="490"/>
      <c r="L538" s="490"/>
      <c r="M538" s="490"/>
      <c r="N538" s="490"/>
      <c r="O538" s="490"/>
      <c r="P538" s="490"/>
      <c r="Q538" s="490"/>
      <c r="R538" s="490"/>
      <c r="S538" s="490"/>
      <c r="T538" s="490"/>
      <c r="U538" s="490"/>
      <c r="V538" s="490"/>
      <c r="W538" s="490"/>
      <c r="X538" s="490"/>
      <c r="Y538" s="490"/>
      <c r="Z538" s="490"/>
      <c r="AA538" s="490"/>
      <c r="AB538" s="490"/>
      <c r="AC538" s="490"/>
      <c r="AD538" s="490"/>
      <c r="AE538" s="490"/>
      <c r="AF538" s="490"/>
      <c r="AG538" s="490"/>
      <c r="AH538" s="490"/>
      <c r="AI538" s="490"/>
      <c r="AJ538" s="490"/>
      <c r="AK538" s="490"/>
      <c r="AL538" s="490"/>
      <c r="AM538" s="490"/>
      <c r="AN538" s="490"/>
      <c r="AO538" s="490"/>
      <c r="AP538" s="490"/>
      <c r="AQ538" s="490"/>
      <c r="AR538" s="490"/>
      <c r="AS538" s="490"/>
      <c r="AT538" s="490"/>
      <c r="AU538" s="490"/>
      <c r="AV538" s="490"/>
      <c r="AW538" s="490"/>
      <c r="AX538" s="490"/>
      <c r="AY538" s="490"/>
      <c r="AZ538" s="490"/>
      <c r="BA538" s="490"/>
      <c r="BB538" s="490"/>
      <c r="BC538" s="490"/>
      <c r="BD538" s="490"/>
      <c r="BE538" s="490"/>
      <c r="BF538" s="490"/>
      <c r="BG538" s="490"/>
      <c r="BH538" s="490"/>
      <c r="BI538" s="490"/>
      <c r="BJ538" s="490"/>
      <c r="BK538" s="490"/>
      <c r="BL538" s="490"/>
      <c r="BM538" s="490"/>
      <c r="BN538" s="490"/>
      <c r="BO538" s="490"/>
    </row>
    <row r="539" spans="3:67">
      <c r="C539" s="490"/>
      <c r="D539" s="490"/>
      <c r="E539" s="490"/>
      <c r="F539" s="490"/>
      <c r="G539" s="490"/>
      <c r="H539" s="490"/>
      <c r="I539" s="490"/>
      <c r="J539" s="490"/>
      <c r="K539" s="490"/>
      <c r="L539" s="490"/>
      <c r="M539" s="490"/>
      <c r="N539" s="490"/>
      <c r="O539" s="490"/>
      <c r="P539" s="490"/>
      <c r="Q539" s="490"/>
      <c r="R539" s="490"/>
      <c r="S539" s="490"/>
      <c r="T539" s="490"/>
      <c r="U539" s="490"/>
      <c r="V539" s="490"/>
      <c r="W539" s="490"/>
      <c r="X539" s="490"/>
      <c r="Y539" s="490"/>
      <c r="Z539" s="490"/>
      <c r="AA539" s="490"/>
      <c r="AB539" s="490"/>
      <c r="AC539" s="490"/>
      <c r="AD539" s="490"/>
      <c r="AE539" s="490"/>
      <c r="AF539" s="490"/>
      <c r="AG539" s="490"/>
      <c r="AH539" s="490"/>
      <c r="AI539" s="490"/>
      <c r="AJ539" s="490"/>
      <c r="AK539" s="490"/>
      <c r="AL539" s="490"/>
      <c r="AM539" s="490"/>
      <c r="AN539" s="490"/>
      <c r="AO539" s="490"/>
      <c r="AP539" s="490"/>
      <c r="AQ539" s="490"/>
      <c r="AR539" s="490"/>
      <c r="AS539" s="490"/>
      <c r="AT539" s="490"/>
      <c r="AU539" s="490"/>
      <c r="AV539" s="490"/>
      <c r="AW539" s="490"/>
      <c r="AX539" s="490"/>
      <c r="AY539" s="490"/>
      <c r="AZ539" s="490"/>
      <c r="BA539" s="490"/>
      <c r="BB539" s="490"/>
      <c r="BC539" s="490"/>
      <c r="BD539" s="490"/>
      <c r="BE539" s="490"/>
      <c r="BF539" s="490"/>
      <c r="BG539" s="490"/>
      <c r="BH539" s="490"/>
      <c r="BI539" s="490"/>
      <c r="BJ539" s="490"/>
      <c r="BK539" s="490"/>
      <c r="BL539" s="490"/>
      <c r="BM539" s="490"/>
      <c r="BN539" s="490"/>
      <c r="BO539" s="490"/>
    </row>
    <row r="540" spans="3:67">
      <c r="C540" s="490"/>
      <c r="D540" s="490"/>
      <c r="E540" s="490"/>
      <c r="F540" s="490"/>
      <c r="G540" s="490"/>
      <c r="H540" s="490"/>
      <c r="I540" s="490"/>
      <c r="J540" s="490"/>
      <c r="K540" s="490"/>
      <c r="L540" s="490"/>
      <c r="M540" s="490"/>
      <c r="N540" s="490"/>
      <c r="O540" s="490"/>
      <c r="P540" s="490"/>
      <c r="Q540" s="490"/>
      <c r="R540" s="490"/>
      <c r="S540" s="490"/>
      <c r="T540" s="490"/>
      <c r="U540" s="490"/>
      <c r="V540" s="490"/>
      <c r="W540" s="490"/>
      <c r="X540" s="490"/>
      <c r="Y540" s="490"/>
      <c r="Z540" s="490"/>
      <c r="AA540" s="490"/>
      <c r="AB540" s="490"/>
      <c r="AC540" s="490"/>
      <c r="AD540" s="490"/>
      <c r="AE540" s="490"/>
      <c r="AF540" s="490"/>
      <c r="AG540" s="490"/>
      <c r="AH540" s="490"/>
      <c r="AI540" s="490"/>
      <c r="AJ540" s="490"/>
      <c r="AK540" s="490"/>
      <c r="AL540" s="490"/>
      <c r="AM540" s="490"/>
      <c r="AN540" s="490"/>
      <c r="AO540" s="490"/>
      <c r="AP540" s="490"/>
      <c r="AQ540" s="490"/>
      <c r="AR540" s="490"/>
      <c r="AS540" s="490"/>
      <c r="AT540" s="490"/>
      <c r="AU540" s="490"/>
      <c r="AV540" s="490"/>
      <c r="AW540" s="490"/>
      <c r="AX540" s="490"/>
      <c r="AY540" s="490"/>
      <c r="AZ540" s="490"/>
      <c r="BA540" s="490"/>
      <c r="BB540" s="490"/>
      <c r="BC540" s="490"/>
      <c r="BD540" s="490"/>
      <c r="BE540" s="490"/>
      <c r="BF540" s="490"/>
      <c r="BG540" s="490"/>
      <c r="BH540" s="490"/>
      <c r="BI540" s="490"/>
      <c r="BJ540" s="490"/>
      <c r="BK540" s="490"/>
      <c r="BL540" s="490"/>
      <c r="BM540" s="490"/>
      <c r="BN540" s="490"/>
      <c r="BO540" s="490"/>
    </row>
    <row r="541" spans="3:67">
      <c r="C541" s="541"/>
      <c r="D541" s="490"/>
      <c r="E541" s="490"/>
      <c r="F541" s="490"/>
      <c r="G541" s="490"/>
      <c r="H541" s="541"/>
      <c r="I541" s="490"/>
      <c r="J541" s="490"/>
      <c r="K541" s="490"/>
      <c r="L541" s="490"/>
      <c r="M541" s="541"/>
      <c r="N541" s="490"/>
      <c r="O541" s="490"/>
      <c r="P541" s="490"/>
      <c r="Q541" s="490"/>
      <c r="R541" s="541"/>
      <c r="S541" s="490"/>
      <c r="T541" s="490"/>
      <c r="U541" s="490"/>
      <c r="V541" s="490"/>
      <c r="W541" s="541"/>
      <c r="X541" s="490"/>
      <c r="Y541" s="490"/>
      <c r="Z541" s="490"/>
      <c r="AA541" s="490"/>
      <c r="AB541" s="541"/>
      <c r="AC541" s="490"/>
      <c r="AD541" s="490"/>
      <c r="AE541" s="490"/>
      <c r="AF541" s="490"/>
      <c r="AG541" s="541"/>
      <c r="AH541" s="490"/>
      <c r="AI541" s="490"/>
      <c r="AJ541" s="490"/>
      <c r="AK541" s="490"/>
      <c r="AL541" s="541"/>
      <c r="AM541" s="490"/>
      <c r="AN541" s="490"/>
      <c r="AO541" s="490"/>
      <c r="AP541" s="490"/>
      <c r="AQ541" s="541"/>
      <c r="AR541" s="490"/>
      <c r="AS541" s="490"/>
      <c r="AT541" s="490"/>
      <c r="AU541" s="490"/>
      <c r="AV541" s="541"/>
      <c r="AW541" s="490"/>
      <c r="AX541" s="490"/>
      <c r="AY541" s="490"/>
      <c r="AZ541" s="490"/>
      <c r="BA541" s="541"/>
      <c r="BB541" s="490"/>
      <c r="BC541" s="490"/>
      <c r="BD541" s="490"/>
      <c r="BE541" s="490"/>
      <c r="BF541" s="541"/>
      <c r="BG541" s="490"/>
      <c r="BH541" s="490"/>
      <c r="BI541" s="490"/>
      <c r="BJ541" s="490"/>
      <c r="BK541" s="541"/>
      <c r="BL541" s="490"/>
      <c r="BM541" s="490"/>
      <c r="BN541" s="490"/>
      <c r="BO541" s="490"/>
    </row>
    <row r="542" spans="3:67">
      <c r="C542" s="551"/>
      <c r="D542" s="545"/>
      <c r="E542" s="545"/>
      <c r="F542" s="545"/>
      <c r="G542" s="545"/>
      <c r="H542" s="551"/>
      <c r="I542" s="545"/>
      <c r="J542" s="545"/>
      <c r="K542" s="545"/>
      <c r="L542" s="545"/>
      <c r="M542" s="551"/>
      <c r="N542" s="545"/>
      <c r="O542" s="545"/>
      <c r="P542" s="545"/>
      <c r="Q542" s="545"/>
      <c r="R542" s="551"/>
      <c r="S542" s="545"/>
      <c r="T542" s="545"/>
      <c r="U542" s="545"/>
      <c r="V542" s="545"/>
      <c r="W542" s="551"/>
      <c r="X542" s="545"/>
      <c r="Y542" s="545"/>
      <c r="Z542" s="545"/>
      <c r="AA542" s="545"/>
      <c r="AB542" s="551"/>
      <c r="AC542" s="545"/>
      <c r="AD542" s="545"/>
      <c r="AE542" s="545"/>
      <c r="AF542" s="545"/>
      <c r="AG542" s="551"/>
      <c r="AH542" s="545"/>
      <c r="AI542" s="545"/>
      <c r="AJ542" s="545"/>
      <c r="AK542" s="545"/>
      <c r="AL542" s="551"/>
      <c r="AM542" s="545"/>
      <c r="AN542" s="545"/>
      <c r="AO542" s="545"/>
      <c r="AP542" s="545"/>
      <c r="AQ542" s="551"/>
      <c r="AR542" s="545"/>
      <c r="AS542" s="545"/>
      <c r="AT542" s="545"/>
      <c r="AU542" s="545"/>
      <c r="AV542" s="551"/>
      <c r="AW542" s="545"/>
      <c r="AX542" s="545"/>
      <c r="AY542" s="545"/>
      <c r="AZ542" s="545"/>
      <c r="BA542" s="551"/>
      <c r="BB542" s="545"/>
      <c r="BC542" s="545"/>
      <c r="BD542" s="545"/>
      <c r="BE542" s="545"/>
      <c r="BF542" s="551"/>
      <c r="BG542" s="545"/>
      <c r="BH542" s="545"/>
      <c r="BI542" s="545"/>
      <c r="BJ542" s="545"/>
      <c r="BK542" s="551"/>
      <c r="BL542" s="545"/>
      <c r="BM542" s="545"/>
      <c r="BN542" s="545"/>
      <c r="BO542" s="545"/>
    </row>
    <row r="543" spans="3:67">
      <c r="C543" s="552"/>
      <c r="D543" s="552"/>
      <c r="E543" s="552"/>
      <c r="F543" s="552"/>
      <c r="G543" s="552"/>
      <c r="H543" s="552"/>
      <c r="I543" s="552"/>
      <c r="J543" s="552"/>
      <c r="K543" s="552"/>
      <c r="L543" s="552"/>
      <c r="M543" s="552"/>
      <c r="N543" s="552"/>
      <c r="O543" s="552"/>
      <c r="P543" s="552"/>
      <c r="Q543" s="552"/>
      <c r="R543" s="552"/>
      <c r="S543" s="552"/>
      <c r="T543" s="552"/>
      <c r="U543" s="552"/>
      <c r="V543" s="552"/>
      <c r="W543" s="552"/>
      <c r="X543" s="552"/>
      <c r="Y543" s="552"/>
      <c r="Z543" s="552"/>
      <c r="AA543" s="552"/>
      <c r="AB543" s="552"/>
      <c r="AC543" s="552"/>
      <c r="AD543" s="552"/>
      <c r="AE543" s="552"/>
      <c r="AF543" s="552"/>
      <c r="AG543" s="552"/>
      <c r="AH543" s="552"/>
      <c r="AI543" s="552"/>
      <c r="AJ543" s="552"/>
      <c r="AK543" s="552"/>
      <c r="AL543" s="552"/>
      <c r="AM543" s="552"/>
      <c r="AN543" s="552"/>
      <c r="AO543" s="552"/>
      <c r="AP543" s="552"/>
      <c r="AQ543" s="552"/>
      <c r="AR543" s="552"/>
      <c r="AS543" s="552"/>
      <c r="AT543" s="552"/>
      <c r="AU543" s="552"/>
      <c r="AV543" s="552"/>
      <c r="AW543" s="552"/>
      <c r="AX543" s="552"/>
      <c r="AY543" s="552"/>
      <c r="AZ543" s="552"/>
      <c r="BA543" s="552"/>
      <c r="BB543" s="552"/>
      <c r="BC543" s="552"/>
      <c r="BD543" s="552"/>
      <c r="BE543" s="552"/>
      <c r="BF543" s="552"/>
      <c r="BG543" s="552"/>
      <c r="BH543" s="552"/>
      <c r="BI543" s="552"/>
      <c r="BJ543" s="552"/>
      <c r="BK543" s="552"/>
      <c r="BL543" s="552"/>
      <c r="BM543" s="552"/>
      <c r="BN543" s="552"/>
      <c r="BO543" s="552"/>
    </row>
    <row r="544" spans="3:67">
      <c r="C544" s="552"/>
      <c r="D544" s="552"/>
      <c r="E544" s="552"/>
      <c r="F544" s="552"/>
      <c r="G544" s="552"/>
      <c r="H544" s="552"/>
      <c r="I544" s="552"/>
      <c r="J544" s="552"/>
      <c r="K544" s="552"/>
      <c r="L544" s="552"/>
      <c r="M544" s="552"/>
      <c r="N544" s="552"/>
      <c r="O544" s="552"/>
      <c r="P544" s="552"/>
      <c r="Q544" s="552"/>
      <c r="R544" s="552"/>
      <c r="S544" s="552"/>
      <c r="T544" s="552"/>
      <c r="U544" s="552"/>
      <c r="V544" s="552"/>
      <c r="W544" s="552"/>
      <c r="X544" s="552"/>
      <c r="Y544" s="552"/>
      <c r="Z544" s="552"/>
      <c r="AA544" s="552"/>
      <c r="AB544" s="552"/>
      <c r="AC544" s="552"/>
      <c r="AD544" s="552"/>
      <c r="AE544" s="552"/>
      <c r="AF544" s="552"/>
      <c r="AG544" s="552"/>
      <c r="AH544" s="552"/>
      <c r="AI544" s="552"/>
      <c r="AJ544" s="552"/>
      <c r="AK544" s="552"/>
      <c r="AL544" s="552"/>
      <c r="AM544" s="552"/>
      <c r="AN544" s="552"/>
      <c r="AO544" s="552"/>
      <c r="AP544" s="552"/>
      <c r="AQ544" s="552"/>
      <c r="AR544" s="552"/>
      <c r="AS544" s="552"/>
      <c r="AT544" s="552"/>
      <c r="AU544" s="552"/>
      <c r="AV544" s="552"/>
      <c r="AW544" s="552"/>
      <c r="AX544" s="552"/>
      <c r="AY544" s="552"/>
      <c r="AZ544" s="552"/>
      <c r="BA544" s="552"/>
      <c r="BB544" s="552"/>
      <c r="BC544" s="552"/>
      <c r="BD544" s="552"/>
      <c r="BE544" s="552"/>
      <c r="BF544" s="552"/>
      <c r="BG544" s="552"/>
      <c r="BH544" s="552"/>
      <c r="BI544" s="552"/>
      <c r="BJ544" s="552"/>
      <c r="BK544" s="552"/>
      <c r="BL544" s="552"/>
      <c r="BM544" s="552"/>
      <c r="BN544" s="552"/>
      <c r="BO544" s="552"/>
    </row>
    <row r="545" spans="3:67">
      <c r="C545" s="553"/>
      <c r="D545" s="553"/>
      <c r="E545" s="553"/>
      <c r="F545" s="553"/>
      <c r="G545" s="553"/>
      <c r="H545" s="553"/>
      <c r="I545" s="553"/>
      <c r="J545" s="553"/>
      <c r="K545" s="553"/>
      <c r="L545" s="553"/>
      <c r="M545" s="553"/>
      <c r="N545" s="553"/>
      <c r="O545" s="553"/>
      <c r="P545" s="553"/>
      <c r="Q545" s="553"/>
      <c r="R545" s="553"/>
      <c r="S545" s="553"/>
      <c r="T545" s="553"/>
      <c r="U545" s="553"/>
      <c r="V545" s="553"/>
      <c r="W545" s="553"/>
      <c r="X545" s="553"/>
      <c r="Y545" s="553"/>
      <c r="Z545" s="553"/>
      <c r="AA545" s="553"/>
      <c r="AB545" s="553"/>
      <c r="AC545" s="553"/>
      <c r="AD545" s="553"/>
      <c r="AE545" s="553"/>
      <c r="AF545" s="553"/>
      <c r="AG545" s="553"/>
      <c r="AH545" s="553"/>
      <c r="AI545" s="553"/>
      <c r="AJ545" s="553"/>
      <c r="AK545" s="553"/>
      <c r="AL545" s="553"/>
      <c r="AM545" s="553"/>
      <c r="AN545" s="553"/>
      <c r="AO545" s="553"/>
      <c r="AP545" s="553"/>
      <c r="AQ545" s="553"/>
      <c r="AR545" s="553"/>
      <c r="AS545" s="553"/>
      <c r="AT545" s="553"/>
      <c r="AU545" s="553"/>
      <c r="AV545" s="553"/>
      <c r="AW545" s="553"/>
      <c r="AX545" s="553"/>
      <c r="AY545" s="553"/>
      <c r="AZ545" s="553"/>
      <c r="BA545" s="553"/>
      <c r="BB545" s="553"/>
      <c r="BC545" s="553"/>
      <c r="BD545" s="553"/>
      <c r="BE545" s="553"/>
      <c r="BF545" s="553"/>
      <c r="BG545" s="553"/>
      <c r="BH545" s="553"/>
      <c r="BI545" s="553"/>
      <c r="BJ545" s="553"/>
      <c r="BK545" s="553"/>
      <c r="BL545" s="553"/>
      <c r="BM545" s="553"/>
      <c r="BN545" s="553"/>
      <c r="BO545" s="553"/>
    </row>
    <row r="546" spans="3:67">
      <c r="C546" s="553"/>
      <c r="D546" s="553"/>
      <c r="E546" s="553"/>
      <c r="F546" s="553"/>
      <c r="G546" s="553"/>
      <c r="H546" s="553"/>
      <c r="I546" s="553"/>
      <c r="J546" s="553"/>
      <c r="K546" s="553"/>
      <c r="L546" s="553"/>
      <c r="M546" s="553"/>
      <c r="N546" s="553"/>
      <c r="O546" s="553"/>
      <c r="P546" s="553"/>
      <c r="Q546" s="553"/>
      <c r="R546" s="553"/>
      <c r="S546" s="553"/>
      <c r="T546" s="553"/>
      <c r="U546" s="553"/>
      <c r="V546" s="553"/>
      <c r="W546" s="553"/>
      <c r="X546" s="553"/>
      <c r="Y546" s="553"/>
      <c r="Z546" s="553"/>
      <c r="AA546" s="553"/>
      <c r="AB546" s="553"/>
      <c r="AC546" s="553"/>
      <c r="AD546" s="553"/>
      <c r="AE546" s="553"/>
      <c r="AF546" s="553"/>
      <c r="AG546" s="553"/>
      <c r="AH546" s="553"/>
      <c r="AI546" s="553"/>
      <c r="AJ546" s="553"/>
      <c r="AK546" s="553"/>
      <c r="AL546" s="553"/>
      <c r="AM546" s="553"/>
      <c r="AN546" s="553"/>
      <c r="AO546" s="553"/>
      <c r="AP546" s="553"/>
      <c r="AQ546" s="553"/>
      <c r="AR546" s="553"/>
      <c r="AS546" s="553"/>
      <c r="AT546" s="553"/>
      <c r="AU546" s="553"/>
      <c r="AV546" s="553"/>
      <c r="AW546" s="553"/>
      <c r="AX546" s="553"/>
      <c r="AY546" s="553"/>
      <c r="AZ546" s="553"/>
      <c r="BA546" s="553"/>
      <c r="BB546" s="553"/>
      <c r="BC546" s="553"/>
      <c r="BD546" s="553"/>
      <c r="BE546" s="553"/>
      <c r="BF546" s="553"/>
      <c r="BG546" s="553"/>
      <c r="BH546" s="553"/>
      <c r="BI546" s="553"/>
      <c r="BJ546" s="553"/>
      <c r="BK546" s="553"/>
      <c r="BL546" s="553"/>
      <c r="BM546" s="553"/>
      <c r="BN546" s="553"/>
      <c r="BO546" s="553"/>
    </row>
    <row r="547" spans="3:67">
      <c r="C547" s="552"/>
      <c r="D547" s="552"/>
      <c r="E547" s="552"/>
      <c r="F547" s="552"/>
      <c r="G547" s="552"/>
      <c r="H547" s="552"/>
      <c r="I547" s="552"/>
      <c r="J547" s="552"/>
      <c r="K547" s="552"/>
      <c r="L547" s="552"/>
      <c r="M547" s="552"/>
      <c r="N547" s="552"/>
      <c r="O547" s="552"/>
      <c r="P547" s="552"/>
      <c r="Q547" s="552"/>
      <c r="R547" s="552"/>
      <c r="S547" s="552"/>
      <c r="T547" s="552"/>
      <c r="U547" s="552"/>
      <c r="V547" s="552"/>
      <c r="W547" s="552"/>
      <c r="X547" s="552"/>
      <c r="Y547" s="552"/>
      <c r="Z547" s="552"/>
      <c r="AA547" s="552"/>
      <c r="AB547" s="552"/>
      <c r="AC547" s="552"/>
      <c r="AD547" s="552"/>
      <c r="AE547" s="552"/>
      <c r="AF547" s="552"/>
      <c r="AG547" s="552"/>
      <c r="AH547" s="552"/>
      <c r="AI547" s="552"/>
      <c r="AJ547" s="552"/>
      <c r="AK547" s="552"/>
      <c r="AL547" s="552"/>
      <c r="AM547" s="552"/>
      <c r="AN547" s="552"/>
      <c r="AO547" s="552"/>
      <c r="AP547" s="552"/>
      <c r="AQ547" s="552"/>
      <c r="AR547" s="552"/>
      <c r="AS547" s="552"/>
      <c r="AT547" s="552"/>
      <c r="AU547" s="552"/>
      <c r="AV547" s="552"/>
      <c r="AW547" s="552"/>
      <c r="AX547" s="552"/>
      <c r="AY547" s="552"/>
      <c r="AZ547" s="552"/>
      <c r="BA547" s="552"/>
      <c r="BB547" s="552"/>
      <c r="BC547" s="552"/>
      <c r="BD547" s="552"/>
      <c r="BE547" s="552"/>
      <c r="BF547" s="552"/>
      <c r="BG547" s="552"/>
      <c r="BH547" s="552"/>
      <c r="BI547" s="552"/>
      <c r="BJ547" s="552"/>
      <c r="BK547" s="552"/>
      <c r="BL547" s="552"/>
      <c r="BM547" s="552"/>
      <c r="BN547" s="552"/>
      <c r="BO547" s="552"/>
    </row>
    <row r="548" spans="3:67">
      <c r="C548" s="553"/>
      <c r="D548" s="553"/>
      <c r="E548" s="553"/>
      <c r="F548" s="553"/>
      <c r="G548" s="553"/>
      <c r="H548" s="553"/>
      <c r="I548" s="553"/>
      <c r="J548" s="553"/>
      <c r="K548" s="553"/>
      <c r="L548" s="553"/>
      <c r="M548" s="553"/>
      <c r="N548" s="553"/>
      <c r="O548" s="553"/>
      <c r="P548" s="553"/>
      <c r="Q548" s="553"/>
      <c r="R548" s="553"/>
      <c r="S548" s="553"/>
      <c r="T548" s="553"/>
      <c r="U548" s="553"/>
      <c r="V548" s="553"/>
      <c r="W548" s="553"/>
      <c r="X548" s="553"/>
      <c r="Y548" s="553"/>
      <c r="Z548" s="553"/>
      <c r="AA548" s="553"/>
      <c r="AB548" s="553"/>
      <c r="AC548" s="553"/>
      <c r="AD548" s="553"/>
      <c r="AE548" s="553"/>
      <c r="AF548" s="553"/>
      <c r="AG548" s="553"/>
      <c r="AH548" s="553"/>
      <c r="AI548" s="553"/>
      <c r="AJ548" s="553"/>
      <c r="AK548" s="553"/>
      <c r="AL548" s="553"/>
      <c r="AM548" s="553"/>
      <c r="AN548" s="553"/>
      <c r="AO548" s="553"/>
      <c r="AP548" s="553"/>
      <c r="AQ548" s="553"/>
      <c r="AR548" s="553"/>
      <c r="AS548" s="553"/>
      <c r="AT548" s="553"/>
      <c r="AU548" s="553"/>
      <c r="AV548" s="553"/>
      <c r="AW548" s="553"/>
      <c r="AX548" s="553"/>
      <c r="AY548" s="553"/>
      <c r="AZ548" s="553"/>
      <c r="BA548" s="553"/>
      <c r="BB548" s="553"/>
      <c r="BC548" s="553"/>
      <c r="BD548" s="553"/>
      <c r="BE548" s="553"/>
      <c r="BF548" s="553"/>
      <c r="BG548" s="553"/>
      <c r="BH548" s="553"/>
      <c r="BI548" s="553"/>
      <c r="BJ548" s="553"/>
      <c r="BK548" s="553"/>
      <c r="BL548" s="553"/>
      <c r="BM548" s="553"/>
      <c r="BN548" s="553"/>
      <c r="BO548" s="553"/>
    </row>
    <row r="549" spans="3:67">
      <c r="C549" s="553"/>
      <c r="D549" s="553"/>
      <c r="E549" s="553"/>
      <c r="F549" s="553"/>
      <c r="G549" s="553"/>
      <c r="H549" s="553"/>
      <c r="I549" s="553"/>
      <c r="J549" s="553"/>
      <c r="K549" s="553"/>
      <c r="L549" s="553"/>
      <c r="M549" s="553"/>
      <c r="N549" s="553"/>
      <c r="O549" s="553"/>
      <c r="P549" s="553"/>
      <c r="Q549" s="553"/>
      <c r="R549" s="553"/>
      <c r="S549" s="553"/>
      <c r="T549" s="553"/>
      <c r="U549" s="553"/>
      <c r="V549" s="553"/>
      <c r="W549" s="553"/>
      <c r="X549" s="553"/>
      <c r="Y549" s="553"/>
      <c r="Z549" s="553"/>
      <c r="AA549" s="553"/>
      <c r="AB549" s="553"/>
      <c r="AC549" s="553"/>
      <c r="AD549" s="553"/>
      <c r="AE549" s="553"/>
      <c r="AF549" s="553"/>
      <c r="AG549" s="553"/>
      <c r="AH549" s="553"/>
      <c r="AI549" s="553"/>
      <c r="AJ549" s="553"/>
      <c r="AK549" s="553"/>
      <c r="AL549" s="553"/>
      <c r="AM549" s="553"/>
      <c r="AN549" s="553"/>
      <c r="AO549" s="553"/>
      <c r="AP549" s="553"/>
      <c r="AQ549" s="553"/>
      <c r="AR549" s="553"/>
      <c r="AS549" s="553"/>
      <c r="AT549" s="553"/>
      <c r="AU549" s="553"/>
      <c r="AV549" s="553"/>
      <c r="AW549" s="553"/>
      <c r="AX549" s="553"/>
      <c r="AY549" s="553"/>
      <c r="AZ549" s="553"/>
      <c r="BA549" s="553"/>
      <c r="BB549" s="553"/>
      <c r="BC549" s="553"/>
      <c r="BD549" s="553"/>
      <c r="BE549" s="553"/>
      <c r="BF549" s="553"/>
      <c r="BG549" s="553"/>
      <c r="BH549" s="553"/>
      <c r="BI549" s="553"/>
      <c r="BJ549" s="553"/>
      <c r="BK549" s="553"/>
      <c r="BL549" s="553"/>
      <c r="BM549" s="553"/>
      <c r="BN549" s="553"/>
      <c r="BO549" s="553"/>
    </row>
    <row r="550" spans="3:67">
      <c r="C550" s="552"/>
      <c r="D550" s="552"/>
      <c r="E550" s="552"/>
      <c r="F550" s="552"/>
      <c r="G550" s="552"/>
      <c r="H550" s="552"/>
      <c r="I550" s="552"/>
      <c r="J550" s="552"/>
      <c r="K550" s="552"/>
      <c r="L550" s="552"/>
      <c r="M550" s="552"/>
      <c r="N550" s="552"/>
      <c r="O550" s="552"/>
      <c r="P550" s="552"/>
      <c r="Q550" s="552"/>
      <c r="R550" s="552"/>
      <c r="S550" s="552"/>
      <c r="T550" s="552"/>
      <c r="U550" s="552"/>
      <c r="V550" s="552"/>
      <c r="W550" s="552"/>
      <c r="X550" s="552"/>
      <c r="Y550" s="552"/>
      <c r="Z550" s="552"/>
      <c r="AA550" s="552"/>
      <c r="AB550" s="552"/>
      <c r="AC550" s="552"/>
      <c r="AD550" s="552"/>
      <c r="AE550" s="552"/>
      <c r="AF550" s="552"/>
      <c r="AG550" s="552"/>
      <c r="AH550" s="552"/>
      <c r="AI550" s="552"/>
      <c r="AJ550" s="552"/>
      <c r="AK550" s="552"/>
      <c r="AL550" s="552"/>
      <c r="AM550" s="552"/>
      <c r="AN550" s="552"/>
      <c r="AO550" s="552"/>
      <c r="AP550" s="552"/>
      <c r="AQ550" s="552"/>
      <c r="AR550" s="552"/>
      <c r="AS550" s="552"/>
      <c r="AT550" s="552"/>
      <c r="AU550" s="552"/>
      <c r="AV550" s="552"/>
      <c r="AW550" s="552"/>
      <c r="AX550" s="552"/>
      <c r="AY550" s="552"/>
      <c r="AZ550" s="552"/>
      <c r="BA550" s="552"/>
      <c r="BB550" s="552"/>
      <c r="BC550" s="552"/>
      <c r="BD550" s="552"/>
      <c r="BE550" s="552"/>
      <c r="BF550" s="552"/>
      <c r="BG550" s="552"/>
      <c r="BH550" s="552"/>
      <c r="BI550" s="552"/>
      <c r="BJ550" s="552"/>
      <c r="BK550" s="552"/>
      <c r="BL550" s="552"/>
      <c r="BM550" s="552"/>
      <c r="BN550" s="552"/>
      <c r="BO550" s="552"/>
    </row>
    <row r="551" spans="3:67">
      <c r="C551" s="541"/>
      <c r="D551" s="490"/>
      <c r="E551" s="490"/>
      <c r="F551" s="490"/>
      <c r="G551" s="490"/>
      <c r="H551" s="541"/>
      <c r="I551" s="490"/>
      <c r="J551" s="490"/>
      <c r="K551" s="490"/>
      <c r="L551" s="490"/>
      <c r="M551" s="541"/>
      <c r="N551" s="490"/>
      <c r="O551" s="490"/>
      <c r="P551" s="490"/>
      <c r="Q551" s="490"/>
      <c r="R551" s="541"/>
      <c r="S551" s="490"/>
      <c r="T551" s="490"/>
      <c r="U551" s="490"/>
      <c r="V551" s="490"/>
      <c r="W551" s="541"/>
      <c r="X551" s="490"/>
      <c r="Y551" s="490"/>
      <c r="Z551" s="490"/>
      <c r="AA551" s="490"/>
      <c r="AB551" s="541"/>
      <c r="AC551" s="490"/>
      <c r="AD551" s="490"/>
      <c r="AE551" s="490"/>
      <c r="AF551" s="490"/>
      <c r="AG551" s="541"/>
      <c r="AH551" s="490"/>
      <c r="AI551" s="490"/>
      <c r="AJ551" s="490"/>
      <c r="AK551" s="490"/>
      <c r="AL551" s="541"/>
      <c r="AM551" s="490"/>
      <c r="AN551" s="490"/>
      <c r="AO551" s="490"/>
      <c r="AP551" s="490"/>
      <c r="AQ551" s="541"/>
      <c r="AR551" s="490"/>
      <c r="AS551" s="490"/>
      <c r="AT551" s="490"/>
      <c r="AU551" s="490"/>
      <c r="AV551" s="541"/>
      <c r="AW551" s="490"/>
      <c r="AX551" s="490"/>
      <c r="AY551" s="490"/>
      <c r="AZ551" s="490"/>
      <c r="BA551" s="541"/>
      <c r="BB551" s="490"/>
      <c r="BC551" s="490"/>
      <c r="BD551" s="490"/>
      <c r="BE551" s="490"/>
      <c r="BF551" s="541"/>
      <c r="BG551" s="490"/>
      <c r="BH551" s="490"/>
      <c r="BI551" s="490"/>
      <c r="BJ551" s="490"/>
      <c r="BK551" s="541"/>
      <c r="BL551" s="490"/>
      <c r="BM551" s="490"/>
      <c r="BN551" s="490"/>
      <c r="BO551" s="490"/>
    </row>
    <row r="552" spans="3:67">
      <c r="C552" s="519"/>
      <c r="D552" s="519"/>
      <c r="E552" s="519"/>
      <c r="F552" s="519"/>
      <c r="G552" s="519"/>
      <c r="H552" s="519"/>
      <c r="I552" s="519"/>
      <c r="J552" s="519"/>
      <c r="K552" s="519"/>
      <c r="L552" s="519"/>
      <c r="M552" s="519"/>
      <c r="N552" s="519"/>
      <c r="O552" s="519"/>
      <c r="P552" s="519"/>
      <c r="Q552" s="519"/>
      <c r="R552" s="519"/>
      <c r="S552" s="519"/>
      <c r="T552" s="519"/>
      <c r="U552" s="519"/>
      <c r="V552" s="519"/>
      <c r="W552" s="519"/>
      <c r="X552" s="519"/>
      <c r="Y552" s="519"/>
      <c r="Z552" s="519"/>
      <c r="AA552" s="519"/>
      <c r="AB552" s="519"/>
      <c r="AC552" s="519"/>
      <c r="AD552" s="519"/>
      <c r="AE552" s="519"/>
      <c r="AF552" s="519"/>
      <c r="AG552" s="519"/>
      <c r="AH552" s="519"/>
      <c r="AI552" s="519"/>
      <c r="AJ552" s="519"/>
      <c r="AK552" s="519"/>
      <c r="AL552" s="519"/>
      <c r="AM552" s="519"/>
      <c r="AN552" s="519"/>
      <c r="AO552" s="519"/>
      <c r="AP552" s="519"/>
      <c r="AQ552" s="519"/>
      <c r="AR552" s="519"/>
      <c r="AS552" s="519"/>
      <c r="AT552" s="519"/>
      <c r="AU552" s="519"/>
      <c r="AV552" s="519"/>
      <c r="AW552" s="519"/>
      <c r="AX552" s="519"/>
      <c r="AY552" s="519"/>
      <c r="AZ552" s="519"/>
      <c r="BA552" s="519"/>
      <c r="BB552" s="519"/>
      <c r="BC552" s="519"/>
      <c r="BD552" s="519"/>
      <c r="BE552" s="519"/>
      <c r="BF552" s="519"/>
      <c r="BG552" s="519"/>
      <c r="BH552" s="519"/>
      <c r="BI552" s="519"/>
      <c r="BJ552" s="519"/>
      <c r="BK552" s="519"/>
      <c r="BL552" s="519"/>
      <c r="BM552" s="519"/>
      <c r="BN552" s="519"/>
      <c r="BO552" s="519"/>
    </row>
    <row r="553" spans="3:67">
      <c r="C553" s="490"/>
      <c r="D553" s="490"/>
      <c r="E553" s="490"/>
      <c r="F553" s="490"/>
      <c r="G553" s="490"/>
      <c r="H553" s="490"/>
      <c r="I553" s="490"/>
      <c r="J553" s="490"/>
      <c r="K553" s="490"/>
      <c r="L553" s="490"/>
      <c r="M553" s="490"/>
      <c r="N553" s="490"/>
      <c r="O553" s="490"/>
      <c r="P553" s="490"/>
      <c r="Q553" s="490"/>
      <c r="R553" s="490"/>
      <c r="S553" s="490"/>
      <c r="T553" s="490"/>
      <c r="U553" s="490"/>
      <c r="V553" s="490"/>
      <c r="W553" s="490"/>
      <c r="X553" s="490"/>
      <c r="Y553" s="490"/>
      <c r="Z553" s="490"/>
      <c r="AA553" s="490"/>
      <c r="AB553" s="490"/>
      <c r="AC553" s="490"/>
      <c r="AD553" s="490"/>
      <c r="AE553" s="490"/>
      <c r="AF553" s="490"/>
      <c r="AG553" s="490"/>
      <c r="AH553" s="490"/>
      <c r="AI553" s="490"/>
      <c r="AJ553" s="490"/>
      <c r="AK553" s="490"/>
      <c r="AL553" s="490"/>
      <c r="AM553" s="490"/>
      <c r="AN553" s="490"/>
      <c r="AO553" s="490"/>
      <c r="AP553" s="490"/>
      <c r="AQ553" s="490"/>
      <c r="AR553" s="490"/>
      <c r="AS553" s="490"/>
      <c r="AT553" s="490"/>
      <c r="AU553" s="490"/>
      <c r="AV553" s="490"/>
      <c r="AW553" s="490"/>
      <c r="AX553" s="490"/>
      <c r="AY553" s="490"/>
      <c r="AZ553" s="490"/>
      <c r="BA553" s="490"/>
      <c r="BB553" s="490"/>
      <c r="BC553" s="490"/>
      <c r="BD553" s="490"/>
      <c r="BE553" s="490"/>
      <c r="BF553" s="490"/>
      <c r="BG553" s="490"/>
      <c r="BH553" s="490"/>
      <c r="BI553" s="490"/>
      <c r="BJ553" s="490"/>
      <c r="BK553" s="490"/>
      <c r="BL553" s="490"/>
      <c r="BM553" s="490"/>
      <c r="BN553" s="490"/>
      <c r="BO553" s="490"/>
    </row>
    <row r="554" spans="3:67">
      <c r="C554" s="490"/>
      <c r="D554" s="490"/>
      <c r="E554" s="490"/>
      <c r="F554" s="490"/>
      <c r="G554" s="490"/>
      <c r="H554" s="490"/>
      <c r="I554" s="490"/>
      <c r="J554" s="490"/>
      <c r="K554" s="490"/>
      <c r="L554" s="490"/>
      <c r="M554" s="490"/>
      <c r="N554" s="490"/>
      <c r="O554" s="490"/>
      <c r="P554" s="490"/>
      <c r="Q554" s="490"/>
      <c r="R554" s="490"/>
      <c r="S554" s="490"/>
      <c r="T554" s="490"/>
      <c r="U554" s="490"/>
      <c r="V554" s="490"/>
      <c r="W554" s="490"/>
      <c r="X554" s="490"/>
      <c r="Y554" s="490"/>
      <c r="Z554" s="490"/>
      <c r="AA554" s="490"/>
      <c r="AB554" s="490"/>
      <c r="AC554" s="490"/>
      <c r="AD554" s="490"/>
      <c r="AE554" s="490"/>
      <c r="AF554" s="490"/>
      <c r="AG554" s="490"/>
      <c r="AH554" s="490"/>
      <c r="AI554" s="490"/>
      <c r="AJ554" s="490"/>
      <c r="AK554" s="490"/>
      <c r="AL554" s="490"/>
      <c r="AM554" s="490"/>
      <c r="AN554" s="490"/>
      <c r="AO554" s="490"/>
      <c r="AP554" s="490"/>
      <c r="AQ554" s="490"/>
      <c r="AR554" s="490"/>
      <c r="AS554" s="490"/>
      <c r="AT554" s="490"/>
      <c r="AU554" s="490"/>
      <c r="AV554" s="490"/>
      <c r="AW554" s="490"/>
      <c r="AX554" s="490"/>
      <c r="AY554" s="490"/>
      <c r="AZ554" s="490"/>
      <c r="BA554" s="490"/>
      <c r="BB554" s="490"/>
      <c r="BC554" s="490"/>
      <c r="BD554" s="490"/>
      <c r="BE554" s="490"/>
      <c r="BF554" s="490"/>
      <c r="BG554" s="490"/>
      <c r="BH554" s="490"/>
      <c r="BI554" s="490"/>
      <c r="BJ554" s="490"/>
      <c r="BK554" s="490"/>
      <c r="BL554" s="490"/>
      <c r="BM554" s="490"/>
      <c r="BN554" s="490"/>
      <c r="BO554" s="490"/>
    </row>
    <row r="555" spans="3:67">
      <c r="C555" s="490"/>
      <c r="D555" s="490"/>
      <c r="E555" s="490"/>
      <c r="F555" s="490"/>
      <c r="G555" s="490"/>
      <c r="H555" s="490"/>
      <c r="I555" s="490"/>
      <c r="J555" s="490"/>
      <c r="K555" s="490"/>
      <c r="L555" s="490"/>
      <c r="M555" s="490"/>
      <c r="N555" s="490"/>
      <c r="O555" s="490"/>
      <c r="P555" s="490"/>
      <c r="Q555" s="490"/>
      <c r="R555" s="490"/>
      <c r="S555" s="490"/>
      <c r="T555" s="490"/>
      <c r="U555" s="490"/>
      <c r="V555" s="490"/>
      <c r="W555" s="490"/>
      <c r="X555" s="490"/>
      <c r="Y555" s="490"/>
      <c r="Z555" s="490"/>
      <c r="AA555" s="490"/>
      <c r="AB555" s="490"/>
      <c r="AC555" s="490"/>
      <c r="AD555" s="490"/>
      <c r="AE555" s="490"/>
      <c r="AF555" s="490"/>
      <c r="AG555" s="490"/>
      <c r="AH555" s="490"/>
      <c r="AI555" s="490"/>
      <c r="AJ555" s="490"/>
      <c r="AK555" s="490"/>
      <c r="AL555" s="490"/>
      <c r="AM555" s="490"/>
      <c r="AN555" s="490"/>
      <c r="AO555" s="490"/>
      <c r="AP555" s="490"/>
      <c r="AQ555" s="490"/>
      <c r="AR555" s="490"/>
      <c r="AS555" s="490"/>
      <c r="AT555" s="490"/>
      <c r="AU555" s="490"/>
      <c r="AV555" s="490"/>
      <c r="AW555" s="490"/>
      <c r="AX555" s="490"/>
      <c r="AY555" s="490"/>
      <c r="AZ555" s="490"/>
      <c r="BA555" s="490"/>
      <c r="BB555" s="490"/>
      <c r="BC555" s="490"/>
      <c r="BD555" s="490"/>
      <c r="BE555" s="490"/>
      <c r="BF555" s="490"/>
      <c r="BG555" s="490"/>
      <c r="BH555" s="490"/>
      <c r="BI555" s="490"/>
      <c r="BJ555" s="490"/>
      <c r="BK555" s="490"/>
      <c r="BL555" s="490"/>
      <c r="BM555" s="490"/>
      <c r="BN555" s="490"/>
      <c r="BO555" s="490"/>
    </row>
    <row r="556" spans="3:67">
      <c r="C556" s="490"/>
      <c r="D556" s="490"/>
      <c r="E556" s="490"/>
      <c r="F556" s="490"/>
      <c r="G556" s="490"/>
      <c r="H556" s="490"/>
      <c r="I556" s="490"/>
      <c r="J556" s="490"/>
      <c r="K556" s="490"/>
      <c r="L556" s="490"/>
      <c r="M556" s="490"/>
      <c r="N556" s="490"/>
      <c r="O556" s="490"/>
      <c r="P556" s="490"/>
      <c r="Q556" s="490"/>
      <c r="R556" s="490"/>
      <c r="S556" s="490"/>
      <c r="T556" s="490"/>
      <c r="U556" s="490"/>
      <c r="V556" s="490"/>
      <c r="W556" s="490"/>
      <c r="X556" s="490"/>
      <c r="Y556" s="490"/>
      <c r="Z556" s="490"/>
      <c r="AA556" s="490"/>
      <c r="AB556" s="490"/>
      <c r="AC556" s="490"/>
      <c r="AD556" s="490"/>
      <c r="AE556" s="490"/>
      <c r="AF556" s="490"/>
      <c r="AG556" s="490"/>
      <c r="AH556" s="490"/>
      <c r="AI556" s="490"/>
      <c r="AJ556" s="490"/>
      <c r="AK556" s="490"/>
      <c r="AL556" s="490"/>
      <c r="AM556" s="490"/>
      <c r="AN556" s="490"/>
      <c r="AO556" s="490"/>
      <c r="AP556" s="490"/>
      <c r="AQ556" s="490"/>
      <c r="AR556" s="490"/>
      <c r="AS556" s="490"/>
      <c r="AT556" s="490"/>
      <c r="AU556" s="490"/>
      <c r="AV556" s="490"/>
      <c r="AW556" s="490"/>
      <c r="AX556" s="490"/>
      <c r="AY556" s="490"/>
      <c r="AZ556" s="490"/>
      <c r="BA556" s="490"/>
      <c r="BB556" s="490"/>
      <c r="BC556" s="490"/>
      <c r="BD556" s="490"/>
      <c r="BE556" s="490"/>
      <c r="BF556" s="490"/>
      <c r="BG556" s="490"/>
      <c r="BH556" s="490"/>
      <c r="BI556" s="490"/>
      <c r="BJ556" s="490"/>
      <c r="BK556" s="490"/>
      <c r="BL556" s="490"/>
      <c r="BM556" s="490"/>
      <c r="BN556" s="490"/>
      <c r="BO556" s="490"/>
    </row>
    <row r="557" spans="3:67">
      <c r="C557" s="541"/>
      <c r="D557" s="490"/>
      <c r="E557" s="490"/>
      <c r="F557" s="490"/>
      <c r="G557" s="490"/>
      <c r="H557" s="541"/>
      <c r="I557" s="490"/>
      <c r="J557" s="490"/>
      <c r="K557" s="490"/>
      <c r="L557" s="490"/>
      <c r="M557" s="541"/>
      <c r="N557" s="490"/>
      <c r="O557" s="490"/>
      <c r="P557" s="490"/>
      <c r="Q557" s="490"/>
      <c r="R557" s="541"/>
      <c r="S557" s="490"/>
      <c r="T557" s="490"/>
      <c r="U557" s="490"/>
      <c r="V557" s="490"/>
      <c r="W557" s="541"/>
      <c r="X557" s="490"/>
      <c r="Y557" s="490"/>
      <c r="Z557" s="490"/>
      <c r="AA557" s="490"/>
      <c r="AB557" s="541"/>
      <c r="AC557" s="490"/>
      <c r="AD557" s="490"/>
      <c r="AE557" s="490"/>
      <c r="AF557" s="490"/>
      <c r="AG557" s="541"/>
      <c r="AH557" s="490"/>
      <c r="AI557" s="490"/>
      <c r="AJ557" s="490"/>
      <c r="AK557" s="490"/>
      <c r="AL557" s="541"/>
      <c r="AM557" s="490"/>
      <c r="AN557" s="490"/>
      <c r="AO557" s="490"/>
      <c r="AP557" s="490"/>
      <c r="AQ557" s="541"/>
      <c r="AR557" s="490"/>
      <c r="AS557" s="490"/>
      <c r="AT557" s="490"/>
      <c r="AU557" s="490"/>
      <c r="AV557" s="541"/>
      <c r="AW557" s="490"/>
      <c r="AX557" s="490"/>
      <c r="AY557" s="490"/>
      <c r="AZ557" s="490"/>
      <c r="BA557" s="541"/>
      <c r="BB557" s="490"/>
      <c r="BC557" s="490"/>
      <c r="BD557" s="490"/>
      <c r="BE557" s="490"/>
      <c r="BF557" s="541"/>
      <c r="BG557" s="490"/>
      <c r="BH557" s="490"/>
      <c r="BI557" s="490"/>
      <c r="BJ557" s="490"/>
      <c r="BK557" s="541"/>
      <c r="BL557" s="490"/>
      <c r="BM557" s="490"/>
      <c r="BN557" s="490"/>
      <c r="BO557" s="490"/>
    </row>
    <row r="558" spans="3:67">
      <c r="C558" s="541"/>
      <c r="D558" s="490"/>
      <c r="E558" s="490"/>
      <c r="F558" s="490"/>
      <c r="G558" s="490"/>
      <c r="H558" s="541"/>
      <c r="I558" s="490"/>
      <c r="J558" s="490"/>
      <c r="K558" s="490"/>
      <c r="L558" s="490"/>
      <c r="M558" s="541"/>
      <c r="N558" s="490"/>
      <c r="O558" s="490"/>
      <c r="P558" s="490"/>
      <c r="Q558" s="490"/>
      <c r="R558" s="541"/>
      <c r="S558" s="490"/>
      <c r="T558" s="490"/>
      <c r="U558" s="490"/>
      <c r="V558" s="490"/>
      <c r="W558" s="541"/>
      <c r="X558" s="490"/>
      <c r="Y558" s="490"/>
      <c r="Z558" s="490"/>
      <c r="AA558" s="490"/>
      <c r="AB558" s="541"/>
      <c r="AC558" s="490"/>
      <c r="AD558" s="490"/>
      <c r="AE558" s="490"/>
      <c r="AF558" s="490"/>
      <c r="AG558" s="541"/>
      <c r="AH558" s="490"/>
      <c r="AI558" s="490"/>
      <c r="AJ558" s="490"/>
      <c r="AK558" s="490"/>
      <c r="AL558" s="541"/>
      <c r="AM558" s="490"/>
      <c r="AN558" s="490"/>
      <c r="AO558" s="490"/>
      <c r="AP558" s="490"/>
      <c r="AQ558" s="541"/>
      <c r="AR558" s="490"/>
      <c r="AS558" s="490"/>
      <c r="AT558" s="490"/>
      <c r="AU558" s="490"/>
      <c r="AV558" s="541"/>
      <c r="AW558" s="490"/>
      <c r="AX558" s="490"/>
      <c r="AY558" s="490"/>
      <c r="AZ558" s="490"/>
      <c r="BA558" s="541"/>
      <c r="BB558" s="490"/>
      <c r="BC558" s="490"/>
      <c r="BD558" s="490"/>
      <c r="BE558" s="490"/>
      <c r="BF558" s="541"/>
      <c r="BG558" s="490"/>
      <c r="BH558" s="490"/>
      <c r="BI558" s="490"/>
      <c r="BJ558" s="490"/>
      <c r="BK558" s="541"/>
      <c r="BL558" s="490"/>
      <c r="BM558" s="490"/>
      <c r="BN558" s="490"/>
      <c r="BO558" s="490"/>
    </row>
    <row r="559" spans="3:67">
      <c r="C559" s="541"/>
      <c r="D559" s="490"/>
      <c r="E559" s="490"/>
      <c r="F559" s="490"/>
      <c r="G559" s="490"/>
      <c r="H559" s="541"/>
      <c r="I559" s="490"/>
      <c r="J559" s="490"/>
      <c r="K559" s="490"/>
      <c r="L559" s="490"/>
      <c r="M559" s="541"/>
      <c r="N559" s="490"/>
      <c r="O559" s="490"/>
      <c r="P559" s="490"/>
      <c r="Q559" s="490"/>
      <c r="R559" s="541"/>
      <c r="S559" s="490"/>
      <c r="T559" s="490"/>
      <c r="U559" s="490"/>
      <c r="V559" s="490"/>
      <c r="W559" s="541"/>
      <c r="X559" s="490"/>
      <c r="Y559" s="490"/>
      <c r="Z559" s="490"/>
      <c r="AA559" s="490"/>
      <c r="AB559" s="541"/>
      <c r="AC559" s="490"/>
      <c r="AD559" s="490"/>
      <c r="AE559" s="490"/>
      <c r="AF559" s="490"/>
      <c r="AG559" s="541"/>
      <c r="AH559" s="490"/>
      <c r="AI559" s="490"/>
      <c r="AJ559" s="490"/>
      <c r="AK559" s="490"/>
      <c r="AL559" s="541"/>
      <c r="AM559" s="490"/>
      <c r="AN559" s="490"/>
      <c r="AO559" s="490"/>
      <c r="AP559" s="490"/>
      <c r="AQ559" s="541"/>
      <c r="AR559" s="490"/>
      <c r="AS559" s="490"/>
      <c r="AT559" s="490"/>
      <c r="AU559" s="490"/>
      <c r="AV559" s="541"/>
      <c r="AW559" s="490"/>
      <c r="AX559" s="490"/>
      <c r="AY559" s="490"/>
      <c r="AZ559" s="490"/>
      <c r="BA559" s="541"/>
      <c r="BB559" s="490"/>
      <c r="BC559" s="490"/>
      <c r="BD559" s="490"/>
      <c r="BE559" s="490"/>
      <c r="BF559" s="541"/>
      <c r="BG559" s="490"/>
      <c r="BH559" s="490"/>
      <c r="BI559" s="490"/>
      <c r="BJ559" s="490"/>
      <c r="BK559" s="541"/>
      <c r="BL559" s="490"/>
      <c r="BM559" s="490"/>
      <c r="BN559" s="490"/>
      <c r="BO559" s="490"/>
    </row>
    <row r="560" spans="3:67">
      <c r="C560" s="541"/>
      <c r="D560" s="490"/>
      <c r="E560" s="490"/>
      <c r="F560" s="490"/>
      <c r="G560" s="490"/>
      <c r="H560" s="541"/>
      <c r="I560" s="490"/>
      <c r="J560" s="490"/>
      <c r="K560" s="490"/>
      <c r="L560" s="490"/>
      <c r="M560" s="541"/>
      <c r="N560" s="490"/>
      <c r="O560" s="490"/>
      <c r="P560" s="490"/>
      <c r="Q560" s="490"/>
      <c r="R560" s="541"/>
      <c r="S560" s="490"/>
      <c r="T560" s="490"/>
      <c r="U560" s="490"/>
      <c r="V560" s="490"/>
      <c r="W560" s="541"/>
      <c r="X560" s="490"/>
      <c r="Y560" s="490"/>
      <c r="Z560" s="490"/>
      <c r="AA560" s="490"/>
      <c r="AB560" s="541"/>
      <c r="AC560" s="490"/>
      <c r="AD560" s="490"/>
      <c r="AE560" s="490"/>
      <c r="AF560" s="490"/>
      <c r="AG560" s="541"/>
      <c r="AH560" s="490"/>
      <c r="AI560" s="490"/>
      <c r="AJ560" s="490"/>
      <c r="AK560" s="490"/>
      <c r="AL560" s="541"/>
      <c r="AM560" s="490"/>
      <c r="AN560" s="490"/>
      <c r="AO560" s="490"/>
      <c r="AP560" s="490"/>
      <c r="AQ560" s="541"/>
      <c r="AR560" s="490"/>
      <c r="AS560" s="490"/>
      <c r="AT560" s="490"/>
      <c r="AU560" s="490"/>
      <c r="AV560" s="541"/>
      <c r="AW560" s="490"/>
      <c r="AX560" s="490"/>
      <c r="AY560" s="490"/>
      <c r="AZ560" s="490"/>
      <c r="BA560" s="541"/>
      <c r="BB560" s="490"/>
      <c r="BC560" s="490"/>
      <c r="BD560" s="490"/>
      <c r="BE560" s="490"/>
      <c r="BF560" s="541"/>
      <c r="BG560" s="490"/>
      <c r="BH560" s="490"/>
      <c r="BI560" s="490"/>
      <c r="BJ560" s="490"/>
      <c r="BK560" s="541"/>
      <c r="BL560" s="490"/>
      <c r="BM560" s="490"/>
      <c r="BN560" s="490"/>
      <c r="BO560" s="490"/>
    </row>
    <row r="561" spans="3:67">
      <c r="C561" s="541"/>
      <c r="D561" s="490"/>
      <c r="E561" s="490"/>
      <c r="F561" s="490"/>
      <c r="G561" s="490"/>
      <c r="H561" s="541"/>
      <c r="I561" s="490"/>
      <c r="J561" s="490"/>
      <c r="K561" s="490"/>
      <c r="L561" s="490"/>
      <c r="M561" s="541"/>
      <c r="N561" s="490"/>
      <c r="O561" s="490"/>
      <c r="P561" s="490"/>
      <c r="Q561" s="490"/>
      <c r="R561" s="541"/>
      <c r="S561" s="490"/>
      <c r="T561" s="490"/>
      <c r="U561" s="490"/>
      <c r="V561" s="490"/>
      <c r="W561" s="541"/>
      <c r="X561" s="490"/>
      <c r="Y561" s="490"/>
      <c r="Z561" s="490"/>
      <c r="AA561" s="490"/>
      <c r="AB561" s="541"/>
      <c r="AC561" s="490"/>
      <c r="AD561" s="490"/>
      <c r="AE561" s="490"/>
      <c r="AF561" s="490"/>
      <c r="AG561" s="541"/>
      <c r="AH561" s="490"/>
      <c r="AI561" s="490"/>
      <c r="AJ561" s="490"/>
      <c r="AK561" s="490"/>
      <c r="AL561" s="541"/>
      <c r="AM561" s="490"/>
      <c r="AN561" s="490"/>
      <c r="AO561" s="490"/>
      <c r="AP561" s="490"/>
      <c r="AQ561" s="541"/>
      <c r="AR561" s="490"/>
      <c r="AS561" s="490"/>
      <c r="AT561" s="490"/>
      <c r="AU561" s="490"/>
      <c r="AV561" s="541"/>
      <c r="AW561" s="490"/>
      <c r="AX561" s="490"/>
      <c r="AY561" s="490"/>
      <c r="AZ561" s="490"/>
      <c r="BA561" s="541"/>
      <c r="BB561" s="490"/>
      <c r="BC561" s="490"/>
      <c r="BD561" s="490"/>
      <c r="BE561" s="490"/>
      <c r="BF561" s="541"/>
      <c r="BG561" s="490"/>
      <c r="BH561" s="490"/>
      <c r="BI561" s="490"/>
      <c r="BJ561" s="490"/>
      <c r="BK561" s="541"/>
      <c r="BL561" s="490"/>
      <c r="BM561" s="490"/>
      <c r="BN561" s="490"/>
      <c r="BO561" s="490"/>
    </row>
    <row r="562" spans="3:67">
      <c r="C562" s="541"/>
      <c r="D562" s="490"/>
      <c r="E562" s="490"/>
      <c r="F562" s="490"/>
      <c r="G562" s="490"/>
      <c r="H562" s="541"/>
      <c r="I562" s="490"/>
      <c r="J562" s="490"/>
      <c r="K562" s="490"/>
      <c r="L562" s="490"/>
      <c r="M562" s="541"/>
      <c r="N562" s="490"/>
      <c r="O562" s="490"/>
      <c r="P562" s="490"/>
      <c r="Q562" s="490"/>
      <c r="R562" s="541"/>
      <c r="S562" s="490"/>
      <c r="T562" s="490"/>
      <c r="U562" s="490"/>
      <c r="V562" s="490"/>
      <c r="W562" s="541"/>
      <c r="X562" s="490"/>
      <c r="Y562" s="490"/>
      <c r="Z562" s="490"/>
      <c r="AA562" s="490"/>
      <c r="AB562" s="541"/>
      <c r="AC562" s="490"/>
      <c r="AD562" s="490"/>
      <c r="AE562" s="490"/>
      <c r="AF562" s="490"/>
      <c r="AG562" s="541"/>
      <c r="AH562" s="490"/>
      <c r="AI562" s="490"/>
      <c r="AJ562" s="490"/>
      <c r="AK562" s="490"/>
      <c r="AL562" s="541"/>
      <c r="AM562" s="490"/>
      <c r="AN562" s="490"/>
      <c r="AO562" s="490"/>
      <c r="AP562" s="490"/>
      <c r="AQ562" s="541"/>
      <c r="AR562" s="490"/>
      <c r="AS562" s="490"/>
      <c r="AT562" s="490"/>
      <c r="AU562" s="490"/>
      <c r="AV562" s="541"/>
      <c r="AW562" s="490"/>
      <c r="AX562" s="490"/>
      <c r="AY562" s="490"/>
      <c r="AZ562" s="490"/>
      <c r="BA562" s="541"/>
      <c r="BB562" s="490"/>
      <c r="BC562" s="490"/>
      <c r="BD562" s="490"/>
      <c r="BE562" s="490"/>
      <c r="BF562" s="541"/>
      <c r="BG562" s="490"/>
      <c r="BH562" s="490"/>
      <c r="BI562" s="490"/>
      <c r="BJ562" s="490"/>
      <c r="BK562" s="541"/>
      <c r="BL562" s="490"/>
      <c r="BM562" s="490"/>
      <c r="BN562" s="490"/>
      <c r="BO562" s="490"/>
    </row>
    <row r="563" spans="3:67">
      <c r="C563" s="554"/>
      <c r="D563" s="554"/>
      <c r="E563" s="554"/>
      <c r="F563" s="554"/>
      <c r="G563" s="554"/>
      <c r="H563" s="554"/>
      <c r="I563" s="554"/>
      <c r="J563" s="554"/>
      <c r="K563" s="554"/>
      <c r="L563" s="554"/>
      <c r="M563" s="554"/>
      <c r="N563" s="554"/>
      <c r="O563" s="554"/>
      <c r="P563" s="554"/>
      <c r="Q563" s="554"/>
      <c r="R563" s="554"/>
      <c r="S563" s="554"/>
      <c r="T563" s="554"/>
      <c r="U563" s="554"/>
      <c r="V563" s="554"/>
      <c r="W563" s="554"/>
      <c r="X563" s="554"/>
      <c r="Y563" s="554"/>
      <c r="Z563" s="554"/>
      <c r="AA563" s="554"/>
      <c r="AB563" s="554"/>
      <c r="AC563" s="554"/>
      <c r="AD563" s="554"/>
      <c r="AE563" s="554"/>
      <c r="AF563" s="554"/>
      <c r="AG563" s="554"/>
      <c r="AH563" s="554"/>
      <c r="AI563" s="554"/>
      <c r="AJ563" s="554"/>
      <c r="AK563" s="554"/>
      <c r="AL563" s="554"/>
      <c r="AM563" s="554"/>
      <c r="AN563" s="554"/>
      <c r="AO563" s="554"/>
      <c r="AP563" s="554"/>
      <c r="AQ563" s="554"/>
      <c r="AR563" s="554"/>
      <c r="AS563" s="554"/>
      <c r="AT563" s="554"/>
      <c r="AU563" s="554"/>
      <c r="AV563" s="554"/>
      <c r="AW563" s="554"/>
      <c r="AX563" s="554"/>
      <c r="AY563" s="554"/>
      <c r="AZ563" s="554"/>
      <c r="BA563" s="554"/>
      <c r="BB563" s="554"/>
      <c r="BC563" s="554"/>
      <c r="BD563" s="554"/>
      <c r="BE563" s="554"/>
      <c r="BF563" s="554"/>
      <c r="BG563" s="554"/>
      <c r="BH563" s="554"/>
      <c r="BI563" s="554"/>
      <c r="BJ563" s="554"/>
      <c r="BK563" s="554"/>
      <c r="BL563" s="554"/>
      <c r="BM563" s="554"/>
      <c r="BN563" s="554"/>
      <c r="BO563" s="554"/>
    </row>
    <row r="564" spans="3:67">
      <c r="C564" s="541"/>
      <c r="D564" s="490"/>
      <c r="E564" s="490"/>
      <c r="F564" s="490"/>
      <c r="G564" s="490"/>
      <c r="H564" s="541"/>
      <c r="I564" s="490"/>
      <c r="J564" s="490"/>
      <c r="K564" s="490"/>
      <c r="L564" s="490"/>
      <c r="M564" s="541"/>
      <c r="N564" s="490"/>
      <c r="O564" s="490"/>
      <c r="P564" s="490"/>
      <c r="Q564" s="490"/>
      <c r="R564" s="541"/>
      <c r="S564" s="490"/>
      <c r="T564" s="490"/>
      <c r="U564" s="490"/>
      <c r="V564" s="490"/>
      <c r="W564" s="541"/>
      <c r="X564" s="490"/>
      <c r="Y564" s="490"/>
      <c r="Z564" s="490"/>
      <c r="AA564" s="490"/>
      <c r="AB564" s="541"/>
      <c r="AC564" s="490"/>
      <c r="AD564" s="490"/>
      <c r="AE564" s="490"/>
      <c r="AF564" s="490"/>
      <c r="AG564" s="541"/>
      <c r="AH564" s="490"/>
      <c r="AI564" s="490"/>
      <c r="AJ564" s="490"/>
      <c r="AK564" s="490"/>
      <c r="AL564" s="541"/>
      <c r="AM564" s="490"/>
      <c r="AN564" s="490"/>
      <c r="AO564" s="490"/>
      <c r="AP564" s="490"/>
      <c r="AQ564" s="541"/>
      <c r="AR564" s="490"/>
      <c r="AS564" s="490"/>
      <c r="AT564" s="490"/>
      <c r="AU564" s="490"/>
      <c r="AV564" s="541"/>
      <c r="AW564" s="490"/>
      <c r="AX564" s="490"/>
      <c r="AY564" s="490"/>
      <c r="AZ564" s="490"/>
      <c r="BA564" s="541"/>
      <c r="BB564" s="490"/>
      <c r="BC564" s="490"/>
      <c r="BD564" s="490"/>
      <c r="BE564" s="490"/>
      <c r="BF564" s="541"/>
      <c r="BG564" s="490"/>
      <c r="BH564" s="490"/>
      <c r="BI564" s="490"/>
      <c r="BJ564" s="490"/>
      <c r="BK564" s="541"/>
      <c r="BL564" s="490"/>
      <c r="BM564" s="490"/>
      <c r="BN564" s="490"/>
      <c r="BO564" s="490"/>
    </row>
    <row r="565" spans="3:67">
      <c r="C565" s="541"/>
      <c r="D565" s="490"/>
      <c r="E565" s="490"/>
      <c r="F565" s="490"/>
      <c r="G565" s="490"/>
      <c r="H565" s="541"/>
      <c r="I565" s="490"/>
      <c r="J565" s="490"/>
      <c r="K565" s="490"/>
      <c r="L565" s="490"/>
      <c r="M565" s="541"/>
      <c r="N565" s="490"/>
      <c r="O565" s="490"/>
      <c r="P565" s="490"/>
      <c r="Q565" s="490"/>
      <c r="R565" s="541"/>
      <c r="S565" s="490"/>
      <c r="T565" s="490"/>
      <c r="U565" s="490"/>
      <c r="V565" s="490"/>
      <c r="W565" s="541"/>
      <c r="X565" s="490"/>
      <c r="Y565" s="490"/>
      <c r="Z565" s="490"/>
      <c r="AA565" s="490"/>
      <c r="AB565" s="541"/>
      <c r="AC565" s="490"/>
      <c r="AD565" s="490"/>
      <c r="AE565" s="490"/>
      <c r="AF565" s="490"/>
      <c r="AG565" s="541"/>
      <c r="AH565" s="490"/>
      <c r="AI565" s="490"/>
      <c r="AJ565" s="490"/>
      <c r="AK565" s="490"/>
      <c r="AL565" s="541"/>
      <c r="AM565" s="490"/>
      <c r="AN565" s="490"/>
      <c r="AO565" s="490"/>
      <c r="AP565" s="490"/>
      <c r="AQ565" s="541"/>
      <c r="AR565" s="490"/>
      <c r="AS565" s="490"/>
      <c r="AT565" s="490"/>
      <c r="AU565" s="490"/>
      <c r="AV565" s="541"/>
      <c r="AW565" s="490"/>
      <c r="AX565" s="490"/>
      <c r="AY565" s="490"/>
      <c r="AZ565" s="490"/>
      <c r="BA565" s="541"/>
      <c r="BB565" s="490"/>
      <c r="BC565" s="490"/>
      <c r="BD565" s="490"/>
      <c r="BE565" s="490"/>
      <c r="BF565" s="541"/>
      <c r="BG565" s="490"/>
      <c r="BH565" s="490"/>
      <c r="BI565" s="490"/>
      <c r="BJ565" s="490"/>
      <c r="BK565" s="541"/>
      <c r="BL565" s="490"/>
      <c r="BM565" s="490"/>
      <c r="BN565" s="490"/>
      <c r="BO565" s="490"/>
    </row>
    <row r="567" spans="3:67">
      <c r="C567" s="541"/>
      <c r="D567" s="490"/>
      <c r="E567" s="490"/>
      <c r="F567" s="490"/>
      <c r="G567" s="490"/>
      <c r="H567" s="541"/>
      <c r="I567" s="490"/>
      <c r="J567" s="490"/>
      <c r="K567" s="490"/>
      <c r="L567" s="490"/>
      <c r="M567" s="541"/>
      <c r="N567" s="490"/>
      <c r="O567" s="490"/>
      <c r="P567" s="490"/>
      <c r="Q567" s="490"/>
      <c r="R567" s="541"/>
      <c r="S567" s="490"/>
      <c r="T567" s="490"/>
      <c r="U567" s="490"/>
      <c r="V567" s="490"/>
      <c r="W567" s="541"/>
      <c r="X567" s="490"/>
      <c r="Y567" s="490"/>
      <c r="Z567" s="490"/>
      <c r="AA567" s="490"/>
      <c r="AB567" s="541"/>
      <c r="AC567" s="490"/>
      <c r="AD567" s="490"/>
      <c r="AE567" s="490"/>
      <c r="AF567" s="490"/>
      <c r="AG567" s="541"/>
      <c r="AH567" s="490"/>
      <c r="AI567" s="490"/>
      <c r="AJ567" s="490"/>
      <c r="AK567" s="490"/>
      <c r="AL567" s="541"/>
      <c r="AM567" s="490"/>
      <c r="AN567" s="490"/>
      <c r="AO567" s="490"/>
      <c r="AP567" s="490"/>
      <c r="AQ567" s="541"/>
      <c r="AR567" s="490"/>
      <c r="AS567" s="490"/>
      <c r="AT567" s="490"/>
      <c r="AU567" s="490"/>
      <c r="AV567" s="541"/>
      <c r="AW567" s="490"/>
      <c r="AX567" s="490"/>
      <c r="AY567" s="490"/>
      <c r="AZ567" s="490"/>
      <c r="BA567" s="541"/>
      <c r="BB567" s="490"/>
      <c r="BC567" s="490"/>
      <c r="BD567" s="490"/>
      <c r="BE567" s="490"/>
      <c r="BF567" s="541"/>
      <c r="BG567" s="490"/>
      <c r="BH567" s="490"/>
      <c r="BI567" s="490"/>
      <c r="BJ567" s="490"/>
      <c r="BK567" s="541"/>
      <c r="BL567" s="490"/>
      <c r="BM567" s="490"/>
      <c r="BN567" s="490"/>
      <c r="BO567" s="490"/>
    </row>
    <row r="568" spans="3:67">
      <c r="C568" s="541"/>
      <c r="D568" s="490"/>
      <c r="E568" s="490"/>
      <c r="F568" s="490"/>
      <c r="G568" s="490"/>
      <c r="H568" s="541"/>
      <c r="I568" s="490"/>
      <c r="J568" s="490"/>
      <c r="K568" s="490"/>
      <c r="L568" s="490"/>
      <c r="M568" s="541"/>
      <c r="N568" s="490"/>
      <c r="O568" s="490"/>
      <c r="P568" s="490"/>
      <c r="Q568" s="490"/>
      <c r="R568" s="541"/>
      <c r="S568" s="490"/>
      <c r="T568" s="490"/>
      <c r="U568" s="490"/>
      <c r="V568" s="490"/>
      <c r="W568" s="541"/>
      <c r="X568" s="490"/>
      <c r="Y568" s="490"/>
      <c r="Z568" s="490"/>
      <c r="AA568" s="490"/>
      <c r="AB568" s="541"/>
      <c r="AC568" s="490"/>
      <c r="AD568" s="490"/>
      <c r="AE568" s="490"/>
      <c r="AF568" s="490"/>
      <c r="AG568" s="541"/>
      <c r="AH568" s="490"/>
      <c r="AI568" s="490"/>
      <c r="AJ568" s="490"/>
      <c r="AK568" s="490"/>
      <c r="AL568" s="541"/>
      <c r="AM568" s="490"/>
      <c r="AN568" s="490"/>
      <c r="AO568" s="490"/>
      <c r="AP568" s="490"/>
      <c r="AQ568" s="541"/>
      <c r="AR568" s="490"/>
      <c r="AS568" s="490"/>
      <c r="AT568" s="490"/>
      <c r="AU568" s="490"/>
      <c r="AV568" s="541"/>
      <c r="AW568" s="490"/>
      <c r="AX568" s="490"/>
      <c r="AY568" s="490"/>
      <c r="AZ568" s="490"/>
      <c r="BA568" s="541"/>
      <c r="BB568" s="490"/>
      <c r="BC568" s="490"/>
      <c r="BD568" s="490"/>
      <c r="BE568" s="490"/>
      <c r="BF568" s="541"/>
      <c r="BG568" s="490"/>
      <c r="BH568" s="490"/>
      <c r="BI568" s="490"/>
      <c r="BJ568" s="490"/>
      <c r="BK568" s="541"/>
      <c r="BL568" s="490"/>
      <c r="BM568" s="490"/>
      <c r="BN568" s="490"/>
      <c r="BO568" s="490"/>
    </row>
    <row r="569" spans="3:67">
      <c r="C569" s="541"/>
      <c r="D569" s="490"/>
      <c r="E569" s="490"/>
      <c r="F569" s="490"/>
      <c r="G569" s="490"/>
      <c r="H569" s="541"/>
      <c r="I569" s="490"/>
      <c r="J569" s="490"/>
      <c r="K569" s="490"/>
      <c r="L569" s="490"/>
      <c r="M569" s="541"/>
      <c r="N569" s="490"/>
      <c r="O569" s="490"/>
      <c r="P569" s="490"/>
      <c r="Q569" s="490"/>
      <c r="R569" s="541"/>
      <c r="S569" s="490"/>
      <c r="T569" s="490"/>
      <c r="U569" s="490"/>
      <c r="V569" s="490"/>
      <c r="W569" s="541"/>
      <c r="X569" s="490"/>
      <c r="Y569" s="490"/>
      <c r="Z569" s="490"/>
      <c r="AA569" s="490"/>
      <c r="AB569" s="541"/>
      <c r="AC569" s="490"/>
      <c r="AD569" s="490"/>
      <c r="AE569" s="490"/>
      <c r="AF569" s="490"/>
      <c r="AG569" s="541"/>
      <c r="AH569" s="490"/>
      <c r="AI569" s="490"/>
      <c r="AJ569" s="490"/>
      <c r="AK569" s="490"/>
      <c r="AL569" s="541"/>
      <c r="AM569" s="490"/>
      <c r="AN569" s="490"/>
      <c r="AO569" s="490"/>
      <c r="AP569" s="490"/>
      <c r="AQ569" s="541"/>
      <c r="AR569" s="490"/>
      <c r="AS569" s="490"/>
      <c r="AT569" s="490"/>
      <c r="AU569" s="490"/>
      <c r="AV569" s="541"/>
      <c r="AW569" s="490"/>
      <c r="AX569" s="490"/>
      <c r="AY569" s="490"/>
      <c r="AZ569" s="490"/>
      <c r="BA569" s="541"/>
      <c r="BB569" s="490"/>
      <c r="BC569" s="490"/>
      <c r="BD569" s="490"/>
      <c r="BE569" s="490"/>
      <c r="BF569" s="541"/>
      <c r="BG569" s="490"/>
      <c r="BH569" s="490"/>
      <c r="BI569" s="490"/>
      <c r="BJ569" s="490"/>
      <c r="BK569" s="541"/>
      <c r="BL569" s="490"/>
      <c r="BM569" s="490"/>
      <c r="BN569" s="490"/>
      <c r="BO569" s="490"/>
    </row>
    <row r="570" spans="3:67">
      <c r="C570" s="541"/>
      <c r="D570" s="490"/>
      <c r="E570" s="490"/>
      <c r="F570" s="490"/>
      <c r="G570" s="490"/>
      <c r="H570" s="541"/>
      <c r="I570" s="490"/>
      <c r="J570" s="490"/>
      <c r="K570" s="490"/>
      <c r="L570" s="490"/>
      <c r="M570" s="541"/>
      <c r="N570" s="490"/>
      <c r="O570" s="490"/>
      <c r="P570" s="490"/>
      <c r="Q570" s="490"/>
      <c r="R570" s="541"/>
      <c r="S570" s="490"/>
      <c r="T570" s="490"/>
      <c r="U570" s="490"/>
      <c r="V570" s="490"/>
      <c r="W570" s="541"/>
      <c r="X570" s="490"/>
      <c r="Y570" s="490"/>
      <c r="Z570" s="490"/>
      <c r="AA570" s="490"/>
      <c r="AB570" s="541"/>
      <c r="AC570" s="490"/>
      <c r="AD570" s="490"/>
      <c r="AE570" s="490"/>
      <c r="AF570" s="490"/>
      <c r="AG570" s="541"/>
      <c r="AH570" s="490"/>
      <c r="AI570" s="490"/>
      <c r="AJ570" s="490"/>
      <c r="AK570" s="490"/>
      <c r="AL570" s="541"/>
      <c r="AM570" s="490"/>
      <c r="AN570" s="490"/>
      <c r="AO570" s="490"/>
      <c r="AP570" s="490"/>
      <c r="AQ570" s="541"/>
      <c r="AR570" s="490"/>
      <c r="AS570" s="490"/>
      <c r="AT570" s="490"/>
      <c r="AU570" s="490"/>
      <c r="AV570" s="541"/>
      <c r="AW570" s="490"/>
      <c r="AX570" s="490"/>
      <c r="AY570" s="490"/>
      <c r="AZ570" s="490"/>
      <c r="BA570" s="541"/>
      <c r="BB570" s="490"/>
      <c r="BC570" s="490"/>
      <c r="BD570" s="490"/>
      <c r="BE570" s="490"/>
      <c r="BF570" s="541"/>
      <c r="BG570" s="490"/>
      <c r="BH570" s="490"/>
      <c r="BI570" s="490"/>
      <c r="BJ570" s="490"/>
      <c r="BK570" s="541"/>
      <c r="BL570" s="490"/>
      <c r="BM570" s="490"/>
      <c r="BN570" s="490"/>
      <c r="BO570" s="490"/>
    </row>
    <row r="571" spans="3:67">
      <c r="C571" s="541"/>
      <c r="D571" s="490"/>
      <c r="E571" s="490"/>
      <c r="F571" s="490"/>
      <c r="G571" s="490"/>
      <c r="H571" s="541"/>
      <c r="I571" s="490"/>
      <c r="J571" s="490"/>
      <c r="K571" s="490"/>
      <c r="L571" s="490"/>
      <c r="M571" s="541"/>
      <c r="N571" s="490"/>
      <c r="O571" s="490"/>
      <c r="P571" s="490"/>
      <c r="Q571" s="490"/>
      <c r="R571" s="541"/>
      <c r="S571" s="490"/>
      <c r="T571" s="490"/>
      <c r="U571" s="490"/>
      <c r="V571" s="490"/>
      <c r="W571" s="541"/>
      <c r="X571" s="490"/>
      <c r="Y571" s="490"/>
      <c r="Z571" s="490"/>
      <c r="AA571" s="490"/>
      <c r="AB571" s="541"/>
      <c r="AC571" s="490"/>
      <c r="AD571" s="490"/>
      <c r="AE571" s="490"/>
      <c r="AF571" s="490"/>
      <c r="AG571" s="541"/>
      <c r="AH571" s="490"/>
      <c r="AI571" s="490"/>
      <c r="AJ571" s="490"/>
      <c r="AK571" s="490"/>
      <c r="AL571" s="541"/>
      <c r="AM571" s="490"/>
      <c r="AN571" s="490"/>
      <c r="AO571" s="490"/>
      <c r="AP571" s="490"/>
      <c r="AQ571" s="541"/>
      <c r="AR571" s="490"/>
      <c r="AS571" s="490"/>
      <c r="AT571" s="490"/>
      <c r="AU571" s="490"/>
      <c r="AV571" s="541"/>
      <c r="AW571" s="490"/>
      <c r="AX571" s="490"/>
      <c r="AY571" s="490"/>
      <c r="AZ571" s="490"/>
      <c r="BA571" s="541"/>
      <c r="BB571" s="490"/>
      <c r="BC571" s="490"/>
      <c r="BD571" s="490"/>
      <c r="BE571" s="490"/>
      <c r="BF571" s="541"/>
      <c r="BG571" s="490"/>
      <c r="BH571" s="490"/>
      <c r="BI571" s="490"/>
      <c r="BJ571" s="490"/>
      <c r="BK571" s="541"/>
      <c r="BL571" s="490"/>
      <c r="BM571" s="490"/>
      <c r="BN571" s="490"/>
      <c r="BO571" s="490"/>
    </row>
    <row r="572" spans="3:67">
      <c r="C572" s="541"/>
      <c r="D572" s="490"/>
      <c r="E572" s="490"/>
      <c r="F572" s="490"/>
      <c r="G572" s="490"/>
      <c r="H572" s="541"/>
      <c r="I572" s="490"/>
      <c r="J572" s="490"/>
      <c r="K572" s="490"/>
      <c r="L572" s="490"/>
      <c r="M572" s="541"/>
      <c r="N572" s="490"/>
      <c r="O572" s="490"/>
      <c r="P572" s="490"/>
      <c r="Q572" s="490"/>
      <c r="R572" s="541"/>
      <c r="S572" s="490"/>
      <c r="T572" s="490"/>
      <c r="U572" s="490"/>
      <c r="V572" s="490"/>
      <c r="W572" s="541"/>
      <c r="X572" s="490"/>
      <c r="Y572" s="490"/>
      <c r="Z572" s="490"/>
      <c r="AA572" s="490"/>
      <c r="AB572" s="541"/>
      <c r="AC572" s="490"/>
      <c r="AD572" s="490"/>
      <c r="AE572" s="490"/>
      <c r="AF572" s="490"/>
      <c r="AG572" s="541"/>
      <c r="AH572" s="490"/>
      <c r="AI572" s="490"/>
      <c r="AJ572" s="490"/>
      <c r="AK572" s="490"/>
      <c r="AL572" s="541"/>
      <c r="AM572" s="490"/>
      <c r="AN572" s="490"/>
      <c r="AO572" s="490"/>
      <c r="AP572" s="490"/>
      <c r="AQ572" s="541"/>
      <c r="AR572" s="490"/>
      <c r="AS572" s="490"/>
      <c r="AT572" s="490"/>
      <c r="AU572" s="490"/>
      <c r="AV572" s="541"/>
      <c r="AW572" s="490"/>
      <c r="AX572" s="490"/>
      <c r="AY572" s="490"/>
      <c r="AZ572" s="490"/>
      <c r="BA572" s="541"/>
      <c r="BB572" s="490"/>
      <c r="BC572" s="490"/>
      <c r="BD572" s="490"/>
      <c r="BE572" s="490"/>
      <c r="BF572" s="541"/>
      <c r="BG572" s="490"/>
      <c r="BH572" s="490"/>
      <c r="BI572" s="490"/>
      <c r="BJ572" s="490"/>
      <c r="BK572" s="541"/>
      <c r="BL572" s="490"/>
      <c r="BM572" s="490"/>
      <c r="BN572" s="490"/>
      <c r="BO572" s="490"/>
    </row>
    <row r="573" spans="3:67">
      <c r="C573" s="541"/>
      <c r="D573" s="490"/>
      <c r="E573" s="490"/>
      <c r="F573" s="490"/>
      <c r="G573" s="490"/>
      <c r="H573" s="541"/>
      <c r="I573" s="490"/>
      <c r="J573" s="490"/>
      <c r="K573" s="490"/>
      <c r="L573" s="490"/>
      <c r="M573" s="541"/>
      <c r="N573" s="490"/>
      <c r="O573" s="490"/>
      <c r="P573" s="490"/>
      <c r="Q573" s="490"/>
      <c r="R573" s="541"/>
      <c r="S573" s="490"/>
      <c r="T573" s="490"/>
      <c r="U573" s="490"/>
      <c r="V573" s="490"/>
      <c r="W573" s="541"/>
      <c r="X573" s="490"/>
      <c r="Y573" s="490"/>
      <c r="Z573" s="490"/>
      <c r="AA573" s="490"/>
      <c r="AB573" s="541"/>
      <c r="AC573" s="490"/>
      <c r="AD573" s="490"/>
      <c r="AE573" s="490"/>
      <c r="AF573" s="490"/>
      <c r="AG573" s="541"/>
      <c r="AH573" s="490"/>
      <c r="AI573" s="490"/>
      <c r="AJ573" s="490"/>
      <c r="AK573" s="490"/>
      <c r="AL573" s="541"/>
      <c r="AM573" s="490"/>
      <c r="AN573" s="490"/>
      <c r="AO573" s="490"/>
      <c r="AP573" s="490"/>
      <c r="AQ573" s="541"/>
      <c r="AR573" s="490"/>
      <c r="AS573" s="490"/>
      <c r="AT573" s="490"/>
      <c r="AU573" s="490"/>
      <c r="AV573" s="541"/>
      <c r="AW573" s="490"/>
      <c r="AX573" s="490"/>
      <c r="AY573" s="490"/>
      <c r="AZ573" s="490"/>
      <c r="BA573" s="541"/>
      <c r="BB573" s="490"/>
      <c r="BC573" s="490"/>
      <c r="BD573" s="490"/>
      <c r="BE573" s="490"/>
      <c r="BF573" s="541"/>
      <c r="BG573" s="490"/>
      <c r="BH573" s="490"/>
      <c r="BI573" s="490"/>
      <c r="BJ573" s="490"/>
      <c r="BK573" s="541"/>
      <c r="BL573" s="490"/>
      <c r="BM573" s="490"/>
      <c r="BN573" s="490"/>
      <c r="BO573" s="490"/>
    </row>
    <row r="574" spans="3:67">
      <c r="C574" s="541"/>
      <c r="D574" s="490"/>
      <c r="E574" s="490"/>
      <c r="F574" s="490"/>
      <c r="G574" s="490"/>
      <c r="H574" s="541"/>
      <c r="I574" s="490"/>
      <c r="J574" s="490"/>
      <c r="K574" s="490"/>
      <c r="L574" s="490"/>
      <c r="M574" s="541"/>
      <c r="N574" s="490"/>
      <c r="O574" s="490"/>
      <c r="P574" s="490"/>
      <c r="Q574" s="490"/>
      <c r="R574" s="541"/>
      <c r="S574" s="490"/>
      <c r="T574" s="490"/>
      <c r="U574" s="490"/>
      <c r="V574" s="490"/>
      <c r="W574" s="541"/>
      <c r="X574" s="490"/>
      <c r="Y574" s="490"/>
      <c r="Z574" s="490"/>
      <c r="AA574" s="490"/>
      <c r="AB574" s="541"/>
      <c r="AC574" s="490"/>
      <c r="AD574" s="490"/>
      <c r="AE574" s="490"/>
      <c r="AF574" s="490"/>
      <c r="AG574" s="541"/>
      <c r="AH574" s="490"/>
      <c r="AI574" s="490"/>
      <c r="AJ574" s="490"/>
      <c r="AK574" s="490"/>
      <c r="AL574" s="541"/>
      <c r="AM574" s="490"/>
      <c r="AN574" s="490"/>
      <c r="AO574" s="490"/>
      <c r="AP574" s="490"/>
      <c r="AQ574" s="541"/>
      <c r="AR574" s="490"/>
      <c r="AS574" s="490"/>
      <c r="AT574" s="490"/>
      <c r="AU574" s="490"/>
      <c r="AV574" s="541"/>
      <c r="AW574" s="490"/>
      <c r="AX574" s="490"/>
      <c r="AY574" s="490"/>
      <c r="AZ574" s="490"/>
      <c r="BA574" s="541"/>
      <c r="BB574" s="490"/>
      <c r="BC574" s="490"/>
      <c r="BD574" s="490"/>
      <c r="BE574" s="490"/>
      <c r="BF574" s="541"/>
      <c r="BG574" s="490"/>
      <c r="BH574" s="490"/>
      <c r="BI574" s="490"/>
      <c r="BJ574" s="490"/>
      <c r="BK574" s="541"/>
      <c r="BL574" s="490"/>
      <c r="BM574" s="490"/>
      <c r="BN574" s="490"/>
      <c r="BO574" s="490"/>
    </row>
    <row r="575" spans="3:67">
      <c r="C575" s="541"/>
      <c r="D575" s="490"/>
      <c r="E575" s="490"/>
      <c r="F575" s="490"/>
      <c r="G575" s="490"/>
      <c r="H575" s="541"/>
      <c r="I575" s="490"/>
      <c r="J575" s="490"/>
      <c r="K575" s="490"/>
      <c r="L575" s="490"/>
      <c r="M575" s="541"/>
      <c r="N575" s="490"/>
      <c r="O575" s="490"/>
      <c r="P575" s="490"/>
      <c r="Q575" s="490"/>
      <c r="R575" s="541"/>
      <c r="S575" s="490"/>
      <c r="T575" s="490"/>
      <c r="U575" s="490"/>
      <c r="V575" s="490"/>
      <c r="W575" s="541"/>
      <c r="X575" s="490"/>
      <c r="Y575" s="490"/>
      <c r="Z575" s="490"/>
      <c r="AA575" s="490"/>
      <c r="AB575" s="541"/>
      <c r="AC575" s="490"/>
      <c r="AD575" s="490"/>
      <c r="AE575" s="490"/>
      <c r="AF575" s="490"/>
      <c r="AG575" s="541"/>
      <c r="AH575" s="490"/>
      <c r="AI575" s="490"/>
      <c r="AJ575" s="490"/>
      <c r="AK575" s="490"/>
      <c r="AL575" s="541"/>
      <c r="AM575" s="490"/>
      <c r="AN575" s="490"/>
      <c r="AO575" s="490"/>
      <c r="AP575" s="490"/>
      <c r="AQ575" s="541"/>
      <c r="AR575" s="490"/>
      <c r="AS575" s="490"/>
      <c r="AT575" s="490"/>
      <c r="AU575" s="490"/>
      <c r="AV575" s="541"/>
      <c r="AW575" s="490"/>
      <c r="AX575" s="490"/>
      <c r="AY575" s="490"/>
      <c r="AZ575" s="490"/>
      <c r="BA575" s="541"/>
      <c r="BB575" s="490"/>
      <c r="BC575" s="490"/>
      <c r="BD575" s="490"/>
      <c r="BE575" s="490"/>
      <c r="BF575" s="541"/>
      <c r="BG575" s="490"/>
      <c r="BH575" s="490"/>
      <c r="BI575" s="490"/>
      <c r="BJ575" s="490"/>
      <c r="BK575" s="541"/>
      <c r="BL575" s="490"/>
      <c r="BM575" s="490"/>
      <c r="BN575" s="490"/>
      <c r="BO575" s="490"/>
    </row>
    <row r="576" spans="3:67">
      <c r="C576" s="541"/>
      <c r="D576" s="490"/>
      <c r="E576" s="490"/>
      <c r="F576" s="490"/>
      <c r="G576" s="490"/>
      <c r="H576" s="541"/>
      <c r="I576" s="490"/>
      <c r="J576" s="490"/>
      <c r="K576" s="490"/>
      <c r="L576" s="490"/>
      <c r="M576" s="541"/>
      <c r="N576" s="490"/>
      <c r="O576" s="490"/>
      <c r="P576" s="490"/>
      <c r="Q576" s="490"/>
      <c r="R576" s="541"/>
      <c r="S576" s="490"/>
      <c r="T576" s="490"/>
      <c r="U576" s="490"/>
      <c r="V576" s="490"/>
      <c r="W576" s="541"/>
      <c r="X576" s="490"/>
      <c r="Y576" s="490"/>
      <c r="Z576" s="490"/>
      <c r="AA576" s="490"/>
      <c r="AB576" s="541"/>
      <c r="AC576" s="490"/>
      <c r="AD576" s="490"/>
      <c r="AE576" s="490"/>
      <c r="AF576" s="490"/>
      <c r="AG576" s="541"/>
      <c r="AH576" s="490"/>
      <c r="AI576" s="490"/>
      <c r="AJ576" s="490"/>
      <c r="AK576" s="490"/>
      <c r="AL576" s="541"/>
      <c r="AM576" s="490"/>
      <c r="AN576" s="490"/>
      <c r="AO576" s="490"/>
      <c r="AP576" s="490"/>
      <c r="AQ576" s="541"/>
      <c r="AR576" s="490"/>
      <c r="AS576" s="490"/>
      <c r="AT576" s="490"/>
      <c r="AU576" s="490"/>
      <c r="AV576" s="541"/>
      <c r="AW576" s="490"/>
      <c r="AX576" s="490"/>
      <c r="AY576" s="490"/>
      <c r="AZ576" s="490"/>
      <c r="BA576" s="541"/>
      <c r="BB576" s="490"/>
      <c r="BC576" s="490"/>
      <c r="BD576" s="490"/>
      <c r="BE576" s="490"/>
      <c r="BF576" s="541"/>
      <c r="BG576" s="490"/>
      <c r="BH576" s="490"/>
      <c r="BI576" s="490"/>
      <c r="BJ576" s="490"/>
      <c r="BK576" s="541"/>
      <c r="BL576" s="490"/>
      <c r="BM576" s="490"/>
      <c r="BN576" s="490"/>
      <c r="BO576" s="490"/>
    </row>
    <row r="577" spans="3:67">
      <c r="C577" s="541"/>
      <c r="D577" s="490"/>
      <c r="E577" s="490"/>
      <c r="F577" s="490"/>
      <c r="G577" s="490"/>
      <c r="H577" s="541"/>
      <c r="I577" s="490"/>
      <c r="J577" s="490"/>
      <c r="K577" s="490"/>
      <c r="L577" s="490"/>
      <c r="M577" s="541"/>
      <c r="N577" s="490"/>
      <c r="O577" s="490"/>
      <c r="P577" s="490"/>
      <c r="Q577" s="490"/>
      <c r="R577" s="541"/>
      <c r="S577" s="490"/>
      <c r="T577" s="490"/>
      <c r="U577" s="490"/>
      <c r="V577" s="490"/>
      <c r="W577" s="541"/>
      <c r="X577" s="490"/>
      <c r="Y577" s="490"/>
      <c r="Z577" s="490"/>
      <c r="AA577" s="490"/>
      <c r="AB577" s="541"/>
      <c r="AC577" s="490"/>
      <c r="AD577" s="490"/>
      <c r="AE577" s="490"/>
      <c r="AF577" s="490"/>
      <c r="AG577" s="541"/>
      <c r="AH577" s="490"/>
      <c r="AI577" s="490"/>
      <c r="AJ577" s="490"/>
      <c r="AK577" s="490"/>
      <c r="AL577" s="541"/>
      <c r="AM577" s="490"/>
      <c r="AN577" s="490"/>
      <c r="AO577" s="490"/>
      <c r="AP577" s="490"/>
      <c r="AQ577" s="541"/>
      <c r="AR577" s="490"/>
      <c r="AS577" s="490"/>
      <c r="AT577" s="490"/>
      <c r="AU577" s="490"/>
      <c r="AV577" s="541"/>
      <c r="AW577" s="490"/>
      <c r="AX577" s="490"/>
      <c r="AY577" s="490"/>
      <c r="AZ577" s="490"/>
      <c r="BA577" s="541"/>
      <c r="BB577" s="490"/>
      <c r="BC577" s="490"/>
      <c r="BD577" s="490"/>
      <c r="BE577" s="490"/>
      <c r="BF577" s="541"/>
      <c r="BG577" s="490"/>
      <c r="BH577" s="490"/>
      <c r="BI577" s="490"/>
      <c r="BJ577" s="490"/>
      <c r="BK577" s="541"/>
      <c r="BL577" s="490"/>
      <c r="BM577" s="490"/>
      <c r="BN577" s="490"/>
      <c r="BO577" s="490"/>
    </row>
    <row r="578" spans="3:67">
      <c r="C578" s="541"/>
      <c r="D578" s="490"/>
      <c r="E578" s="490"/>
      <c r="F578" s="490"/>
      <c r="G578" s="490"/>
      <c r="H578" s="541"/>
      <c r="I578" s="490"/>
      <c r="J578" s="490"/>
      <c r="K578" s="490"/>
      <c r="L578" s="490"/>
      <c r="M578" s="541"/>
      <c r="N578" s="490"/>
      <c r="O578" s="490"/>
      <c r="P578" s="490"/>
      <c r="Q578" s="490"/>
      <c r="R578" s="541"/>
      <c r="S578" s="490"/>
      <c r="T578" s="490"/>
      <c r="U578" s="490"/>
      <c r="V578" s="490"/>
      <c r="W578" s="541"/>
      <c r="X578" s="490"/>
      <c r="Y578" s="490"/>
      <c r="Z578" s="490"/>
      <c r="AA578" s="490"/>
      <c r="AB578" s="541"/>
      <c r="AC578" s="490"/>
      <c r="AD578" s="490"/>
      <c r="AE578" s="490"/>
      <c r="AF578" s="490"/>
      <c r="AG578" s="541"/>
      <c r="AH578" s="490"/>
      <c r="AI578" s="490"/>
      <c r="AJ578" s="490"/>
      <c r="AK578" s="490"/>
      <c r="AL578" s="541"/>
      <c r="AM578" s="490"/>
      <c r="AN578" s="490"/>
      <c r="AO578" s="490"/>
      <c r="AP578" s="490"/>
      <c r="AQ578" s="541"/>
      <c r="AR578" s="490"/>
      <c r="AS578" s="490"/>
      <c r="AT578" s="490"/>
      <c r="AU578" s="490"/>
      <c r="AV578" s="541"/>
      <c r="AW578" s="490"/>
      <c r="AX578" s="490"/>
      <c r="AY578" s="490"/>
      <c r="AZ578" s="490"/>
      <c r="BA578" s="541"/>
      <c r="BB578" s="490"/>
      <c r="BC578" s="490"/>
      <c r="BD578" s="490"/>
      <c r="BE578" s="490"/>
      <c r="BF578" s="541"/>
      <c r="BG578" s="490"/>
      <c r="BH578" s="490"/>
      <c r="BI578" s="490"/>
      <c r="BJ578" s="490"/>
      <c r="BK578" s="541"/>
      <c r="BL578" s="490"/>
      <c r="BM578" s="490"/>
      <c r="BN578" s="490"/>
      <c r="BO578" s="490"/>
    </row>
    <row r="579" spans="3:67">
      <c r="C579" s="541"/>
      <c r="D579" s="490"/>
      <c r="E579" s="490"/>
      <c r="F579" s="490"/>
      <c r="G579" s="490"/>
      <c r="H579" s="541"/>
      <c r="I579" s="490"/>
      <c r="J579" s="490"/>
      <c r="K579" s="490"/>
      <c r="L579" s="490"/>
      <c r="M579" s="541"/>
      <c r="N579" s="490"/>
      <c r="O579" s="490"/>
      <c r="P579" s="490"/>
      <c r="Q579" s="490"/>
      <c r="R579" s="541"/>
      <c r="S579" s="490"/>
      <c r="T579" s="490"/>
      <c r="U579" s="490"/>
      <c r="V579" s="490"/>
      <c r="W579" s="541"/>
      <c r="X579" s="490"/>
      <c r="Y579" s="490"/>
      <c r="Z579" s="490"/>
      <c r="AA579" s="490"/>
      <c r="AB579" s="541"/>
      <c r="AC579" s="490"/>
      <c r="AD579" s="490"/>
      <c r="AE579" s="490"/>
      <c r="AF579" s="490"/>
      <c r="AG579" s="541"/>
      <c r="AH579" s="490"/>
      <c r="AI579" s="490"/>
      <c r="AJ579" s="490"/>
      <c r="AK579" s="490"/>
      <c r="AL579" s="541"/>
      <c r="AM579" s="490"/>
      <c r="AN579" s="490"/>
      <c r="AO579" s="490"/>
      <c r="AP579" s="490"/>
      <c r="AQ579" s="541"/>
      <c r="AR579" s="490"/>
      <c r="AS579" s="490"/>
      <c r="AT579" s="490"/>
      <c r="AU579" s="490"/>
      <c r="AV579" s="541"/>
      <c r="AW579" s="490"/>
      <c r="AX579" s="490"/>
      <c r="AY579" s="490"/>
      <c r="AZ579" s="490"/>
      <c r="BA579" s="541"/>
      <c r="BB579" s="490"/>
      <c r="BC579" s="490"/>
      <c r="BD579" s="490"/>
      <c r="BE579" s="490"/>
      <c r="BF579" s="541"/>
      <c r="BG579" s="490"/>
      <c r="BH579" s="490"/>
      <c r="BI579" s="490"/>
      <c r="BJ579" s="490"/>
      <c r="BK579" s="541"/>
      <c r="BL579" s="490"/>
      <c r="BM579" s="490"/>
      <c r="BN579" s="490"/>
      <c r="BO579" s="490"/>
    </row>
    <row r="580" spans="3:67">
      <c r="C580" s="541"/>
      <c r="D580" s="490"/>
      <c r="E580" s="490"/>
      <c r="F580" s="490"/>
      <c r="G580" s="490"/>
      <c r="H580" s="541"/>
      <c r="I580" s="490"/>
      <c r="J580" s="490"/>
      <c r="K580" s="490"/>
      <c r="L580" s="490"/>
      <c r="M580" s="541"/>
      <c r="N580" s="490"/>
      <c r="O580" s="490"/>
      <c r="P580" s="490"/>
      <c r="Q580" s="490"/>
      <c r="R580" s="541"/>
      <c r="S580" s="490"/>
      <c r="T580" s="490"/>
      <c r="U580" s="490"/>
      <c r="V580" s="490"/>
      <c r="W580" s="541"/>
      <c r="X580" s="490"/>
      <c r="Y580" s="490"/>
      <c r="Z580" s="490"/>
      <c r="AA580" s="490"/>
      <c r="AB580" s="541"/>
      <c r="AC580" s="490"/>
      <c r="AD580" s="490"/>
      <c r="AE580" s="490"/>
      <c r="AF580" s="490"/>
      <c r="AG580" s="541"/>
      <c r="AH580" s="490"/>
      <c r="AI580" s="490"/>
      <c r="AJ580" s="490"/>
      <c r="AK580" s="490"/>
      <c r="AL580" s="541"/>
      <c r="AM580" s="490"/>
      <c r="AN580" s="490"/>
      <c r="AO580" s="490"/>
      <c r="AP580" s="490"/>
      <c r="AQ580" s="541"/>
      <c r="AR580" s="490"/>
      <c r="AS580" s="490"/>
      <c r="AT580" s="490"/>
      <c r="AU580" s="490"/>
      <c r="AV580" s="541"/>
      <c r="AW580" s="490"/>
      <c r="AX580" s="490"/>
      <c r="AY580" s="490"/>
      <c r="AZ580" s="490"/>
      <c r="BA580" s="541"/>
      <c r="BB580" s="490"/>
      <c r="BC580" s="490"/>
      <c r="BD580" s="490"/>
      <c r="BE580" s="490"/>
      <c r="BF580" s="541"/>
      <c r="BG580" s="490"/>
      <c r="BH580" s="490"/>
      <c r="BI580" s="490"/>
      <c r="BJ580" s="490"/>
      <c r="BK580" s="541"/>
      <c r="BL580" s="490"/>
      <c r="BM580" s="490"/>
      <c r="BN580" s="490"/>
      <c r="BO580" s="490"/>
    </row>
    <row r="581" spans="3:67">
      <c r="C581" s="555"/>
      <c r="D581" s="555"/>
      <c r="E581" s="555"/>
      <c r="F581" s="555"/>
      <c r="G581" s="555"/>
      <c r="H581" s="555"/>
      <c r="I581" s="555"/>
      <c r="J581" s="555"/>
      <c r="K581" s="555"/>
      <c r="L581" s="555"/>
      <c r="M581" s="555"/>
      <c r="N581" s="555"/>
      <c r="O581" s="555"/>
      <c r="P581" s="555"/>
      <c r="Q581" s="555"/>
      <c r="R581" s="555"/>
      <c r="S581" s="555"/>
      <c r="T581" s="555"/>
      <c r="U581" s="555"/>
      <c r="V581" s="555"/>
      <c r="W581" s="555"/>
      <c r="X581" s="555"/>
      <c r="Y581" s="555"/>
      <c r="Z581" s="555"/>
      <c r="AA581" s="555"/>
      <c r="AB581" s="555"/>
      <c r="AC581" s="555"/>
      <c r="AD581" s="555"/>
      <c r="AE581" s="555"/>
      <c r="AF581" s="555"/>
      <c r="AG581" s="555"/>
      <c r="AH581" s="555"/>
      <c r="AI581" s="555"/>
      <c r="AJ581" s="555"/>
      <c r="AK581" s="555"/>
      <c r="AL581" s="555"/>
      <c r="AM581" s="555"/>
      <c r="AN581" s="555"/>
      <c r="AO581" s="555"/>
      <c r="AP581" s="555"/>
      <c r="AQ581" s="555"/>
      <c r="AR581" s="555"/>
      <c r="AS581" s="555"/>
      <c r="AT581" s="555"/>
      <c r="AU581" s="555"/>
      <c r="AV581" s="555"/>
      <c r="AW581" s="555"/>
      <c r="AX581" s="555"/>
      <c r="AY581" s="555"/>
      <c r="AZ581" s="555"/>
      <c r="BA581" s="555"/>
      <c r="BB581" s="555"/>
      <c r="BC581" s="555"/>
      <c r="BD581" s="555"/>
      <c r="BE581" s="555"/>
      <c r="BF581" s="555"/>
      <c r="BG581" s="555"/>
      <c r="BH581" s="555"/>
      <c r="BI581" s="555"/>
      <c r="BJ581" s="555"/>
      <c r="BK581" s="555"/>
      <c r="BL581" s="555"/>
      <c r="BM581" s="555"/>
      <c r="BN581" s="555"/>
      <c r="BO581" s="555"/>
    </row>
    <row r="582" spans="3:67">
      <c r="C582" s="394"/>
      <c r="D582" s="394"/>
      <c r="E582" s="394"/>
      <c r="F582" s="394"/>
      <c r="G582" s="394"/>
      <c r="H582" s="394"/>
      <c r="I582" s="394"/>
      <c r="J582" s="394"/>
      <c r="K582" s="394"/>
      <c r="L582" s="394"/>
      <c r="M582" s="394"/>
      <c r="N582" s="394"/>
      <c r="O582" s="394"/>
      <c r="P582" s="394"/>
      <c r="Q582" s="394"/>
      <c r="R582" s="394"/>
      <c r="S582" s="394"/>
      <c r="T582" s="394"/>
      <c r="U582" s="394"/>
      <c r="V582" s="394"/>
      <c r="W582" s="394"/>
      <c r="X582" s="394"/>
      <c r="Y582" s="394"/>
      <c r="Z582" s="394"/>
      <c r="AA582" s="394"/>
      <c r="AB582" s="394"/>
      <c r="AC582" s="394"/>
      <c r="AD582" s="394"/>
      <c r="AE582" s="394"/>
      <c r="AF582" s="394"/>
      <c r="AG582" s="394"/>
      <c r="AH582" s="394"/>
      <c r="AI582" s="394"/>
      <c r="AJ582" s="394"/>
      <c r="AK582" s="394"/>
      <c r="AL582" s="394"/>
      <c r="AM582" s="394"/>
      <c r="AN582" s="394"/>
      <c r="AO582" s="394"/>
      <c r="AP582" s="394"/>
      <c r="AQ582" s="394"/>
      <c r="AR582" s="394"/>
      <c r="AS582" s="394"/>
      <c r="AT582" s="394"/>
      <c r="AU582" s="394"/>
      <c r="AV582" s="394"/>
      <c r="AW582" s="394"/>
      <c r="AX582" s="394"/>
      <c r="AY582" s="394"/>
      <c r="AZ582" s="394"/>
      <c r="BA582" s="394"/>
      <c r="BB582" s="394"/>
      <c r="BC582" s="394"/>
      <c r="BD582" s="394"/>
      <c r="BE582" s="394"/>
      <c r="BF582" s="394"/>
      <c r="BG582" s="394"/>
      <c r="BH582" s="394"/>
      <c r="BI582" s="394"/>
      <c r="BJ582" s="394"/>
      <c r="BK582" s="394"/>
      <c r="BL582" s="394"/>
      <c r="BM582" s="394"/>
      <c r="BN582" s="394"/>
      <c r="BO582" s="394"/>
    </row>
    <row r="583" spans="3:67">
      <c r="C583" s="541"/>
      <c r="D583" s="490"/>
      <c r="E583" s="490"/>
      <c r="F583" s="490"/>
      <c r="G583" s="490"/>
      <c r="H583" s="541"/>
      <c r="I583" s="490"/>
      <c r="J583" s="490"/>
      <c r="K583" s="490"/>
      <c r="L583" s="490"/>
      <c r="M583" s="541"/>
      <c r="N583" s="490"/>
      <c r="O583" s="490"/>
      <c r="P583" s="490"/>
      <c r="Q583" s="490"/>
      <c r="R583" s="541"/>
      <c r="S583" s="490"/>
      <c r="T583" s="490"/>
      <c r="U583" s="490"/>
      <c r="V583" s="490"/>
      <c r="W583" s="541"/>
      <c r="X583" s="490"/>
      <c r="Y583" s="490"/>
      <c r="Z583" s="490"/>
      <c r="AA583" s="490"/>
      <c r="AB583" s="541"/>
      <c r="AC583" s="490"/>
      <c r="AD583" s="490"/>
      <c r="AE583" s="490"/>
      <c r="AF583" s="490"/>
      <c r="AG583" s="541"/>
      <c r="AH583" s="490"/>
      <c r="AI583" s="490"/>
      <c r="AJ583" s="490"/>
      <c r="AK583" s="490"/>
      <c r="AL583" s="541"/>
      <c r="AM583" s="490"/>
      <c r="AN583" s="490"/>
      <c r="AO583" s="490"/>
      <c r="AP583" s="490"/>
      <c r="AQ583" s="541"/>
      <c r="AR583" s="490"/>
      <c r="AS583" s="490"/>
      <c r="AT583" s="490"/>
      <c r="AU583" s="490"/>
      <c r="AV583" s="541"/>
      <c r="AW583" s="490"/>
      <c r="AX583" s="490"/>
      <c r="AY583" s="490"/>
      <c r="AZ583" s="490"/>
      <c r="BA583" s="541"/>
      <c r="BB583" s="490"/>
      <c r="BC583" s="490"/>
      <c r="BD583" s="490"/>
      <c r="BE583" s="490"/>
      <c r="BF583" s="541"/>
      <c r="BG583" s="490"/>
      <c r="BH583" s="490"/>
      <c r="BI583" s="490"/>
      <c r="BJ583" s="490"/>
      <c r="BK583" s="541"/>
      <c r="BL583" s="490"/>
      <c r="BM583" s="490"/>
      <c r="BN583" s="490"/>
      <c r="BO583" s="490"/>
    </row>
    <row r="584" spans="3:67">
      <c r="C584" s="555"/>
      <c r="D584" s="555"/>
      <c r="E584" s="555"/>
      <c r="F584" s="555"/>
      <c r="G584" s="555"/>
      <c r="H584" s="555"/>
      <c r="I584" s="555"/>
      <c r="J584" s="555"/>
      <c r="K584" s="555"/>
      <c r="L584" s="555"/>
      <c r="M584" s="555"/>
      <c r="N584" s="555"/>
      <c r="O584" s="555"/>
      <c r="P584" s="555"/>
      <c r="Q584" s="555"/>
      <c r="R584" s="555"/>
      <c r="S584" s="555"/>
      <c r="T584" s="555"/>
      <c r="U584" s="555"/>
      <c r="V584" s="555"/>
      <c r="W584" s="555"/>
      <c r="X584" s="555"/>
      <c r="Y584" s="555"/>
      <c r="Z584" s="555"/>
      <c r="AA584" s="555"/>
      <c r="AB584" s="555"/>
      <c r="AC584" s="555"/>
      <c r="AD584" s="555"/>
      <c r="AE584" s="555"/>
      <c r="AF584" s="555"/>
      <c r="AG584" s="555"/>
      <c r="AH584" s="555"/>
      <c r="AI584" s="555"/>
      <c r="AJ584" s="555"/>
      <c r="AK584" s="555"/>
      <c r="AL584" s="555"/>
      <c r="AM584" s="555"/>
      <c r="AN584" s="555"/>
      <c r="AO584" s="555"/>
      <c r="AP584" s="555"/>
      <c r="AQ584" s="555"/>
      <c r="AR584" s="555"/>
      <c r="AS584" s="555"/>
      <c r="AT584" s="555"/>
      <c r="AU584" s="555"/>
      <c r="AV584" s="555"/>
      <c r="AW584" s="555"/>
      <c r="AX584" s="555"/>
      <c r="AY584" s="555"/>
      <c r="AZ584" s="555"/>
      <c r="BA584" s="555"/>
      <c r="BB584" s="555"/>
      <c r="BC584" s="555"/>
      <c r="BD584" s="555"/>
      <c r="BE584" s="555"/>
      <c r="BF584" s="555"/>
      <c r="BG584" s="555"/>
      <c r="BH584" s="555"/>
      <c r="BI584" s="555"/>
      <c r="BJ584" s="555"/>
      <c r="BK584" s="555"/>
      <c r="BL584" s="555"/>
      <c r="BM584" s="555"/>
      <c r="BN584" s="555"/>
      <c r="BO584" s="555"/>
    </row>
    <row r="585" spans="3:67">
      <c r="C585" s="394"/>
      <c r="D585" s="394"/>
      <c r="E585" s="394"/>
      <c r="F585" s="394"/>
      <c r="G585" s="394"/>
      <c r="H585" s="394"/>
      <c r="I585" s="394"/>
      <c r="J585" s="394"/>
      <c r="K585" s="394"/>
      <c r="L585" s="394"/>
      <c r="M585" s="394"/>
      <c r="N585" s="394"/>
      <c r="O585" s="394"/>
      <c r="P585" s="394"/>
      <c r="Q585" s="394"/>
      <c r="R585" s="394"/>
      <c r="S585" s="394"/>
      <c r="T585" s="394"/>
      <c r="U585" s="394"/>
      <c r="V585" s="394"/>
      <c r="W585" s="394"/>
      <c r="X585" s="394"/>
      <c r="Y585" s="394"/>
      <c r="Z585" s="394"/>
      <c r="AA585" s="394"/>
      <c r="AB585" s="394"/>
      <c r="AC585" s="394"/>
      <c r="AD585" s="394"/>
      <c r="AE585" s="394"/>
      <c r="AF585" s="394"/>
      <c r="AG585" s="394"/>
      <c r="AH585" s="394"/>
      <c r="AI585" s="394"/>
      <c r="AJ585" s="394"/>
      <c r="AK585" s="394"/>
      <c r="AL585" s="394"/>
      <c r="AM585" s="394"/>
      <c r="AN585" s="394"/>
      <c r="AO585" s="394"/>
      <c r="AP585" s="394"/>
      <c r="AQ585" s="394"/>
      <c r="AR585" s="394"/>
      <c r="AS585" s="394"/>
      <c r="AT585" s="394"/>
      <c r="AU585" s="394"/>
      <c r="AV585" s="394"/>
      <c r="AW585" s="394"/>
      <c r="AX585" s="394"/>
      <c r="AY585" s="394"/>
      <c r="AZ585" s="394"/>
      <c r="BA585" s="394"/>
      <c r="BB585" s="394"/>
      <c r="BC585" s="394"/>
      <c r="BD585" s="394"/>
      <c r="BE585" s="394"/>
      <c r="BF585" s="394"/>
      <c r="BG585" s="394"/>
      <c r="BH585" s="394"/>
      <c r="BI585" s="394"/>
      <c r="BJ585" s="394"/>
      <c r="BK585" s="394"/>
      <c r="BL585" s="394"/>
      <c r="BM585" s="394"/>
      <c r="BN585" s="394"/>
      <c r="BO585" s="394"/>
    </row>
    <row r="586" spans="3:67">
      <c r="C586" s="394"/>
      <c r="D586" s="394"/>
      <c r="E586" s="394"/>
      <c r="F586" s="394"/>
      <c r="G586" s="394"/>
      <c r="H586" s="394"/>
      <c r="I586" s="394"/>
      <c r="J586" s="394"/>
      <c r="K586" s="394"/>
      <c r="L586" s="394"/>
      <c r="M586" s="394"/>
      <c r="N586" s="394"/>
      <c r="O586" s="394"/>
      <c r="P586" s="394"/>
      <c r="Q586" s="394"/>
      <c r="R586" s="394"/>
      <c r="S586" s="394"/>
      <c r="T586" s="394"/>
      <c r="U586" s="394"/>
      <c r="V586" s="394"/>
      <c r="W586" s="394"/>
      <c r="X586" s="394"/>
      <c r="Y586" s="394"/>
      <c r="Z586" s="394"/>
      <c r="AA586" s="394"/>
      <c r="AB586" s="394"/>
      <c r="AC586" s="394"/>
      <c r="AD586" s="394"/>
      <c r="AE586" s="394"/>
      <c r="AF586" s="394"/>
      <c r="AG586" s="394"/>
      <c r="AH586" s="394"/>
      <c r="AI586" s="394"/>
      <c r="AJ586" s="394"/>
      <c r="AK586" s="394"/>
      <c r="AL586" s="394"/>
      <c r="AM586" s="394"/>
      <c r="AN586" s="394"/>
      <c r="AO586" s="394"/>
      <c r="AP586" s="394"/>
      <c r="AQ586" s="394"/>
      <c r="AR586" s="394"/>
      <c r="AS586" s="394"/>
      <c r="AT586" s="394"/>
      <c r="AU586" s="394"/>
      <c r="AV586" s="394"/>
      <c r="AW586" s="394"/>
      <c r="AX586" s="394"/>
      <c r="AY586" s="394"/>
      <c r="AZ586" s="394"/>
      <c r="BA586" s="394"/>
      <c r="BB586" s="394"/>
      <c r="BC586" s="394"/>
      <c r="BD586" s="394"/>
      <c r="BE586" s="394"/>
      <c r="BF586" s="394"/>
      <c r="BG586" s="394"/>
      <c r="BH586" s="394"/>
      <c r="BI586" s="394"/>
      <c r="BJ586" s="394"/>
      <c r="BK586" s="394"/>
      <c r="BL586" s="394"/>
      <c r="BM586" s="394"/>
      <c r="BN586" s="394"/>
      <c r="BO586" s="394"/>
    </row>
    <row r="587" spans="3:67">
      <c r="C587" s="499"/>
      <c r="D587" s="499"/>
      <c r="E587" s="499"/>
      <c r="F587" s="499"/>
      <c r="G587" s="499"/>
      <c r="H587" s="499"/>
      <c r="I587" s="499"/>
      <c r="J587" s="499"/>
      <c r="K587" s="499"/>
      <c r="L587" s="499"/>
      <c r="M587" s="499"/>
      <c r="N587" s="499"/>
      <c r="O587" s="499"/>
      <c r="P587" s="499"/>
      <c r="Q587" s="499"/>
      <c r="R587" s="499"/>
      <c r="S587" s="499"/>
      <c r="T587" s="499"/>
      <c r="U587" s="499"/>
      <c r="V587" s="499"/>
      <c r="W587" s="499"/>
      <c r="X587" s="499"/>
      <c r="Y587" s="499"/>
      <c r="Z587" s="499"/>
      <c r="AA587" s="499"/>
      <c r="AB587" s="499"/>
      <c r="AC587" s="499"/>
      <c r="AD587" s="499"/>
      <c r="AE587" s="499"/>
      <c r="AF587" s="499"/>
      <c r="AG587" s="499"/>
      <c r="AH587" s="499"/>
      <c r="AI587" s="499"/>
      <c r="AJ587" s="499"/>
      <c r="AK587" s="499"/>
      <c r="AL587" s="499"/>
      <c r="AM587" s="499"/>
      <c r="AN587" s="499"/>
      <c r="AO587" s="499"/>
      <c r="AP587" s="499"/>
      <c r="AQ587" s="499"/>
      <c r="AR587" s="499"/>
      <c r="AS587" s="499"/>
      <c r="AT587" s="499"/>
      <c r="AU587" s="499"/>
      <c r="AV587" s="499"/>
      <c r="AW587" s="499"/>
      <c r="AX587" s="499"/>
      <c r="AY587" s="499"/>
      <c r="AZ587" s="499"/>
      <c r="BA587" s="499"/>
      <c r="BB587" s="499"/>
      <c r="BC587" s="499"/>
      <c r="BD587" s="499"/>
      <c r="BE587" s="499"/>
      <c r="BF587" s="499"/>
      <c r="BG587" s="499"/>
      <c r="BH587" s="499"/>
      <c r="BI587" s="499"/>
      <c r="BJ587" s="499"/>
      <c r="BK587" s="499"/>
      <c r="BL587" s="499"/>
      <c r="BM587" s="499"/>
      <c r="BN587" s="499"/>
      <c r="BO587" s="499"/>
    </row>
    <row r="588" spans="3:67">
      <c r="C588" s="394"/>
      <c r="D588" s="394"/>
      <c r="E588" s="394"/>
      <c r="F588" s="394"/>
      <c r="G588" s="394"/>
      <c r="H588" s="394"/>
      <c r="I588" s="394"/>
      <c r="J588" s="394"/>
      <c r="K588" s="394"/>
      <c r="L588" s="394"/>
      <c r="M588" s="394"/>
      <c r="N588" s="394"/>
      <c r="O588" s="394"/>
      <c r="P588" s="394"/>
      <c r="Q588" s="394"/>
      <c r="R588" s="394"/>
      <c r="S588" s="394"/>
      <c r="T588" s="394"/>
      <c r="U588" s="394"/>
      <c r="V588" s="394"/>
      <c r="W588" s="394"/>
      <c r="X588" s="394"/>
      <c r="Y588" s="394"/>
      <c r="Z588" s="394"/>
      <c r="AA588" s="394"/>
      <c r="AB588" s="394"/>
      <c r="AC588" s="394"/>
      <c r="AD588" s="394"/>
      <c r="AE588" s="394"/>
      <c r="AF588" s="394"/>
      <c r="AG588" s="394"/>
      <c r="AH588" s="394"/>
      <c r="AI588" s="394"/>
      <c r="AJ588" s="394"/>
      <c r="AK588" s="394"/>
      <c r="AL588" s="394"/>
      <c r="AM588" s="394"/>
      <c r="AN588" s="394"/>
      <c r="AO588" s="394"/>
      <c r="AP588" s="394"/>
      <c r="AQ588" s="394"/>
      <c r="AR588" s="394"/>
      <c r="AS588" s="394"/>
      <c r="AT588" s="394"/>
      <c r="AU588" s="394"/>
      <c r="AV588" s="394"/>
      <c r="AW588" s="394"/>
      <c r="AX588" s="394"/>
      <c r="AY588" s="394"/>
      <c r="AZ588" s="394"/>
      <c r="BA588" s="394"/>
      <c r="BB588" s="394"/>
      <c r="BC588" s="394"/>
      <c r="BD588" s="394"/>
      <c r="BE588" s="394"/>
      <c r="BF588" s="394"/>
      <c r="BG588" s="394"/>
      <c r="BH588" s="394"/>
      <c r="BI588" s="394"/>
      <c r="BJ588" s="394"/>
      <c r="BK588" s="394"/>
      <c r="BL588" s="394"/>
      <c r="BM588" s="394"/>
      <c r="BN588" s="394"/>
      <c r="BO588" s="394"/>
    </row>
    <row r="589" spans="3:67">
      <c r="C589" s="394"/>
      <c r="D589" s="394"/>
      <c r="E589" s="394"/>
      <c r="F589" s="394"/>
      <c r="G589" s="394"/>
      <c r="H589" s="394"/>
      <c r="I589" s="394"/>
      <c r="J589" s="394"/>
      <c r="K589" s="394"/>
      <c r="L589" s="394"/>
      <c r="M589" s="394"/>
      <c r="N589" s="394"/>
      <c r="O589" s="394"/>
      <c r="P589" s="394"/>
      <c r="Q589" s="394"/>
      <c r="R589" s="394"/>
      <c r="S589" s="394"/>
      <c r="T589" s="394"/>
      <c r="U589" s="394"/>
      <c r="V589" s="394"/>
      <c r="W589" s="394"/>
      <c r="X589" s="394"/>
      <c r="Y589" s="394"/>
      <c r="Z589" s="394"/>
      <c r="AA589" s="394"/>
      <c r="AB589" s="394"/>
      <c r="AC589" s="394"/>
      <c r="AD589" s="394"/>
      <c r="AE589" s="394"/>
      <c r="AF589" s="394"/>
      <c r="AG589" s="394"/>
      <c r="AH589" s="394"/>
      <c r="AI589" s="394"/>
      <c r="AJ589" s="394"/>
      <c r="AK589" s="394"/>
      <c r="AL589" s="394"/>
      <c r="AM589" s="394"/>
      <c r="AN589" s="394"/>
      <c r="AO589" s="394"/>
      <c r="AP589" s="394"/>
      <c r="AQ589" s="394"/>
      <c r="AR589" s="394"/>
      <c r="AS589" s="394"/>
      <c r="AT589" s="394"/>
      <c r="AU589" s="394"/>
      <c r="AV589" s="394"/>
      <c r="AW589" s="394"/>
      <c r="AX589" s="394"/>
      <c r="AY589" s="394"/>
      <c r="AZ589" s="394"/>
      <c r="BA589" s="394"/>
      <c r="BB589" s="394"/>
      <c r="BC589" s="394"/>
      <c r="BD589" s="394"/>
      <c r="BE589" s="394"/>
      <c r="BF589" s="394"/>
      <c r="BG589" s="394"/>
      <c r="BH589" s="394"/>
      <c r="BI589" s="394"/>
      <c r="BJ589" s="394"/>
      <c r="BK589" s="394"/>
      <c r="BL589" s="394"/>
      <c r="BM589" s="394"/>
      <c r="BN589" s="394"/>
      <c r="BO589" s="394"/>
    </row>
    <row r="590" spans="3:67">
      <c r="C590" s="541"/>
      <c r="D590" s="490"/>
      <c r="E590" s="490"/>
      <c r="F590" s="490"/>
      <c r="G590" s="490"/>
      <c r="H590" s="541"/>
      <c r="I590" s="490"/>
      <c r="J590" s="490"/>
      <c r="K590" s="490"/>
      <c r="L590" s="490"/>
      <c r="M590" s="541"/>
      <c r="N590" s="490"/>
      <c r="O590" s="490"/>
      <c r="P590" s="490"/>
      <c r="Q590" s="490"/>
      <c r="R590" s="541"/>
      <c r="S590" s="490"/>
      <c r="T590" s="490"/>
      <c r="U590" s="490"/>
      <c r="V590" s="490"/>
      <c r="W590" s="541"/>
      <c r="X590" s="490"/>
      <c r="Y590" s="490"/>
      <c r="Z590" s="490"/>
      <c r="AA590" s="490"/>
      <c r="AB590" s="541"/>
      <c r="AC590" s="490"/>
      <c r="AD590" s="490"/>
      <c r="AE590" s="490"/>
      <c r="AF590" s="490"/>
      <c r="AG590" s="541"/>
      <c r="AH590" s="490"/>
      <c r="AI590" s="490"/>
      <c r="AJ590" s="490"/>
      <c r="AK590" s="490"/>
      <c r="AL590" s="541"/>
      <c r="AM590" s="490"/>
      <c r="AN590" s="490"/>
      <c r="AO590" s="490"/>
      <c r="AP590" s="490"/>
      <c r="AQ590" s="541"/>
      <c r="AR590" s="490"/>
      <c r="AS590" s="490"/>
      <c r="AT590" s="490"/>
      <c r="AU590" s="490"/>
      <c r="AV590" s="541"/>
      <c r="AW590" s="490"/>
      <c r="AX590" s="490"/>
      <c r="AY590" s="490"/>
      <c r="AZ590" s="490"/>
      <c r="BA590" s="541"/>
      <c r="BB590" s="490"/>
      <c r="BC590" s="490"/>
      <c r="BD590" s="490"/>
      <c r="BE590" s="490"/>
      <c r="BF590" s="541"/>
      <c r="BG590" s="490"/>
      <c r="BH590" s="490"/>
      <c r="BI590" s="490"/>
      <c r="BJ590" s="490"/>
      <c r="BK590" s="541"/>
      <c r="BL590" s="490"/>
      <c r="BM590" s="490"/>
      <c r="BN590" s="490"/>
      <c r="BO590" s="490"/>
    </row>
  </sheetData>
  <pageMargins left="0.7" right="0.7" top="0.75" bottom="0.75" header="0.3" footer="0.3"/>
  <pageSetup paperSize="0" orientation="portrait" r:id="rId1"/>
  <customProperties>
    <customPr name="Qube.Worksheet.Visibility" r:id="rId2"/>
    <customPr name="QXL_SHEET_ID" r:id="rId3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430E-CC21-4938-B96E-82D1C8662752}">
  <sheetPr>
    <tabColor theme="4"/>
  </sheetPr>
  <dimension ref="A1:WZE561"/>
  <sheetViews>
    <sheetView showGridLines="0" zoomScaleNormal="100" workbookViewId="0">
      <pane xSplit="2" ySplit="8" topLeftCell="AQ9" activePane="bottomRight" state="frozen"/>
      <selection activeCell="A90" sqref="A90"/>
      <selection pane="topRight" activeCell="A90" sqref="A90"/>
      <selection pane="bottomLeft" activeCell="A90" sqref="A90"/>
      <selection pane="bottomRight"/>
    </sheetView>
  </sheetViews>
  <sheetFormatPr defaultColWidth="9.140625" defaultRowHeight="12.75" outlineLevelRow="2" outlineLevelCol="1"/>
  <cols>
    <col min="1" max="1" width="3.7109375" style="107" customWidth="1"/>
    <col min="2" max="2" width="79" style="983" bestFit="1" customWidth="1"/>
    <col min="3" max="3" width="9.140625" style="362" hidden="1" customWidth="1" outlineLevel="1"/>
    <col min="4" max="6" width="9.140625" style="466" hidden="1" customWidth="1" outlineLevel="1"/>
    <col min="7" max="7" width="10.7109375" style="466" customWidth="1" collapsed="1"/>
    <col min="8" max="8" width="10.7109375" style="362" hidden="1" customWidth="1" outlineLevel="1"/>
    <col min="9" max="11" width="10.7109375" style="466" hidden="1" customWidth="1" outlineLevel="1"/>
    <col min="12" max="12" width="10.7109375" style="466" customWidth="1" collapsed="1"/>
    <col min="13" max="13" width="10.7109375" style="362" hidden="1" customWidth="1" outlineLevel="1"/>
    <col min="14" max="16" width="10.7109375" style="466" hidden="1" customWidth="1" outlineLevel="1"/>
    <col min="17" max="17" width="10.7109375" style="466" customWidth="1" collapsed="1"/>
    <col min="18" max="18" width="10.7109375" style="362" hidden="1" customWidth="1" outlineLevel="1"/>
    <col min="19" max="21" width="10.7109375" style="466" hidden="1" customWidth="1" outlineLevel="1"/>
    <col min="22" max="22" width="10.7109375" style="466" customWidth="1" collapsed="1"/>
    <col min="23" max="23" width="10.7109375" style="362" hidden="1" customWidth="1" outlineLevel="1"/>
    <col min="24" max="26" width="10.7109375" style="466" hidden="1" customWidth="1" outlineLevel="1"/>
    <col min="27" max="27" width="10.7109375" style="466" customWidth="1" collapsed="1"/>
    <col min="28" max="28" width="10.7109375" style="362" hidden="1" customWidth="1" outlineLevel="1"/>
    <col min="29" max="31" width="10.7109375" style="466" hidden="1" customWidth="1" outlineLevel="1"/>
    <col min="32" max="32" width="10.7109375" style="466" customWidth="1" collapsed="1"/>
    <col min="33" max="33" width="10.7109375" style="362" hidden="1" customWidth="1" outlineLevel="1"/>
    <col min="34" max="36" width="10.7109375" style="466" hidden="1" customWidth="1" outlineLevel="1"/>
    <col min="37" max="37" width="10.7109375" style="466" customWidth="1" collapsed="1"/>
    <col min="38" max="38" width="10.7109375" style="362" hidden="1" customWidth="1" outlineLevel="1"/>
    <col min="39" max="41" width="10.7109375" style="466" hidden="1" customWidth="1" outlineLevel="1"/>
    <col min="42" max="42" width="10.7109375" style="466" customWidth="1" collapsed="1"/>
    <col min="43" max="43" width="10.7109375" style="362" customWidth="1" outlineLevel="1"/>
    <col min="44" max="46" width="10.7109375" style="466" customWidth="1" outlineLevel="1"/>
    <col min="47" max="47" width="10.7109375" style="466" customWidth="1"/>
    <col min="48" max="48" width="10.7109375" style="362" customWidth="1" outlineLevel="1"/>
    <col min="49" max="51" width="10.7109375" style="466" customWidth="1" outlineLevel="1"/>
    <col min="52" max="52" width="10.7109375" style="466" customWidth="1"/>
    <col min="53" max="53" width="10.7109375" style="362" customWidth="1" outlineLevel="1"/>
    <col min="54" max="56" width="10.7109375" style="466" customWidth="1" outlineLevel="1"/>
    <col min="57" max="57" width="10.7109375" style="466" customWidth="1"/>
    <col min="58" max="58" width="10.7109375" style="362" hidden="1" customWidth="1" outlineLevel="1"/>
    <col min="59" max="61" width="10.7109375" style="466" hidden="1" customWidth="1" outlineLevel="1"/>
    <col min="62" max="62" width="10.7109375" style="466" customWidth="1" collapsed="1"/>
    <col min="63" max="63" width="10.7109375" style="362" hidden="1" customWidth="1" outlineLevel="1"/>
    <col min="64" max="66" width="10.7109375" style="466" hidden="1" customWidth="1" outlineLevel="1"/>
    <col min="67" max="67" width="10.7109375" style="466" customWidth="1" collapsed="1"/>
    <col min="68" max="16384" width="9.140625" style="58"/>
  </cols>
  <sheetData>
    <row r="1" spans="1:67">
      <c r="D1" s="363"/>
      <c r="E1" s="363"/>
      <c r="F1" s="363"/>
      <c r="G1" s="363"/>
      <c r="I1" s="363"/>
      <c r="J1" s="363"/>
      <c r="K1" s="363"/>
      <c r="L1" s="363"/>
      <c r="N1" s="363"/>
      <c r="O1" s="363"/>
      <c r="P1" s="363"/>
      <c r="Q1" s="363"/>
      <c r="S1" s="363"/>
      <c r="T1" s="363"/>
      <c r="U1" s="363"/>
      <c r="V1" s="363"/>
      <c r="X1" s="363"/>
      <c r="Y1" s="363"/>
      <c r="Z1" s="363"/>
      <c r="AA1" s="363"/>
      <c r="AC1" s="363"/>
      <c r="AD1" s="363"/>
      <c r="AE1" s="363"/>
      <c r="AF1" s="363"/>
      <c r="AH1" s="363"/>
      <c r="AI1" s="363"/>
      <c r="AJ1" s="363"/>
      <c r="AK1" s="363"/>
      <c r="AM1" s="363"/>
      <c r="AN1" s="363"/>
      <c r="AO1" s="363"/>
      <c r="AP1" s="363"/>
      <c r="AR1" s="363"/>
      <c r="AS1" s="363"/>
      <c r="AT1" s="363"/>
      <c r="AU1" s="363"/>
      <c r="AW1" s="363"/>
      <c r="AX1" s="363"/>
      <c r="AY1" s="363"/>
      <c r="AZ1" s="363"/>
      <c r="BB1" s="363"/>
      <c r="BC1" s="363"/>
      <c r="BD1" s="363"/>
      <c r="BE1" s="363"/>
      <c r="BG1" s="363"/>
      <c r="BH1" s="363"/>
      <c r="BI1" s="363"/>
      <c r="BJ1" s="363"/>
      <c r="BL1" s="363"/>
      <c r="BM1" s="363"/>
      <c r="BN1" s="363"/>
      <c r="BO1" s="363"/>
    </row>
    <row r="2" spans="1:67">
      <c r="B2" s="986" t="s">
        <v>29</v>
      </c>
      <c r="D2" s="363"/>
      <c r="E2" s="363"/>
      <c r="F2" s="363"/>
      <c r="G2" s="363"/>
      <c r="I2" s="363"/>
      <c r="J2" s="363"/>
      <c r="K2" s="363"/>
      <c r="L2" s="363"/>
      <c r="N2" s="363"/>
      <c r="O2" s="363"/>
      <c r="P2" s="363"/>
      <c r="Q2" s="363"/>
      <c r="S2" s="363"/>
      <c r="T2" s="363"/>
      <c r="U2" s="363"/>
      <c r="V2" s="363"/>
      <c r="X2" s="363"/>
      <c r="Y2" s="363"/>
      <c r="Z2" s="363"/>
      <c r="AA2" s="363"/>
      <c r="AC2" s="363"/>
      <c r="AD2" s="363"/>
      <c r="AE2" s="363"/>
      <c r="AF2" s="363"/>
      <c r="AH2" s="363"/>
      <c r="AI2" s="363"/>
      <c r="AJ2" s="363"/>
      <c r="AK2" s="363"/>
      <c r="AM2" s="363"/>
      <c r="AN2" s="363"/>
      <c r="AO2" s="363"/>
      <c r="AP2" s="363"/>
      <c r="AR2" s="363"/>
      <c r="AS2" s="363"/>
      <c r="AT2" s="363"/>
      <c r="AU2" s="363"/>
      <c r="AW2" s="363"/>
      <c r="AX2" s="363"/>
      <c r="AY2" s="363"/>
      <c r="AZ2" s="363"/>
      <c r="BB2" s="363"/>
      <c r="BC2" s="363"/>
      <c r="BD2" s="363"/>
      <c r="BE2" s="363"/>
      <c r="BG2" s="363"/>
      <c r="BH2" s="363"/>
      <c r="BI2" s="363"/>
      <c r="BJ2" s="363"/>
      <c r="BL2" s="363"/>
      <c r="BM2" s="363"/>
      <c r="BN2" s="363"/>
      <c r="BO2" s="363"/>
    </row>
    <row r="3" spans="1:67">
      <c r="B3" s="986" t="s">
        <v>30</v>
      </c>
      <c r="D3" s="363"/>
      <c r="E3" s="363"/>
      <c r="F3" s="363"/>
      <c r="G3" s="363"/>
      <c r="I3" s="363"/>
      <c r="J3" s="363"/>
      <c r="K3" s="363"/>
      <c r="L3" s="363"/>
      <c r="N3" s="363"/>
      <c r="O3" s="363"/>
      <c r="P3" s="363"/>
      <c r="Q3" s="363"/>
      <c r="S3" s="363"/>
      <c r="T3" s="363"/>
      <c r="U3" s="363"/>
      <c r="V3" s="363"/>
      <c r="X3" s="363"/>
      <c r="Y3" s="363"/>
      <c r="Z3" s="363"/>
      <c r="AA3" s="363"/>
      <c r="AC3" s="362"/>
      <c r="AD3" s="362"/>
      <c r="AE3" s="362"/>
      <c r="AF3" s="363"/>
      <c r="AH3" s="362"/>
      <c r="AI3" s="362"/>
      <c r="AJ3" s="362"/>
      <c r="AK3" s="363"/>
      <c r="AM3" s="362"/>
      <c r="AN3" s="362"/>
      <c r="AO3" s="362"/>
      <c r="AP3" s="363"/>
      <c r="AR3" s="362"/>
      <c r="AS3" s="362"/>
      <c r="AT3" s="362"/>
      <c r="AU3" s="363"/>
      <c r="AW3" s="362"/>
      <c r="AX3" s="362"/>
      <c r="AY3" s="362"/>
      <c r="AZ3" s="363"/>
      <c r="BB3" s="362"/>
      <c r="BC3" s="362"/>
      <c r="BD3" s="362"/>
      <c r="BE3" s="363"/>
      <c r="BG3" s="362"/>
      <c r="BH3" s="362"/>
      <c r="BI3" s="362"/>
      <c r="BJ3" s="363"/>
      <c r="BL3" s="362"/>
      <c r="BM3" s="362"/>
      <c r="BN3" s="362"/>
      <c r="BO3" s="363"/>
    </row>
    <row r="4" spans="1:67">
      <c r="B4" s="986" t="s">
        <v>28</v>
      </c>
      <c r="D4" s="363"/>
      <c r="E4" s="363"/>
      <c r="F4" s="363"/>
      <c r="G4" s="363"/>
      <c r="I4" s="363"/>
      <c r="J4" s="363"/>
      <c r="K4" s="363"/>
      <c r="L4" s="363"/>
      <c r="N4" s="363"/>
      <c r="O4" s="363"/>
      <c r="P4" s="363"/>
      <c r="Q4" s="363"/>
      <c r="S4" s="363"/>
      <c r="T4" s="363"/>
      <c r="U4" s="363"/>
      <c r="V4" s="363"/>
      <c r="X4" s="363"/>
      <c r="Y4" s="363"/>
      <c r="Z4" s="363"/>
      <c r="AA4" s="363"/>
      <c r="AB4" s="469"/>
      <c r="AC4" s="363"/>
      <c r="AD4" s="363"/>
      <c r="AE4" s="363"/>
      <c r="AF4" s="364"/>
      <c r="AG4" s="823"/>
      <c r="AH4" s="823"/>
      <c r="AI4" s="823"/>
      <c r="AJ4" s="823"/>
      <c r="AK4" s="364"/>
      <c r="AL4" s="823"/>
      <c r="AM4" s="823"/>
      <c r="AN4" s="823"/>
      <c r="AO4" s="823"/>
      <c r="AP4" s="823"/>
      <c r="AQ4" s="823"/>
      <c r="AR4" s="823"/>
      <c r="AS4" s="823"/>
      <c r="AT4" s="823"/>
      <c r="AU4" s="364"/>
      <c r="AV4" s="469"/>
      <c r="AW4" s="363"/>
      <c r="AX4" s="363"/>
      <c r="AY4" s="363"/>
      <c r="AZ4" s="364"/>
      <c r="BA4" s="469"/>
      <c r="BB4" s="363"/>
      <c r="BC4" s="363"/>
      <c r="BD4" s="363"/>
      <c r="BE4" s="364"/>
      <c r="BF4" s="469"/>
      <c r="BG4" s="363"/>
      <c r="BH4" s="363"/>
      <c r="BI4" s="363"/>
      <c r="BJ4" s="364"/>
      <c r="BK4" s="469"/>
      <c r="BL4" s="363"/>
      <c r="BM4" s="363"/>
      <c r="BN4" s="363"/>
      <c r="BO4" s="364"/>
    </row>
    <row r="5" spans="1:67">
      <c r="C5" s="556"/>
      <c r="D5" s="557"/>
      <c r="E5" s="557"/>
      <c r="F5" s="557"/>
      <c r="G5" s="557"/>
      <c r="H5" s="556"/>
      <c r="I5" s="557"/>
      <c r="J5" s="557"/>
      <c r="K5" s="365"/>
      <c r="L5" s="363"/>
      <c r="M5" s="556"/>
      <c r="N5" s="557"/>
      <c r="O5" s="557"/>
      <c r="P5" s="365"/>
      <c r="Q5" s="363"/>
      <c r="R5" s="556"/>
      <c r="S5" s="557"/>
      <c r="T5" s="557"/>
      <c r="U5" s="363"/>
      <c r="V5" s="363"/>
      <c r="X5" s="363"/>
      <c r="Y5" s="363"/>
      <c r="Z5" s="363"/>
      <c r="AA5" s="363"/>
      <c r="AC5" s="363"/>
      <c r="AD5" s="363"/>
      <c r="AE5" s="363"/>
      <c r="AF5" s="363"/>
      <c r="AH5" s="363"/>
      <c r="AI5" s="363"/>
      <c r="AJ5" s="363"/>
      <c r="AK5" s="363"/>
      <c r="AM5" s="363"/>
      <c r="AN5" s="363"/>
      <c r="AO5" s="363"/>
      <c r="AP5" s="363"/>
      <c r="AR5" s="363"/>
      <c r="AS5" s="363"/>
      <c r="AT5" s="363"/>
      <c r="AU5" s="363"/>
      <c r="AW5" s="363"/>
      <c r="AX5" s="363"/>
      <c r="AY5" s="363"/>
      <c r="AZ5" s="363"/>
      <c r="BB5" s="363"/>
      <c r="BC5" s="363"/>
      <c r="BD5" s="363"/>
      <c r="BE5" s="363"/>
      <c r="BG5" s="363"/>
      <c r="BH5" s="363"/>
      <c r="BI5" s="363"/>
      <c r="BJ5" s="363"/>
      <c r="BL5" s="363"/>
      <c r="BM5" s="363"/>
      <c r="BN5" s="363"/>
      <c r="BO5" s="363"/>
    </row>
    <row r="6" spans="1:67" ht="15">
      <c r="C6" s="60" t="str">
        <f>Dates!M3</f>
        <v>2018 (A)</v>
      </c>
      <c r="D6" s="60"/>
      <c r="E6" s="60"/>
      <c r="F6" s="60"/>
      <c r="G6" s="58"/>
      <c r="H6" s="60" t="str">
        <f>Dates!R3</f>
        <v>2019 (A)</v>
      </c>
      <c r="I6" s="60"/>
      <c r="J6" s="60"/>
      <c r="K6" s="60"/>
      <c r="L6" s="58"/>
      <c r="M6" s="60" t="str">
        <f>Dates!W3</f>
        <v>2020 (A)</v>
      </c>
      <c r="N6" s="60"/>
      <c r="O6" s="60"/>
      <c r="P6" s="60"/>
      <c r="Q6" s="58"/>
      <c r="R6" s="60" t="str">
        <f>Dates!AB3</f>
        <v>2021 (A)</v>
      </c>
      <c r="S6" s="60"/>
      <c r="T6" s="60"/>
      <c r="U6" s="60"/>
      <c r="V6" s="58"/>
      <c r="W6" s="60" t="str">
        <f>Dates!AG3</f>
        <v>2022 (A)</v>
      </c>
      <c r="X6" s="60"/>
      <c r="Y6" s="60"/>
      <c r="Z6" s="60"/>
      <c r="AA6" s="58"/>
      <c r="AB6" s="60" t="str">
        <f>Dates!AL3</f>
        <v>2023 (A)</v>
      </c>
      <c r="AC6" s="60"/>
      <c r="AD6" s="60"/>
      <c r="AE6" s="60"/>
      <c r="AF6" s="58"/>
      <c r="AG6" s="60" t="str">
        <f>Dates!AQ3</f>
        <v>2024 (A)</v>
      </c>
      <c r="AH6" s="60"/>
      <c r="AI6" s="60"/>
      <c r="AJ6" s="60"/>
      <c r="AK6" s="58"/>
      <c r="AL6" s="60" t="str">
        <f>Dates!AV3</f>
        <v>2025 (A)</v>
      </c>
      <c r="AM6" s="60"/>
      <c r="AN6" s="60"/>
      <c r="AO6" s="60"/>
      <c r="AP6" s="58"/>
      <c r="AQ6" s="60" t="str">
        <f>Dates!BA3</f>
        <v>2026 (E)</v>
      </c>
      <c r="AR6" s="60"/>
      <c r="AS6" s="60"/>
      <c r="AT6" s="60"/>
      <c r="AU6" s="58"/>
      <c r="AV6" s="60" t="str">
        <f>Dates!BF3</f>
        <v>2027 (E)</v>
      </c>
      <c r="AW6" s="60"/>
      <c r="AX6" s="60"/>
      <c r="AY6" s="60"/>
      <c r="AZ6" s="58"/>
      <c r="BA6" s="60" t="str">
        <f>Dates!BK3</f>
        <v>2028 (E)</v>
      </c>
      <c r="BB6" s="60"/>
      <c r="BC6" s="60"/>
      <c r="BD6" s="60"/>
      <c r="BE6" s="58"/>
      <c r="BF6" s="60" t="str">
        <f>Dates!BP3</f>
        <v>2029 (E)</v>
      </c>
      <c r="BG6" s="60"/>
      <c r="BH6" s="60"/>
      <c r="BI6" s="60"/>
      <c r="BJ6" s="58"/>
      <c r="BK6" s="60" t="str">
        <f>Dates!BU3</f>
        <v>2030 (E)</v>
      </c>
      <c r="BL6" s="60"/>
      <c r="BM6" s="60"/>
      <c r="BN6" s="60"/>
      <c r="BO6" s="58"/>
    </row>
    <row r="7" spans="1:67">
      <c r="C7" s="366" t="str">
        <f>Dates!M4</f>
        <v>1Q18 (A)</v>
      </c>
      <c r="D7" s="366" t="str">
        <f>Dates!N4</f>
        <v>2Q18 (A)</v>
      </c>
      <c r="E7" s="366" t="str">
        <f>Dates!O4</f>
        <v>3Q18 (A)</v>
      </c>
      <c r="F7" s="366" t="str">
        <f>Dates!P4</f>
        <v>4Q18 (A)</v>
      </c>
      <c r="G7" s="367" t="str">
        <f>Dates!Q4</f>
        <v>FY18 (A)</v>
      </c>
      <c r="H7" s="366" t="str">
        <f>Dates!R4</f>
        <v>1Q19 (A)</v>
      </c>
      <c r="I7" s="366" t="str">
        <f>Dates!S4</f>
        <v>2Q19 (A)</v>
      </c>
      <c r="J7" s="366" t="str">
        <f>Dates!T4</f>
        <v>3Q19 (A)</v>
      </c>
      <c r="K7" s="366" t="str">
        <f>Dates!U4</f>
        <v>4Q19 (A)</v>
      </c>
      <c r="L7" s="367" t="str">
        <f>Dates!V4</f>
        <v>FY19 (A)</v>
      </c>
      <c r="M7" s="366" t="str">
        <f>Dates!W4</f>
        <v>1Q20 (A)</v>
      </c>
      <c r="N7" s="366" t="str">
        <f>Dates!X4</f>
        <v>2Q20 (A)</v>
      </c>
      <c r="O7" s="366" t="str">
        <f>Dates!Y4</f>
        <v>3Q20 (A)</v>
      </c>
      <c r="P7" s="366" t="str">
        <f>Dates!Z4</f>
        <v>4Q20 (A)</v>
      </c>
      <c r="Q7" s="367" t="str">
        <f>Dates!AA4</f>
        <v>FY20 (A)</v>
      </c>
      <c r="R7" s="366" t="str">
        <f>Dates!AB4</f>
        <v>1Q21 (A)</v>
      </c>
      <c r="S7" s="366" t="str">
        <f>Dates!AC4</f>
        <v>2Q21 (A)</v>
      </c>
      <c r="T7" s="366" t="str">
        <f>Dates!AD4</f>
        <v>3Q21 (A)</v>
      </c>
      <c r="U7" s="366" t="str">
        <f>Dates!AE4</f>
        <v>4Q21 (A)</v>
      </c>
      <c r="V7" s="367" t="str">
        <f>Dates!AF4</f>
        <v>FY21 (A)</v>
      </c>
      <c r="W7" s="366" t="str">
        <f>Dates!AG4</f>
        <v>1Q22 (A)</v>
      </c>
      <c r="X7" s="366" t="str">
        <f>Dates!AH4</f>
        <v>2Q22 (A)</v>
      </c>
      <c r="Y7" s="366" t="str">
        <f>Dates!AI4</f>
        <v>3Q22 (A)</v>
      </c>
      <c r="Z7" s="366" t="str">
        <f>Dates!AJ4</f>
        <v>4Q22 (A)</v>
      </c>
      <c r="AA7" s="367" t="str">
        <f>Dates!AK4</f>
        <v>FY22 (A)</v>
      </c>
      <c r="AB7" s="366" t="str">
        <f>Dates!AL4</f>
        <v>1Q23 (A)</v>
      </c>
      <c r="AC7" s="366" t="str">
        <f>Dates!AM4</f>
        <v>2Q23 (A)</v>
      </c>
      <c r="AD7" s="366" t="str">
        <f>Dates!AN4</f>
        <v>3Q23 (A)</v>
      </c>
      <c r="AE7" s="366" t="str">
        <f>Dates!AO4</f>
        <v>4Q23 (A)</v>
      </c>
      <c r="AF7" s="367" t="str">
        <f>Dates!AP4</f>
        <v>FY23 (A)</v>
      </c>
      <c r="AG7" s="366" t="str">
        <f>Dates!AQ4</f>
        <v>1Q24 (A)</v>
      </c>
      <c r="AH7" s="366" t="str">
        <f>Dates!AR4</f>
        <v>2Q24 (A)</v>
      </c>
      <c r="AI7" s="366" t="str">
        <f>Dates!AS4</f>
        <v>3Q24 (A)</v>
      </c>
      <c r="AJ7" s="366" t="str">
        <f>Dates!AT4</f>
        <v>4Q24 (A)</v>
      </c>
      <c r="AK7" s="367" t="str">
        <f>Dates!AU4</f>
        <v>FY24 (A)</v>
      </c>
      <c r="AL7" s="366" t="str">
        <f>Dates!AV4</f>
        <v>1Q25 (A)</v>
      </c>
      <c r="AM7" s="366" t="str">
        <f>Dates!AW4</f>
        <v>2Q25 (A)</v>
      </c>
      <c r="AN7" s="366" t="str">
        <f>Dates!AX4</f>
        <v>3Q25 (A)</v>
      </c>
      <c r="AO7" s="366" t="str">
        <f>Dates!AY4</f>
        <v>4Q25 (A)</v>
      </c>
      <c r="AP7" s="367" t="str">
        <f>Dates!AZ4</f>
        <v>FY25 (A)</v>
      </c>
      <c r="AQ7" s="366" t="str">
        <f>Dates!BA4</f>
        <v>1Q26 (A)</v>
      </c>
      <c r="AR7" s="366" t="str">
        <f>Dates!BB4</f>
        <v>2Q26 (A)</v>
      </c>
      <c r="AS7" s="366" t="str">
        <f>Dates!BC4</f>
        <v>3Q26 (A)</v>
      </c>
      <c r="AT7" s="366" t="str">
        <f>Dates!BD4</f>
        <v>4Q26 (E)</v>
      </c>
      <c r="AU7" s="367" t="str">
        <f>Dates!BE4</f>
        <v>FY26 (E)</v>
      </c>
      <c r="AV7" s="366" t="str">
        <f>Dates!BF4</f>
        <v>1Q27 (E)</v>
      </c>
      <c r="AW7" s="366" t="str">
        <f>Dates!BG4</f>
        <v>2Q27 (E)</v>
      </c>
      <c r="AX7" s="366" t="str">
        <f>Dates!BH4</f>
        <v>3Q27 (E)</v>
      </c>
      <c r="AY7" s="366" t="str">
        <f>Dates!BI4</f>
        <v>4Q27 (E)</v>
      </c>
      <c r="AZ7" s="367" t="str">
        <f>Dates!BJ4</f>
        <v>FY27 (E)</v>
      </c>
      <c r="BA7" s="366" t="str">
        <f>Dates!BK4</f>
        <v>1Q28 (E)</v>
      </c>
      <c r="BB7" s="366" t="str">
        <f>Dates!BL4</f>
        <v>2Q28 (E)</v>
      </c>
      <c r="BC7" s="366" t="str">
        <f>Dates!BM4</f>
        <v>3Q28 (E)</v>
      </c>
      <c r="BD7" s="366" t="str">
        <f>Dates!BN4</f>
        <v>4Q28 (E)</v>
      </c>
      <c r="BE7" s="367" t="str">
        <f>Dates!BO4</f>
        <v>FY28 (E)</v>
      </c>
      <c r="BF7" s="366" t="str">
        <f>Dates!BP4</f>
        <v>1Q29 (E)</v>
      </c>
      <c r="BG7" s="366" t="str">
        <f>Dates!BQ4</f>
        <v>2Q29 (E)</v>
      </c>
      <c r="BH7" s="366" t="str">
        <f>Dates!BR4</f>
        <v>3Q29 (E)</v>
      </c>
      <c r="BI7" s="366" t="str">
        <f>Dates!BS4</f>
        <v>4Q29 (E)</v>
      </c>
      <c r="BJ7" s="367" t="str">
        <f>Dates!BT4</f>
        <v>FY29 (E)</v>
      </c>
      <c r="BK7" s="366" t="str">
        <f>Dates!BU4</f>
        <v>1Q30 (E)</v>
      </c>
      <c r="BL7" s="366" t="str">
        <f>Dates!BV4</f>
        <v>2Q30 (E)</v>
      </c>
      <c r="BM7" s="366" t="str">
        <f>Dates!BW4</f>
        <v>3Q30 (E)</v>
      </c>
      <c r="BN7" s="366" t="str">
        <f>Dates!BX4</f>
        <v>4Q30 (E)</v>
      </c>
      <c r="BO7" s="367" t="str">
        <f>Dates!BY4</f>
        <v>FY30 (E)</v>
      </c>
    </row>
    <row r="8" spans="1:67">
      <c r="C8" s="368">
        <f>Dates!M5</f>
        <v>42855</v>
      </c>
      <c r="D8" s="368">
        <f>Dates!N5</f>
        <v>42947</v>
      </c>
      <c r="E8" s="368">
        <f>Dates!O5</f>
        <v>43039</v>
      </c>
      <c r="F8" s="368">
        <f>Dates!P5</f>
        <v>43131</v>
      </c>
      <c r="G8" s="369">
        <f>Dates!Q5</f>
        <v>43131</v>
      </c>
      <c r="H8" s="368">
        <f>Dates!R5</f>
        <v>43220</v>
      </c>
      <c r="I8" s="368">
        <f>Dates!S5</f>
        <v>43312</v>
      </c>
      <c r="J8" s="368">
        <f>Dates!T5</f>
        <v>43404</v>
      </c>
      <c r="K8" s="368">
        <f>Dates!U5</f>
        <v>43496</v>
      </c>
      <c r="L8" s="369">
        <f>Dates!V5</f>
        <v>43496</v>
      </c>
      <c r="M8" s="368">
        <f>Dates!W5</f>
        <v>43585</v>
      </c>
      <c r="N8" s="368">
        <f>Dates!X5</f>
        <v>43677</v>
      </c>
      <c r="O8" s="368">
        <f>Dates!Y5</f>
        <v>43769</v>
      </c>
      <c r="P8" s="368">
        <f>Dates!Z5</f>
        <v>43861</v>
      </c>
      <c r="Q8" s="369">
        <f>Dates!AA5</f>
        <v>43861</v>
      </c>
      <c r="R8" s="368">
        <f>Dates!AB5</f>
        <v>43951</v>
      </c>
      <c r="S8" s="368">
        <f>Dates!AC5</f>
        <v>44043</v>
      </c>
      <c r="T8" s="368">
        <f>Dates!AD5</f>
        <v>44135</v>
      </c>
      <c r="U8" s="368">
        <f>Dates!AE5</f>
        <v>44227</v>
      </c>
      <c r="V8" s="369">
        <f>Dates!AF5</f>
        <v>44227</v>
      </c>
      <c r="W8" s="368">
        <f>Dates!AG5</f>
        <v>44316</v>
      </c>
      <c r="X8" s="368">
        <f>Dates!AH5</f>
        <v>44408</v>
      </c>
      <c r="Y8" s="368">
        <f>Dates!AI5</f>
        <v>44500</v>
      </c>
      <c r="Z8" s="368">
        <f>Dates!AJ5</f>
        <v>44592</v>
      </c>
      <c r="AA8" s="369">
        <f>Dates!AK5</f>
        <v>44592</v>
      </c>
      <c r="AB8" s="368">
        <f>Dates!AL5</f>
        <v>44681</v>
      </c>
      <c r="AC8" s="368">
        <f>Dates!AM5</f>
        <v>44773</v>
      </c>
      <c r="AD8" s="368">
        <f>Dates!AN5</f>
        <v>44865</v>
      </c>
      <c r="AE8" s="368">
        <f>Dates!AO5</f>
        <v>44957</v>
      </c>
      <c r="AF8" s="369">
        <f>Dates!AP5</f>
        <v>44957</v>
      </c>
      <c r="AG8" s="368">
        <f>Dates!AQ5</f>
        <v>45046</v>
      </c>
      <c r="AH8" s="368">
        <f>Dates!AR5</f>
        <v>45138</v>
      </c>
      <c r="AI8" s="368">
        <f>Dates!AS5</f>
        <v>45230</v>
      </c>
      <c r="AJ8" s="368">
        <f>Dates!AT5</f>
        <v>45322</v>
      </c>
      <c r="AK8" s="369">
        <f>Dates!AU5</f>
        <v>45322</v>
      </c>
      <c r="AL8" s="368">
        <f>Dates!AV5</f>
        <v>45412</v>
      </c>
      <c r="AM8" s="368">
        <f>Dates!AW5</f>
        <v>45504</v>
      </c>
      <c r="AN8" s="1185">
        <f>Dates!AX5</f>
        <v>45596</v>
      </c>
      <c r="AO8" s="368">
        <f>Dates!AY5</f>
        <v>45688</v>
      </c>
      <c r="AP8" s="369">
        <f>Dates!AZ5</f>
        <v>45688</v>
      </c>
      <c r="AQ8" s="368">
        <f>Dates!BA5</f>
        <v>45777</v>
      </c>
      <c r="AR8" s="1185">
        <f>Dates!BB5</f>
        <v>45869</v>
      </c>
      <c r="AS8" s="1185">
        <f>Dates!BC5</f>
        <v>45961</v>
      </c>
      <c r="AT8" s="368">
        <f>Dates!BD5</f>
        <v>46053</v>
      </c>
      <c r="AU8" s="369">
        <f>Dates!BE5</f>
        <v>46053</v>
      </c>
      <c r="AV8" s="368">
        <f>Dates!BF5</f>
        <v>46142</v>
      </c>
      <c r="AW8" s="368">
        <f>Dates!BG5</f>
        <v>46234</v>
      </c>
      <c r="AX8" s="368">
        <f>Dates!BH5</f>
        <v>46326</v>
      </c>
      <c r="AY8" s="368">
        <f>Dates!BI5</f>
        <v>46418</v>
      </c>
      <c r="AZ8" s="369">
        <f>Dates!BJ5</f>
        <v>46418</v>
      </c>
      <c r="BA8" s="368">
        <f>Dates!BK5</f>
        <v>46507</v>
      </c>
      <c r="BB8" s="368">
        <f>Dates!BL5</f>
        <v>46599</v>
      </c>
      <c r="BC8" s="368">
        <f>Dates!BM5</f>
        <v>46691</v>
      </c>
      <c r="BD8" s="368">
        <f>Dates!BN5</f>
        <v>46783</v>
      </c>
      <c r="BE8" s="369">
        <f>Dates!BO5</f>
        <v>46783</v>
      </c>
      <c r="BF8" s="368">
        <f>Dates!BP5</f>
        <v>46873</v>
      </c>
      <c r="BG8" s="368">
        <f>Dates!BQ5</f>
        <v>46965</v>
      </c>
      <c r="BH8" s="368">
        <f>Dates!BR5</f>
        <v>47057</v>
      </c>
      <c r="BI8" s="368">
        <f>Dates!BS5</f>
        <v>47149</v>
      </c>
      <c r="BJ8" s="369">
        <f>Dates!BT5</f>
        <v>47149</v>
      </c>
      <c r="BK8" s="368">
        <f>Dates!BU5</f>
        <v>47238</v>
      </c>
      <c r="BL8" s="368">
        <f>Dates!BV5</f>
        <v>47330</v>
      </c>
      <c r="BM8" s="368">
        <f>Dates!BW5</f>
        <v>47422</v>
      </c>
      <c r="BN8" s="368">
        <f>Dates!BX5</f>
        <v>47514</v>
      </c>
      <c r="BO8" s="369">
        <f>Dates!BY5</f>
        <v>47514</v>
      </c>
    </row>
    <row r="9" spans="1:67">
      <c r="B9" s="986" t="s">
        <v>267</v>
      </c>
      <c r="C9" s="368"/>
      <c r="D9" s="368"/>
      <c r="E9" s="368"/>
      <c r="F9" s="368"/>
      <c r="G9" s="369"/>
      <c r="H9" s="368"/>
      <c r="I9" s="368"/>
      <c r="J9" s="368"/>
      <c r="K9" s="368"/>
      <c r="L9" s="369"/>
      <c r="M9" s="368"/>
      <c r="N9" s="368"/>
      <c r="O9" s="368"/>
      <c r="P9" s="368"/>
      <c r="Q9" s="369"/>
      <c r="R9" s="368"/>
      <c r="S9" s="368"/>
      <c r="T9" s="368"/>
      <c r="U9" s="368"/>
      <c r="V9" s="369"/>
      <c r="W9" s="368"/>
      <c r="X9" s="368"/>
      <c r="Y9" s="368"/>
      <c r="Z9" s="368"/>
      <c r="AA9" s="369"/>
      <c r="AB9" s="368"/>
      <c r="AC9" s="368"/>
      <c r="AD9" s="368"/>
      <c r="AE9" s="368"/>
      <c r="AF9" s="369"/>
      <c r="AG9" s="368"/>
      <c r="AH9" s="368"/>
      <c r="AI9" s="368"/>
      <c r="AJ9" s="368"/>
      <c r="AK9" s="369"/>
      <c r="AL9" s="368"/>
      <c r="AM9" s="368"/>
      <c r="AN9" s="1185"/>
      <c r="AO9" s="368"/>
      <c r="AP9" s="369"/>
      <c r="AQ9" s="368"/>
      <c r="AR9" s="1185"/>
      <c r="AS9" s="1185"/>
      <c r="AT9" s="368"/>
      <c r="AU9" s="369"/>
      <c r="AV9" s="368"/>
      <c r="AW9" s="368"/>
      <c r="AX9" s="368"/>
      <c r="AY9" s="368"/>
      <c r="AZ9" s="369"/>
      <c r="BA9" s="368"/>
      <c r="BB9" s="368"/>
      <c r="BC9" s="368"/>
      <c r="BD9" s="368"/>
      <c r="BE9" s="369"/>
      <c r="BF9" s="368"/>
      <c r="BG9" s="368"/>
      <c r="BH9" s="368"/>
      <c r="BI9" s="368"/>
      <c r="BJ9" s="369"/>
      <c r="BK9" s="368"/>
      <c r="BL9" s="368"/>
      <c r="BM9" s="368"/>
      <c r="BN9" s="368"/>
      <c r="BO9" s="369"/>
    </row>
    <row r="10" spans="1:67" s="989" customFormat="1">
      <c r="B10" s="981" t="s">
        <v>7</v>
      </c>
      <c r="C10" s="990"/>
      <c r="D10" s="990"/>
      <c r="E10" s="990"/>
      <c r="F10" s="990"/>
      <c r="G10" s="991">
        <f>SUM(C10:F10)</f>
        <v>0</v>
      </c>
      <c r="H10" s="992">
        <v>-41.171999999999997</v>
      </c>
      <c r="I10" s="992">
        <v>-31.605</v>
      </c>
      <c r="J10" s="990">
        <f>'IS (GAAP)'!J80</f>
        <v>-37.347999999999992</v>
      </c>
      <c r="K10" s="990">
        <f>'IS (GAAP)'!K80</f>
        <v>-67.903000000000006</v>
      </c>
      <c r="L10" s="991">
        <f>SUM(H10:K10)</f>
        <v>-178.02800000000002</v>
      </c>
      <c r="M10" s="990">
        <f>'IS (GAAP)'!M80</f>
        <v>-83.809000000000012</v>
      </c>
      <c r="N10" s="990">
        <f>'IS (GAAP)'!N80</f>
        <v>-93.415000000000006</v>
      </c>
      <c r="O10" s="990">
        <f>'IS (GAAP)'!O80</f>
        <v>-88.057000000000016</v>
      </c>
      <c r="P10" s="990">
        <f>'IS (GAAP)'!P80</f>
        <v>-83.253999999999991</v>
      </c>
      <c r="Q10" s="991">
        <f t="shared" ref="Q10:Q21" si="0">SUM(M10:P10)</f>
        <v>-348.53500000000008</v>
      </c>
      <c r="R10" s="990">
        <f>'IS (GAAP)'!R80</f>
        <v>-93.64400000000002</v>
      </c>
      <c r="S10" s="990">
        <f>'IS (GAAP)'!S80</f>
        <v>-77.634000000000029</v>
      </c>
      <c r="T10" s="990">
        <f>'IS (GAAP)'!T80</f>
        <v>-168.88899999999995</v>
      </c>
      <c r="U10" s="990">
        <f>'IS (GAAP)'!U80</f>
        <v>-198.93500000000003</v>
      </c>
      <c r="V10" s="991">
        <f t="shared" ref="V10:V15" si="1">SUM(R10:U10)</f>
        <v>-539.10200000000009</v>
      </c>
      <c r="W10" s="990">
        <f>'IS (GAAP)'!W80</f>
        <v>-203.22</v>
      </c>
      <c r="X10" s="990">
        <f>'IS (GAAP)'!X80</f>
        <v>-189.71900000000005</v>
      </c>
      <c r="Y10" s="990">
        <f>'IS (GAAP)'!Y80</f>
        <v>-154.85599999999994</v>
      </c>
      <c r="Z10" s="990">
        <f>'IS (GAAP)'!Z80</f>
        <v>-132.15300000000002</v>
      </c>
      <c r="AA10" s="991">
        <f t="shared" ref="AA10:AA21" si="2">SUM(W10:Z10)</f>
        <v>-679.94800000000009</v>
      </c>
      <c r="AB10" s="990">
        <f>'IS (GAAP)'!AB80</f>
        <v>-165.79400000000001</v>
      </c>
      <c r="AC10" s="990">
        <f>'IS (GAAP)'!AC80</f>
        <v>-222.80599999999998</v>
      </c>
      <c r="AD10" s="990">
        <f>'IS (GAAP)'!AD80</f>
        <v>-201.44200000000012</v>
      </c>
      <c r="AE10" s="990">
        <f>'IS (GAAP)'!AE80</f>
        <v>-207.48400000000007</v>
      </c>
      <c r="AF10" s="991">
        <f>SUM(AB10:AE10)</f>
        <v>-797.52600000000018</v>
      </c>
      <c r="AG10" s="990">
        <f>'IS (GAAP)'!AG80</f>
        <v>-226.06399999999996</v>
      </c>
      <c r="AH10" s="990">
        <f>'IS (GAAP)'!AH80</f>
        <v>-227.32000000000008</v>
      </c>
      <c r="AI10" s="990">
        <f>'IS (GAAP)'!AI80</f>
        <v>-214.69399999999993</v>
      </c>
      <c r="AJ10" s="990">
        <f>'IS (GAAP)'!AJ80</f>
        <v>-169.91199999999989</v>
      </c>
      <c r="AK10" s="991">
        <f>SUM(AG10:AJ10)</f>
        <v>-837.9899999999999</v>
      </c>
      <c r="AL10" s="990">
        <f>'IS (GAAP)'!AL80</f>
        <v>-317.81600000000003</v>
      </c>
      <c r="AM10" s="990">
        <f>'IS (GAAP)'!AM80</f>
        <v>-317.77000000000015</v>
      </c>
      <c r="AN10" s="1213">
        <f>'IS (GAAP)'!AN80</f>
        <v>-327.90199999999993</v>
      </c>
      <c r="AO10" s="990">
        <f>'IS (GAAP)'!AO80</f>
        <v>-325.72399999999988</v>
      </c>
      <c r="AP10" s="991">
        <f>SUM(AL10:AO10)</f>
        <v>-1289.212</v>
      </c>
      <c r="AQ10" s="990">
        <f>'IS (GAAP)'!AQ80</f>
        <v>-429.95200000000006</v>
      </c>
      <c r="AR10" s="1213">
        <f>'IS (GAAP)'!AR80</f>
        <v>-297.93</v>
      </c>
      <c r="AS10" s="1213">
        <f>'IS (GAAP)'!AS80</f>
        <v>-291.60300000000018</v>
      </c>
      <c r="AT10" s="990">
        <f>'IS (GAAP)'!AT80</f>
        <v>-371.98667461763824</v>
      </c>
      <c r="AU10" s="991">
        <f t="shared" ref="AU10:AU21" si="3">SUM(AQ10:AT10)</f>
        <v>-1391.4716746176384</v>
      </c>
      <c r="AV10" s="990">
        <f>'IS (GAAP)'!AV80</f>
        <v>-337.0171898219026</v>
      </c>
      <c r="AW10" s="990">
        <f>'IS (GAAP)'!AW80</f>
        <v>-333.9052430850258</v>
      </c>
      <c r="AX10" s="990">
        <f>'IS (GAAP)'!AX80</f>
        <v>-353.38197595995848</v>
      </c>
      <c r="AY10" s="990">
        <f>'IS (GAAP)'!AY80</f>
        <v>-403.93638505968914</v>
      </c>
      <c r="AZ10" s="991">
        <f t="shared" ref="AZ10:AZ21" si="4">SUM(AV10:AY10)</f>
        <v>-1428.2407939265761</v>
      </c>
      <c r="BA10" s="990">
        <f>'IS (GAAP)'!BA80</f>
        <v>-346.32696432932028</v>
      </c>
      <c r="BB10" s="990">
        <f>'IS (GAAP)'!BB80</f>
        <v>-335.93683683002439</v>
      </c>
      <c r="BC10" s="990">
        <f>'IS (GAAP)'!BC80</f>
        <v>-353.41448981330706</v>
      </c>
      <c r="BD10" s="990">
        <f>'IS (GAAP)'!BD80</f>
        <v>-406.91220212579481</v>
      </c>
      <c r="BE10" s="991">
        <f t="shared" ref="BE10:BE21" si="5">SUM(BA10:BD10)</f>
        <v>-1442.5904930984466</v>
      </c>
      <c r="BF10" s="990">
        <f>'IS (GAAP)'!BF80</f>
        <v>-325.08859710837129</v>
      </c>
      <c r="BG10" s="990">
        <f>'IS (GAAP)'!BG80</f>
        <v>-304.31280250138417</v>
      </c>
      <c r="BH10" s="990">
        <f>'IS (GAAP)'!BH80</f>
        <v>-326.39228776048054</v>
      </c>
      <c r="BI10" s="990">
        <f>'IS (GAAP)'!BI80</f>
        <v>-392.70583765700292</v>
      </c>
      <c r="BJ10" s="991">
        <f t="shared" ref="BJ10:BJ21" si="6">SUM(BF10:BI10)</f>
        <v>-1348.4995250272391</v>
      </c>
      <c r="BK10" s="990">
        <f>'IS (GAAP)'!BK80</f>
        <v>-297.34536972137153</v>
      </c>
      <c r="BL10" s="990">
        <f>'IS (GAAP)'!BL80</f>
        <v>-259.95637903499824</v>
      </c>
      <c r="BM10" s="990">
        <f>'IS (GAAP)'!BM80</f>
        <v>-280.35786602340511</v>
      </c>
      <c r="BN10" s="990">
        <f>'IS (GAAP)'!BN80</f>
        <v>-354.91391052040558</v>
      </c>
      <c r="BO10" s="991">
        <f t="shared" ref="BO10:BO21" si="7">SUM(BK10:BN10)</f>
        <v>-1192.5735253001803</v>
      </c>
    </row>
    <row r="11" spans="1:67" s="989" customFormat="1">
      <c r="B11" s="982" t="s">
        <v>266</v>
      </c>
      <c r="C11" s="990"/>
      <c r="D11" s="993"/>
      <c r="E11" s="993"/>
      <c r="F11" s="994"/>
      <c r="G11" s="991">
        <f t="shared" ref="G11:G29" si="8">SUM(C11:F11)</f>
        <v>0</v>
      </c>
      <c r="H11" s="994">
        <v>0.26900000000000002</v>
      </c>
      <c r="I11" s="994">
        <v>0.26600000000000001</v>
      </c>
      <c r="J11" s="994">
        <v>0.36599999999999999</v>
      </c>
      <c r="K11" s="994">
        <v>0.46100000000000002</v>
      </c>
      <c r="L11" s="991">
        <f t="shared" ref="L11:L32" si="9">SUM(H11:K11)</f>
        <v>1.3620000000000001</v>
      </c>
      <c r="M11" s="994">
        <v>0.60899999999999999</v>
      </c>
      <c r="N11" s="994">
        <v>0.755</v>
      </c>
      <c r="O11" s="994">
        <v>0.89300000000000002</v>
      </c>
      <c r="P11" s="994">
        <v>1.2649999999999999</v>
      </c>
      <c r="Q11" s="991">
        <f t="shared" si="0"/>
        <v>3.5219999999999994</v>
      </c>
      <c r="R11" s="994">
        <v>1.522</v>
      </c>
      <c r="S11" s="994">
        <v>2.2400000000000002</v>
      </c>
      <c r="T11" s="994">
        <v>2.8490000000000002</v>
      </c>
      <c r="U11" s="994">
        <v>3.2149999999999999</v>
      </c>
      <c r="V11" s="991">
        <f t="shared" si="1"/>
        <v>9.8260000000000005</v>
      </c>
      <c r="W11" s="994">
        <v>4.6840000000000002</v>
      </c>
      <c r="X11" s="994">
        <v>5.3840000000000003</v>
      </c>
      <c r="Y11" s="994">
        <v>5.5179999999999998</v>
      </c>
      <c r="Z11" s="994">
        <v>5.9119999999999999</v>
      </c>
      <c r="AA11" s="991">
        <f t="shared" si="2"/>
        <v>21.498000000000001</v>
      </c>
      <c r="AB11" s="994">
        <v>9.9410000000000007</v>
      </c>
      <c r="AC11" s="994">
        <v>16.172000000000001</v>
      </c>
      <c r="AD11" s="994">
        <v>17.696000000000002</v>
      </c>
      <c r="AE11" s="994">
        <v>19.725999999999999</v>
      </c>
      <c r="AF11" s="991">
        <f t="shared" ref="AF11:AF21" si="10">SUM(AB11:AE11)</f>
        <v>63.534999999999997</v>
      </c>
      <c r="AG11" s="994">
        <v>23.163</v>
      </c>
      <c r="AH11" s="994">
        <v>29.283999999999999</v>
      </c>
      <c r="AI11" s="994">
        <v>32.47</v>
      </c>
      <c r="AJ11" s="994">
        <v>34.985999999999997</v>
      </c>
      <c r="AK11" s="991">
        <f t="shared" ref="AK11:AK21" si="11">SUM(AG11:AJ11)</f>
        <v>119.90299999999999</v>
      </c>
      <c r="AL11" s="994">
        <v>40.220999999999997</v>
      </c>
      <c r="AM11" s="994">
        <v>45.110999999999997</v>
      </c>
      <c r="AN11" s="1207">
        <v>47.045999999999999</v>
      </c>
      <c r="AO11" s="994">
        <v>50.13</v>
      </c>
      <c r="AP11" s="991">
        <f t="shared" ref="AP11:AP21" si="12">SUM(AL11:AO11)</f>
        <v>182.50799999999998</v>
      </c>
      <c r="AQ11" s="1207">
        <v>48.804000000000002</v>
      </c>
      <c r="AR11" s="1207">
        <v>54.837000000000003</v>
      </c>
      <c r="AS11" s="1400">
        <v>57.878</v>
      </c>
      <c r="AT11" s="990">
        <f>BS!AT119</f>
        <v>51.011000000000003</v>
      </c>
      <c r="AU11" s="991">
        <f t="shared" si="3"/>
        <v>212.53</v>
      </c>
      <c r="AV11" s="990">
        <f>BS!AV119</f>
        <v>49.745993178223372</v>
      </c>
      <c r="AW11" s="990">
        <f>BS!AW119</f>
        <v>49.139973030296773</v>
      </c>
      <c r="AX11" s="990">
        <f>BS!AX119</f>
        <v>48.794926602172836</v>
      </c>
      <c r="AY11" s="990">
        <f>BS!AY119</f>
        <v>48.654214247548616</v>
      </c>
      <c r="AZ11" s="991">
        <f t="shared" si="4"/>
        <v>196.33510705824159</v>
      </c>
      <c r="BA11" s="990">
        <f>BS!BA119</f>
        <v>40.477198762895839</v>
      </c>
      <c r="BB11" s="990">
        <f>BS!BB119</f>
        <v>40.598169173886916</v>
      </c>
      <c r="BC11" s="990">
        <f>BS!BC119</f>
        <v>40.957188477464847</v>
      </c>
      <c r="BD11" s="990">
        <f>BS!BD119</f>
        <v>41.494210756602655</v>
      </c>
      <c r="BE11" s="991">
        <f t="shared" si="5"/>
        <v>163.52676717085026</v>
      </c>
      <c r="BF11" s="990">
        <f>BS!BF119</f>
        <v>31.881971584160713</v>
      </c>
      <c r="BG11" s="990">
        <f>BS!BG119</f>
        <v>32.532942115092858</v>
      </c>
      <c r="BH11" s="990">
        <f>BS!BH119</f>
        <v>33.411208731760134</v>
      </c>
      <c r="BI11" s="990">
        <f>BS!BI119</f>
        <v>34.537447076035917</v>
      </c>
      <c r="BJ11" s="991">
        <f t="shared" si="6"/>
        <v>132.36356950704965</v>
      </c>
      <c r="BK11" s="990">
        <f>BS!BK119</f>
        <v>35.653895744656502</v>
      </c>
      <c r="BL11" s="990">
        <f>BS!BL119</f>
        <v>36.821012142788859</v>
      </c>
      <c r="BM11" s="990">
        <f>BS!BM119</f>
        <v>38.167123365513731</v>
      </c>
      <c r="BN11" s="990">
        <f>BS!BN119</f>
        <v>39.825394611243368</v>
      </c>
      <c r="BO11" s="991">
        <f t="shared" si="7"/>
        <v>150.46742586420248</v>
      </c>
    </row>
    <row r="12" spans="1:67" s="997" customFormat="1">
      <c r="A12" s="995"/>
      <c r="B12" s="982" t="s">
        <v>268</v>
      </c>
      <c r="C12" s="990"/>
      <c r="D12" s="993"/>
      <c r="E12" s="993"/>
      <c r="F12" s="994"/>
      <c r="G12" s="991">
        <f t="shared" si="8"/>
        <v>0</v>
      </c>
      <c r="H12" s="994">
        <v>0.55000000000000004</v>
      </c>
      <c r="I12" s="994">
        <v>0.67100000000000004</v>
      </c>
      <c r="J12" s="994">
        <v>0.82299999999999995</v>
      </c>
      <c r="K12" s="994">
        <v>1.1279999999999999</v>
      </c>
      <c r="L12" s="991">
        <f t="shared" si="9"/>
        <v>3.1719999999999997</v>
      </c>
      <c r="M12" s="994">
        <v>5.3529999999999998</v>
      </c>
      <c r="N12" s="994">
        <v>6.6029999999999998</v>
      </c>
      <c r="O12" s="994">
        <v>7.7779999999999996</v>
      </c>
      <c r="P12" s="994">
        <v>7.9779999999999998</v>
      </c>
      <c r="Q12" s="991">
        <f t="shared" si="0"/>
        <v>27.711999999999996</v>
      </c>
      <c r="R12" s="994">
        <v>8.125</v>
      </c>
      <c r="S12" s="994">
        <v>8.2119999999999997</v>
      </c>
      <c r="T12" s="994">
        <v>8.5030000000000001</v>
      </c>
      <c r="U12" s="994">
        <v>8.6349999999999998</v>
      </c>
      <c r="V12" s="991">
        <f t="shared" si="1"/>
        <v>33.475000000000001</v>
      </c>
      <c r="W12" s="994">
        <v>8.5090000000000003</v>
      </c>
      <c r="X12" s="994">
        <v>8.5310000000000006</v>
      </c>
      <c r="Y12" s="994">
        <v>8.8550000000000004</v>
      </c>
      <c r="Z12" s="994">
        <v>9.6579999999999995</v>
      </c>
      <c r="AA12" s="991">
        <f t="shared" si="2"/>
        <v>35.552999999999997</v>
      </c>
      <c r="AB12" s="994">
        <v>10.090999999999999</v>
      </c>
      <c r="AC12" s="994">
        <v>11.148</v>
      </c>
      <c r="AD12" s="994">
        <v>12.34</v>
      </c>
      <c r="AE12" s="994">
        <v>12.661</v>
      </c>
      <c r="AF12" s="991">
        <f t="shared" si="10"/>
        <v>46.239999999999995</v>
      </c>
      <c r="AG12" s="994">
        <v>12.869</v>
      </c>
      <c r="AH12" s="994">
        <v>12.784000000000001</v>
      </c>
      <c r="AI12" s="994">
        <v>13.488</v>
      </c>
      <c r="AJ12" s="994">
        <v>13.750999999999999</v>
      </c>
      <c r="AK12" s="991">
        <f t="shared" si="11"/>
        <v>52.891999999999996</v>
      </c>
      <c r="AL12" s="994">
        <v>13.722</v>
      </c>
      <c r="AM12" s="994">
        <v>13.846</v>
      </c>
      <c r="AN12" s="1207">
        <v>14.802</v>
      </c>
      <c r="AO12" s="994">
        <v>17.573</v>
      </c>
      <c r="AP12" s="991">
        <f t="shared" si="12"/>
        <v>59.942999999999998</v>
      </c>
      <c r="AQ12" s="1207">
        <v>17.841999999999999</v>
      </c>
      <c r="AR12" s="1207">
        <v>16.155999999999999</v>
      </c>
      <c r="AS12" s="1400">
        <v>15.763999999999999</v>
      </c>
      <c r="AT12" s="996"/>
      <c r="AU12" s="991">
        <f t="shared" si="3"/>
        <v>49.762</v>
      </c>
      <c r="AV12" s="990"/>
      <c r="AW12" s="996"/>
      <c r="AX12" s="996"/>
      <c r="AY12" s="996"/>
      <c r="AZ12" s="991">
        <f t="shared" si="4"/>
        <v>0</v>
      </c>
      <c r="BA12" s="990"/>
      <c r="BB12" s="996"/>
      <c r="BC12" s="996"/>
      <c r="BD12" s="996"/>
      <c r="BE12" s="991">
        <f t="shared" si="5"/>
        <v>0</v>
      </c>
      <c r="BF12" s="990"/>
      <c r="BG12" s="996"/>
      <c r="BH12" s="996"/>
      <c r="BI12" s="996"/>
      <c r="BJ12" s="991">
        <f t="shared" si="6"/>
        <v>0</v>
      </c>
      <c r="BK12" s="990"/>
      <c r="BL12" s="996"/>
      <c r="BM12" s="996"/>
      <c r="BN12" s="996"/>
      <c r="BO12" s="991">
        <f t="shared" si="7"/>
        <v>0</v>
      </c>
    </row>
    <row r="13" spans="1:67" s="997" customFormat="1" hidden="1" outlineLevel="1">
      <c r="A13" s="995"/>
      <c r="B13" s="982" t="s">
        <v>285</v>
      </c>
      <c r="C13" s="990"/>
      <c r="D13" s="993"/>
      <c r="E13" s="993"/>
      <c r="F13" s="994"/>
      <c r="G13" s="991">
        <f t="shared" si="8"/>
        <v>0</v>
      </c>
      <c r="H13" s="994">
        <v>0.85299999999999998</v>
      </c>
      <c r="I13" s="994">
        <v>1.056</v>
      </c>
      <c r="J13" s="994">
        <v>1.494</v>
      </c>
      <c r="K13" s="994">
        <v>2.2709999999999999</v>
      </c>
      <c r="L13" s="991">
        <f t="shared" si="9"/>
        <v>5.6739999999999995</v>
      </c>
      <c r="M13" s="994">
        <v>3.206</v>
      </c>
      <c r="N13" s="994">
        <v>3.6859999999999999</v>
      </c>
      <c r="O13" s="994">
        <v>4.516</v>
      </c>
      <c r="P13" s="994">
        <v>5.5780000000000003</v>
      </c>
      <c r="Q13" s="991">
        <f t="shared" si="0"/>
        <v>16.986000000000001</v>
      </c>
      <c r="R13" s="994">
        <v>7.226</v>
      </c>
      <c r="S13" s="994">
        <v>6.84</v>
      </c>
      <c r="T13" s="994">
        <v>7.1669999999999998</v>
      </c>
      <c r="U13" s="994">
        <v>7.6079999999999997</v>
      </c>
      <c r="V13" s="991">
        <f t="shared" si="1"/>
        <v>28.840999999999998</v>
      </c>
      <c r="W13" s="994">
        <v>8.3160000000000007</v>
      </c>
      <c r="X13" s="994">
        <v>8.8409999999999993</v>
      </c>
      <c r="Y13" s="994">
        <v>9.6669999999999998</v>
      </c>
      <c r="Z13" s="994">
        <v>11.052</v>
      </c>
      <c r="AA13" s="991">
        <f t="shared" si="2"/>
        <v>37.875999999999998</v>
      </c>
      <c r="AB13" s="998">
        <v>13.201000000000001</v>
      </c>
      <c r="AC13" s="998">
        <v>13.77</v>
      </c>
      <c r="AD13" s="998">
        <v>14.554</v>
      </c>
      <c r="AE13" s="998">
        <v>15.92</v>
      </c>
      <c r="AF13" s="991">
        <f t="shared" si="10"/>
        <v>57.445</v>
      </c>
      <c r="AG13" s="998">
        <v>17.672000000000001</v>
      </c>
      <c r="AH13" s="998">
        <v>18.181000000000001</v>
      </c>
      <c r="AI13" s="998">
        <v>18.869</v>
      </c>
      <c r="AJ13" s="998">
        <v>20.065000000000001</v>
      </c>
      <c r="AK13" s="991">
        <f t="shared" si="11"/>
        <v>74.787000000000006</v>
      </c>
      <c r="AL13" s="998">
        <v>22.763999999999999</v>
      </c>
      <c r="AM13" s="998">
        <v>22.821999999999999</v>
      </c>
      <c r="AN13" s="1214">
        <v>23.248999999999999</v>
      </c>
      <c r="AO13" s="998">
        <v>24.292999999999999</v>
      </c>
      <c r="AP13" s="991">
        <f t="shared" si="12"/>
        <v>93.127999999999986</v>
      </c>
      <c r="AQ13" s="1214">
        <v>25.795999999999999</v>
      </c>
      <c r="AR13" s="1214">
        <v>33.158000000000001</v>
      </c>
      <c r="AS13" s="1402">
        <v>36.457999999999998</v>
      </c>
      <c r="AT13" s="999"/>
      <c r="AU13" s="991">
        <f t="shared" si="3"/>
        <v>95.412000000000006</v>
      </c>
      <c r="AV13" s="999"/>
      <c r="AW13" s="999"/>
      <c r="AX13" s="999"/>
      <c r="AY13" s="999"/>
      <c r="AZ13" s="991">
        <f t="shared" si="4"/>
        <v>0</v>
      </c>
      <c r="BA13" s="999"/>
      <c r="BB13" s="999"/>
      <c r="BC13" s="999"/>
      <c r="BD13" s="999"/>
      <c r="BE13" s="991">
        <f t="shared" si="5"/>
        <v>0</v>
      </c>
      <c r="BF13" s="999"/>
      <c r="BG13" s="999"/>
      <c r="BH13" s="999"/>
      <c r="BI13" s="999"/>
      <c r="BJ13" s="991">
        <f t="shared" si="6"/>
        <v>0</v>
      </c>
      <c r="BK13" s="999"/>
      <c r="BL13" s="999"/>
      <c r="BM13" s="999"/>
      <c r="BN13" s="999"/>
      <c r="BO13" s="991">
        <f t="shared" si="7"/>
        <v>0</v>
      </c>
    </row>
    <row r="14" spans="1:67" s="997" customFormat="1" hidden="1" outlineLevel="1">
      <c r="A14" s="995"/>
      <c r="B14" s="982" t="s">
        <v>286</v>
      </c>
      <c r="C14" s="990"/>
      <c r="D14" s="993"/>
      <c r="E14" s="993"/>
      <c r="F14" s="994"/>
      <c r="G14" s="991">
        <f t="shared" si="8"/>
        <v>0</v>
      </c>
      <c r="H14" s="994">
        <v>2.9159999999999999</v>
      </c>
      <c r="I14" s="994">
        <v>3.9630000000000001</v>
      </c>
      <c r="J14" s="994">
        <v>6.7030000000000003</v>
      </c>
      <c r="K14" s="994">
        <v>8.827</v>
      </c>
      <c r="L14" s="991">
        <f t="shared" si="9"/>
        <v>22.408999999999999</v>
      </c>
      <c r="M14" s="994">
        <v>16.015999999999998</v>
      </c>
      <c r="N14" s="994">
        <v>18.451000000000001</v>
      </c>
      <c r="O14" s="994">
        <v>22.957999999999998</v>
      </c>
      <c r="P14" s="994">
        <v>20.974</v>
      </c>
      <c r="Q14" s="991">
        <f t="shared" si="0"/>
        <v>78.399000000000001</v>
      </c>
      <c r="R14" s="994">
        <v>20.445</v>
      </c>
      <c r="S14" s="994">
        <v>18.204000000000001</v>
      </c>
      <c r="T14" s="994">
        <v>119.14100000000001</v>
      </c>
      <c r="U14" s="994">
        <v>143.65100000000001</v>
      </c>
      <c r="V14" s="991">
        <f t="shared" si="1"/>
        <v>301.44100000000003</v>
      </c>
      <c r="W14" s="994">
        <v>151.01400000000001</v>
      </c>
      <c r="X14" s="994">
        <v>163.99100000000001</v>
      </c>
      <c r="Y14" s="994">
        <v>144.387</v>
      </c>
      <c r="Z14" s="994">
        <v>145.703</v>
      </c>
      <c r="AA14" s="991">
        <f t="shared" si="2"/>
        <v>605.09500000000003</v>
      </c>
      <c r="AB14" s="998">
        <v>172.49299999999999</v>
      </c>
      <c r="AC14" s="998">
        <v>209.18100000000001</v>
      </c>
      <c r="AD14" s="998">
        <v>229.16300000000001</v>
      </c>
      <c r="AE14" s="998">
        <v>250.696</v>
      </c>
      <c r="AF14" s="991">
        <f t="shared" si="10"/>
        <v>861.53300000000002</v>
      </c>
      <c r="AG14" s="998">
        <v>264.50900000000001</v>
      </c>
      <c r="AH14" s="998">
        <v>299.72199999999998</v>
      </c>
      <c r="AI14" s="998">
        <v>298.286</v>
      </c>
      <c r="AJ14" s="998">
        <v>305.49799999999999</v>
      </c>
      <c r="AK14" s="991">
        <f t="shared" si="11"/>
        <v>1168.0150000000001</v>
      </c>
      <c r="AL14" s="994">
        <v>331.93599999999998</v>
      </c>
      <c r="AM14" s="994">
        <v>356</v>
      </c>
      <c r="AN14" s="1207">
        <v>363.25900000000001</v>
      </c>
      <c r="AO14" s="998">
        <v>428.11900000000003</v>
      </c>
      <c r="AP14" s="991">
        <f t="shared" si="12"/>
        <v>1479.3139999999999</v>
      </c>
      <c r="AQ14" s="1207">
        <v>379.46</v>
      </c>
      <c r="AR14" s="1207">
        <v>404.21699999999998</v>
      </c>
      <c r="AS14" s="1400">
        <v>412.27800000000002</v>
      </c>
      <c r="AT14" s="990">
        <f>'IS (Non-GAAP)'!AT101</f>
        <v>449.23985164685962</v>
      </c>
      <c r="AU14" s="991">
        <f t="shared" si="3"/>
        <v>1645.1948516468597</v>
      </c>
      <c r="AV14" s="990">
        <f>'IS (Non-GAAP)'!AV101</f>
        <v>465.77271803797521</v>
      </c>
      <c r="AW14" s="990">
        <f>'IS (Non-GAAP)'!AW101</f>
        <v>494.88932109543595</v>
      </c>
      <c r="AX14" s="990">
        <f>'IS (Non-GAAP)'!AX101</f>
        <v>517.90235504843099</v>
      </c>
      <c r="AY14" s="990">
        <f>'IS (Non-GAAP)'!AY101</f>
        <v>526.32877541408175</v>
      </c>
      <c r="AZ14" s="991">
        <f t="shared" si="4"/>
        <v>2004.8931695959238</v>
      </c>
      <c r="BA14" s="990">
        <f>'IS (Non-GAAP)'!BA101</f>
        <v>545.37097923857004</v>
      </c>
      <c r="BB14" s="990">
        <f>'IS (Non-GAAP)'!BB101</f>
        <v>580.60567207018528</v>
      </c>
      <c r="BC14" s="990">
        <f>'IS (Non-GAAP)'!BC101</f>
        <v>608.73171361003256</v>
      </c>
      <c r="BD14" s="990">
        <f>'IS (Non-GAAP)'!BD101</f>
        <v>611.88947747127122</v>
      </c>
      <c r="BE14" s="991">
        <f t="shared" si="5"/>
        <v>2346.5978423900588</v>
      </c>
      <c r="BF14" s="990">
        <f>'IS (Non-GAAP)'!BF101</f>
        <v>628.37432558145417</v>
      </c>
      <c r="BG14" s="990">
        <f>'IS (Non-GAAP)'!BG101</f>
        <v>666.77810640901123</v>
      </c>
      <c r="BH14" s="990">
        <f>'IS (Non-GAAP)'!BH101</f>
        <v>710.87693644571038</v>
      </c>
      <c r="BI14" s="990">
        <f>'IS (Non-GAAP)'!BI101</f>
        <v>716.96660452755157</v>
      </c>
      <c r="BJ14" s="991">
        <f t="shared" si="6"/>
        <v>2722.9959729637276</v>
      </c>
      <c r="BK14" s="990">
        <f>'IS (Non-GAAP)'!BK101</f>
        <v>731.62968577440824</v>
      </c>
      <c r="BL14" s="990">
        <f>'IS (Non-GAAP)'!BL101</f>
        <v>765.697528334852</v>
      </c>
      <c r="BM14" s="990">
        <f>'IS (Non-GAAP)'!BM101</f>
        <v>820.92807222469764</v>
      </c>
      <c r="BN14" s="990">
        <f>'IS (Non-GAAP)'!BN101</f>
        <v>818.45618217893752</v>
      </c>
      <c r="BO14" s="991">
        <f t="shared" si="7"/>
        <v>3136.7114685128954</v>
      </c>
    </row>
    <row r="15" spans="1:67" s="997" customFormat="1" collapsed="1">
      <c r="A15" s="995"/>
      <c r="B15" s="982" t="s">
        <v>287</v>
      </c>
      <c r="C15" s="990"/>
      <c r="D15" s="993"/>
      <c r="E15" s="993"/>
      <c r="F15" s="993"/>
      <c r="G15" s="991">
        <f t="shared" si="8"/>
        <v>0</v>
      </c>
      <c r="H15" s="994">
        <v>-0.44800000000000001</v>
      </c>
      <c r="I15" s="994">
        <v>-0.83099999999999996</v>
      </c>
      <c r="J15" s="994">
        <v>-1.218</v>
      </c>
      <c r="K15" s="994">
        <v>-2.5139999999999998</v>
      </c>
      <c r="L15" s="991">
        <f t="shared" si="9"/>
        <v>-5.0109999999999992</v>
      </c>
      <c r="M15" s="994">
        <v>-2.4950000000000001</v>
      </c>
      <c r="N15" s="994">
        <v>-1.748</v>
      </c>
      <c r="O15" s="994">
        <v>-0.90600000000000003</v>
      </c>
      <c r="P15" s="994">
        <v>-0.31</v>
      </c>
      <c r="Q15" s="991">
        <f t="shared" si="0"/>
        <v>-5.4589999999999996</v>
      </c>
      <c r="R15" s="994">
        <v>-5.2999999999999999E-2</v>
      </c>
      <c r="S15" s="994">
        <v>0.27900000000000003</v>
      </c>
      <c r="T15" s="994">
        <v>0.89100000000000001</v>
      </c>
      <c r="U15" s="994">
        <v>7.5129999999999999</v>
      </c>
      <c r="V15" s="991">
        <f t="shared" si="1"/>
        <v>8.629999999999999</v>
      </c>
      <c r="W15" s="994">
        <v>13.019</v>
      </c>
      <c r="X15" s="994">
        <v>12.332000000000001</v>
      </c>
      <c r="Y15" s="994">
        <v>11.587</v>
      </c>
      <c r="Z15" s="994">
        <v>11.064</v>
      </c>
      <c r="AA15" s="991">
        <f t="shared" si="2"/>
        <v>48.002000000000002</v>
      </c>
      <c r="AB15" s="1000">
        <v>8.1980000000000004</v>
      </c>
      <c r="AC15" s="1000">
        <v>4.6779999999999999</v>
      </c>
      <c r="AD15" s="1000">
        <v>-0.54500000000000004</v>
      </c>
      <c r="AE15" s="1000">
        <v>-8.8339999999999996</v>
      </c>
      <c r="AF15" s="991">
        <f t="shared" si="10"/>
        <v>3.4970000000000017</v>
      </c>
      <c r="AG15" s="1000">
        <v>-15.331</v>
      </c>
      <c r="AH15" s="1000">
        <v>-17.661000000000001</v>
      </c>
      <c r="AI15" s="1000">
        <v>-16.234000000000002</v>
      </c>
      <c r="AJ15" s="1000">
        <v>-12.298999999999999</v>
      </c>
      <c r="AK15" s="991">
        <f t="shared" si="11"/>
        <v>-61.525000000000006</v>
      </c>
      <c r="AL15" s="1000">
        <v>-11.992000000000001</v>
      </c>
      <c r="AM15" s="1000">
        <v>-12.78</v>
      </c>
      <c r="AN15" s="1204">
        <v>-9.0969999999999995</v>
      </c>
      <c r="AO15" s="1000">
        <v>-9.5649999999999995</v>
      </c>
      <c r="AP15" s="991">
        <f t="shared" si="12"/>
        <v>-43.433999999999997</v>
      </c>
      <c r="AQ15" s="1204">
        <v>-7.6520000000000001</v>
      </c>
      <c r="AR15" s="1204">
        <v>-5.7169999999999996</v>
      </c>
      <c r="AS15" s="1000">
        <v>-5.0999999999999996</v>
      </c>
      <c r="AT15" s="1001"/>
      <c r="AU15" s="991">
        <f t="shared" si="3"/>
        <v>-18.469000000000001</v>
      </c>
      <c r="AV15" s="1001"/>
      <c r="AW15" s="1001"/>
      <c r="AX15" s="1001"/>
      <c r="AY15" s="1001"/>
      <c r="AZ15" s="991">
        <f t="shared" si="4"/>
        <v>0</v>
      </c>
      <c r="BA15" s="1001"/>
      <c r="BB15" s="1001"/>
      <c r="BC15" s="1001"/>
      <c r="BD15" s="1001"/>
      <c r="BE15" s="991">
        <f t="shared" si="5"/>
        <v>0</v>
      </c>
      <c r="BF15" s="1001"/>
      <c r="BG15" s="1001"/>
      <c r="BH15" s="1001"/>
      <c r="BI15" s="1001"/>
      <c r="BJ15" s="991">
        <f t="shared" si="6"/>
        <v>0</v>
      </c>
      <c r="BK15" s="1001"/>
      <c r="BL15" s="1001"/>
      <c r="BM15" s="1001"/>
      <c r="BN15" s="1001"/>
      <c r="BO15" s="991">
        <f t="shared" si="7"/>
        <v>0</v>
      </c>
    </row>
    <row r="16" spans="1:67" s="997" customFormat="1">
      <c r="A16" s="995"/>
      <c r="B16" s="982" t="s">
        <v>288</v>
      </c>
      <c r="C16" s="990"/>
      <c r="D16" s="993"/>
      <c r="E16" s="993"/>
      <c r="F16" s="993"/>
      <c r="G16" s="991">
        <f>SUM(C16:F16)</f>
        <v>0</v>
      </c>
      <c r="H16" s="994">
        <v>0</v>
      </c>
      <c r="I16" s="994">
        <v>0</v>
      </c>
      <c r="J16" s="994">
        <v>0</v>
      </c>
      <c r="K16" s="994">
        <v>0</v>
      </c>
      <c r="L16" s="991">
        <f>SUM(H16:K16)</f>
        <v>0</v>
      </c>
      <c r="M16" s="994">
        <v>0</v>
      </c>
      <c r="N16" s="994">
        <v>0</v>
      </c>
      <c r="O16" s="994">
        <v>0</v>
      </c>
      <c r="P16" s="994">
        <v>0</v>
      </c>
      <c r="Q16" s="991">
        <f t="shared" si="0"/>
        <v>0</v>
      </c>
      <c r="R16" s="994">
        <v>0</v>
      </c>
      <c r="S16" s="994">
        <v>0</v>
      </c>
      <c r="T16" s="994">
        <v>0</v>
      </c>
      <c r="U16" s="994">
        <v>0</v>
      </c>
      <c r="V16" s="991">
        <f>SUM(R16:U16)</f>
        <v>0</v>
      </c>
      <c r="W16" s="994">
        <v>0</v>
      </c>
      <c r="X16" s="994">
        <v>-8.06</v>
      </c>
      <c r="Y16" s="994">
        <v>-0.45500000000000002</v>
      </c>
      <c r="Z16" s="994">
        <v>-19.106000000000002</v>
      </c>
      <c r="AA16" s="991">
        <f t="shared" si="2"/>
        <v>-27.621000000000002</v>
      </c>
      <c r="AB16" s="1000">
        <v>8.859</v>
      </c>
      <c r="AC16" s="1000">
        <v>23.172999999999998</v>
      </c>
      <c r="AD16" s="1000">
        <v>13.064</v>
      </c>
      <c r="AE16" s="1000">
        <v>1.339</v>
      </c>
      <c r="AF16" s="991">
        <f t="shared" si="10"/>
        <v>46.434999999999995</v>
      </c>
      <c r="AG16" s="1000">
        <v>2.4140000000000001</v>
      </c>
      <c r="AH16" s="1000">
        <v>-5.3090000000000002</v>
      </c>
      <c r="AI16" s="1000">
        <v>1.79</v>
      </c>
      <c r="AJ16" s="1000">
        <v>-45.704000000000001</v>
      </c>
      <c r="AK16" s="991">
        <f t="shared" si="11"/>
        <v>-46.808999999999997</v>
      </c>
      <c r="AL16" s="1000">
        <v>20.695</v>
      </c>
      <c r="AM16" s="1000">
        <v>6.508</v>
      </c>
      <c r="AN16" s="1204">
        <v>8.6110000000000007</v>
      </c>
      <c r="AO16" s="1000">
        <v>-4.3940000000000001</v>
      </c>
      <c r="AP16" s="991">
        <f t="shared" si="12"/>
        <v>31.42</v>
      </c>
      <c r="AQ16" s="1204">
        <v>29.684999999999999</v>
      </c>
      <c r="AR16" s="1204">
        <v>5.58</v>
      </c>
      <c r="AS16" s="1000">
        <v>0.255</v>
      </c>
      <c r="AT16" s="1001"/>
      <c r="AU16" s="991">
        <f t="shared" si="3"/>
        <v>35.520000000000003</v>
      </c>
      <c r="AV16" s="1001"/>
      <c r="AW16" s="1001"/>
      <c r="AX16" s="1001"/>
      <c r="AY16" s="1001"/>
      <c r="AZ16" s="991">
        <f t="shared" si="4"/>
        <v>0</v>
      </c>
      <c r="BA16" s="1001"/>
      <c r="BB16" s="1001"/>
      <c r="BC16" s="1001"/>
      <c r="BD16" s="1001"/>
      <c r="BE16" s="991">
        <f t="shared" si="5"/>
        <v>0</v>
      </c>
      <c r="BF16" s="1001"/>
      <c r="BG16" s="1001"/>
      <c r="BH16" s="1001"/>
      <c r="BI16" s="1001"/>
      <c r="BJ16" s="991">
        <f t="shared" si="6"/>
        <v>0</v>
      </c>
      <c r="BK16" s="1001"/>
      <c r="BL16" s="1001"/>
      <c r="BM16" s="1001"/>
      <c r="BN16" s="1001"/>
      <c r="BO16" s="991">
        <f t="shared" si="7"/>
        <v>0</v>
      </c>
    </row>
    <row r="17" spans="1:67 16229:16229" s="997" customFormat="1">
      <c r="A17" s="995"/>
      <c r="B17" s="1167" t="s">
        <v>468</v>
      </c>
      <c r="C17" s="990"/>
      <c r="D17" s="993"/>
      <c r="E17" s="993"/>
      <c r="F17" s="993"/>
      <c r="G17" s="991"/>
      <c r="H17" s="994"/>
      <c r="I17" s="994"/>
      <c r="J17" s="994"/>
      <c r="K17" s="994"/>
      <c r="L17" s="991"/>
      <c r="M17" s="994"/>
      <c r="N17" s="994"/>
      <c r="O17" s="994"/>
      <c r="P17" s="994"/>
      <c r="Q17" s="991"/>
      <c r="R17" s="994"/>
      <c r="S17" s="994"/>
      <c r="T17" s="994"/>
      <c r="U17" s="994"/>
      <c r="V17" s="991"/>
      <c r="W17" s="994"/>
      <c r="X17" s="994"/>
      <c r="Y17" s="994"/>
      <c r="Z17" s="994"/>
      <c r="AA17" s="991"/>
      <c r="AB17" s="1000"/>
      <c r="AC17" s="1000"/>
      <c r="AD17" s="1000"/>
      <c r="AE17" s="1000"/>
      <c r="AF17" s="991"/>
      <c r="AG17" s="1000"/>
      <c r="AH17" s="1000"/>
      <c r="AI17" s="1000"/>
      <c r="AJ17" s="1000"/>
      <c r="AK17" s="991"/>
      <c r="AL17" s="1000"/>
      <c r="AM17" s="1000"/>
      <c r="AN17" s="1204">
        <v>0.68899999999999995</v>
      </c>
      <c r="AO17" s="1000">
        <v>2.0699999999999998</v>
      </c>
      <c r="AP17" s="991"/>
      <c r="AQ17" s="1204">
        <v>2.0710000000000002</v>
      </c>
      <c r="AR17" s="1204">
        <v>2.0739999999999998</v>
      </c>
      <c r="AS17" s="1000">
        <v>2.0750000000000002</v>
      </c>
      <c r="AT17" s="1001"/>
      <c r="AU17" s="991">
        <f t="shared" si="3"/>
        <v>6.22</v>
      </c>
      <c r="AV17" s="1001"/>
      <c r="AW17" s="1001"/>
      <c r="AX17" s="1001"/>
      <c r="AY17" s="1001"/>
      <c r="AZ17" s="991">
        <f t="shared" si="4"/>
        <v>0</v>
      </c>
      <c r="BA17" s="1001"/>
      <c r="BB17" s="1001"/>
      <c r="BC17" s="1001"/>
      <c r="BD17" s="1001"/>
      <c r="BE17" s="991">
        <f t="shared" si="5"/>
        <v>0</v>
      </c>
      <c r="BF17" s="1001"/>
      <c r="BG17" s="1001"/>
      <c r="BH17" s="1001"/>
      <c r="BI17" s="1001"/>
      <c r="BJ17" s="991">
        <f t="shared" si="6"/>
        <v>0</v>
      </c>
      <c r="BK17" s="1001"/>
      <c r="BL17" s="1001"/>
      <c r="BM17" s="1001"/>
      <c r="BN17" s="1001"/>
      <c r="BO17" s="991">
        <f t="shared" si="7"/>
        <v>0</v>
      </c>
    </row>
    <row r="18" spans="1:67 16229:16229" s="997" customFormat="1">
      <c r="A18" s="995"/>
      <c r="B18" s="1167" t="s">
        <v>486</v>
      </c>
      <c r="C18" s="990"/>
      <c r="D18" s="993"/>
      <c r="E18" s="993"/>
      <c r="F18" s="993"/>
      <c r="G18" s="991"/>
      <c r="H18" s="994"/>
      <c r="I18" s="994"/>
      <c r="J18" s="994"/>
      <c r="K18" s="994"/>
      <c r="L18" s="991"/>
      <c r="M18" s="994"/>
      <c r="N18" s="994"/>
      <c r="O18" s="994"/>
      <c r="P18" s="994"/>
      <c r="Q18" s="991"/>
      <c r="R18" s="994"/>
      <c r="S18" s="994"/>
      <c r="T18" s="994"/>
      <c r="U18" s="994"/>
      <c r="V18" s="991"/>
      <c r="W18" s="994"/>
      <c r="X18" s="994"/>
      <c r="Y18" s="994"/>
      <c r="Z18" s="994"/>
      <c r="AA18" s="991"/>
      <c r="AB18" s="1000"/>
      <c r="AC18" s="1000"/>
      <c r="AD18" s="1000"/>
      <c r="AE18" s="1000"/>
      <c r="AF18" s="991"/>
      <c r="AG18" s="1000"/>
      <c r="AH18" s="1000"/>
      <c r="AI18" s="1000"/>
      <c r="AJ18" s="1000"/>
      <c r="AK18" s="991"/>
      <c r="AL18" s="1000"/>
      <c r="AM18" s="1000"/>
      <c r="AN18" s="1204"/>
      <c r="AO18" s="1000"/>
      <c r="AP18" s="991"/>
      <c r="AQ18" s="1204"/>
      <c r="AR18" s="1204">
        <v>2.1309999999999998</v>
      </c>
      <c r="AS18" s="1000">
        <v>9.6000000000000002E-2</v>
      </c>
      <c r="AT18" s="1001"/>
      <c r="AU18" s="991"/>
      <c r="AV18" s="1001"/>
      <c r="AW18" s="1001"/>
      <c r="AX18" s="1001"/>
      <c r="AY18" s="1001"/>
      <c r="AZ18" s="991"/>
      <c r="BA18" s="1001"/>
      <c r="BB18" s="1001"/>
      <c r="BC18" s="1001"/>
      <c r="BD18" s="1001"/>
      <c r="BE18" s="991"/>
      <c r="BF18" s="1001"/>
      <c r="BG18" s="1001"/>
      <c r="BH18" s="1001"/>
      <c r="BI18" s="1001"/>
      <c r="BJ18" s="991"/>
      <c r="BK18" s="1001"/>
      <c r="BL18" s="1001"/>
      <c r="BM18" s="1001"/>
      <c r="BN18" s="1001"/>
      <c r="BO18" s="991"/>
    </row>
    <row r="19" spans="1:67 16229:16229" s="997" customFormat="1">
      <c r="A19" s="995"/>
      <c r="B19" s="982" t="s">
        <v>289</v>
      </c>
      <c r="C19" s="990"/>
      <c r="D19" s="993"/>
      <c r="E19" s="993"/>
      <c r="F19" s="993"/>
      <c r="G19" s="991">
        <f>SUM(C19:F19)</f>
        <v>0</v>
      </c>
      <c r="H19" s="994">
        <v>0</v>
      </c>
      <c r="I19" s="994">
        <v>0</v>
      </c>
      <c r="J19" s="994">
        <v>0</v>
      </c>
      <c r="K19" s="994">
        <v>0</v>
      </c>
      <c r="L19" s="991">
        <f>SUM(H19:K19)</f>
        <v>0</v>
      </c>
      <c r="M19" s="994">
        <v>0</v>
      </c>
      <c r="N19" s="994">
        <v>0</v>
      </c>
      <c r="O19" s="994">
        <v>0</v>
      </c>
      <c r="P19" s="994">
        <v>0</v>
      </c>
      <c r="Q19" s="991">
        <f t="shared" si="0"/>
        <v>0</v>
      </c>
      <c r="R19" s="994">
        <v>0</v>
      </c>
      <c r="S19" s="994">
        <v>0</v>
      </c>
      <c r="T19" s="994">
        <v>0</v>
      </c>
      <c r="U19" s="994">
        <v>0</v>
      </c>
      <c r="V19" s="991">
        <f>SUM(R19:U19)</f>
        <v>0</v>
      </c>
      <c r="W19" s="994">
        <v>0</v>
      </c>
      <c r="X19" s="994">
        <v>0</v>
      </c>
      <c r="Y19" s="994">
        <v>0</v>
      </c>
      <c r="Z19" s="994">
        <v>0</v>
      </c>
      <c r="AA19" s="991">
        <f t="shared" si="2"/>
        <v>0</v>
      </c>
      <c r="AB19" s="1000">
        <v>-26.664000000000001</v>
      </c>
      <c r="AC19" s="1000">
        <v>0</v>
      </c>
      <c r="AD19" s="1000">
        <v>1.387</v>
      </c>
      <c r="AE19" s="1000">
        <v>-1.1479999999999999</v>
      </c>
      <c r="AF19" s="991">
        <f t="shared" si="10"/>
        <v>-26.425000000000001</v>
      </c>
      <c r="AG19" s="1000">
        <v>-8.8680000000000003</v>
      </c>
      <c r="AH19" s="1000">
        <v>-4.0259999999999998</v>
      </c>
      <c r="AI19" s="1000">
        <v>-0.21299999999999999</v>
      </c>
      <c r="AJ19" s="1000">
        <v>-13.654999999999999</v>
      </c>
      <c r="AK19" s="991">
        <f t="shared" si="11"/>
        <v>-26.762</v>
      </c>
      <c r="AL19" s="1000">
        <v>0</v>
      </c>
      <c r="AM19" s="1000">
        <v>4.9000000000000002E-2</v>
      </c>
      <c r="AN19" s="1204">
        <v>-0.58099999999999996</v>
      </c>
      <c r="AO19" s="1000">
        <v>-7.1390000000000002</v>
      </c>
      <c r="AP19" s="991">
        <f t="shared" si="12"/>
        <v>-7.6710000000000003</v>
      </c>
      <c r="AQ19" s="1204">
        <v>106.488</v>
      </c>
      <c r="AR19" s="1204">
        <v>-3.4449999999999998</v>
      </c>
      <c r="AS19" s="1000"/>
      <c r="AT19" s="1001"/>
      <c r="AU19" s="991">
        <f t="shared" si="3"/>
        <v>103.04300000000001</v>
      </c>
      <c r="AV19" s="1001"/>
      <c r="AW19" s="1001"/>
      <c r="AX19" s="1001"/>
      <c r="AY19" s="1001"/>
      <c r="AZ19" s="991">
        <f t="shared" si="4"/>
        <v>0</v>
      </c>
      <c r="BA19" s="1001"/>
      <c r="BB19" s="1001"/>
      <c r="BC19" s="1001"/>
      <c r="BD19" s="1001"/>
      <c r="BE19" s="991">
        <f t="shared" si="5"/>
        <v>0</v>
      </c>
      <c r="BF19" s="1001"/>
      <c r="BG19" s="1001"/>
      <c r="BH19" s="1001"/>
      <c r="BI19" s="1001"/>
      <c r="BJ19" s="991">
        <f t="shared" si="6"/>
        <v>0</v>
      </c>
      <c r="BK19" s="1001"/>
      <c r="BL19" s="1001"/>
      <c r="BM19" s="1001"/>
      <c r="BN19" s="1001"/>
      <c r="BO19" s="991">
        <f t="shared" si="7"/>
        <v>0</v>
      </c>
    </row>
    <row r="20" spans="1:67 16229:16229" s="997" customFormat="1">
      <c r="A20" s="995"/>
      <c r="B20" s="982" t="s">
        <v>46</v>
      </c>
      <c r="C20" s="990"/>
      <c r="D20" s="993"/>
      <c r="E20" s="993"/>
      <c r="F20" s="993"/>
      <c r="G20" s="991">
        <f>SUM(C20:F20)</f>
        <v>0</v>
      </c>
      <c r="H20" s="994">
        <v>0.105</v>
      </c>
      <c r="I20" s="994">
        <v>-3.1E-2</v>
      </c>
      <c r="J20" s="994">
        <v>-3.5999999999999997E-2</v>
      </c>
      <c r="K20" s="994">
        <v>0.183</v>
      </c>
      <c r="L20" s="991">
        <f>SUM(H20:K20)</f>
        <v>0.221</v>
      </c>
      <c r="M20" s="994">
        <v>0.19400000000000001</v>
      </c>
      <c r="N20" s="994">
        <v>0.753</v>
      </c>
      <c r="O20" s="994">
        <v>0.32900000000000001</v>
      </c>
      <c r="P20" s="994">
        <v>0.2</v>
      </c>
      <c r="Q20" s="991">
        <f t="shared" si="0"/>
        <v>1.476</v>
      </c>
      <c r="R20" s="994">
        <v>-0.17499999999999999</v>
      </c>
      <c r="S20" s="994">
        <v>4.2240000000000002</v>
      </c>
      <c r="T20" s="994">
        <v>2.4E-2</v>
      </c>
      <c r="U20" s="994">
        <v>0.50700000000000001</v>
      </c>
      <c r="V20" s="991">
        <f>SUM(R20:U20)</f>
        <v>4.58</v>
      </c>
      <c r="W20" s="994">
        <v>1.214</v>
      </c>
      <c r="X20" s="994">
        <v>1.5680000000000001</v>
      </c>
      <c r="Y20" s="994">
        <v>-0.247</v>
      </c>
      <c r="Z20" s="994">
        <v>-1.238</v>
      </c>
      <c r="AA20" s="991">
        <f t="shared" si="2"/>
        <v>1.2970000000000002</v>
      </c>
      <c r="AB20" s="1000">
        <v>1.7609999999999999</v>
      </c>
      <c r="AC20" s="1000">
        <v>0.313</v>
      </c>
      <c r="AD20" s="1000">
        <v>-1.3959999999999999</v>
      </c>
      <c r="AE20" s="1000">
        <v>0.94</v>
      </c>
      <c r="AF20" s="991">
        <f t="shared" si="10"/>
        <v>1.6179999999999999</v>
      </c>
      <c r="AG20" s="1000">
        <v>9.9779999999999998</v>
      </c>
      <c r="AH20" s="1000">
        <v>1.8340000000000001</v>
      </c>
      <c r="AI20" s="1000">
        <v>2.4740000000000002</v>
      </c>
      <c r="AJ20" s="1000">
        <v>0.60899999999999999</v>
      </c>
      <c r="AK20" s="991">
        <f t="shared" si="11"/>
        <v>14.895</v>
      </c>
      <c r="AL20" s="1000">
        <v>0.66900000000000004</v>
      </c>
      <c r="AM20" s="1000">
        <v>1.2490000000000001</v>
      </c>
      <c r="AN20" s="1204">
        <v>2.9609999999999999</v>
      </c>
      <c r="AO20" s="1000">
        <v>2.5409999999999999</v>
      </c>
      <c r="AP20" s="991">
        <f t="shared" si="12"/>
        <v>7.42</v>
      </c>
      <c r="AQ20" s="1204">
        <v>-5.1740000000000004</v>
      </c>
      <c r="AR20" s="1204">
        <v>1.6850000000000001</v>
      </c>
      <c r="AS20" s="1000">
        <f>-11.159+1.216</f>
        <v>-9.9430000000000014</v>
      </c>
      <c r="AT20" s="1001"/>
      <c r="AU20" s="991">
        <f t="shared" si="3"/>
        <v>-13.432000000000002</v>
      </c>
      <c r="AV20" s="1001"/>
      <c r="AW20" s="1001"/>
      <c r="AX20" s="1001"/>
      <c r="AY20" s="1001"/>
      <c r="AZ20" s="991">
        <f t="shared" si="4"/>
        <v>0</v>
      </c>
      <c r="BA20" s="1001"/>
      <c r="BB20" s="1001"/>
      <c r="BC20" s="1001"/>
      <c r="BD20" s="1001"/>
      <c r="BE20" s="991">
        <f t="shared" si="5"/>
        <v>0</v>
      </c>
      <c r="BF20" s="1001"/>
      <c r="BG20" s="1001"/>
      <c r="BH20" s="1001"/>
      <c r="BI20" s="1001"/>
      <c r="BJ20" s="991">
        <f t="shared" si="6"/>
        <v>0</v>
      </c>
      <c r="BK20" s="1001"/>
      <c r="BL20" s="1001"/>
      <c r="BM20" s="1001"/>
      <c r="BN20" s="1001"/>
      <c r="BO20" s="991">
        <f t="shared" si="7"/>
        <v>0</v>
      </c>
    </row>
    <row r="21" spans="1:67 16229:16229" s="997" customFormat="1" hidden="1" outlineLevel="1">
      <c r="A21" s="995"/>
      <c r="B21" s="982" t="s">
        <v>290</v>
      </c>
      <c r="C21" s="990"/>
      <c r="D21" s="993"/>
      <c r="E21" s="993"/>
      <c r="F21" s="994"/>
      <c r="G21" s="991">
        <f>SUM(C21:F21)</f>
        <v>0</v>
      </c>
      <c r="H21" s="994"/>
      <c r="I21" s="994"/>
      <c r="J21" s="994"/>
      <c r="K21" s="994"/>
      <c r="L21" s="991">
        <f>SUM(H21:K21)</f>
        <v>0</v>
      </c>
      <c r="M21" s="994"/>
      <c r="N21" s="994"/>
      <c r="O21" s="994"/>
      <c r="P21" s="994"/>
      <c r="Q21" s="991">
        <f t="shared" si="0"/>
        <v>0</v>
      </c>
      <c r="R21" s="994">
        <v>0</v>
      </c>
      <c r="S21" s="994">
        <v>0</v>
      </c>
      <c r="T21" s="994">
        <v>0</v>
      </c>
      <c r="U21" s="994">
        <v>0</v>
      </c>
      <c r="V21" s="991">
        <f>SUM(R21:U21)</f>
        <v>0</v>
      </c>
      <c r="W21" s="994">
        <v>0</v>
      </c>
      <c r="X21" s="994">
        <v>0</v>
      </c>
      <c r="Y21" s="994">
        <v>0</v>
      </c>
      <c r="Z21" s="994">
        <v>0</v>
      </c>
      <c r="AA21" s="991">
        <f t="shared" si="2"/>
        <v>0</v>
      </c>
      <c r="AB21" s="1000">
        <v>0</v>
      </c>
      <c r="AC21" s="1000">
        <v>0</v>
      </c>
      <c r="AD21" s="1000">
        <v>0</v>
      </c>
      <c r="AE21" s="1000">
        <v>0</v>
      </c>
      <c r="AF21" s="991">
        <f t="shared" si="10"/>
        <v>0</v>
      </c>
      <c r="AG21" s="1000">
        <v>0</v>
      </c>
      <c r="AH21" s="1000">
        <v>0</v>
      </c>
      <c r="AI21" s="1000">
        <v>0</v>
      </c>
      <c r="AJ21" s="1000">
        <v>0</v>
      </c>
      <c r="AK21" s="991">
        <f t="shared" si="11"/>
        <v>0</v>
      </c>
      <c r="AL21" s="1002">
        <v>0</v>
      </c>
      <c r="AM21" s="1000">
        <v>0</v>
      </c>
      <c r="AN21" s="1204"/>
      <c r="AO21" s="1000"/>
      <c r="AP21" s="991">
        <f t="shared" si="12"/>
        <v>0</v>
      </c>
      <c r="AQ21" s="1051"/>
      <c r="AR21" s="1204"/>
      <c r="AS21" s="1000"/>
      <c r="AT21" s="1000"/>
      <c r="AU21" s="991">
        <f t="shared" si="3"/>
        <v>0</v>
      </c>
      <c r="AV21" s="1002"/>
      <c r="AW21" s="1000"/>
      <c r="AX21" s="1000"/>
      <c r="AY21" s="1000"/>
      <c r="AZ21" s="991">
        <f t="shared" si="4"/>
        <v>0</v>
      </c>
      <c r="BA21" s="1002"/>
      <c r="BB21" s="1000"/>
      <c r="BC21" s="1000"/>
      <c r="BD21" s="1000"/>
      <c r="BE21" s="991">
        <f t="shared" si="5"/>
        <v>0</v>
      </c>
      <c r="BF21" s="1002"/>
      <c r="BG21" s="1000"/>
      <c r="BH21" s="1000"/>
      <c r="BI21" s="1000"/>
      <c r="BJ21" s="991">
        <f t="shared" si="6"/>
        <v>0</v>
      </c>
      <c r="BK21" s="1002"/>
      <c r="BL21" s="1000"/>
      <c r="BM21" s="1000"/>
      <c r="BN21" s="1000"/>
      <c r="BO21" s="991">
        <f t="shared" si="7"/>
        <v>0</v>
      </c>
      <c r="WZE21" s="1003"/>
    </row>
    <row r="22" spans="1:67 16229:16229" s="997" customFormat="1" collapsed="1">
      <c r="A22" s="995"/>
      <c r="B22" s="982"/>
      <c r="C22" s="990"/>
      <c r="D22" s="993"/>
      <c r="E22" s="993"/>
      <c r="F22" s="993"/>
      <c r="G22" s="991"/>
      <c r="H22" s="994"/>
      <c r="I22" s="994"/>
      <c r="J22" s="994"/>
      <c r="K22" s="994"/>
      <c r="L22" s="991"/>
      <c r="M22" s="994"/>
      <c r="N22" s="994"/>
      <c r="O22" s="994"/>
      <c r="P22" s="994"/>
      <c r="Q22" s="991"/>
      <c r="R22" s="994"/>
      <c r="S22" s="994"/>
      <c r="T22" s="994"/>
      <c r="U22" s="994"/>
      <c r="V22" s="991"/>
      <c r="W22" s="994"/>
      <c r="X22" s="993"/>
      <c r="Y22" s="993"/>
      <c r="Z22" s="994"/>
      <c r="AA22" s="991"/>
      <c r="AB22" s="1002"/>
      <c r="AC22" s="1000"/>
      <c r="AD22" s="1000"/>
      <c r="AE22" s="1000"/>
      <c r="AF22" s="991"/>
      <c r="AG22" s="1002"/>
      <c r="AH22" s="1000"/>
      <c r="AI22" s="1000"/>
      <c r="AJ22" s="1000"/>
      <c r="AK22" s="991"/>
      <c r="AL22" s="1002"/>
      <c r="AM22" s="1000"/>
      <c r="AN22" s="1204"/>
      <c r="AO22" s="1000"/>
      <c r="AP22" s="991"/>
      <c r="AQ22" s="1051"/>
      <c r="AR22" s="1204"/>
      <c r="AS22" s="1000"/>
      <c r="AT22" s="1000"/>
      <c r="AU22" s="991"/>
      <c r="AV22" s="1002"/>
      <c r="AW22" s="1000"/>
      <c r="AX22" s="1000"/>
      <c r="AY22" s="1000"/>
      <c r="AZ22" s="991"/>
      <c r="BA22" s="1002"/>
      <c r="BB22" s="1000"/>
      <c r="BC22" s="1000"/>
      <c r="BD22" s="1000"/>
      <c r="BE22" s="991"/>
      <c r="BF22" s="1002"/>
      <c r="BG22" s="1000"/>
      <c r="BH22" s="1000"/>
      <c r="BI22" s="1000"/>
      <c r="BJ22" s="991"/>
      <c r="BK22" s="1002"/>
      <c r="BL22" s="1000"/>
      <c r="BM22" s="1000"/>
      <c r="BN22" s="1000"/>
      <c r="BO22" s="991"/>
      <c r="WZE22" s="1003"/>
    </row>
    <row r="23" spans="1:67 16229:16229" s="997" customFormat="1">
      <c r="A23" s="995"/>
      <c r="B23" s="984" t="s">
        <v>269</v>
      </c>
      <c r="C23" s="990"/>
      <c r="D23" s="993"/>
      <c r="E23" s="993"/>
      <c r="F23" s="993"/>
      <c r="G23" s="991"/>
      <c r="H23" s="994"/>
      <c r="I23" s="994"/>
      <c r="J23" s="994"/>
      <c r="K23" s="994"/>
      <c r="L23" s="991"/>
      <c r="M23" s="994"/>
      <c r="N23" s="994"/>
      <c r="O23" s="994"/>
      <c r="P23" s="994"/>
      <c r="Q23" s="991"/>
      <c r="R23" s="994"/>
      <c r="S23" s="994"/>
      <c r="T23" s="994"/>
      <c r="U23" s="994"/>
      <c r="V23" s="991"/>
      <c r="W23" s="994"/>
      <c r="X23" s="993"/>
      <c r="Y23" s="993"/>
      <c r="Z23" s="994"/>
      <c r="AA23" s="991"/>
      <c r="AB23" s="1004"/>
      <c r="AC23" s="1004"/>
      <c r="AD23" s="1004"/>
      <c r="AE23" s="1004"/>
      <c r="AF23" s="991"/>
      <c r="AG23" s="1004"/>
      <c r="AH23" s="1004"/>
      <c r="AI23" s="1004"/>
      <c r="AJ23" s="1004"/>
      <c r="AK23" s="991"/>
      <c r="AL23" s="1004"/>
      <c r="AM23" s="1004"/>
      <c r="AN23" s="1204"/>
      <c r="AO23" s="1004"/>
      <c r="AP23" s="991"/>
      <c r="AQ23" s="1351"/>
      <c r="AR23" s="1204"/>
      <c r="AS23" s="1000"/>
      <c r="AT23" s="1004"/>
      <c r="AU23" s="991"/>
      <c r="AV23" s="1004"/>
      <c r="AW23" s="1004"/>
      <c r="AX23" s="1004"/>
      <c r="AY23" s="1004"/>
      <c r="AZ23" s="991"/>
      <c r="BA23" s="1004"/>
      <c r="BB23" s="1004"/>
      <c r="BC23" s="1004"/>
      <c r="BD23" s="1004"/>
      <c r="BE23" s="991"/>
      <c r="BF23" s="1004"/>
      <c r="BG23" s="1004"/>
      <c r="BH23" s="1004"/>
      <c r="BI23" s="1004"/>
      <c r="BJ23" s="991"/>
      <c r="BK23" s="1004"/>
      <c r="BL23" s="1004"/>
      <c r="BM23" s="1004"/>
      <c r="BN23" s="1004"/>
      <c r="BO23" s="991"/>
      <c r="WZE23" s="1003"/>
    </row>
    <row r="24" spans="1:67 16229:16229" s="997" customFormat="1">
      <c r="A24" s="995"/>
      <c r="B24" s="982" t="s">
        <v>227</v>
      </c>
      <c r="C24" s="990"/>
      <c r="D24" s="993"/>
      <c r="E24" s="993"/>
      <c r="F24" s="994"/>
      <c r="G24" s="991">
        <f t="shared" si="8"/>
        <v>0</v>
      </c>
      <c r="H24" s="994">
        <v>-8.7859999999999996</v>
      </c>
      <c r="I24" s="994">
        <v>-13.807</v>
      </c>
      <c r="J24" s="994">
        <v>7.2409999999999997</v>
      </c>
      <c r="K24" s="994">
        <v>-36.069000000000003</v>
      </c>
      <c r="L24" s="991">
        <f t="shared" si="9"/>
        <v>-51.421000000000006</v>
      </c>
      <c r="M24" s="994">
        <v>12.199</v>
      </c>
      <c r="N24" s="994">
        <v>-56.871000000000002</v>
      </c>
      <c r="O24" s="994">
        <v>6.4790000000000001</v>
      </c>
      <c r="P24" s="994">
        <v>-78.676000000000002</v>
      </c>
      <c r="Q24" s="991">
        <f t="shared" ref="Q24:Q32" si="13">SUM(M24:P24)</f>
        <v>-116.869</v>
      </c>
      <c r="R24" s="994">
        <v>82.700999999999993</v>
      </c>
      <c r="S24" s="994">
        <v>-55.572000000000003</v>
      </c>
      <c r="T24" s="994">
        <v>-17.908000000000001</v>
      </c>
      <c r="U24" s="994">
        <v>-125.51</v>
      </c>
      <c r="V24" s="991">
        <f t="shared" ref="V24:V31" si="14">SUM(R24:U24)</f>
        <v>-116.28900000000002</v>
      </c>
      <c r="W24" s="994">
        <v>127.179</v>
      </c>
      <c r="X24" s="994">
        <v>-71.283000000000001</v>
      </c>
      <c r="Y24" s="994">
        <v>-16.754000000000001</v>
      </c>
      <c r="Z24" s="994">
        <v>-290.79399999999998</v>
      </c>
      <c r="AA24" s="991">
        <f t="shared" ref="AA24:AA31" si="15">SUM(W24:Z24)</f>
        <v>-251.65199999999999</v>
      </c>
      <c r="AB24" s="994">
        <v>266.65600000000001</v>
      </c>
      <c r="AC24" s="994">
        <v>-27.087</v>
      </c>
      <c r="AD24" s="994">
        <v>-88.846000000000004</v>
      </c>
      <c r="AE24" s="994">
        <v>-317.68799999999999</v>
      </c>
      <c r="AF24" s="991">
        <f t="shared" ref="AF24:AF31" si="16">SUM(AB24:AE24)</f>
        <v>-166.96499999999997</v>
      </c>
      <c r="AG24" s="994">
        <v>362.89299999999997</v>
      </c>
      <c r="AH24" s="994">
        <v>-53.05</v>
      </c>
      <c r="AI24" s="994">
        <v>-104.705</v>
      </c>
      <c r="AJ24" s="994">
        <v>-417.221</v>
      </c>
      <c r="AK24" s="991">
        <f t="shared" ref="AK24:AK31" si="17">SUM(AG24:AJ24)</f>
        <v>-212.08300000000003</v>
      </c>
      <c r="AL24" s="994">
        <v>579.31899999999996</v>
      </c>
      <c r="AM24" s="994">
        <v>-87.126999999999995</v>
      </c>
      <c r="AN24" s="1207">
        <v>-163.488</v>
      </c>
      <c r="AO24" s="994">
        <v>-328.16800000000001</v>
      </c>
      <c r="AP24" s="991">
        <f t="shared" ref="AP24:AP31" si="18">SUM(AL24:AO24)</f>
        <v>0.53599999999994452</v>
      </c>
      <c r="AQ24" s="1207">
        <v>393.65699999999998</v>
      </c>
      <c r="AR24" s="1207">
        <v>-117.60599999999999</v>
      </c>
      <c r="AS24" s="1400">
        <v>-288.67599999999999</v>
      </c>
      <c r="AT24" s="990">
        <f>(BS!AS13-BS!AT13)</f>
        <v>-229.70739122896612</v>
      </c>
      <c r="AU24" s="991">
        <f t="shared" ref="AU24:AU29" si="19">SUM(AQ24:AT24)</f>
        <v>-242.33239122896612</v>
      </c>
      <c r="AV24" s="990">
        <f>(BS!AT13-BS!AV13)</f>
        <v>587.91971949173239</v>
      </c>
      <c r="AW24" s="990">
        <f>(BS!AV13-BS!AW13)</f>
        <v>-188.52203031581655</v>
      </c>
      <c r="AX24" s="990">
        <f>(BS!AW13-BS!AX13)</f>
        <v>-360.87673900374682</v>
      </c>
      <c r="AY24" s="990">
        <f>(BS!AX13-BS!AY13)</f>
        <v>-235.27364498151951</v>
      </c>
      <c r="AZ24" s="991">
        <f t="shared" ref="AZ24:AZ29" si="20">SUM(AV24:AY24)</f>
        <v>-196.75269480935049</v>
      </c>
      <c r="BA24" s="990">
        <f>(BS!AY13-BS!BA13)</f>
        <v>699.91184829378426</v>
      </c>
      <c r="BB24" s="990">
        <f>(BS!BA13-BS!BB13)</f>
        <v>-234.12549402375373</v>
      </c>
      <c r="BC24" s="990">
        <f>(BS!BB13-BS!BC13)</f>
        <v>-449.19976332110662</v>
      </c>
      <c r="BD24" s="990">
        <f>(BS!BC13-BS!BD13)</f>
        <v>-275.24839397131336</v>
      </c>
      <c r="BE24" s="991">
        <f t="shared" ref="BE24:BE29" si="21">SUM(BA24:BD24)</f>
        <v>-258.66180302238945</v>
      </c>
      <c r="BF24" s="990">
        <f>(BS!BD13-BS!BF13)</f>
        <v>884.34394875865644</v>
      </c>
      <c r="BG24" s="990">
        <f>(BS!BF13-BS!BG13)</f>
        <v>-324.84951160157073</v>
      </c>
      <c r="BH24" s="990">
        <f>(BS!BG13-BS!BH13)</f>
        <v>-575.72609308185588</v>
      </c>
      <c r="BI24" s="990">
        <f>(BS!BH13-BS!BI13)</f>
        <v>-350.43817916554144</v>
      </c>
      <c r="BJ24" s="991">
        <f t="shared" ref="BJ24:BJ29" si="22">SUM(BF24:BI24)</f>
        <v>-366.66983509031161</v>
      </c>
      <c r="BK24" s="990">
        <f>(BS!BI13-BS!BK13)</f>
        <v>1102.7264422692924</v>
      </c>
      <c r="BL24" s="990">
        <f>(BS!BK13-BS!BL13)</f>
        <v>-375.61337952419569</v>
      </c>
      <c r="BM24" s="990">
        <f>(BS!BL13-BS!BM13)</f>
        <v>-716.4658396594657</v>
      </c>
      <c r="BN24" s="990">
        <f>(BS!BM13-BS!BN13)</f>
        <v>-407.03903172631158</v>
      </c>
      <c r="BO24" s="991">
        <f t="shared" ref="BO24:BO29" si="23">SUM(BK24:BN24)</f>
        <v>-396.39180864068055</v>
      </c>
      <c r="WZE24" s="1003"/>
    </row>
    <row r="25" spans="1:67 16229:16229" s="1003" customFormat="1">
      <c r="A25" s="1005"/>
      <c r="B25" s="982" t="s">
        <v>233</v>
      </c>
      <c r="C25" s="990"/>
      <c r="D25" s="993"/>
      <c r="E25" s="993"/>
      <c r="F25" s="994"/>
      <c r="G25" s="991">
        <f t="shared" si="8"/>
        <v>0</v>
      </c>
      <c r="H25" s="994">
        <v>-2.9119999999999999</v>
      </c>
      <c r="I25" s="994">
        <v>-6.5830000000000002</v>
      </c>
      <c r="J25" s="994">
        <v>-7.0140000000000002</v>
      </c>
      <c r="K25" s="994">
        <v>-19.835000000000001</v>
      </c>
      <c r="L25" s="991">
        <f t="shared" si="9"/>
        <v>-36.344000000000001</v>
      </c>
      <c r="M25" s="994">
        <v>-6.5620000000000003</v>
      </c>
      <c r="N25" s="994">
        <v>-12.718</v>
      </c>
      <c r="O25" s="994">
        <v>-15.724</v>
      </c>
      <c r="P25" s="994">
        <v>-33.591000000000001</v>
      </c>
      <c r="Q25" s="991">
        <f t="shared" si="13"/>
        <v>-68.594999999999999</v>
      </c>
      <c r="R25" s="994">
        <v>-5.5439999999999996</v>
      </c>
      <c r="S25" s="994">
        <v>-8.7219999999999995</v>
      </c>
      <c r="T25" s="994">
        <v>-12.994999999999999</v>
      </c>
      <c r="U25" s="994">
        <v>-24.183</v>
      </c>
      <c r="V25" s="991">
        <f t="shared" si="14"/>
        <v>-51.443999999999996</v>
      </c>
      <c r="W25" s="994">
        <v>-14.749000000000001</v>
      </c>
      <c r="X25" s="994">
        <v>-19.181999999999999</v>
      </c>
      <c r="Y25" s="994">
        <v>-18.960999999999999</v>
      </c>
      <c r="Z25" s="994">
        <v>-42.984999999999999</v>
      </c>
      <c r="AA25" s="991">
        <f t="shared" si="15"/>
        <v>-95.876999999999995</v>
      </c>
      <c r="AB25" s="994">
        <v>-16.718</v>
      </c>
      <c r="AC25" s="994">
        <v>-23.187999999999999</v>
      </c>
      <c r="AD25" s="994">
        <v>-23.721</v>
      </c>
      <c r="AE25" s="994">
        <v>-31.48</v>
      </c>
      <c r="AF25" s="991">
        <f t="shared" si="16"/>
        <v>-95.106999999999999</v>
      </c>
      <c r="AG25" s="994">
        <v>-16.440000000000001</v>
      </c>
      <c r="AH25" s="994">
        <v>-24.552</v>
      </c>
      <c r="AI25" s="994">
        <v>-25.478000000000002</v>
      </c>
      <c r="AJ25" s="994">
        <v>-68.316999999999993</v>
      </c>
      <c r="AK25" s="991">
        <f t="shared" si="17"/>
        <v>-134.78699999999998</v>
      </c>
      <c r="AL25" s="994">
        <v>-14.94</v>
      </c>
      <c r="AM25" s="994">
        <v>-21.814</v>
      </c>
      <c r="AN25" s="1207">
        <v>-26.030999999999999</v>
      </c>
      <c r="AO25" s="994">
        <v>-38.783999999999999</v>
      </c>
      <c r="AP25" s="991">
        <f t="shared" si="18"/>
        <v>-101.56899999999999</v>
      </c>
      <c r="AQ25" s="1207">
        <v>-31.114000000000001</v>
      </c>
      <c r="AR25" s="1207">
        <v>-53.75</v>
      </c>
      <c r="AS25" s="1400">
        <v>-96.816000000000003</v>
      </c>
      <c r="AT25" s="990">
        <f>(BS!AS14-BS!AT14)+(BS!AS23-BS!AT23)</f>
        <v>77.218617562499944</v>
      </c>
      <c r="AU25" s="991">
        <f t="shared" si="19"/>
        <v>-104.46138243750006</v>
      </c>
      <c r="AV25" s="990">
        <f>(BS!AT14-BS!AV14)+(BS!AT23-BS!AV23)</f>
        <v>-14.067078041936881</v>
      </c>
      <c r="AW25" s="990">
        <f>(BS!AV14-BS!AW14)+(BS!AV23-BS!AW23)</f>
        <v>-26.64240315001382</v>
      </c>
      <c r="AX25" s="990">
        <f>(BS!AW14-BS!AX14)+(BS!AW23-BS!AX23)</f>
        <v>-72.483918728347845</v>
      </c>
      <c r="AY25" s="990">
        <f>(BS!AX14-BS!AY14)+(BS!AX23-BS!AY23)</f>
        <v>96.742150893019456</v>
      </c>
      <c r="AZ25" s="991">
        <f t="shared" si="20"/>
        <v>-16.45124902727909</v>
      </c>
      <c r="BA25" s="990">
        <f>(BS!AY14-BS!BA14)+(BS!AY23-BS!BA23)</f>
        <v>-24.435177691043421</v>
      </c>
      <c r="BB25" s="990">
        <f>(BS!BA14-BS!BB14)+(BS!BA23-BS!BB23)</f>
        <v>-30.308720759589846</v>
      </c>
      <c r="BC25" s="990">
        <f>(BS!BB14-BS!BC14)+(BS!BB23-BS!BC23)</f>
        <v>-88.192665340302938</v>
      </c>
      <c r="BD25" s="990">
        <f>(BS!BC14-BS!BD14)+(BS!BC23-BS!BD23)</f>
        <v>125.84205556008818</v>
      </c>
      <c r="BE25" s="991">
        <f t="shared" si="21"/>
        <v>-17.094508230848007</v>
      </c>
      <c r="BF25" s="990">
        <f>(BS!BD14-BS!BF14)+(BS!BD23-BS!BF23)</f>
        <v>-32.320763872232831</v>
      </c>
      <c r="BG25" s="990">
        <f>(BS!BF14-BS!BG14)+(BS!BF23-BS!BG23)</f>
        <v>-34.17695292625254</v>
      </c>
      <c r="BH25" s="990">
        <f>(BS!BG14-BS!BH14)+(BS!BG23-BS!BH23)</f>
        <v>-113.3730138864251</v>
      </c>
      <c r="BI25" s="990">
        <f>(BS!BH14-BS!BI14)+(BS!BH23-BS!BI23)</f>
        <v>156.25969960956283</v>
      </c>
      <c r="BJ25" s="991">
        <f t="shared" si="22"/>
        <v>-23.611031075347654</v>
      </c>
      <c r="BK25" s="990">
        <f>(BS!BI14-BS!BK14)+(BS!BI23-BS!BK23)</f>
        <v>-48.142450545861948</v>
      </c>
      <c r="BL25" s="990">
        <f>(BS!BK14-BS!BL14)+(BS!BK23-BS!BL23)</f>
        <v>-32.998361750331497</v>
      </c>
      <c r="BM25" s="990">
        <f>(BS!BL14-BS!BM14)+(BS!BL23-BS!BM23)</f>
        <v>-138.63573719985595</v>
      </c>
      <c r="BN25" s="990">
        <f>(BS!BM14-BS!BN14)+(BS!BM23-BS!BN23)</f>
        <v>198.53719071749973</v>
      </c>
      <c r="BO25" s="991">
        <f t="shared" si="23"/>
        <v>-21.239358778549672</v>
      </c>
    </row>
    <row r="26" spans="1:67 16229:16229" s="1003" customFormat="1">
      <c r="A26" s="1005"/>
      <c r="B26" s="982" t="s">
        <v>291</v>
      </c>
      <c r="C26" s="990"/>
      <c r="D26" s="993"/>
      <c r="E26" s="993"/>
      <c r="F26" s="994"/>
      <c r="G26" s="991">
        <f t="shared" si="8"/>
        <v>0</v>
      </c>
      <c r="H26" s="994">
        <v>0.17299999999999999</v>
      </c>
      <c r="I26" s="994">
        <v>-2.423</v>
      </c>
      <c r="J26" s="994">
        <v>-1.286</v>
      </c>
      <c r="K26" s="994">
        <v>-5.5549999999999997</v>
      </c>
      <c r="L26" s="991">
        <f t="shared" si="9"/>
        <v>-9.0909999999999993</v>
      </c>
      <c r="M26" s="994">
        <v>-2.0590000000000002</v>
      </c>
      <c r="N26" s="994">
        <v>-3.226</v>
      </c>
      <c r="O26" s="994">
        <v>-3.5710000000000002</v>
      </c>
      <c r="P26" s="994">
        <v>-1.9550000000000001</v>
      </c>
      <c r="Q26" s="991">
        <f t="shared" si="13"/>
        <v>-10.811</v>
      </c>
      <c r="R26" s="994">
        <v>-8.9459999999999997</v>
      </c>
      <c r="S26" s="994">
        <v>7.4939999999999998</v>
      </c>
      <c r="T26" s="994">
        <v>-28.027999999999999</v>
      </c>
      <c r="U26" s="994">
        <v>-32.869</v>
      </c>
      <c r="V26" s="991">
        <f t="shared" si="14"/>
        <v>-62.348999999999997</v>
      </c>
      <c r="W26" s="994">
        <v>-54.356999999999999</v>
      </c>
      <c r="X26" s="994">
        <v>-15.731</v>
      </c>
      <c r="Y26" s="994">
        <v>-42.71</v>
      </c>
      <c r="Z26" s="994">
        <v>-46.360999999999997</v>
      </c>
      <c r="AA26" s="991">
        <f t="shared" si="15"/>
        <v>-159.15899999999999</v>
      </c>
      <c r="AB26" s="994">
        <v>-57.534999999999997</v>
      </c>
      <c r="AC26" s="994">
        <v>29.358000000000001</v>
      </c>
      <c r="AD26" s="994">
        <v>41.345999999999997</v>
      </c>
      <c r="AE26" s="994">
        <v>-16.073</v>
      </c>
      <c r="AF26" s="991">
        <f t="shared" si="16"/>
        <v>-2.9039999999999999</v>
      </c>
      <c r="AG26" s="994">
        <v>5.5270000000000001</v>
      </c>
      <c r="AH26" s="994">
        <v>41.389000000000003</v>
      </c>
      <c r="AI26" s="994">
        <v>4.6580000000000004</v>
      </c>
      <c r="AJ26" s="994">
        <v>8.2210000000000001</v>
      </c>
      <c r="AK26" s="991">
        <f t="shared" si="17"/>
        <v>59.795000000000002</v>
      </c>
      <c r="AL26" s="994">
        <v>-1.111</v>
      </c>
      <c r="AM26" s="994">
        <v>34.457999999999998</v>
      </c>
      <c r="AN26" s="1207">
        <v>9.109</v>
      </c>
      <c r="AO26" s="994">
        <v>-12.606</v>
      </c>
      <c r="AP26" s="991">
        <f t="shared" si="18"/>
        <v>29.85</v>
      </c>
      <c r="AQ26" s="1207">
        <v>-17.852</v>
      </c>
      <c r="AR26" s="1207">
        <v>-4.4859999999999998</v>
      </c>
      <c r="AS26" s="1400">
        <v>19.823</v>
      </c>
      <c r="AT26" s="990">
        <f>(BS!AS15-BS!AT15)+(BS!AS24-BS!AT24)</f>
        <v>-43.589041932713229</v>
      </c>
      <c r="AU26" s="991">
        <f t="shared" si="19"/>
        <v>-46.10404193271323</v>
      </c>
      <c r="AV26" s="990">
        <f>(BS!AT15-BS!AV15)+(BS!AT24-BS!AV24)</f>
        <v>-39.221722281560801</v>
      </c>
      <c r="AW26" s="990">
        <f>(BS!AV15-BS!AW15)+(BS!AV24-BS!AW24)</f>
        <v>16.86137282261285</v>
      </c>
      <c r="AX26" s="990">
        <f>(BS!AW15-BS!AX15)+(BS!AW24-BS!AX24)</f>
        <v>125.72180786957912</v>
      </c>
      <c r="AY26" s="990">
        <f>(BS!AX15-BS!AY15)+(BS!AX24-BS!AY24)</f>
        <v>-142.04651282624141</v>
      </c>
      <c r="AZ26" s="991">
        <f t="shared" si="20"/>
        <v>-38.685054415610239</v>
      </c>
      <c r="BA26" s="990">
        <f>(BS!AY15-BS!BA15)+(BS!AY24-BS!BA24)</f>
        <v>-59.533131645390597</v>
      </c>
      <c r="BB26" s="990">
        <f>(BS!BA15-BS!BB15)+(BS!BA24-BS!BB24)</f>
        <v>26.591824963909573</v>
      </c>
      <c r="BC26" s="990">
        <f>(BS!BB15-BS!BC15)+(BS!BB24-BS!BC24)</f>
        <v>161.53598526614013</v>
      </c>
      <c r="BD26" s="990">
        <f>(BS!BC15-BS!BD15)+(BS!BC24-BS!BD24)</f>
        <v>-166.76932142085943</v>
      </c>
      <c r="BE26" s="991">
        <f t="shared" si="21"/>
        <v>-38.17464283620032</v>
      </c>
      <c r="BF26" s="990">
        <f>(BS!BD15-BS!BF15)+(BS!BD24-BS!BF24)</f>
        <v>-61.568575192866177</v>
      </c>
      <c r="BG26" s="990">
        <f>(BS!BF15-BS!BG15)+(BS!BF24-BS!BG24)</f>
        <v>43.89935485855159</v>
      </c>
      <c r="BH26" s="990">
        <f>(BS!BG15-BS!BH15)+(BS!BG24-BS!BH24)</f>
        <v>196.8818761593341</v>
      </c>
      <c r="BI26" s="990">
        <f>(BS!BH15-BS!BI15)+(BS!BH24-BS!BI24)</f>
        <v>-207.74427895375445</v>
      </c>
      <c r="BJ26" s="991">
        <f t="shared" si="22"/>
        <v>-28.531623128734935</v>
      </c>
      <c r="BK26" s="990">
        <f>(BS!BI15-BS!BK15)+(BS!BI24-BS!BK24)</f>
        <v>-165.89280484785985</v>
      </c>
      <c r="BL26" s="990">
        <f>(BS!BK15-BS!BL15)+(BS!BK24-BS!BL24)</f>
        <v>68.87998232628297</v>
      </c>
      <c r="BM26" s="990">
        <f>(BS!BL15-BS!BM15)+(BS!BL24-BS!BM24)</f>
        <v>242.27685471041198</v>
      </c>
      <c r="BN26" s="990">
        <f>(BS!BM15-BS!BN15)+(BS!BM24-BS!BN24)</f>
        <v>-246.7577960256173</v>
      </c>
      <c r="BO26" s="991">
        <f t="shared" si="23"/>
        <v>-101.49376383678219</v>
      </c>
    </row>
    <row r="27" spans="1:67 16229:16229" s="1003" customFormat="1">
      <c r="A27" s="1005"/>
      <c r="B27" s="982" t="s">
        <v>149</v>
      </c>
      <c r="C27" s="990"/>
      <c r="D27" s="993"/>
      <c r="E27" s="993"/>
      <c r="F27" s="994"/>
      <c r="G27" s="991">
        <f t="shared" si="8"/>
        <v>0</v>
      </c>
      <c r="H27" s="994">
        <v>3.7</v>
      </c>
      <c r="I27" s="994">
        <v>2.7349999999999999</v>
      </c>
      <c r="J27" s="994">
        <v>-0.90800000000000003</v>
      </c>
      <c r="K27" s="994">
        <v>-0.35699999999999998</v>
      </c>
      <c r="L27" s="991">
        <f t="shared" si="9"/>
        <v>5.17</v>
      </c>
      <c r="M27" s="994">
        <v>9.8529999999999998</v>
      </c>
      <c r="N27" s="994">
        <v>-5.8529999999999998</v>
      </c>
      <c r="O27" s="994">
        <v>6.5659999999999998</v>
      </c>
      <c r="P27" s="994">
        <v>-9.4499999999999993</v>
      </c>
      <c r="Q27" s="991">
        <f t="shared" si="13"/>
        <v>1.1159999999999997</v>
      </c>
      <c r="R27" s="994">
        <v>-2.8570000000000002</v>
      </c>
      <c r="S27" s="994">
        <v>1.4E-2</v>
      </c>
      <c r="T27" s="994">
        <v>-0.96299999999999997</v>
      </c>
      <c r="U27" s="994">
        <v>0.92800000000000005</v>
      </c>
      <c r="V27" s="991">
        <f t="shared" si="14"/>
        <v>-2.8780000000000006</v>
      </c>
      <c r="W27" s="994">
        <v>-1.2450000000000001</v>
      </c>
      <c r="X27" s="994">
        <v>4.9669999999999996</v>
      </c>
      <c r="Y27" s="994">
        <v>0.86899999999999999</v>
      </c>
      <c r="Z27" s="994">
        <v>2.78</v>
      </c>
      <c r="AA27" s="991">
        <f t="shared" si="15"/>
        <v>7.3709999999999987</v>
      </c>
      <c r="AB27" s="994">
        <v>4.1580000000000004</v>
      </c>
      <c r="AC27" s="994">
        <v>2.0670000000000002</v>
      </c>
      <c r="AD27" s="994">
        <v>4.0789999999999997</v>
      </c>
      <c r="AE27" s="994">
        <v>-2.2799999999999998</v>
      </c>
      <c r="AF27" s="991">
        <f t="shared" si="16"/>
        <v>8.0240000000000009</v>
      </c>
      <c r="AG27" s="994">
        <v>-3.093</v>
      </c>
      <c r="AH27" s="994">
        <v>20.562000000000001</v>
      </c>
      <c r="AI27" s="994">
        <v>34.203000000000003</v>
      </c>
      <c r="AJ27" s="994">
        <v>-32.46</v>
      </c>
      <c r="AK27" s="991">
        <f t="shared" si="17"/>
        <v>19.212000000000003</v>
      </c>
      <c r="AL27" s="994">
        <v>21.244</v>
      </c>
      <c r="AM27" s="994">
        <v>70.180999999999997</v>
      </c>
      <c r="AN27" s="1207">
        <v>11.295999999999999</v>
      </c>
      <c r="AO27" s="994">
        <v>6.1310000000000002</v>
      </c>
      <c r="AP27" s="991">
        <f t="shared" si="18"/>
        <v>108.852</v>
      </c>
      <c r="AQ27" s="1207">
        <v>-4.423</v>
      </c>
      <c r="AR27" s="1207">
        <v>11.771000000000001</v>
      </c>
      <c r="AS27" s="1400">
        <v>28.948</v>
      </c>
      <c r="AT27" s="990">
        <f>(BS!AT28-BS!AS28)</f>
        <v>36.502598212918741</v>
      </c>
      <c r="AU27" s="991">
        <f t="shared" si="19"/>
        <v>72.798598212918733</v>
      </c>
      <c r="AV27" s="990">
        <f>(BS!AV28-BS!AT28)</f>
        <v>-28.790883144059308</v>
      </c>
      <c r="AW27" s="990">
        <f>(BS!AW28-BS!AV28)</f>
        <v>8.90196255573602</v>
      </c>
      <c r="AX27" s="990">
        <f>(BS!AX28-BS!AW28)</f>
        <v>33.539503336284923</v>
      </c>
      <c r="AY27" s="990">
        <f>(BS!AY28-BS!AX28)</f>
        <v>41.38573560354493</v>
      </c>
      <c r="AZ27" s="991">
        <f t="shared" si="20"/>
        <v>55.036318351506566</v>
      </c>
      <c r="BA27" s="990">
        <f>(BS!BA28-BS!AY28)</f>
        <v>-25.389752936711602</v>
      </c>
      <c r="BB27" s="990">
        <f>(BS!BB28-BS!BA28)</f>
        <v>11.489175183685745</v>
      </c>
      <c r="BC27" s="990">
        <f>(BS!BC28-BS!BB28)</f>
        <v>43.087319184926287</v>
      </c>
      <c r="BD27" s="990">
        <f>(BS!BD28-BS!BC28)</f>
        <v>49.565448951788028</v>
      </c>
      <c r="BE27" s="991">
        <f t="shared" si="21"/>
        <v>78.752190383688458</v>
      </c>
      <c r="BF27" s="990">
        <f>(BS!BF28-BS!BD28)</f>
        <v>-37.227814930791283</v>
      </c>
      <c r="BG27" s="990">
        <f>(BS!BG28-BS!BF28)</f>
        <v>16.812408240754905</v>
      </c>
      <c r="BH27" s="990">
        <f>(BS!BH28-BS!BG28)</f>
        <v>59.869144958757374</v>
      </c>
      <c r="BI27" s="990">
        <f>(BS!BI28-BS!BH28)</f>
        <v>65.032989170290023</v>
      </c>
      <c r="BJ27" s="991">
        <f t="shared" si="22"/>
        <v>104.48672743901102</v>
      </c>
      <c r="BK27" s="990">
        <f>(BS!BK28-BS!BI28)</f>
        <v>-43.726822608516443</v>
      </c>
      <c r="BL27" s="990">
        <f>(BS!BL28-BS!BK28)</f>
        <v>10.873927013201467</v>
      </c>
      <c r="BM27" s="990">
        <f>(BS!BM28-BS!BL28)</f>
        <v>77.875548203021083</v>
      </c>
      <c r="BN27" s="990">
        <f>(BS!BN28-BS!BM28)</f>
        <v>76.57230707213273</v>
      </c>
      <c r="BO27" s="991">
        <f t="shared" si="23"/>
        <v>121.59495967983884</v>
      </c>
    </row>
    <row r="28" spans="1:67 16229:16229" s="1003" customFormat="1">
      <c r="A28" s="1005"/>
      <c r="B28" s="982" t="s">
        <v>292</v>
      </c>
      <c r="C28" s="990"/>
      <c r="D28" s="993"/>
      <c r="E28" s="993"/>
      <c r="F28" s="994"/>
      <c r="G28" s="991">
        <f t="shared" si="8"/>
        <v>0</v>
      </c>
      <c r="H28" s="994">
        <v>0.20699999999999999</v>
      </c>
      <c r="I28" s="994">
        <v>3.387</v>
      </c>
      <c r="J28" s="994">
        <v>9.8179999999999996</v>
      </c>
      <c r="K28" s="994">
        <v>7.399</v>
      </c>
      <c r="L28" s="991">
        <f t="shared" si="9"/>
        <v>20.811</v>
      </c>
      <c r="M28" s="994">
        <v>-7.7409999999999997</v>
      </c>
      <c r="N28" s="994">
        <v>17.218</v>
      </c>
      <c r="O28" s="994">
        <v>4.891</v>
      </c>
      <c r="P28" s="994">
        <v>20.626000000000001</v>
      </c>
      <c r="Q28" s="991">
        <f t="shared" si="13"/>
        <v>34.994</v>
      </c>
      <c r="R28" s="994">
        <v>-5.1550000000000002</v>
      </c>
      <c r="S28" s="994">
        <v>16.148</v>
      </c>
      <c r="T28" s="994">
        <v>11.484</v>
      </c>
      <c r="U28" s="994">
        <v>35.774999999999999</v>
      </c>
      <c r="V28" s="991">
        <f t="shared" si="14"/>
        <v>58.251999999999995</v>
      </c>
      <c r="W28" s="994">
        <v>-6.5670000000000002</v>
      </c>
      <c r="X28" s="994">
        <v>30.286999999999999</v>
      </c>
      <c r="Y28" s="994">
        <v>19.385999999999999</v>
      </c>
      <c r="Z28" s="994">
        <v>36.665999999999997</v>
      </c>
      <c r="AA28" s="991">
        <f t="shared" si="15"/>
        <v>79.771999999999991</v>
      </c>
      <c r="AB28" s="994">
        <v>-14.217000000000001</v>
      </c>
      <c r="AC28" s="994">
        <v>24.672000000000001</v>
      </c>
      <c r="AD28" s="994">
        <v>17.271999999999998</v>
      </c>
      <c r="AE28" s="994">
        <v>46.552999999999997</v>
      </c>
      <c r="AF28" s="991">
        <f t="shared" si="16"/>
        <v>74.28</v>
      </c>
      <c r="AG28" s="994">
        <v>-8.5419999999999998</v>
      </c>
      <c r="AH28" s="994">
        <v>35.648000000000003</v>
      </c>
      <c r="AI28" s="994">
        <v>6.6029999999999998</v>
      </c>
      <c r="AJ28" s="994">
        <v>137.339</v>
      </c>
      <c r="AK28" s="991">
        <f t="shared" si="17"/>
        <v>171.048</v>
      </c>
      <c r="AL28" s="994">
        <v>-54.688000000000002</v>
      </c>
      <c r="AM28" s="994">
        <v>59.325000000000003</v>
      </c>
      <c r="AN28" s="1207">
        <v>34.064999999999998</v>
      </c>
      <c r="AO28" s="994">
        <v>32.173999999999999</v>
      </c>
      <c r="AP28" s="991">
        <f t="shared" si="18"/>
        <v>70.876000000000005</v>
      </c>
      <c r="AQ28" s="1207">
        <v>3.9350000000000001</v>
      </c>
      <c r="AR28" s="1207">
        <v>93.290999999999997</v>
      </c>
      <c r="AS28" s="1400">
        <v>120.62</v>
      </c>
      <c r="AT28" s="990">
        <f>(BS!AT29-BS!AS29)+(BS!AT37-BS!AS37)</f>
        <v>-9.2501993052827132</v>
      </c>
      <c r="AU28" s="991">
        <f t="shared" si="19"/>
        <v>208.5958006947173</v>
      </c>
      <c r="AV28" s="990">
        <f>(BS!AV29-BS!AT29)+(BS!AV37-BS!AT37)</f>
        <v>17.213494265512537</v>
      </c>
      <c r="AW28" s="990">
        <f>(BS!AW29-BS!AV29)+(BS!AW37-BS!AV37)</f>
        <v>117.38250867358533</v>
      </c>
      <c r="AX28" s="990">
        <f>(BS!AX29-BS!AW29)+(BS!AX37-BS!AW37)</f>
        <v>136.70351131402859</v>
      </c>
      <c r="AY28" s="990">
        <f>(BS!AY29-BS!AX29)+(BS!AY37-BS!AX37)</f>
        <v>-7.5901561703663845</v>
      </c>
      <c r="AZ28" s="991">
        <f t="shared" si="20"/>
        <v>263.7093580827601</v>
      </c>
      <c r="BA28" s="990">
        <f>(BS!BA29-BS!AY29)+(BS!BA37-BS!AY37)</f>
        <v>33.72752071919561</v>
      </c>
      <c r="BB28" s="990">
        <f>(BS!BB29-BS!BA29)+(BS!BB37-BS!BA37)</f>
        <v>156.07933026606926</v>
      </c>
      <c r="BC28" s="990">
        <f>(BS!BC29-BS!BB29)+(BS!BC37-BS!BB37)</f>
        <v>179.92448274373481</v>
      </c>
      <c r="BD28" s="990">
        <f>(BS!BD29-BS!BC29)+(BS!BD37-BS!BC37)</f>
        <v>-15.492084302544328</v>
      </c>
      <c r="BE28" s="991">
        <f t="shared" si="21"/>
        <v>354.23924942645533</v>
      </c>
      <c r="BF28" s="990">
        <f>(BS!BF29-BS!BD29)+(BS!BF37-BS!BD37)</f>
        <v>-13.067266921855776</v>
      </c>
      <c r="BG28" s="990">
        <f>(BS!BG29-BS!BF29)+(BS!BG37-BS!BF37)</f>
        <v>192.93011540782578</v>
      </c>
      <c r="BH28" s="990">
        <f>(BS!BH29-BS!BG29)+(BS!BH37-BS!BG37)</f>
        <v>256.69774836443548</v>
      </c>
      <c r="BI28" s="990">
        <f>(BS!BI29-BS!BH29)+(BS!BI37-BS!BH37)</f>
        <v>-9.7148977645444461</v>
      </c>
      <c r="BJ28" s="991">
        <f t="shared" si="22"/>
        <v>426.84569908586104</v>
      </c>
      <c r="BK28" s="990">
        <f>(BS!BK29-BS!BI29)+(BS!BK37-BS!BI37)</f>
        <v>-39.803102673854028</v>
      </c>
      <c r="BL28" s="990">
        <f>(BS!BL29-BS!BK29)+(BS!BL37-BS!BK37)</f>
        <v>219.3568672340395</v>
      </c>
      <c r="BM28" s="990">
        <f>(BS!BM29-BS!BL29)+(BS!BM37-BS!BL37)</f>
        <v>336.55894109717661</v>
      </c>
      <c r="BN28" s="990">
        <f>(BS!BN29-BS!BM29)+(BS!BN37-BS!BM37)</f>
        <v>-34.096546692478228</v>
      </c>
      <c r="BO28" s="991">
        <f t="shared" si="23"/>
        <v>482.01615896488386</v>
      </c>
    </row>
    <row r="29" spans="1:67 16229:16229" s="1003" customFormat="1">
      <c r="A29" s="1005"/>
      <c r="B29" s="982" t="s">
        <v>293</v>
      </c>
      <c r="C29" s="990"/>
      <c r="D29" s="993"/>
      <c r="E29" s="993"/>
      <c r="F29" s="994"/>
      <c r="G29" s="991">
        <f t="shared" si="8"/>
        <v>0</v>
      </c>
      <c r="H29" s="994">
        <v>-0.54900000000000004</v>
      </c>
      <c r="I29" s="994">
        <v>-0.38700000000000001</v>
      </c>
      <c r="J29" s="994">
        <v>-0.77900000000000003</v>
      </c>
      <c r="K29" s="994">
        <v>-0.82199999999999995</v>
      </c>
      <c r="L29" s="991">
        <f t="shared" si="9"/>
        <v>-2.5369999999999999</v>
      </c>
      <c r="M29" s="994">
        <v>2.9780000000000002</v>
      </c>
      <c r="N29" s="994">
        <v>-0.41199999999999998</v>
      </c>
      <c r="O29" s="994">
        <v>-8.6180000000000003</v>
      </c>
      <c r="P29" s="994">
        <v>-7.4029999999999996</v>
      </c>
      <c r="Q29" s="991">
        <f t="shared" si="13"/>
        <v>-13.454999999999998</v>
      </c>
      <c r="R29" s="994">
        <v>-7.5869999999999997</v>
      </c>
      <c r="S29" s="994">
        <v>-9.8170000000000002</v>
      </c>
      <c r="T29" s="994">
        <v>-6.0140000000000002</v>
      </c>
      <c r="U29" s="994">
        <v>-7.8630000000000004</v>
      </c>
      <c r="V29" s="991">
        <f t="shared" si="14"/>
        <v>-31.280999999999999</v>
      </c>
      <c r="W29" s="994">
        <v>-7.8330000000000002</v>
      </c>
      <c r="X29" s="994">
        <v>-8.1590000000000007</v>
      </c>
      <c r="Y29" s="994">
        <v>-8.766</v>
      </c>
      <c r="Z29" s="994">
        <v>-13.491</v>
      </c>
      <c r="AA29" s="991">
        <f t="shared" si="15"/>
        <v>-38.249000000000002</v>
      </c>
      <c r="AB29" s="994">
        <v>-8.3759999999999994</v>
      </c>
      <c r="AC29" s="994">
        <v>-9.81</v>
      </c>
      <c r="AD29" s="994">
        <v>-10.99</v>
      </c>
      <c r="AE29" s="994">
        <v>-13.166</v>
      </c>
      <c r="AF29" s="991">
        <f t="shared" si="16"/>
        <v>-42.341999999999999</v>
      </c>
      <c r="AG29" s="994">
        <v>-10.763</v>
      </c>
      <c r="AH29" s="994">
        <v>-5.26</v>
      </c>
      <c r="AI29" s="994">
        <v>-12.715999999999999</v>
      </c>
      <c r="AJ29" s="994">
        <v>-11.759</v>
      </c>
      <c r="AK29" s="991">
        <f t="shared" si="17"/>
        <v>-40.497999999999998</v>
      </c>
      <c r="AL29" s="994">
        <v>-13.374000000000001</v>
      </c>
      <c r="AM29" s="994">
        <v>-11.914999999999999</v>
      </c>
      <c r="AN29" s="1207">
        <v>-9.0549999999999997</v>
      </c>
      <c r="AO29" s="994">
        <v>-13.367000000000001</v>
      </c>
      <c r="AP29" s="991">
        <f t="shared" si="18"/>
        <v>-47.710999999999999</v>
      </c>
      <c r="AQ29" s="1207">
        <v>-11.837999999999999</v>
      </c>
      <c r="AR29" s="1207">
        <v>-14.558999999999999</v>
      </c>
      <c r="AS29" s="1400">
        <v>-15.99</v>
      </c>
      <c r="AT29" s="990">
        <f>(BS!AT30-BS!AS30)+(BS!AT35-BS!AS35)</f>
        <v>200.66097165467045</v>
      </c>
      <c r="AU29" s="991">
        <f t="shared" si="19"/>
        <v>158.27397165467045</v>
      </c>
      <c r="AV29" s="990">
        <f>(BS!AV30-BS!AT30)+(BS!AV35-BS!AT35)</f>
        <v>11.793329835899655</v>
      </c>
      <c r="AW29" s="990">
        <f>(BS!AW30-BS!AV30)+(BS!AW35-BS!AV35)</f>
        <v>0.73970941881758279</v>
      </c>
      <c r="AX29" s="990">
        <f>(BS!AX30-BS!AW30)+(BS!AX35-BS!AW35)</f>
        <v>-3.2018476755664693</v>
      </c>
      <c r="AY29" s="990">
        <f>(BS!AY30-BS!AX30)+(BS!AY35-BS!AX35)</f>
        <v>253.25395566367882</v>
      </c>
      <c r="AZ29" s="991">
        <f t="shared" si="20"/>
        <v>262.58514724282958</v>
      </c>
      <c r="BA29" s="990">
        <f>(BS!BA30-BS!AY30)+(BS!BA35-BS!AY35)</f>
        <v>-28.068508019365936</v>
      </c>
      <c r="BB29" s="990">
        <f>(BS!BB30-BS!BA30)+(BS!BB35-BS!BA35)</f>
        <v>9.017382054472904</v>
      </c>
      <c r="BC29" s="990">
        <f>(BS!BC30-BS!BB30)+(BS!BC35-BS!BB35)</f>
        <v>3.2376743981099878</v>
      </c>
      <c r="BD29" s="990">
        <f>(BS!BD30-BS!BC30)+(BS!BD35-BS!BC35)</f>
        <v>306.88777233387191</v>
      </c>
      <c r="BE29" s="991">
        <f t="shared" si="21"/>
        <v>291.07432076708886</v>
      </c>
      <c r="BF29" s="990">
        <f>(BS!BF30-BS!BD30)+(BS!BF35-BS!BD35)</f>
        <v>-89.179880679485393</v>
      </c>
      <c r="BG29" s="990">
        <f>(BS!BG30-BS!BF30)+(BS!BG35-BS!BF35)</f>
        <v>11.754541736596508</v>
      </c>
      <c r="BH29" s="990">
        <f>(BS!BH30-BS!BG30)+(BS!BH35-BS!BG35)</f>
        <v>26.264870116924527</v>
      </c>
      <c r="BI29" s="990">
        <f>(BS!BI30-BS!BH30)+(BS!BI35-BS!BH35)</f>
        <v>389.44162439060955</v>
      </c>
      <c r="BJ29" s="991">
        <f t="shared" si="22"/>
        <v>338.28115556464519</v>
      </c>
      <c r="BK29" s="990">
        <f>(BS!BK30-BS!BI30)+(BS!BK35-BS!BI35)</f>
        <v>-116.72095955255307</v>
      </c>
      <c r="BL29" s="990">
        <f>(BS!BL30-BS!BK30)+(BS!BL35-BS!BK35)</f>
        <v>0.78609237601270365</v>
      </c>
      <c r="BM29" s="990">
        <f>(BS!BM30-BS!BL30)+(BS!BM35-BS!BL35)</f>
        <v>46.274102013191282</v>
      </c>
      <c r="BN29" s="990">
        <f>(BS!BN30-BS!BM30)+(BS!BN35-BS!BM35)</f>
        <v>463.03720255462576</v>
      </c>
      <c r="BO29" s="991">
        <f t="shared" si="23"/>
        <v>393.37643739127668</v>
      </c>
    </row>
    <row r="30" spans="1:67 16229:16229" s="1003" customFormat="1">
      <c r="A30" s="1005"/>
      <c r="B30" s="982" t="s">
        <v>270</v>
      </c>
      <c r="C30" s="990"/>
      <c r="D30" s="993"/>
      <c r="E30" s="993"/>
      <c r="F30" s="994"/>
      <c r="G30" s="991"/>
      <c r="H30" s="994">
        <v>9.1</v>
      </c>
      <c r="I30" s="994">
        <v>21.248000000000001</v>
      </c>
      <c r="J30" s="994">
        <v>6.8959999999999999</v>
      </c>
      <c r="K30" s="994">
        <v>42.387</v>
      </c>
      <c r="L30" s="991">
        <f t="shared" si="9"/>
        <v>79.631</v>
      </c>
      <c r="M30" s="994">
        <v>15.595000000000001</v>
      </c>
      <c r="N30" s="994">
        <v>53.423999999999999</v>
      </c>
      <c r="O30" s="994">
        <v>38.716000000000001</v>
      </c>
      <c r="P30" s="994">
        <v>115.226</v>
      </c>
      <c r="Q30" s="991">
        <f t="shared" si="13"/>
        <v>222.96100000000001</v>
      </c>
      <c r="R30" s="994">
        <v>-2.65</v>
      </c>
      <c r="S30" s="994">
        <v>49.405000000000001</v>
      </c>
      <c r="T30" s="994">
        <v>64.983999999999995</v>
      </c>
      <c r="U30" s="994">
        <v>201.142</v>
      </c>
      <c r="V30" s="991">
        <f t="shared" si="14"/>
        <v>312.88099999999997</v>
      </c>
      <c r="W30" s="994">
        <v>-4.1100000000000003</v>
      </c>
      <c r="X30" s="994">
        <v>70.122</v>
      </c>
      <c r="Y30" s="994">
        <v>58.018000000000001</v>
      </c>
      <c r="Z30" s="994">
        <v>402.19099999999997</v>
      </c>
      <c r="AA30" s="991">
        <f t="shared" si="15"/>
        <v>526.221</v>
      </c>
      <c r="AB30" s="994">
        <v>-21.440999999999999</v>
      </c>
      <c r="AC30" s="994">
        <v>12.792</v>
      </c>
      <c r="AD30" s="994">
        <v>55.316000000000003</v>
      </c>
      <c r="AE30" s="994">
        <v>467.63400000000001</v>
      </c>
      <c r="AF30" s="991">
        <f t="shared" si="16"/>
        <v>514.30100000000004</v>
      </c>
      <c r="AG30" s="994">
        <v>-110.48</v>
      </c>
      <c r="AH30" s="994">
        <v>-39.034999999999997</v>
      </c>
      <c r="AI30" s="994">
        <v>82.105999999999995</v>
      </c>
      <c r="AJ30" s="994">
        <v>595.43799999999999</v>
      </c>
      <c r="AK30" s="991">
        <f t="shared" si="17"/>
        <v>528.029</v>
      </c>
      <c r="AL30" s="994">
        <v>-261.18099999999998</v>
      </c>
      <c r="AM30" s="994">
        <v>-88.278000000000006</v>
      </c>
      <c r="AN30" s="1207">
        <v>122.773</v>
      </c>
      <c r="AO30" s="994">
        <v>609.44100000000003</v>
      </c>
      <c r="AP30" s="991">
        <f t="shared" si="18"/>
        <v>382.755</v>
      </c>
      <c r="AQ30" s="1207">
        <v>-271.36</v>
      </c>
      <c r="AR30" s="1207">
        <v>-52.511000000000003</v>
      </c>
      <c r="AS30" s="1400">
        <v>151.452</v>
      </c>
      <c r="AT30" s="990">
        <f>'Def. Revenue &amp; Billings'!AT30</f>
        <v>618.02360999999974</v>
      </c>
      <c r="AU30" s="991">
        <f>SUM(AQ30:AT30)</f>
        <v>445.6046099999997</v>
      </c>
      <c r="AV30" s="990">
        <f>'Def. Revenue &amp; Billings'!AV30</f>
        <v>-196.91933770954984</v>
      </c>
      <c r="AW30" s="990">
        <f>'Def. Revenue &amp; Billings'!AW30</f>
        <v>-51.007459637545253</v>
      </c>
      <c r="AX30" s="990">
        <f>'Def. Revenue &amp; Billings'!AX30</f>
        <v>83.811564379587253</v>
      </c>
      <c r="AY30" s="990">
        <f>'Def. Revenue &amp; Billings'!AY30</f>
        <v>643.12803926676179</v>
      </c>
      <c r="AZ30" s="991">
        <f>SUM(AV30:AY30)</f>
        <v>479.01280629925395</v>
      </c>
      <c r="BA30" s="990">
        <f>'Def. Revenue &amp; Billings'!BA30</f>
        <v>-227.93113088516611</v>
      </c>
      <c r="BB30" s="990">
        <f>'Def. Revenue &amp; Billings'!BB30</f>
        <v>-59.040356797834647</v>
      </c>
      <c r="BC30" s="990">
        <f>'Def. Revenue &amp; Billings'!BC30</f>
        <v>97.010607858487674</v>
      </c>
      <c r="BD30" s="990">
        <f>'Def. Revenue &amp; Billings'!BD30</f>
        <v>744.41089940210441</v>
      </c>
      <c r="BE30" s="991">
        <f>SUM(BA30:BD30)</f>
        <v>554.45001957759132</v>
      </c>
      <c r="BF30" s="990">
        <f>'Def. Revenue &amp; Billings'!BF30</f>
        <v>-263.82680863582527</v>
      </c>
      <c r="BG30" s="990">
        <f>'Def. Revenue &amp; Billings'!BG30</f>
        <v>-68.33831277984018</v>
      </c>
      <c r="BH30" s="990">
        <f>'Def. Revenue &amp; Billings'!BH30</f>
        <v>112.28829943383562</v>
      </c>
      <c r="BI30" s="990">
        <f>'Def. Revenue &amp; Billings'!BI30</f>
        <v>861.64426570553633</v>
      </c>
      <c r="BJ30" s="991">
        <f>SUM(BF30:BI30)</f>
        <v>641.76744372370649</v>
      </c>
      <c r="BK30" s="990">
        <f>'Def. Revenue &amp; Billings'!BK30</f>
        <v>-305.37550831541193</v>
      </c>
      <c r="BL30" s="990">
        <f>'Def. Revenue &amp; Billings'!BL30</f>
        <v>-79.100555059087128</v>
      </c>
      <c r="BM30" s="990">
        <f>'Def. Revenue &amp; Billings'!BM30</f>
        <v>129.97199448678202</v>
      </c>
      <c r="BN30" s="990">
        <f>'Def. Revenue &amp; Billings'!BN30</f>
        <v>997.34009969431827</v>
      </c>
      <c r="BO30" s="991">
        <f>SUM(BK30:BN30)</f>
        <v>742.83603080660123</v>
      </c>
    </row>
    <row r="31" spans="1:67 16229:16229" s="1003" customFormat="1" hidden="1" outlineLevel="1">
      <c r="A31" s="1005"/>
      <c r="B31" s="982" t="s">
        <v>290</v>
      </c>
      <c r="C31" s="990"/>
      <c r="D31" s="993"/>
      <c r="E31" s="993"/>
      <c r="F31" s="994"/>
      <c r="G31" s="991"/>
      <c r="H31" s="994">
        <v>0</v>
      </c>
      <c r="I31" s="994">
        <v>0</v>
      </c>
      <c r="J31" s="994">
        <v>0</v>
      </c>
      <c r="K31" s="994">
        <v>0</v>
      </c>
      <c r="L31" s="991">
        <f t="shared" si="9"/>
        <v>0</v>
      </c>
      <c r="M31" s="994">
        <v>0</v>
      </c>
      <c r="N31" s="994">
        <v>0</v>
      </c>
      <c r="O31" s="994">
        <v>0</v>
      </c>
      <c r="P31" s="994">
        <v>0</v>
      </c>
      <c r="Q31" s="991">
        <f t="shared" si="13"/>
        <v>0</v>
      </c>
      <c r="R31" s="994">
        <v>0</v>
      </c>
      <c r="S31" s="994">
        <v>0</v>
      </c>
      <c r="T31" s="994">
        <v>0</v>
      </c>
      <c r="U31" s="994">
        <v>0</v>
      </c>
      <c r="V31" s="991">
        <f t="shared" si="14"/>
        <v>0</v>
      </c>
      <c r="W31" s="994">
        <v>0</v>
      </c>
      <c r="X31" s="994">
        <v>0</v>
      </c>
      <c r="Y31" s="994">
        <v>0</v>
      </c>
      <c r="Z31" s="994">
        <v>0</v>
      </c>
      <c r="AA31" s="991">
        <f t="shared" si="15"/>
        <v>0</v>
      </c>
      <c r="AB31" s="994">
        <v>0</v>
      </c>
      <c r="AC31" s="994">
        <v>0</v>
      </c>
      <c r="AD31" s="994">
        <v>0</v>
      </c>
      <c r="AE31" s="994">
        <v>0</v>
      </c>
      <c r="AF31" s="991">
        <f t="shared" si="16"/>
        <v>0</v>
      </c>
      <c r="AG31" s="994">
        <v>0</v>
      </c>
      <c r="AH31" s="994">
        <v>0</v>
      </c>
      <c r="AI31" s="994">
        <v>0</v>
      </c>
      <c r="AJ31" s="994">
        <v>0</v>
      </c>
      <c r="AK31" s="991">
        <f t="shared" si="17"/>
        <v>0</v>
      </c>
      <c r="AL31" s="994">
        <v>0</v>
      </c>
      <c r="AM31" s="994">
        <v>0</v>
      </c>
      <c r="AN31" s="1207"/>
      <c r="AO31" s="994"/>
      <c r="AP31" s="991">
        <f t="shared" si="18"/>
        <v>0</v>
      </c>
      <c r="AQ31" s="1207"/>
      <c r="AR31" s="1393"/>
      <c r="AS31" s="1403"/>
      <c r="AT31" s="996"/>
      <c r="AU31" s="991"/>
      <c r="AV31" s="996"/>
      <c r="AW31" s="996"/>
      <c r="AX31" s="996"/>
      <c r="AY31" s="996"/>
      <c r="AZ31" s="991"/>
      <c r="BA31" s="996"/>
      <c r="BB31" s="996"/>
      <c r="BC31" s="996"/>
      <c r="BD31" s="996"/>
      <c r="BE31" s="991"/>
      <c r="BF31" s="996"/>
      <c r="BG31" s="996"/>
      <c r="BH31" s="996"/>
      <c r="BI31" s="996"/>
      <c r="BJ31" s="991"/>
      <c r="BK31" s="996"/>
      <c r="BL31" s="996"/>
      <c r="BM31" s="996"/>
      <c r="BN31" s="996"/>
      <c r="BO31" s="991"/>
    </row>
    <row r="32" spans="1:67 16229:16229" s="1010" customFormat="1" collapsed="1">
      <c r="A32" s="1006" t="s">
        <v>76</v>
      </c>
      <c r="B32" s="985" t="s">
        <v>8</v>
      </c>
      <c r="C32" s="1008"/>
      <c r="D32" s="1008"/>
      <c r="E32" s="1008"/>
      <c r="F32" s="1008">
        <f>SUM(F10:F20,F24:F29)</f>
        <v>0</v>
      </c>
      <c r="G32" s="1009">
        <f>SUM(G10:G20,G24:G29)</f>
        <v>0</v>
      </c>
      <c r="H32" s="1008">
        <f>SUM(H10:H31)</f>
        <v>-35.994</v>
      </c>
      <c r="I32" s="1008">
        <f>SUM(I10:I31)</f>
        <v>-22.340999999999998</v>
      </c>
      <c r="J32" s="1008">
        <f>SUM(J10:J31)</f>
        <v>-15.247999999999994</v>
      </c>
      <c r="K32" s="1008">
        <f>SUM(K10:K31)</f>
        <v>-70.399000000000029</v>
      </c>
      <c r="L32" s="1009">
        <f t="shared" si="9"/>
        <v>-143.98200000000003</v>
      </c>
      <c r="M32" s="1008">
        <f>SUM(M10:M31)</f>
        <v>-36.663000000000011</v>
      </c>
      <c r="N32" s="1008">
        <f>SUM(N10:N31)</f>
        <v>-73.353000000000009</v>
      </c>
      <c r="O32" s="1008">
        <f>SUM(O10:O31)</f>
        <v>-23.750000000000007</v>
      </c>
      <c r="P32" s="1008">
        <f>SUM(P10:P31)</f>
        <v>-42.791999999999973</v>
      </c>
      <c r="Q32" s="1009">
        <f t="shared" si="13"/>
        <v>-176.55799999999999</v>
      </c>
      <c r="R32" s="1008">
        <f>SUM(R10:R31)</f>
        <v>-6.5920000000000165</v>
      </c>
      <c r="S32" s="1008">
        <f>SUM(S10:S31)</f>
        <v>-38.685000000000031</v>
      </c>
      <c r="T32" s="1008">
        <f>SUM(T10:T31)</f>
        <v>-19.753999999999976</v>
      </c>
      <c r="U32" s="1008">
        <f>SUM(U10:U31)</f>
        <v>19.613999999999976</v>
      </c>
      <c r="V32" s="1009">
        <f>SUM(R32:U32)</f>
        <v>-45.417000000000044</v>
      </c>
      <c r="W32" s="1008">
        <f>SUM(W10:W31)</f>
        <v>21.854000000000042</v>
      </c>
      <c r="X32" s="1008">
        <f>SUM(X10:X31)</f>
        <v>-6.1110000000000184</v>
      </c>
      <c r="Y32" s="1008">
        <f>SUM(Y10:Y31)</f>
        <v>15.538000000000061</v>
      </c>
      <c r="Z32" s="1008">
        <f>SUM(Z10:Z31)</f>
        <v>78.897999999999968</v>
      </c>
      <c r="AA32" s="1009">
        <f>SUM(W32:Z32)</f>
        <v>110.17900000000006</v>
      </c>
      <c r="AB32" s="1008">
        <f>SUM(AB10:AB31)</f>
        <v>184.61299999999997</v>
      </c>
      <c r="AC32" s="1008">
        <f>SUM(AC10:AC31)</f>
        <v>64.433000000000035</v>
      </c>
      <c r="AD32" s="1008">
        <f>SUM(AD10:AD31)</f>
        <v>79.276999999999902</v>
      </c>
      <c r="AE32" s="1008">
        <f>SUM(AE10:AE31)</f>
        <v>217.31599999999997</v>
      </c>
      <c r="AF32" s="1009">
        <f>SUM(AB32:AE32)</f>
        <v>545.6389999999999</v>
      </c>
      <c r="AG32" s="1008">
        <f>SUM(AG10:AG31)</f>
        <v>299.44400000000002</v>
      </c>
      <c r="AH32" s="1008">
        <f>SUM(AH10:AH31)</f>
        <v>83.190999999999903</v>
      </c>
      <c r="AI32" s="1008">
        <f>SUM(AI10:AI31)</f>
        <v>120.90700000000004</v>
      </c>
      <c r="AJ32" s="1008">
        <f>SUM(AJ10:AJ31)</f>
        <v>344.58000000000004</v>
      </c>
      <c r="AK32" s="1009">
        <f>SUM(AG32:AJ32)</f>
        <v>848.12200000000007</v>
      </c>
      <c r="AL32" s="1008">
        <f>SUM(AL10:AL31)</f>
        <v>355.4679999999999</v>
      </c>
      <c r="AM32" s="1008">
        <f>SUM(AM10:AM31)</f>
        <v>69.864999999999824</v>
      </c>
      <c r="AN32" s="1208">
        <f>SUM(AN10:AN31)</f>
        <v>101.70600000000007</v>
      </c>
      <c r="AO32" s="1008">
        <f>SUM(AO10:AO31)</f>
        <v>432.72500000000014</v>
      </c>
      <c r="AP32" s="1009">
        <f>SUM(AL32:AO32)</f>
        <v>959.7639999999999</v>
      </c>
      <c r="AQ32" s="1008">
        <f>SUM(AQ10:AQ31)</f>
        <v>228.37299999999982</v>
      </c>
      <c r="AR32" s="1208">
        <f>SUM(AR10:AR31)</f>
        <v>74.896000000000015</v>
      </c>
      <c r="AS32" s="1008">
        <f>SUM(AS10:AS31)</f>
        <v>137.51899999999983</v>
      </c>
      <c r="AT32" s="1008">
        <f>SUM(AT10:AT31)</f>
        <v>778.12334199234817</v>
      </c>
      <c r="AU32" s="1009">
        <f>SUM(AQ32:AT32)</f>
        <v>1218.9113419923478</v>
      </c>
      <c r="AV32" s="1008">
        <f>SUM(AV10:AV31)</f>
        <v>516.42904381033372</v>
      </c>
      <c r="AW32" s="1008">
        <f>SUM(AW10:AW31)</f>
        <v>87.837711408083067</v>
      </c>
      <c r="AX32" s="1008">
        <f>SUM(AX10:AX31)</f>
        <v>156.52918718246411</v>
      </c>
      <c r="AY32" s="1008">
        <f>SUM(AY10:AY31)</f>
        <v>820.6461720508189</v>
      </c>
      <c r="AZ32" s="1009">
        <f>SUM(AV32:AY32)</f>
        <v>1581.4421144516998</v>
      </c>
      <c r="BA32" s="1008">
        <f>SUM(BA10:BA31)</f>
        <v>607.80288150744786</v>
      </c>
      <c r="BB32" s="1008">
        <f>SUM(BB10:BB31)</f>
        <v>164.97014530100705</v>
      </c>
      <c r="BC32" s="1008">
        <f>SUM(BC10:BC31)</f>
        <v>243.67805306417969</v>
      </c>
      <c r="BD32" s="1008">
        <f>SUM(BD10:BD31)</f>
        <v>1015.6678626552145</v>
      </c>
      <c r="BE32" s="1009">
        <f>SUM(BA32:BD32)</f>
        <v>2032.1189425278492</v>
      </c>
      <c r="BF32" s="1008">
        <f>SUM(BF10:BF31)</f>
        <v>722.32053858284326</v>
      </c>
      <c r="BG32" s="1008">
        <f>SUM(BG10:BG31)</f>
        <v>233.02988895878525</v>
      </c>
      <c r="BH32" s="1008">
        <f>SUM(BH10:BH31)</f>
        <v>380.79868948199612</v>
      </c>
      <c r="BI32" s="1008">
        <f>SUM(BI10:BI31)</f>
        <v>1263.2794369387429</v>
      </c>
      <c r="BJ32" s="1009">
        <f>SUM(BF32:BI32)</f>
        <v>2599.4285539623675</v>
      </c>
      <c r="BK32" s="1008">
        <f>SUM(BK10:BK31)</f>
        <v>853.00300552292833</v>
      </c>
      <c r="BL32" s="1008">
        <f>SUM(BL10:BL31)</f>
        <v>354.74673405856493</v>
      </c>
      <c r="BM32" s="1008">
        <f>SUM(BM10:BM31)</f>
        <v>556.59319321806754</v>
      </c>
      <c r="BN32" s="1008">
        <f>SUM(BN10:BN31)</f>
        <v>1550.9610918639446</v>
      </c>
      <c r="BO32" s="1009">
        <f>SUM(BK32:BN32)</f>
        <v>3315.3040246635055</v>
      </c>
    </row>
    <row r="33" spans="1:67" s="997" customFormat="1">
      <c r="A33" s="995"/>
      <c r="B33" s="986"/>
      <c r="C33" s="1011"/>
      <c r="D33" s="1012"/>
      <c r="E33" s="1012"/>
      <c r="F33" s="1012"/>
      <c r="G33" s="1013"/>
      <c r="H33" s="1011"/>
      <c r="I33" s="1012"/>
      <c r="J33" s="1012"/>
      <c r="K33" s="1012"/>
      <c r="L33" s="1013"/>
      <c r="M33" s="1011"/>
      <c r="N33" s="1012"/>
      <c r="O33" s="1012"/>
      <c r="P33" s="1012"/>
      <c r="Q33" s="1013"/>
      <c r="R33" s="1011"/>
      <c r="S33" s="1012"/>
      <c r="T33" s="1012"/>
      <c r="U33" s="1012"/>
      <c r="V33" s="1013"/>
      <c r="W33" s="1011"/>
      <c r="X33" s="1012"/>
      <c r="Y33" s="1012"/>
      <c r="Z33" s="1012"/>
      <c r="AA33" s="1013"/>
      <c r="AB33" s="1011"/>
      <c r="AC33" s="1012"/>
      <c r="AD33" s="1012"/>
      <c r="AE33" s="1012"/>
      <c r="AF33" s="1013"/>
      <c r="AG33" s="1011"/>
      <c r="AH33" s="1012"/>
      <c r="AI33" s="1012"/>
      <c r="AJ33" s="1012"/>
      <c r="AK33" s="1013"/>
      <c r="AL33" s="1011"/>
      <c r="AM33" s="1012"/>
      <c r="AN33" s="1012"/>
      <c r="AO33" s="1012"/>
      <c r="AP33" s="1013"/>
      <c r="AQ33" s="1011"/>
      <c r="AR33" s="1012"/>
      <c r="AS33" s="1012"/>
      <c r="AT33" s="1012"/>
      <c r="AU33" s="1013"/>
      <c r="AV33" s="1011"/>
      <c r="AW33" s="1012"/>
      <c r="AX33" s="1012"/>
      <c r="AY33" s="1012"/>
      <c r="AZ33" s="1013"/>
      <c r="BA33" s="1011"/>
      <c r="BB33" s="1012"/>
      <c r="BC33" s="1012"/>
      <c r="BD33" s="1012"/>
      <c r="BE33" s="1013"/>
      <c r="BF33" s="1011"/>
      <c r="BG33" s="1012"/>
      <c r="BH33" s="1012"/>
      <c r="BI33" s="1012"/>
      <c r="BJ33" s="1013"/>
      <c r="BK33" s="1011"/>
      <c r="BL33" s="1012"/>
      <c r="BM33" s="1012"/>
      <c r="BN33" s="1012"/>
      <c r="BO33" s="1013"/>
    </row>
    <row r="34" spans="1:67" s="997" customFormat="1">
      <c r="A34" s="995"/>
      <c r="B34" s="986" t="s">
        <v>271</v>
      </c>
      <c r="C34" s="1014"/>
      <c r="D34" s="1012"/>
      <c r="E34" s="1012"/>
      <c r="F34" s="1012"/>
      <c r="G34" s="1013"/>
      <c r="H34" s="1014"/>
      <c r="I34" s="1012"/>
      <c r="J34" s="1012"/>
      <c r="K34" s="1012"/>
      <c r="L34" s="1013"/>
      <c r="M34" s="1014"/>
      <c r="N34" s="1012"/>
      <c r="O34" s="1012"/>
      <c r="P34" s="1012"/>
      <c r="Q34" s="1013"/>
      <c r="R34" s="1014"/>
      <c r="S34" s="1012"/>
      <c r="T34" s="1012"/>
      <c r="U34" s="1012"/>
      <c r="V34" s="1013"/>
      <c r="W34" s="1014"/>
      <c r="X34" s="1012"/>
      <c r="Y34" s="1012"/>
      <c r="Z34" s="1012"/>
      <c r="AA34" s="1013"/>
      <c r="AB34" s="1014"/>
      <c r="AC34" s="1012"/>
      <c r="AD34" s="1012"/>
      <c r="AE34" s="1012"/>
      <c r="AF34" s="1013"/>
      <c r="AG34" s="1014"/>
      <c r="AH34" s="1012"/>
      <c r="AI34" s="1012"/>
      <c r="AJ34" s="1012"/>
      <c r="AK34" s="1013"/>
      <c r="AL34" s="1014"/>
      <c r="AM34" s="1012"/>
      <c r="AN34" s="1012"/>
      <c r="AO34" s="1012"/>
      <c r="AP34" s="1013"/>
      <c r="AQ34" s="1014"/>
      <c r="AR34" s="1012"/>
      <c r="AS34" s="1012"/>
      <c r="AT34" s="1012"/>
      <c r="AU34" s="1013"/>
      <c r="AV34" s="1014"/>
      <c r="AW34" s="1012"/>
      <c r="AX34" s="1012"/>
      <c r="AY34" s="1012"/>
      <c r="AZ34" s="1013"/>
      <c r="BA34" s="1014"/>
      <c r="BB34" s="1012"/>
      <c r="BC34" s="1012"/>
      <c r="BD34" s="1012"/>
      <c r="BE34" s="1013"/>
      <c r="BF34" s="1014"/>
      <c r="BG34" s="1012"/>
      <c r="BH34" s="1012"/>
      <c r="BI34" s="1012"/>
      <c r="BJ34" s="1013"/>
      <c r="BK34" s="1014"/>
      <c r="BL34" s="1012"/>
      <c r="BM34" s="1012"/>
      <c r="BN34" s="1012"/>
      <c r="BO34" s="1013"/>
    </row>
    <row r="35" spans="1:67" s="997" customFormat="1">
      <c r="A35" s="995"/>
      <c r="B35" s="981" t="s">
        <v>272</v>
      </c>
      <c r="C35" s="990"/>
      <c r="D35" s="993"/>
      <c r="E35" s="993"/>
      <c r="F35" s="994"/>
      <c r="G35" s="991">
        <f>SUM(C35:F35)</f>
        <v>0</v>
      </c>
      <c r="H35" s="994">
        <v>-7.1999999999999995E-2</v>
      </c>
      <c r="I35" s="994">
        <v>-0.76</v>
      </c>
      <c r="J35" s="994">
        <v>-0.505</v>
      </c>
      <c r="K35" s="994">
        <v>-0.72099999999999997</v>
      </c>
      <c r="L35" s="991">
        <f t="shared" ref="L35:L44" si="24">SUM(H35:K35)</f>
        <v>-2.0579999999999998</v>
      </c>
      <c r="M35" s="994">
        <v>-1.64</v>
      </c>
      <c r="N35" s="994">
        <v>-9.7070000000000007</v>
      </c>
      <c r="O35" s="994">
        <v>-3.157</v>
      </c>
      <c r="P35" s="994">
        <v>-4.0789999999999997</v>
      </c>
      <c r="Q35" s="991">
        <f t="shared" ref="Q35:Q44" si="25">SUM(M35:P35)</f>
        <v>-18.583000000000002</v>
      </c>
      <c r="R35" s="994">
        <v>-2.0329999999999999</v>
      </c>
      <c r="S35" s="994">
        <v>-4.7149999999999999</v>
      </c>
      <c r="T35" s="994">
        <v>-17.27</v>
      </c>
      <c r="U35" s="994">
        <v>-11.019</v>
      </c>
      <c r="V35" s="991">
        <f t="shared" ref="V35:V43" si="26">SUM(R35:U35)</f>
        <v>-35.036999999999999</v>
      </c>
      <c r="W35" s="994">
        <v>-6.43</v>
      </c>
      <c r="X35" s="994">
        <v>-3.4969999999999999</v>
      </c>
      <c r="Y35" s="994">
        <v>-2.282</v>
      </c>
      <c r="Z35" s="994">
        <v>-4.0119999999999996</v>
      </c>
      <c r="AA35" s="991">
        <f t="shared" ref="AA35:AA43" si="27">SUM(W35:Z35)</f>
        <v>-16.221</v>
      </c>
      <c r="AB35" s="994">
        <v>-7.4130000000000003</v>
      </c>
      <c r="AC35" s="994">
        <v>-3.8479999999999999</v>
      </c>
      <c r="AD35" s="994">
        <v>-8.5050000000000008</v>
      </c>
      <c r="AE35" s="994">
        <v>-5.3620000000000001</v>
      </c>
      <c r="AF35" s="991">
        <f t="shared" ref="AF35:AF43" si="28">SUM(AB35:AE35)</f>
        <v>-25.128</v>
      </c>
      <c r="AG35" s="994">
        <v>-6.97</v>
      </c>
      <c r="AH35" s="994">
        <v>-6.298</v>
      </c>
      <c r="AI35" s="994">
        <v>-8.7460000000000004</v>
      </c>
      <c r="AJ35" s="994">
        <v>-13.071999999999999</v>
      </c>
      <c r="AK35" s="991">
        <f t="shared" ref="AK35:AK43" si="29">SUM(AG35:AJ35)</f>
        <v>-35.085999999999999</v>
      </c>
      <c r="AL35" s="994">
        <v>-16.518999999999998</v>
      </c>
      <c r="AM35" s="994">
        <v>-5.0430000000000001</v>
      </c>
      <c r="AN35" s="1207">
        <v>-13.44</v>
      </c>
      <c r="AO35" s="994">
        <v>-11.276999999999999</v>
      </c>
      <c r="AP35" s="991">
        <f t="shared" ref="AP35:AP43" si="30">SUM(AL35:AO35)</f>
        <v>-46.278999999999996</v>
      </c>
      <c r="AQ35" s="1207">
        <v>-44.988999999999997</v>
      </c>
      <c r="AR35" s="1207">
        <v>-16.664999999999999</v>
      </c>
      <c r="AS35" s="1400">
        <v>-23.905000000000001</v>
      </c>
      <c r="AT35" s="990">
        <f>BS!AT101</f>
        <v>-24.612429336169502</v>
      </c>
      <c r="AU35" s="991">
        <f t="shared" ref="AU35:AU42" si="31">SUM(AQ35:AT35)</f>
        <v>-110.1714293361695</v>
      </c>
      <c r="AV35" s="990">
        <f>BS!AV101</f>
        <v>-16.412637149653523</v>
      </c>
      <c r="AW35" s="990">
        <f>BS!AW101</f>
        <v>-17.687942749394619</v>
      </c>
      <c r="AX35" s="990">
        <f>BS!AX101</f>
        <v>-18.778929062693297</v>
      </c>
      <c r="AY35" s="990">
        <f>BS!AY101</f>
        <v>-19.365339379486574</v>
      </c>
      <c r="AZ35" s="991">
        <f t="shared" ref="AZ35:AZ42" si="32">SUM(AV35:AY35)</f>
        <v>-72.244848341228007</v>
      </c>
      <c r="BA35" s="990">
        <f>BS!BA101</f>
        <v>-20.365691584962409</v>
      </c>
      <c r="BB35" s="990">
        <f>BS!BB101</f>
        <v>-22.010224013403917</v>
      </c>
      <c r="BC35" s="990">
        <f>BS!BC101</f>
        <v>-23.431766877707613</v>
      </c>
      <c r="BD35" s="990">
        <f>BS!BD101</f>
        <v>-23.921641999122095</v>
      </c>
      <c r="BE35" s="991">
        <f t="shared" ref="BE35:BE42" si="33">SUM(BA35:BD35)</f>
        <v>-89.729324475196023</v>
      </c>
      <c r="BF35" s="990">
        <f>BS!BF101</f>
        <v>-24.956377302777067</v>
      </c>
      <c r="BG35" s="990">
        <f>BS!BG101</f>
        <v>-26.909099833862395</v>
      </c>
      <c r="BH35" s="990">
        <f>BS!BH101</f>
        <v>-29.159507038284605</v>
      </c>
      <c r="BI35" s="990">
        <f>BS!BI101</f>
        <v>-29.899885664886913</v>
      </c>
      <c r="BJ35" s="991">
        <f t="shared" ref="BJ35:BJ42" si="34">SUM(BF35:BI35)</f>
        <v>-110.92486983981098</v>
      </c>
      <c r="BK35" s="990">
        <f>BS!BK101</f>
        <v>-31.028989507510126</v>
      </c>
      <c r="BL35" s="990">
        <f>BS!BL101</f>
        <v>-33.034236629911803</v>
      </c>
      <c r="BM35" s="990">
        <f>BS!BM101</f>
        <v>-36.038956559745046</v>
      </c>
      <c r="BN35" s="990">
        <f>BS!BN101</f>
        <v>-36.572659662346112</v>
      </c>
      <c r="BO35" s="991">
        <f t="shared" ref="BO35:BO42" si="35">SUM(BK35:BN35)</f>
        <v>-136.67484235951309</v>
      </c>
    </row>
    <row r="36" spans="1:67" s="997" customFormat="1">
      <c r="A36" s="995"/>
      <c r="B36" s="981" t="s">
        <v>294</v>
      </c>
      <c r="C36" s="990"/>
      <c r="D36" s="993"/>
      <c r="E36" s="993"/>
      <c r="F36" s="994"/>
      <c r="G36" s="991">
        <f>SUM(C36:F36)</f>
        <v>0</v>
      </c>
      <c r="H36" s="994">
        <v>-0.42099999999999999</v>
      </c>
      <c r="I36" s="994">
        <v>-0.47499999999999998</v>
      </c>
      <c r="J36" s="994">
        <v>-0.64300000000000002</v>
      </c>
      <c r="K36" s="994">
        <v>-0.41899999999999998</v>
      </c>
      <c r="L36" s="991">
        <f t="shared" si="24"/>
        <v>-1.958</v>
      </c>
      <c r="M36" s="994">
        <v>-0.55700000000000005</v>
      </c>
      <c r="N36" s="994">
        <v>-1.0640000000000001</v>
      </c>
      <c r="O36" s="994">
        <v>-1.319</v>
      </c>
      <c r="P36" s="994">
        <v>-1.325</v>
      </c>
      <c r="Q36" s="991">
        <f t="shared" si="25"/>
        <v>-4.2649999999999997</v>
      </c>
      <c r="R36" s="994">
        <v>-2.1890000000000001</v>
      </c>
      <c r="S36" s="994">
        <v>-0.98099999999999998</v>
      </c>
      <c r="T36" s="994">
        <v>-0.84399999999999997</v>
      </c>
      <c r="U36" s="994">
        <v>-1.2789999999999999</v>
      </c>
      <c r="V36" s="991">
        <f t="shared" si="26"/>
        <v>-5.2930000000000001</v>
      </c>
      <c r="W36" s="994">
        <v>-2.48</v>
      </c>
      <c r="X36" s="994">
        <v>-2.3439999999999999</v>
      </c>
      <c r="Y36" s="994">
        <v>-3.7879999999999998</v>
      </c>
      <c r="Z36" s="994">
        <v>-4.16</v>
      </c>
      <c r="AA36" s="991">
        <f t="shared" si="27"/>
        <v>-12.772</v>
      </c>
      <c r="AB36" s="994">
        <v>-4.8040000000000003</v>
      </c>
      <c r="AC36" s="994">
        <v>-6.7359999999999998</v>
      </c>
      <c r="AD36" s="994">
        <v>-5.7789999999999999</v>
      </c>
      <c r="AE36" s="994">
        <v>-6.6929999999999996</v>
      </c>
      <c r="AF36" s="991">
        <f t="shared" si="28"/>
        <v>-24.012</v>
      </c>
      <c r="AG36" s="994">
        <v>-9.3409999999999993</v>
      </c>
      <c r="AH36" s="994">
        <v>-7.8739999999999997</v>
      </c>
      <c r="AI36" s="994">
        <v>-9.8889999999999993</v>
      </c>
      <c r="AJ36" s="994">
        <v>-7.0289999999999999</v>
      </c>
      <c r="AK36" s="991">
        <f t="shared" si="29"/>
        <v>-34.132999999999996</v>
      </c>
      <c r="AL36" s="994">
        <v>-7.4039999999999999</v>
      </c>
      <c r="AM36" s="994">
        <v>-5.992</v>
      </c>
      <c r="AN36" s="1207">
        <v>-10.032</v>
      </c>
      <c r="AO36" s="994">
        <v>-6.0049999999999999</v>
      </c>
      <c r="AP36" s="991">
        <f t="shared" si="30"/>
        <v>-29.433</v>
      </c>
      <c r="AQ36" s="1207">
        <v>0</v>
      </c>
      <c r="AR36" s="1207">
        <v>0</v>
      </c>
      <c r="AS36" s="1400">
        <v>0</v>
      </c>
      <c r="AT36" s="990">
        <f>BS!AT104</f>
        <v>0</v>
      </c>
      <c r="AU36" s="991">
        <f t="shared" si="31"/>
        <v>0</v>
      </c>
      <c r="AV36" s="990">
        <f>BS!AV104</f>
        <v>-6.5650548598614096</v>
      </c>
      <c r="AW36" s="990">
        <f>BS!AW104</f>
        <v>-7.0751770997578465</v>
      </c>
      <c r="AX36" s="990">
        <f>BS!AX104</f>
        <v>-7.5115716250773188</v>
      </c>
      <c r="AY36" s="990">
        <f>BS!AY104</f>
        <v>-7.7461357517946299</v>
      </c>
      <c r="AZ36" s="991">
        <f t="shared" si="32"/>
        <v>-28.897939336491206</v>
      </c>
      <c r="BA36" s="990">
        <f>BS!BA104</f>
        <v>-8.1462766339849644</v>
      </c>
      <c r="BB36" s="990">
        <f>BS!BB104</f>
        <v>-8.8040896053615665</v>
      </c>
      <c r="BC36" s="990">
        <f>BS!BC104</f>
        <v>-9.3727067510830437</v>
      </c>
      <c r="BD36" s="990">
        <f>BS!BD104</f>
        <v>-9.5686567996488368</v>
      </c>
      <c r="BE36" s="991">
        <f t="shared" si="33"/>
        <v>-35.891729790078408</v>
      </c>
      <c r="BF36" s="990">
        <f>BS!BF104</f>
        <v>-9.9825509211108265</v>
      </c>
      <c r="BG36" s="990">
        <f>BS!BG104</f>
        <v>-10.76363993354496</v>
      </c>
      <c r="BH36" s="990">
        <f>BS!BH104</f>
        <v>-11.663802815313844</v>
      </c>
      <c r="BI36" s="990">
        <f>BS!BI104</f>
        <v>-11.959954265954766</v>
      </c>
      <c r="BJ36" s="991">
        <f t="shared" si="34"/>
        <v>-44.369947935924394</v>
      </c>
      <c r="BK36" s="990">
        <f>BS!BK104</f>
        <v>-12.411595803004049</v>
      </c>
      <c r="BL36" s="990">
        <f>BS!BL104</f>
        <v>-13.213694651964721</v>
      </c>
      <c r="BM36" s="990">
        <f>BS!BM104</f>
        <v>-14.415582623898018</v>
      </c>
      <c r="BN36" s="990">
        <f>BS!BN104</f>
        <v>-14.629063864938445</v>
      </c>
      <c r="BO36" s="991">
        <f t="shared" si="35"/>
        <v>-54.669936943805233</v>
      </c>
    </row>
    <row r="37" spans="1:67" s="997" customFormat="1">
      <c r="A37" s="995"/>
      <c r="B37" s="981" t="s">
        <v>295</v>
      </c>
      <c r="C37" s="990"/>
      <c r="D37" s="993"/>
      <c r="E37" s="993"/>
      <c r="F37" s="994"/>
      <c r="G37" s="991"/>
      <c r="H37" s="994">
        <v>0</v>
      </c>
      <c r="I37" s="994">
        <v>0</v>
      </c>
      <c r="J37" s="994">
        <v>0</v>
      </c>
      <c r="K37" s="994">
        <v>0</v>
      </c>
      <c r="L37" s="991">
        <f t="shared" si="24"/>
        <v>0</v>
      </c>
      <c r="M37" s="994">
        <v>-3.25</v>
      </c>
      <c r="N37" s="994">
        <v>-3.0640000000000001</v>
      </c>
      <c r="O37" s="994">
        <v>0</v>
      </c>
      <c r="P37" s="994">
        <v>0</v>
      </c>
      <c r="Q37" s="991">
        <f t="shared" si="25"/>
        <v>-6.3140000000000001</v>
      </c>
      <c r="R37" s="994">
        <v>0</v>
      </c>
      <c r="S37" s="994">
        <v>-6.0350000000000001</v>
      </c>
      <c r="T37" s="994">
        <v>0</v>
      </c>
      <c r="U37" s="994">
        <v>0</v>
      </c>
      <c r="V37" s="991">
        <f t="shared" si="26"/>
        <v>-6.0350000000000001</v>
      </c>
      <c r="W37" s="994">
        <v>0</v>
      </c>
      <c r="X37" s="994">
        <v>0</v>
      </c>
      <c r="Y37" s="994">
        <v>0</v>
      </c>
      <c r="Z37" s="994">
        <v>0</v>
      </c>
      <c r="AA37" s="991">
        <f t="shared" si="27"/>
        <v>0</v>
      </c>
      <c r="AB37" s="994">
        <v>-177.92500000000001</v>
      </c>
      <c r="AC37" s="994">
        <v>0</v>
      </c>
      <c r="AD37" s="994">
        <v>-174.63</v>
      </c>
      <c r="AE37" s="994">
        <v>-10.054</v>
      </c>
      <c r="AF37" s="991">
        <f t="shared" si="28"/>
        <v>-362.60899999999998</v>
      </c>
      <c r="AG37" s="994">
        <v>-123.11199999999999</v>
      </c>
      <c r="AH37" s="994">
        <v>-141.459</v>
      </c>
      <c r="AI37" s="994">
        <v>-14.962999999999999</v>
      </c>
      <c r="AJ37" s="994">
        <v>3.8279999999999998</v>
      </c>
      <c r="AK37" s="991">
        <f t="shared" si="29"/>
        <v>-275.70600000000007</v>
      </c>
      <c r="AL37" s="994">
        <v>0</v>
      </c>
      <c r="AM37" s="994">
        <v>-8.9060000000000006</v>
      </c>
      <c r="AN37" s="1207">
        <v>-8.2189999999999994</v>
      </c>
      <c r="AO37" s="994">
        <v>-13.18</v>
      </c>
      <c r="AP37" s="991">
        <f t="shared" si="30"/>
        <v>-30.305</v>
      </c>
      <c r="AQ37" s="1207"/>
      <c r="AR37" s="1207">
        <v>-164.23</v>
      </c>
      <c r="AS37" s="1400">
        <v>0</v>
      </c>
      <c r="AT37" s="993"/>
      <c r="AU37" s="991">
        <f t="shared" si="31"/>
        <v>-164.23</v>
      </c>
      <c r="AV37" s="990"/>
      <c r="AW37" s="993"/>
      <c r="AX37" s="993"/>
      <c r="AY37" s="993"/>
      <c r="AZ37" s="991">
        <f t="shared" si="32"/>
        <v>0</v>
      </c>
      <c r="BA37" s="990"/>
      <c r="BB37" s="993"/>
      <c r="BC37" s="993"/>
      <c r="BD37" s="993"/>
      <c r="BE37" s="991">
        <f t="shared" si="33"/>
        <v>0</v>
      </c>
      <c r="BF37" s="990"/>
      <c r="BG37" s="993"/>
      <c r="BH37" s="993"/>
      <c r="BI37" s="993"/>
      <c r="BJ37" s="991">
        <f t="shared" si="34"/>
        <v>0</v>
      </c>
      <c r="BK37" s="990"/>
      <c r="BL37" s="993"/>
      <c r="BM37" s="993"/>
      <c r="BN37" s="993"/>
      <c r="BO37" s="991">
        <f t="shared" si="35"/>
        <v>0</v>
      </c>
    </row>
    <row r="38" spans="1:67" s="997" customFormat="1">
      <c r="A38" s="995"/>
      <c r="B38" s="981" t="s">
        <v>296</v>
      </c>
      <c r="C38" s="990"/>
      <c r="D38" s="993"/>
      <c r="E38" s="993"/>
      <c r="F38" s="994"/>
      <c r="G38" s="991"/>
      <c r="H38" s="994">
        <v>0</v>
      </c>
      <c r="I38" s="994">
        <v>0</v>
      </c>
      <c r="J38" s="994">
        <v>0</v>
      </c>
      <c r="K38" s="994">
        <v>0</v>
      </c>
      <c r="L38" s="991">
        <f t="shared" si="24"/>
        <v>0</v>
      </c>
      <c r="M38" s="994">
        <v>0</v>
      </c>
      <c r="N38" s="994">
        <v>0</v>
      </c>
      <c r="O38" s="994">
        <v>0</v>
      </c>
      <c r="P38" s="994">
        <v>0</v>
      </c>
      <c r="Q38" s="991">
        <f t="shared" si="25"/>
        <v>0</v>
      </c>
      <c r="R38" s="994">
        <v>-6</v>
      </c>
      <c r="S38" s="994">
        <v>-0.184</v>
      </c>
      <c r="T38" s="994">
        <v>0</v>
      </c>
      <c r="U38" s="994">
        <v>-2.19</v>
      </c>
      <c r="V38" s="991">
        <f t="shared" si="26"/>
        <v>-8.3740000000000006</v>
      </c>
      <c r="W38" s="994">
        <v>-10.46</v>
      </c>
      <c r="X38" s="994">
        <v>-0.72199999999999998</v>
      </c>
      <c r="Y38" s="994">
        <v>0</v>
      </c>
      <c r="Z38" s="994">
        <v>-13.151999999999999</v>
      </c>
      <c r="AA38" s="991">
        <f t="shared" si="27"/>
        <v>-24.334</v>
      </c>
      <c r="AB38" s="994">
        <v>0</v>
      </c>
      <c r="AC38" s="994">
        <v>-0.7</v>
      </c>
      <c r="AD38" s="994">
        <v>0</v>
      </c>
      <c r="AE38" s="994">
        <v>0</v>
      </c>
      <c r="AF38" s="991">
        <f t="shared" si="28"/>
        <v>-0.7</v>
      </c>
      <c r="AG38" s="994">
        <v>0</v>
      </c>
      <c r="AH38" s="994">
        <v>-27.48</v>
      </c>
      <c r="AI38" s="994">
        <v>-1.264</v>
      </c>
      <c r="AJ38" s="994">
        <v>0</v>
      </c>
      <c r="AK38" s="991">
        <f t="shared" si="29"/>
        <v>-28.744</v>
      </c>
      <c r="AL38" s="994">
        <v>0</v>
      </c>
      <c r="AM38" s="994">
        <v>0</v>
      </c>
      <c r="AN38" s="1207">
        <v>0</v>
      </c>
      <c r="AO38" s="994"/>
      <c r="AP38" s="991">
        <f t="shared" si="30"/>
        <v>0</v>
      </c>
      <c r="AQ38" s="1207"/>
      <c r="AR38" s="1207">
        <v>-1.3109999999999999</v>
      </c>
      <c r="AS38" s="1400">
        <v>0</v>
      </c>
      <c r="AT38" s="993"/>
      <c r="AU38" s="991">
        <f t="shared" si="31"/>
        <v>-1.3109999999999999</v>
      </c>
      <c r="AV38" s="990"/>
      <c r="AW38" s="993"/>
      <c r="AX38" s="993"/>
      <c r="AY38" s="993"/>
      <c r="AZ38" s="991">
        <f t="shared" si="32"/>
        <v>0</v>
      </c>
      <c r="BA38" s="990"/>
      <c r="BB38" s="993"/>
      <c r="BC38" s="993"/>
      <c r="BD38" s="993"/>
      <c r="BE38" s="991">
        <f t="shared" si="33"/>
        <v>0</v>
      </c>
      <c r="BF38" s="990"/>
      <c r="BG38" s="993"/>
      <c r="BH38" s="993"/>
      <c r="BI38" s="993"/>
      <c r="BJ38" s="991">
        <f t="shared" si="34"/>
        <v>0</v>
      </c>
      <c r="BK38" s="990"/>
      <c r="BL38" s="993"/>
      <c r="BM38" s="993"/>
      <c r="BN38" s="993"/>
      <c r="BO38" s="991">
        <f t="shared" si="35"/>
        <v>0</v>
      </c>
    </row>
    <row r="39" spans="1:67" s="983" customFormat="1">
      <c r="A39" s="1352"/>
      <c r="B39" s="981" t="s">
        <v>273</v>
      </c>
      <c r="C39" s="1353"/>
      <c r="D39" s="1354"/>
      <c r="E39" s="1354"/>
      <c r="F39" s="1355"/>
      <c r="G39" s="1356">
        <f>SUM(C39:F39)</f>
        <v>0</v>
      </c>
      <c r="H39" s="1355">
        <v>-62.377000000000002</v>
      </c>
      <c r="I39" s="1355">
        <v>-123.94799999999999</v>
      </c>
      <c r="J39" s="1355">
        <v>-442.44400000000002</v>
      </c>
      <c r="K39" s="1355">
        <v>-109.614</v>
      </c>
      <c r="L39" s="1356">
        <f t="shared" si="24"/>
        <v>-738.38300000000004</v>
      </c>
      <c r="M39" s="1355">
        <v>-227.74100000000001</v>
      </c>
      <c r="N39" s="1355">
        <v>-92.903999999999996</v>
      </c>
      <c r="O39" s="1355">
        <v>-196.834</v>
      </c>
      <c r="P39" s="1355">
        <v>-105.375</v>
      </c>
      <c r="Q39" s="1356">
        <f t="shared" si="25"/>
        <v>-622.85400000000004</v>
      </c>
      <c r="R39" s="1355">
        <v>-253.82400000000001</v>
      </c>
      <c r="S39" s="1355">
        <v>-358.81099999999998</v>
      </c>
      <c r="T39" s="1355">
        <v>-622.38499999999999</v>
      </c>
      <c r="U39" s="1355">
        <v>-3624.8319999999999</v>
      </c>
      <c r="V39" s="1356">
        <f t="shared" si="26"/>
        <v>-4859.8519999999999</v>
      </c>
      <c r="W39" s="1355">
        <v>-1145.67</v>
      </c>
      <c r="X39" s="1355">
        <v>-842.96299999999997</v>
      </c>
      <c r="Y39" s="1355">
        <v>-1053.7629999999999</v>
      </c>
      <c r="Z39" s="1355">
        <v>-1207.942</v>
      </c>
      <c r="AA39" s="1356">
        <f t="shared" si="27"/>
        <v>-4250.3379999999997</v>
      </c>
      <c r="AB39" s="1355">
        <v>-897.29100000000005</v>
      </c>
      <c r="AC39" s="1355">
        <v>-1027.9659999999999</v>
      </c>
      <c r="AD39" s="1355">
        <v>-870.91</v>
      </c>
      <c r="AE39" s="1355">
        <v>-1105.154</v>
      </c>
      <c r="AF39" s="1356">
        <f t="shared" si="28"/>
        <v>-3901.3209999999999</v>
      </c>
      <c r="AG39" s="1355">
        <v>-1037.2860000000001</v>
      </c>
      <c r="AH39" s="1355">
        <v>-688.678</v>
      </c>
      <c r="AI39" s="1355">
        <v>-369.36500000000001</v>
      </c>
      <c r="AJ39" s="1355">
        <v>-380.87700000000001</v>
      </c>
      <c r="AK39" s="1356">
        <f t="shared" si="29"/>
        <v>-2476.2059999999997</v>
      </c>
      <c r="AL39" s="1355">
        <v>-1078.261</v>
      </c>
      <c r="AM39" s="1355">
        <v>-196.48099999999999</v>
      </c>
      <c r="AN39" s="1357">
        <v>-1014.2430000000001</v>
      </c>
      <c r="AO39" s="1355">
        <v>-280.25799999999998</v>
      </c>
      <c r="AP39" s="1356">
        <f t="shared" si="30"/>
        <v>-2569.2429999999999</v>
      </c>
      <c r="AQ39" s="1357">
        <v>-1012.575</v>
      </c>
      <c r="AR39" s="1357">
        <v>-636.46900000000005</v>
      </c>
      <c r="AS39" s="1404">
        <v>-341.17200000000003</v>
      </c>
      <c r="AT39" s="1354"/>
      <c r="AU39" s="1356">
        <f t="shared" si="31"/>
        <v>-1990.2160000000001</v>
      </c>
      <c r="AV39" s="1353"/>
      <c r="AW39" s="1354"/>
      <c r="AX39" s="1354"/>
      <c r="AY39" s="1354"/>
      <c r="AZ39" s="1356">
        <f t="shared" si="32"/>
        <v>0</v>
      </c>
      <c r="BA39" s="1353"/>
      <c r="BB39" s="1354"/>
      <c r="BC39" s="1354"/>
      <c r="BD39" s="1354"/>
      <c r="BE39" s="1356">
        <f t="shared" si="33"/>
        <v>0</v>
      </c>
      <c r="BF39" s="1353"/>
      <c r="BG39" s="1354"/>
      <c r="BH39" s="1354"/>
      <c r="BI39" s="1354"/>
      <c r="BJ39" s="1356">
        <f t="shared" si="34"/>
        <v>0</v>
      </c>
      <c r="BK39" s="1353"/>
      <c r="BL39" s="1354"/>
      <c r="BM39" s="1354"/>
      <c r="BN39" s="1354"/>
      <c r="BO39" s="1356">
        <f t="shared" si="35"/>
        <v>0</v>
      </c>
    </row>
    <row r="40" spans="1:67" s="997" customFormat="1">
      <c r="A40" s="995"/>
      <c r="B40" s="981" t="s">
        <v>297</v>
      </c>
      <c r="C40" s="990"/>
      <c r="D40" s="993"/>
      <c r="E40" s="993"/>
      <c r="F40" s="994"/>
      <c r="G40" s="991"/>
      <c r="H40" s="994">
        <v>0</v>
      </c>
      <c r="I40" s="994">
        <v>0</v>
      </c>
      <c r="J40" s="994">
        <v>0</v>
      </c>
      <c r="K40" s="994">
        <v>0</v>
      </c>
      <c r="L40" s="991">
        <f t="shared" si="24"/>
        <v>0</v>
      </c>
      <c r="M40" s="994">
        <v>0</v>
      </c>
      <c r="N40" s="994">
        <v>0</v>
      </c>
      <c r="O40" s="994">
        <v>3.3959999999999999</v>
      </c>
      <c r="P40" s="994">
        <v>10.691000000000001</v>
      </c>
      <c r="Q40" s="991">
        <f t="shared" si="25"/>
        <v>14.087</v>
      </c>
      <c r="R40" s="994">
        <v>0</v>
      </c>
      <c r="S40" s="994">
        <v>3.51</v>
      </c>
      <c r="T40" s="994">
        <v>25.195</v>
      </c>
      <c r="U40" s="994">
        <v>148.36500000000001</v>
      </c>
      <c r="V40" s="991">
        <f t="shared" si="26"/>
        <v>177.07</v>
      </c>
      <c r="W40" s="994">
        <v>384.38299999999998</v>
      </c>
      <c r="X40" s="994">
        <v>7.9290000000000003</v>
      </c>
      <c r="Y40" s="994">
        <v>14.691000000000001</v>
      </c>
      <c r="Z40" s="994">
        <v>33.066000000000003</v>
      </c>
      <c r="AA40" s="991">
        <f t="shared" si="27"/>
        <v>440.06899999999996</v>
      </c>
      <c r="AB40" s="994">
        <v>10.974</v>
      </c>
      <c r="AC40" s="994">
        <v>32.957999999999998</v>
      </c>
      <c r="AD40" s="994">
        <v>14.881</v>
      </c>
      <c r="AE40" s="994">
        <v>0</v>
      </c>
      <c r="AF40" s="991">
        <f t="shared" si="28"/>
        <v>58.813000000000002</v>
      </c>
      <c r="AG40" s="994">
        <v>5.6520000000000001</v>
      </c>
      <c r="AH40" s="994">
        <v>1.6140000000000001</v>
      </c>
      <c r="AI40" s="994">
        <v>4</v>
      </c>
      <c r="AJ40" s="994">
        <v>0</v>
      </c>
      <c r="AK40" s="991">
        <f t="shared" si="29"/>
        <v>11.266</v>
      </c>
      <c r="AL40" s="994">
        <v>30.36</v>
      </c>
      <c r="AM40" s="994">
        <v>10.436999999999999</v>
      </c>
      <c r="AN40" s="1207">
        <v>13.597</v>
      </c>
      <c r="AO40" s="994">
        <v>10.179</v>
      </c>
      <c r="AP40" s="991">
        <f t="shared" si="30"/>
        <v>64.572999999999993</v>
      </c>
      <c r="AQ40" s="1207">
        <v>17.399000000000001</v>
      </c>
      <c r="AR40" s="1207">
        <v>1.476</v>
      </c>
      <c r="AS40" s="1400">
        <v>0.52200000000000002</v>
      </c>
      <c r="AT40" s="993"/>
      <c r="AU40" s="991">
        <f t="shared" si="31"/>
        <v>19.396999999999998</v>
      </c>
      <c r="AV40" s="990"/>
      <c r="AW40" s="993"/>
      <c r="AX40" s="993"/>
      <c r="AY40" s="993"/>
      <c r="AZ40" s="991">
        <f t="shared" si="32"/>
        <v>0</v>
      </c>
      <c r="BA40" s="990"/>
      <c r="BB40" s="993"/>
      <c r="BC40" s="993"/>
      <c r="BD40" s="993"/>
      <c r="BE40" s="991">
        <f t="shared" si="33"/>
        <v>0</v>
      </c>
      <c r="BF40" s="990"/>
      <c r="BG40" s="993"/>
      <c r="BH40" s="993"/>
      <c r="BI40" s="993"/>
      <c r="BJ40" s="991">
        <f t="shared" si="34"/>
        <v>0</v>
      </c>
      <c r="BK40" s="990"/>
      <c r="BL40" s="993"/>
      <c r="BM40" s="993"/>
      <c r="BN40" s="993"/>
      <c r="BO40" s="991">
        <f t="shared" si="35"/>
        <v>0</v>
      </c>
    </row>
    <row r="41" spans="1:67" s="997" customFormat="1">
      <c r="A41" s="995"/>
      <c r="B41" s="981" t="s">
        <v>298</v>
      </c>
      <c r="C41" s="990"/>
      <c r="D41" s="993"/>
      <c r="E41" s="993"/>
      <c r="F41" s="994"/>
      <c r="G41" s="991"/>
      <c r="H41" s="994">
        <v>46.405000000000001</v>
      </c>
      <c r="I41" s="994">
        <v>49</v>
      </c>
      <c r="J41" s="994">
        <v>158.43</v>
      </c>
      <c r="K41" s="994">
        <v>125.922</v>
      </c>
      <c r="L41" s="991">
        <f t="shared" si="24"/>
        <v>379.75700000000001</v>
      </c>
      <c r="M41" s="994">
        <v>272.83100000000002</v>
      </c>
      <c r="N41" s="994">
        <v>202.047</v>
      </c>
      <c r="O41" s="994">
        <v>217.108</v>
      </c>
      <c r="P41" s="994">
        <v>84.438000000000002</v>
      </c>
      <c r="Q41" s="991">
        <f t="shared" si="25"/>
        <v>776.42400000000009</v>
      </c>
      <c r="R41" s="994">
        <v>92.042000000000002</v>
      </c>
      <c r="S41" s="994">
        <v>97.816999999999993</v>
      </c>
      <c r="T41" s="994">
        <v>181.66900000000001</v>
      </c>
      <c r="U41" s="994">
        <v>329.34800000000001</v>
      </c>
      <c r="V41" s="991">
        <f t="shared" si="26"/>
        <v>700.87599999999998</v>
      </c>
      <c r="W41" s="994">
        <v>516.58799999999997</v>
      </c>
      <c r="X41" s="994">
        <v>877.63499999999999</v>
      </c>
      <c r="Y41" s="994">
        <v>1216.2059999999999</v>
      </c>
      <c r="Z41" s="994">
        <v>1232.367</v>
      </c>
      <c r="AA41" s="991">
        <f t="shared" si="27"/>
        <v>3842.7960000000003</v>
      </c>
      <c r="AB41" s="994">
        <v>886.66700000000003</v>
      </c>
      <c r="AC41" s="994">
        <v>809.84500000000003</v>
      </c>
      <c r="AD41" s="994">
        <v>898.08100000000002</v>
      </c>
      <c r="AE41" s="994">
        <v>1062.479</v>
      </c>
      <c r="AF41" s="991">
        <f t="shared" si="28"/>
        <v>3657.0720000000001</v>
      </c>
      <c r="AG41" s="994">
        <v>808.84400000000005</v>
      </c>
      <c r="AH41" s="994">
        <v>971.21699999999998</v>
      </c>
      <c r="AI41" s="994">
        <v>971.08699999999999</v>
      </c>
      <c r="AJ41" s="994">
        <v>919.71900000000005</v>
      </c>
      <c r="AK41" s="991">
        <f t="shared" si="29"/>
        <v>3670.8670000000002</v>
      </c>
      <c r="AL41" s="994">
        <v>921.39499999999998</v>
      </c>
      <c r="AM41" s="994">
        <v>590.06299999999999</v>
      </c>
      <c r="AN41" s="1207">
        <v>765.19500000000005</v>
      </c>
      <c r="AO41" s="994">
        <v>525.42899999999997</v>
      </c>
      <c r="AP41" s="991">
        <f t="shared" si="30"/>
        <v>2802.0820000000003</v>
      </c>
      <c r="AQ41" s="1207">
        <v>984.18200000000002</v>
      </c>
      <c r="AR41" s="1207">
        <v>517.947</v>
      </c>
      <c r="AS41" s="1400">
        <v>612.79399999999998</v>
      </c>
      <c r="AT41" s="993"/>
      <c r="AU41" s="991">
        <f t="shared" si="31"/>
        <v>2114.9229999999998</v>
      </c>
      <c r="AV41" s="990"/>
      <c r="AW41" s="993"/>
      <c r="AX41" s="993"/>
      <c r="AY41" s="993"/>
      <c r="AZ41" s="991">
        <f t="shared" si="32"/>
        <v>0</v>
      </c>
      <c r="BA41" s="990"/>
      <c r="BB41" s="993"/>
      <c r="BC41" s="993"/>
      <c r="BD41" s="993"/>
      <c r="BE41" s="991">
        <f t="shared" si="33"/>
        <v>0</v>
      </c>
      <c r="BF41" s="990"/>
      <c r="BG41" s="993"/>
      <c r="BH41" s="993"/>
      <c r="BI41" s="993"/>
      <c r="BJ41" s="991">
        <f t="shared" si="34"/>
        <v>0</v>
      </c>
      <c r="BK41" s="990"/>
      <c r="BL41" s="993"/>
      <c r="BM41" s="993"/>
      <c r="BN41" s="993"/>
      <c r="BO41" s="991">
        <f t="shared" si="35"/>
        <v>0</v>
      </c>
    </row>
    <row r="42" spans="1:67" s="997" customFormat="1">
      <c r="A42" s="995"/>
      <c r="B42" s="981" t="s">
        <v>437</v>
      </c>
      <c r="C42" s="990"/>
      <c r="D42" s="993"/>
      <c r="E42" s="993"/>
      <c r="F42" s="994"/>
      <c r="G42" s="991"/>
      <c r="H42" s="994"/>
      <c r="I42" s="994"/>
      <c r="J42" s="994"/>
      <c r="K42" s="994"/>
      <c r="L42" s="991"/>
      <c r="M42" s="994"/>
      <c r="N42" s="994"/>
      <c r="O42" s="994"/>
      <c r="P42" s="994"/>
      <c r="Q42" s="991"/>
      <c r="R42" s="994"/>
      <c r="S42" s="994"/>
      <c r="T42" s="994"/>
      <c r="U42" s="994"/>
      <c r="V42" s="991"/>
      <c r="W42" s="994"/>
      <c r="X42" s="994"/>
      <c r="Y42" s="994"/>
      <c r="Z42" s="994"/>
      <c r="AA42" s="991"/>
      <c r="AB42" s="994"/>
      <c r="AC42" s="994"/>
      <c r="AD42" s="994"/>
      <c r="AE42" s="994"/>
      <c r="AF42" s="991"/>
      <c r="AG42" s="994"/>
      <c r="AH42" s="994"/>
      <c r="AI42" s="994"/>
      <c r="AJ42" s="994"/>
      <c r="AK42" s="991"/>
      <c r="AL42" s="994">
        <v>-0.749</v>
      </c>
      <c r="AM42" s="994">
        <v>0</v>
      </c>
      <c r="AN42" s="1207"/>
      <c r="AO42" s="994"/>
      <c r="AP42" s="991"/>
      <c r="AQ42" s="1207">
        <v>0</v>
      </c>
      <c r="AR42" s="1207"/>
      <c r="AS42" s="1400"/>
      <c r="AT42" s="993"/>
      <c r="AU42" s="991">
        <f t="shared" si="31"/>
        <v>0</v>
      </c>
      <c r="AV42" s="990"/>
      <c r="AW42" s="993"/>
      <c r="AX42" s="993"/>
      <c r="AY42" s="993"/>
      <c r="AZ42" s="991">
        <f t="shared" si="32"/>
        <v>0</v>
      </c>
      <c r="BA42" s="990"/>
      <c r="BB42" s="993"/>
      <c r="BC42" s="993"/>
      <c r="BD42" s="993"/>
      <c r="BE42" s="991">
        <f t="shared" si="33"/>
        <v>0</v>
      </c>
      <c r="BF42" s="990"/>
      <c r="BG42" s="993"/>
      <c r="BH42" s="993"/>
      <c r="BI42" s="993"/>
      <c r="BJ42" s="991">
        <f t="shared" si="34"/>
        <v>0</v>
      </c>
      <c r="BK42" s="990"/>
      <c r="BL42" s="993"/>
      <c r="BM42" s="993"/>
      <c r="BN42" s="993"/>
      <c r="BO42" s="991">
        <f t="shared" si="35"/>
        <v>0</v>
      </c>
    </row>
    <row r="43" spans="1:67" s="1003" customFormat="1" hidden="1" outlineLevel="1">
      <c r="A43" s="1005"/>
      <c r="B43" s="987" t="s">
        <v>290</v>
      </c>
      <c r="C43" s="990"/>
      <c r="D43" s="993"/>
      <c r="E43" s="993"/>
      <c r="F43" s="994"/>
      <c r="G43" s="991"/>
      <c r="H43" s="994">
        <v>0</v>
      </c>
      <c r="I43" s="994">
        <v>0</v>
      </c>
      <c r="J43" s="994">
        <v>0</v>
      </c>
      <c r="K43" s="994">
        <v>0</v>
      </c>
      <c r="L43" s="991">
        <f t="shared" si="24"/>
        <v>0</v>
      </c>
      <c r="M43" s="994">
        <v>0</v>
      </c>
      <c r="N43" s="994">
        <v>0</v>
      </c>
      <c r="O43" s="994">
        <v>0</v>
      </c>
      <c r="P43" s="994">
        <v>0</v>
      </c>
      <c r="Q43" s="991">
        <f t="shared" si="25"/>
        <v>0</v>
      </c>
      <c r="R43" s="994">
        <v>0</v>
      </c>
      <c r="S43" s="994">
        <v>0</v>
      </c>
      <c r="T43" s="994">
        <v>0</v>
      </c>
      <c r="U43" s="994">
        <v>0</v>
      </c>
      <c r="V43" s="991">
        <f t="shared" si="26"/>
        <v>0</v>
      </c>
      <c r="W43" s="994">
        <v>0</v>
      </c>
      <c r="X43" s="994">
        <v>0</v>
      </c>
      <c r="Y43" s="994">
        <v>0</v>
      </c>
      <c r="Z43" s="994">
        <v>0</v>
      </c>
      <c r="AA43" s="991">
        <f t="shared" si="27"/>
        <v>0</v>
      </c>
      <c r="AB43" s="994">
        <v>0</v>
      </c>
      <c r="AC43" s="994">
        <v>0</v>
      </c>
      <c r="AD43" s="994">
        <v>0</v>
      </c>
      <c r="AE43" s="994">
        <v>0</v>
      </c>
      <c r="AF43" s="991">
        <f t="shared" si="28"/>
        <v>0</v>
      </c>
      <c r="AG43" s="994">
        <v>0</v>
      </c>
      <c r="AH43" s="994">
        <v>0</v>
      </c>
      <c r="AI43" s="994">
        <v>0</v>
      </c>
      <c r="AJ43" s="994">
        <v>0</v>
      </c>
      <c r="AK43" s="991">
        <f t="shared" si="29"/>
        <v>0</v>
      </c>
      <c r="AL43" s="994">
        <v>0</v>
      </c>
      <c r="AM43" s="994">
        <v>0</v>
      </c>
      <c r="AN43" s="1207"/>
      <c r="AO43" s="994"/>
      <c r="AP43" s="991">
        <f t="shared" si="30"/>
        <v>0</v>
      </c>
      <c r="AQ43" s="1207"/>
      <c r="AR43" s="1393"/>
      <c r="AS43" s="1403"/>
      <c r="AT43" s="996"/>
      <c r="AU43" s="991"/>
      <c r="AV43" s="996"/>
      <c r="AW43" s="996"/>
      <c r="AX43" s="996"/>
      <c r="AY43" s="996"/>
      <c r="AZ43" s="991"/>
      <c r="BA43" s="996"/>
      <c r="BB43" s="996"/>
      <c r="BC43" s="996"/>
      <c r="BD43" s="996"/>
      <c r="BE43" s="991"/>
      <c r="BF43" s="996"/>
      <c r="BG43" s="996"/>
      <c r="BH43" s="996"/>
      <c r="BI43" s="996"/>
      <c r="BJ43" s="991"/>
      <c r="BK43" s="996"/>
      <c r="BL43" s="996"/>
      <c r="BM43" s="996"/>
      <c r="BN43" s="996"/>
      <c r="BO43" s="991"/>
    </row>
    <row r="44" spans="1:67" s="1010" customFormat="1" collapsed="1">
      <c r="A44" s="1006"/>
      <c r="B44" s="985" t="s">
        <v>274</v>
      </c>
      <c r="C44" s="1008"/>
      <c r="D44" s="1008"/>
      <c r="E44" s="1008"/>
      <c r="F44" s="1008">
        <f>SUM(F35:F39)</f>
        <v>0</v>
      </c>
      <c r="G44" s="1009">
        <f>SUM(C44:F44)</f>
        <v>0</v>
      </c>
      <c r="H44" s="1008">
        <f>SUM(H35:H43)</f>
        <v>-16.465000000000003</v>
      </c>
      <c r="I44" s="1008">
        <f>SUM(I35:I43)</f>
        <v>-76.182999999999993</v>
      </c>
      <c r="J44" s="1008">
        <f>SUM(J35:J43)</f>
        <v>-285.16200000000003</v>
      </c>
      <c r="K44" s="1008">
        <f>SUM(K35:K43)</f>
        <v>15.167999999999992</v>
      </c>
      <c r="L44" s="1009">
        <f t="shared" si="24"/>
        <v>-362.64200000000005</v>
      </c>
      <c r="M44" s="1008">
        <f>SUM(M35:M43)</f>
        <v>39.643000000000001</v>
      </c>
      <c r="N44" s="1008">
        <f>SUM(N35:N43)</f>
        <v>95.307999999999993</v>
      </c>
      <c r="O44" s="1008">
        <f>SUM(O35:O43)</f>
        <v>19.193999999999988</v>
      </c>
      <c r="P44" s="1008">
        <f>SUM(P35:P43)</f>
        <v>-15.649999999999991</v>
      </c>
      <c r="Q44" s="1009">
        <f t="shared" si="25"/>
        <v>138.495</v>
      </c>
      <c r="R44" s="1008">
        <f>SUM(R35:R43)</f>
        <v>-172.00399999999999</v>
      </c>
      <c r="S44" s="1008">
        <f>SUM(S35:S43)</f>
        <v>-269.399</v>
      </c>
      <c r="T44" s="1008">
        <f>SUM(T35:T43)</f>
        <v>-433.63499999999999</v>
      </c>
      <c r="U44" s="1008">
        <f>SUM(U35:U43)</f>
        <v>-3161.607</v>
      </c>
      <c r="V44" s="1009">
        <f>SUM(R44:U44)</f>
        <v>-4036.645</v>
      </c>
      <c r="W44" s="1008">
        <f>SUM(W35:W43)</f>
        <v>-264.06899999999996</v>
      </c>
      <c r="X44" s="1008">
        <f>SUM(X35:X43)</f>
        <v>36.038000000000011</v>
      </c>
      <c r="Y44" s="1008">
        <f>SUM(Y35:Y43)</f>
        <v>171.06400000000008</v>
      </c>
      <c r="Z44" s="1008">
        <f>SUM(Z35:Z43)</f>
        <v>36.166999999999916</v>
      </c>
      <c r="AA44" s="1009">
        <f>SUM(W44:Z44)</f>
        <v>-20.799999999999955</v>
      </c>
      <c r="AB44" s="1008">
        <f>SUM(AB35:AB43)</f>
        <v>-189.79200000000003</v>
      </c>
      <c r="AC44" s="1008">
        <f>SUM(AC35:AC43)</f>
        <v>-196.447</v>
      </c>
      <c r="AD44" s="1008">
        <f>SUM(AD35:AD43)</f>
        <v>-146.86199999999997</v>
      </c>
      <c r="AE44" s="1008">
        <f>SUM(AE35:AE43)</f>
        <v>-64.783999999999878</v>
      </c>
      <c r="AF44" s="1009">
        <f>SUM(AB44:AE44)</f>
        <v>-597.88499999999988</v>
      </c>
      <c r="AG44" s="1008">
        <f>SUM(AG35:AG43)</f>
        <v>-362.21299999999997</v>
      </c>
      <c r="AH44" s="1008">
        <f>SUM(AH35:AH43)</f>
        <v>101.04200000000003</v>
      </c>
      <c r="AI44" s="1008">
        <f>SUM(AI35:AI43)</f>
        <v>570.8599999999999</v>
      </c>
      <c r="AJ44" s="1008">
        <f>SUM(AJ35:AJ43)</f>
        <v>522.56899999999996</v>
      </c>
      <c r="AK44" s="1009">
        <f>SUM(AG44:AJ44)</f>
        <v>832.25799999999992</v>
      </c>
      <c r="AL44" s="1008">
        <f>SUM(AL35:AL43)</f>
        <v>-151.17800000000008</v>
      </c>
      <c r="AM44" s="1008">
        <f>SUM(AM35:AM43)</f>
        <v>384.07799999999997</v>
      </c>
      <c r="AN44" s="1208">
        <f>SUM(AN35:AN43)</f>
        <v>-267.14199999999994</v>
      </c>
      <c r="AO44" s="1008">
        <f>SUM(AO35:AO43)</f>
        <v>224.88799999999998</v>
      </c>
      <c r="AP44" s="1009">
        <f>SUM(AL44:AO44)</f>
        <v>190.64599999999993</v>
      </c>
      <c r="AQ44" s="1208">
        <f>SUM(AQ35:AQ42)</f>
        <v>-55.982999999999947</v>
      </c>
      <c r="AR44" s="1208">
        <f>SUM(AR35:AR41)</f>
        <v>-299.25200000000007</v>
      </c>
      <c r="AS44" s="1008">
        <f>SUM(AS35:AS41)</f>
        <v>248.23899999999998</v>
      </c>
      <c r="AT44" s="1008">
        <f>SUM(AT35:AT39)</f>
        <v>-24.612429336169502</v>
      </c>
      <c r="AU44" s="1009">
        <f>SUM(AQ44:AT44)</f>
        <v>-131.60842933616954</v>
      </c>
      <c r="AV44" s="1008">
        <f>SUM(AV35:AV39)</f>
        <v>-22.977692009514932</v>
      </c>
      <c r="AW44" s="1008">
        <f>SUM(AW35:AW39)</f>
        <v>-24.763119849152467</v>
      </c>
      <c r="AX44" s="1008">
        <f>SUM(AX35:AX39)</f>
        <v>-26.290500687770617</v>
      </c>
      <c r="AY44" s="1008">
        <f>SUM(AY35:AY39)</f>
        <v>-27.111475131281203</v>
      </c>
      <c r="AZ44" s="1009">
        <f>SUM(AV44:AY44)</f>
        <v>-101.14278767771921</v>
      </c>
      <c r="BA44" s="1008">
        <f>SUM(BA35:BA39)</f>
        <v>-28.511968218947374</v>
      </c>
      <c r="BB44" s="1008">
        <f>SUM(BB35:BB39)</f>
        <v>-30.814313618765482</v>
      </c>
      <c r="BC44" s="1008">
        <f>SUM(BC35:BC39)</f>
        <v>-32.80447362879066</v>
      </c>
      <c r="BD44" s="1008">
        <f>SUM(BD35:BD39)</f>
        <v>-33.49029879877093</v>
      </c>
      <c r="BE44" s="1009">
        <f>SUM(BA44:BD44)</f>
        <v>-125.62105426527444</v>
      </c>
      <c r="BF44" s="1008">
        <f>SUM(BF35:BF39)</f>
        <v>-34.938928223887892</v>
      </c>
      <c r="BG44" s="1008">
        <f>SUM(BG35:BG39)</f>
        <v>-37.672739767407357</v>
      </c>
      <c r="BH44" s="1008">
        <f>SUM(BH35:BH39)</f>
        <v>-40.823309853598445</v>
      </c>
      <c r="BI44" s="1008">
        <f>SUM(BI35:BI39)</f>
        <v>-41.85983993084168</v>
      </c>
      <c r="BJ44" s="1009">
        <f>SUM(BF44:BI44)</f>
        <v>-155.29481777573537</v>
      </c>
      <c r="BK44" s="1008">
        <f>SUM(BK35:BK39)</f>
        <v>-43.440585310514173</v>
      </c>
      <c r="BL44" s="1008">
        <f>SUM(BL35:BL39)</f>
        <v>-46.247931281876525</v>
      </c>
      <c r="BM44" s="1008">
        <f>SUM(BM35:BM39)</f>
        <v>-50.454539183643064</v>
      </c>
      <c r="BN44" s="1008">
        <f>SUM(BN35:BN39)</f>
        <v>-51.201723527284557</v>
      </c>
      <c r="BO44" s="1009">
        <f>SUM(BK44:BN44)</f>
        <v>-191.34477930331832</v>
      </c>
    </row>
    <row r="45" spans="1:67" s="997" customFormat="1">
      <c r="A45" s="995"/>
      <c r="B45" s="983"/>
      <c r="C45" s="1016"/>
      <c r="D45" s="1016"/>
      <c r="E45" s="1016"/>
      <c r="F45" s="1016"/>
      <c r="G45" s="1013"/>
      <c r="H45" s="1016"/>
      <c r="I45" s="1016"/>
      <c r="J45" s="1016"/>
      <c r="K45" s="1016"/>
      <c r="L45" s="1013"/>
      <c r="M45" s="1016"/>
      <c r="N45" s="1016"/>
      <c r="O45" s="1016"/>
      <c r="P45" s="1016"/>
      <c r="Q45" s="1013"/>
      <c r="R45" s="1016"/>
      <c r="S45" s="1016"/>
      <c r="T45" s="1016"/>
      <c r="U45" s="1016"/>
      <c r="V45" s="1013"/>
      <c r="W45" s="1016"/>
      <c r="X45" s="1016"/>
      <c r="Y45" s="1016"/>
      <c r="Z45" s="1016"/>
      <c r="AA45" s="1013"/>
      <c r="AB45" s="1016"/>
      <c r="AC45" s="1016"/>
      <c r="AD45" s="1016"/>
      <c r="AE45" s="1016"/>
      <c r="AF45" s="1013"/>
      <c r="AG45" s="1016"/>
      <c r="AH45" s="1016"/>
      <c r="AI45" s="1016"/>
      <c r="AJ45" s="1016"/>
      <c r="AK45" s="1013"/>
      <c r="AL45" s="1016"/>
      <c r="AM45" s="1016"/>
      <c r="AN45" s="1215"/>
      <c r="AO45" s="1016"/>
      <c r="AP45" s="1013"/>
      <c r="AQ45" s="1215"/>
      <c r="AR45" s="1215"/>
      <c r="AS45" s="1016"/>
      <c r="AT45" s="1016"/>
      <c r="AU45" s="1013"/>
      <c r="AV45" s="1016"/>
      <c r="AW45" s="1016"/>
      <c r="AX45" s="1016"/>
      <c r="AY45" s="1016"/>
      <c r="AZ45" s="1013"/>
      <c r="BA45" s="1016"/>
      <c r="BB45" s="1016"/>
      <c r="BC45" s="1016"/>
      <c r="BD45" s="1016"/>
      <c r="BE45" s="1013"/>
      <c r="BF45" s="1016"/>
      <c r="BG45" s="1016"/>
      <c r="BH45" s="1016"/>
      <c r="BI45" s="1016"/>
      <c r="BJ45" s="1013"/>
      <c r="BK45" s="1016"/>
      <c r="BL45" s="1016"/>
      <c r="BM45" s="1016"/>
      <c r="BN45" s="1016"/>
      <c r="BO45" s="1013"/>
    </row>
    <row r="46" spans="1:67" s="997" customFormat="1">
      <c r="A46" s="995"/>
      <c r="B46" s="986" t="s">
        <v>275</v>
      </c>
      <c r="C46" s="1014"/>
      <c r="D46" s="1012"/>
      <c r="E46" s="1012"/>
      <c r="F46" s="1012"/>
      <c r="G46" s="1013"/>
      <c r="H46" s="1014"/>
      <c r="I46" s="1012"/>
      <c r="J46" s="1012"/>
      <c r="K46" s="1012"/>
      <c r="L46" s="1013"/>
      <c r="M46" s="1014"/>
      <c r="N46" s="1012"/>
      <c r="O46" s="1012"/>
      <c r="P46" s="1012"/>
      <c r="Q46" s="1013"/>
      <c r="R46" s="1014"/>
      <c r="S46" s="1012"/>
      <c r="T46" s="1012"/>
      <c r="U46" s="1012"/>
      <c r="V46" s="1013"/>
      <c r="W46" s="1014"/>
      <c r="X46" s="1012"/>
      <c r="Y46" s="1012"/>
      <c r="Z46" s="1000"/>
      <c r="AA46" s="1013"/>
      <c r="AB46" s="1014"/>
      <c r="AC46" s="1012"/>
      <c r="AD46" s="1012"/>
      <c r="AE46" s="1000"/>
      <c r="AF46" s="1013"/>
      <c r="AG46" s="1014"/>
      <c r="AH46" s="1012"/>
      <c r="AI46" s="1012"/>
      <c r="AJ46" s="1000"/>
      <c r="AK46" s="1013"/>
      <c r="AL46" s="1014"/>
      <c r="AM46" s="1012"/>
      <c r="AN46" s="1204"/>
      <c r="AO46" s="1000"/>
      <c r="AP46" s="1013"/>
      <c r="AQ46" s="1349"/>
      <c r="AR46" s="1391"/>
      <c r="AS46" s="1012"/>
      <c r="AT46" s="1000"/>
      <c r="AU46" s="1013"/>
      <c r="AV46" s="1014"/>
      <c r="AW46" s="1012"/>
      <c r="AX46" s="1012"/>
      <c r="AY46" s="1000"/>
      <c r="AZ46" s="1013"/>
      <c r="BA46" s="1014"/>
      <c r="BB46" s="1012"/>
      <c r="BC46" s="1012"/>
      <c r="BD46" s="1000"/>
      <c r="BE46" s="1013"/>
      <c r="BF46" s="1014"/>
      <c r="BG46" s="1012"/>
      <c r="BH46" s="1012"/>
      <c r="BI46" s="1000"/>
      <c r="BJ46" s="1013"/>
      <c r="BK46" s="1014"/>
      <c r="BL46" s="1012"/>
      <c r="BM46" s="1012"/>
      <c r="BN46" s="1000"/>
      <c r="BO46" s="1013"/>
    </row>
    <row r="47" spans="1:67" s="997" customFormat="1" hidden="1" outlineLevel="1">
      <c r="A47" s="995"/>
      <c r="B47" s="981" t="s">
        <v>306</v>
      </c>
      <c r="C47" s="1014"/>
      <c r="D47" s="1012"/>
      <c r="E47" s="1012"/>
      <c r="F47" s="1000"/>
      <c r="G47" s="1013">
        <f t="shared" ref="G47:G63" si="36">SUM(C47:F47)</f>
        <v>0</v>
      </c>
      <c r="H47" s="994">
        <v>0</v>
      </c>
      <c r="I47" s="994">
        <v>0</v>
      </c>
      <c r="J47" s="994">
        <v>438.28100000000001</v>
      </c>
      <c r="K47" s="994">
        <v>-5.3999999999999999E-2</v>
      </c>
      <c r="L47" s="1013">
        <f t="shared" ref="L47:L64" si="37">SUM(H47:K47)</f>
        <v>438.22700000000003</v>
      </c>
      <c r="M47" s="994">
        <v>12.718999999999999</v>
      </c>
      <c r="N47" s="994">
        <v>0</v>
      </c>
      <c r="O47" s="994">
        <v>11.401999999999999</v>
      </c>
      <c r="P47" s="994">
        <v>0</v>
      </c>
      <c r="Q47" s="1013">
        <f t="shared" ref="Q47:Q64" si="38">SUM(M47:P47)</f>
        <v>24.120999999999999</v>
      </c>
      <c r="R47" s="994">
        <v>478.57299999999998</v>
      </c>
      <c r="S47" s="994">
        <v>0</v>
      </c>
      <c r="T47" s="994">
        <v>0</v>
      </c>
      <c r="U47" s="994">
        <v>0</v>
      </c>
      <c r="V47" s="1013">
        <f t="shared" ref="V47:V53" si="39">SUM(R47:U47)</f>
        <v>478.57299999999998</v>
      </c>
      <c r="W47" s="998">
        <v>0</v>
      </c>
      <c r="X47" s="998">
        <v>0</v>
      </c>
      <c r="Y47" s="998">
        <v>0</v>
      </c>
      <c r="Z47" s="998">
        <v>0</v>
      </c>
      <c r="AA47" s="1013">
        <f t="shared" ref="AA47:AA53" si="40">SUM(W47:Z47)</f>
        <v>0</v>
      </c>
      <c r="AB47" s="998">
        <v>0</v>
      </c>
      <c r="AC47" s="998">
        <v>0</v>
      </c>
      <c r="AD47" s="998">
        <v>0</v>
      </c>
      <c r="AE47" s="998">
        <v>0</v>
      </c>
      <c r="AF47" s="1013">
        <f t="shared" ref="AF47:AF53" si="41">SUM(AB47:AE47)</f>
        <v>0</v>
      </c>
      <c r="AG47" s="998">
        <v>0</v>
      </c>
      <c r="AH47" s="998">
        <v>0</v>
      </c>
      <c r="AI47" s="998">
        <v>0</v>
      </c>
      <c r="AJ47" s="998">
        <v>0</v>
      </c>
      <c r="AK47" s="1013">
        <f t="shared" ref="AK47:AK53" si="42">SUM(AG47:AJ47)</f>
        <v>0</v>
      </c>
      <c r="AL47" s="998">
        <v>0</v>
      </c>
      <c r="AM47" s="998">
        <v>0</v>
      </c>
      <c r="AN47" s="1204"/>
      <c r="AO47" s="998"/>
      <c r="AP47" s="1013">
        <f t="shared" ref="AP47:AP63" si="43">SUM(AL47:AO47)</f>
        <v>0</v>
      </c>
      <c r="AQ47" s="1214"/>
      <c r="AR47" s="1204"/>
      <c r="AS47" s="1000"/>
      <c r="AT47" s="1000"/>
      <c r="AU47" s="1013">
        <f t="shared" ref="AU47:AU63" si="44">SUM(AQ47:AT47)</f>
        <v>0</v>
      </c>
      <c r="AV47" s="1014"/>
      <c r="AW47" s="1012"/>
      <c r="AX47" s="1012"/>
      <c r="AY47" s="1000"/>
      <c r="AZ47" s="1013">
        <f t="shared" ref="AZ47:AZ63" si="45">SUM(AV47:AY47)</f>
        <v>0</v>
      </c>
      <c r="BA47" s="1014"/>
      <c r="BB47" s="1012"/>
      <c r="BC47" s="1012"/>
      <c r="BD47" s="1000"/>
      <c r="BE47" s="1013">
        <f t="shared" ref="BE47:BE63" si="46">SUM(BA47:BD47)</f>
        <v>0</v>
      </c>
      <c r="BF47" s="1014"/>
      <c r="BG47" s="1012"/>
      <c r="BH47" s="1012"/>
      <c r="BI47" s="1000"/>
      <c r="BJ47" s="1013">
        <f t="shared" ref="BJ47:BJ63" si="47">SUM(BF47:BI47)</f>
        <v>0</v>
      </c>
      <c r="BK47" s="1014"/>
      <c r="BL47" s="1012"/>
      <c r="BM47" s="1012"/>
      <c r="BN47" s="1000"/>
      <c r="BO47" s="1013">
        <f t="shared" ref="BO47:BO56" si="48">SUM(BK47:BN47)</f>
        <v>0</v>
      </c>
    </row>
    <row r="48" spans="1:67" s="997" customFormat="1" hidden="1" outlineLevel="1">
      <c r="A48" s="995"/>
      <c r="B48" s="981" t="s">
        <v>313</v>
      </c>
      <c r="C48" s="1014"/>
      <c r="D48" s="1012"/>
      <c r="E48" s="1012"/>
      <c r="F48" s="1000"/>
      <c r="G48" s="1013"/>
      <c r="H48" s="994">
        <v>0</v>
      </c>
      <c r="I48" s="994">
        <v>0</v>
      </c>
      <c r="J48" s="994">
        <v>0</v>
      </c>
      <c r="K48" s="994">
        <v>0</v>
      </c>
      <c r="L48" s="1013">
        <f t="shared" si="37"/>
        <v>0</v>
      </c>
      <c r="M48" s="994">
        <v>0</v>
      </c>
      <c r="N48" s="994">
        <v>0</v>
      </c>
      <c r="O48" s="994">
        <v>0</v>
      </c>
      <c r="P48" s="994">
        <v>0</v>
      </c>
      <c r="Q48" s="1013">
        <f t="shared" si="38"/>
        <v>0</v>
      </c>
      <c r="R48" s="994">
        <v>0</v>
      </c>
      <c r="S48" s="994">
        <v>0</v>
      </c>
      <c r="T48" s="994">
        <v>4244.62</v>
      </c>
      <c r="U48" s="994">
        <v>0</v>
      </c>
      <c r="V48" s="1013">
        <f t="shared" si="39"/>
        <v>4244.62</v>
      </c>
      <c r="W48" s="998">
        <v>0</v>
      </c>
      <c r="X48" s="998">
        <v>0</v>
      </c>
      <c r="Y48" s="998">
        <v>0</v>
      </c>
      <c r="Z48" s="998">
        <v>0</v>
      </c>
      <c r="AA48" s="1013">
        <f t="shared" si="40"/>
        <v>0</v>
      </c>
      <c r="AB48" s="998">
        <v>0</v>
      </c>
      <c r="AC48" s="998">
        <v>0</v>
      </c>
      <c r="AD48" s="998">
        <v>0</v>
      </c>
      <c r="AE48" s="998">
        <v>0</v>
      </c>
      <c r="AF48" s="1013">
        <f t="shared" si="41"/>
        <v>0</v>
      </c>
      <c r="AG48" s="998">
        <v>0</v>
      </c>
      <c r="AH48" s="998">
        <v>0</v>
      </c>
      <c r="AI48" s="998">
        <v>0</v>
      </c>
      <c r="AJ48" s="998">
        <v>0</v>
      </c>
      <c r="AK48" s="1013">
        <f t="shared" si="42"/>
        <v>0</v>
      </c>
      <c r="AL48" s="998">
        <v>0</v>
      </c>
      <c r="AM48" s="998">
        <v>0</v>
      </c>
      <c r="AN48" s="1204"/>
      <c r="AO48" s="998"/>
      <c r="AP48" s="1013">
        <f t="shared" si="43"/>
        <v>0</v>
      </c>
      <c r="AQ48" s="1214"/>
      <c r="AR48" s="1204"/>
      <c r="AS48" s="1000"/>
      <c r="AT48" s="1000"/>
      <c r="AU48" s="1013">
        <f t="shared" si="44"/>
        <v>0</v>
      </c>
      <c r="AV48" s="1014"/>
      <c r="AW48" s="1012"/>
      <c r="AX48" s="1012"/>
      <c r="AY48" s="1000"/>
      <c r="AZ48" s="1013">
        <f t="shared" si="45"/>
        <v>0</v>
      </c>
      <c r="BA48" s="1014"/>
      <c r="BB48" s="1012"/>
      <c r="BC48" s="1012"/>
      <c r="BD48" s="1000"/>
      <c r="BE48" s="1013">
        <f t="shared" si="46"/>
        <v>0</v>
      </c>
      <c r="BF48" s="1014"/>
      <c r="BG48" s="1012"/>
      <c r="BH48" s="1012"/>
      <c r="BI48" s="1000"/>
      <c r="BJ48" s="1013">
        <f t="shared" si="47"/>
        <v>0</v>
      </c>
      <c r="BK48" s="1014"/>
      <c r="BL48" s="1012"/>
      <c r="BM48" s="1012"/>
      <c r="BN48" s="1000"/>
      <c r="BO48" s="1013">
        <f t="shared" si="48"/>
        <v>0</v>
      </c>
    </row>
    <row r="49" spans="1:67" s="997" customFormat="1" hidden="1" outlineLevel="1">
      <c r="A49" s="995"/>
      <c r="B49" s="981" t="s">
        <v>307</v>
      </c>
      <c r="C49" s="1014"/>
      <c r="D49" s="1012"/>
      <c r="E49" s="1012"/>
      <c r="F49" s="1000"/>
      <c r="G49" s="1013">
        <f t="shared" si="36"/>
        <v>0</v>
      </c>
      <c r="H49" s="994">
        <v>0.183</v>
      </c>
      <c r="I49" s="994">
        <v>0.59899999999999998</v>
      </c>
      <c r="J49" s="994">
        <v>1.8129999999999999</v>
      </c>
      <c r="K49" s="994">
        <v>0.159</v>
      </c>
      <c r="L49" s="1013">
        <f t="shared" si="37"/>
        <v>2.7539999999999996</v>
      </c>
      <c r="M49" s="994">
        <v>0.56399999999999995</v>
      </c>
      <c r="N49" s="994">
        <v>0</v>
      </c>
      <c r="O49" s="994">
        <v>5.3780000000000001</v>
      </c>
      <c r="P49" s="994">
        <v>0.27100000000000002</v>
      </c>
      <c r="Q49" s="1013">
        <f t="shared" si="38"/>
        <v>6.2130000000000001</v>
      </c>
      <c r="R49" s="994">
        <v>0.159</v>
      </c>
      <c r="S49" s="994">
        <v>0</v>
      </c>
      <c r="T49" s="994">
        <v>0</v>
      </c>
      <c r="U49" s="994">
        <v>0</v>
      </c>
      <c r="V49" s="1013">
        <f t="shared" si="39"/>
        <v>0.159</v>
      </c>
      <c r="W49" s="998">
        <v>0</v>
      </c>
      <c r="X49" s="998">
        <v>0</v>
      </c>
      <c r="Y49" s="998">
        <v>0</v>
      </c>
      <c r="Z49" s="998">
        <v>0</v>
      </c>
      <c r="AA49" s="1013">
        <f t="shared" si="40"/>
        <v>0</v>
      </c>
      <c r="AB49" s="998">
        <v>0</v>
      </c>
      <c r="AC49" s="998">
        <v>0</v>
      </c>
      <c r="AD49" s="998">
        <v>0</v>
      </c>
      <c r="AE49" s="998">
        <v>0</v>
      </c>
      <c r="AF49" s="1013">
        <f t="shared" si="41"/>
        <v>0</v>
      </c>
      <c r="AG49" s="998">
        <v>0</v>
      </c>
      <c r="AH49" s="998">
        <v>0</v>
      </c>
      <c r="AI49" s="998">
        <v>0</v>
      </c>
      <c r="AJ49" s="998">
        <v>0</v>
      </c>
      <c r="AK49" s="1013">
        <f t="shared" si="42"/>
        <v>0</v>
      </c>
      <c r="AL49" s="998">
        <v>0</v>
      </c>
      <c r="AM49" s="998">
        <v>0</v>
      </c>
      <c r="AN49" s="1204"/>
      <c r="AO49" s="998"/>
      <c r="AP49" s="1013">
        <f t="shared" si="43"/>
        <v>0</v>
      </c>
      <c r="AQ49" s="1214"/>
      <c r="AR49" s="1204"/>
      <c r="AS49" s="1000"/>
      <c r="AT49" s="1000"/>
      <c r="AU49" s="1013">
        <f t="shared" si="44"/>
        <v>0</v>
      </c>
      <c r="AV49" s="1014"/>
      <c r="AW49" s="1012"/>
      <c r="AX49" s="1012"/>
      <c r="AY49" s="1000"/>
      <c r="AZ49" s="1013">
        <f t="shared" si="45"/>
        <v>0</v>
      </c>
      <c r="BA49" s="1014"/>
      <c r="BB49" s="1012"/>
      <c r="BC49" s="1012"/>
      <c r="BD49" s="1000"/>
      <c r="BE49" s="1013">
        <f t="shared" si="46"/>
        <v>0</v>
      </c>
      <c r="BF49" s="1014"/>
      <c r="BG49" s="1012"/>
      <c r="BH49" s="1012"/>
      <c r="BI49" s="1000"/>
      <c r="BJ49" s="1013">
        <f t="shared" si="47"/>
        <v>0</v>
      </c>
      <c r="BK49" s="1014"/>
      <c r="BL49" s="1012"/>
      <c r="BM49" s="1012"/>
      <c r="BN49" s="1000"/>
      <c r="BO49" s="1013">
        <f t="shared" si="48"/>
        <v>0</v>
      </c>
    </row>
    <row r="50" spans="1:67" s="997" customFormat="1" collapsed="1">
      <c r="A50" s="995"/>
      <c r="B50" s="981" t="s">
        <v>299</v>
      </c>
      <c r="C50" s="1014"/>
      <c r="D50" s="1012"/>
      <c r="E50" s="1012"/>
      <c r="F50" s="1000"/>
      <c r="G50" s="1013">
        <f t="shared" si="36"/>
        <v>0</v>
      </c>
      <c r="H50" s="994">
        <v>0.34699999999999998</v>
      </c>
      <c r="I50" s="994">
        <v>0.19400000000000001</v>
      </c>
      <c r="J50" s="994">
        <v>1.2689999999999999</v>
      </c>
      <c r="K50" s="994">
        <v>0.45400000000000001</v>
      </c>
      <c r="L50" s="1013">
        <f t="shared" si="37"/>
        <v>2.2639999999999998</v>
      </c>
      <c r="M50" s="994">
        <v>1.3120000000000001</v>
      </c>
      <c r="N50" s="994">
        <v>1.6240000000000001</v>
      </c>
      <c r="O50" s="994">
        <v>18.202999999999999</v>
      </c>
      <c r="P50" s="994">
        <v>6.3869999999999996</v>
      </c>
      <c r="Q50" s="1013">
        <f t="shared" si="38"/>
        <v>27.526</v>
      </c>
      <c r="R50" s="994">
        <v>10.872</v>
      </c>
      <c r="S50" s="994">
        <v>9.8640000000000008</v>
      </c>
      <c r="T50" s="994">
        <v>10.364000000000001</v>
      </c>
      <c r="U50" s="994">
        <v>22.277999999999999</v>
      </c>
      <c r="V50" s="1013">
        <f t="shared" si="39"/>
        <v>53.378</v>
      </c>
      <c r="W50" s="1002">
        <v>41.402000000000001</v>
      </c>
      <c r="X50" s="1000">
        <v>24.463000000000001</v>
      </c>
      <c r="Y50" s="1000">
        <v>24.579000000000001</v>
      </c>
      <c r="Z50" s="1000">
        <v>36.591999999999999</v>
      </c>
      <c r="AA50" s="1013">
        <f t="shared" si="40"/>
        <v>127.03600000000002</v>
      </c>
      <c r="AB50" s="1002">
        <v>15.276</v>
      </c>
      <c r="AC50" s="1000">
        <v>8.52</v>
      </c>
      <c r="AD50" s="1000">
        <v>7.2990000000000004</v>
      </c>
      <c r="AE50" s="1000">
        <v>8.798</v>
      </c>
      <c r="AF50" s="1013">
        <f t="shared" si="41"/>
        <v>39.893000000000001</v>
      </c>
      <c r="AG50" s="1002">
        <v>15.37</v>
      </c>
      <c r="AH50" s="1000">
        <v>16.149000000000001</v>
      </c>
      <c r="AI50" s="1000">
        <v>7.335</v>
      </c>
      <c r="AJ50" s="1000">
        <v>18.34</v>
      </c>
      <c r="AK50" s="1013">
        <f t="shared" si="42"/>
        <v>57.194000000000003</v>
      </c>
      <c r="AL50" s="1002">
        <v>10.686</v>
      </c>
      <c r="AM50" s="1000">
        <v>12.978</v>
      </c>
      <c r="AN50" s="1204">
        <v>11.548</v>
      </c>
      <c r="AO50" s="1000">
        <v>9.6739999999999995</v>
      </c>
      <c r="AP50" s="1013">
        <f t="shared" si="43"/>
        <v>44.886000000000003</v>
      </c>
      <c r="AQ50" s="1051">
        <v>6.26</v>
      </c>
      <c r="AR50" s="1204">
        <v>28.186</v>
      </c>
      <c r="AS50" s="1000">
        <v>28.849</v>
      </c>
      <c r="AT50" s="1000"/>
      <c r="AU50" s="1013">
        <f t="shared" si="44"/>
        <v>63.295000000000002</v>
      </c>
      <c r="AV50" s="1014"/>
      <c r="AW50" s="1012"/>
      <c r="AX50" s="1012"/>
      <c r="AY50" s="1000"/>
      <c r="AZ50" s="1013">
        <f t="shared" si="45"/>
        <v>0</v>
      </c>
      <c r="BA50" s="1014"/>
      <c r="BB50" s="1012"/>
      <c r="BC50" s="1012"/>
      <c r="BD50" s="1000"/>
      <c r="BE50" s="1013">
        <f t="shared" si="46"/>
        <v>0</v>
      </c>
      <c r="BF50" s="1014"/>
      <c r="BG50" s="1012"/>
      <c r="BH50" s="1012"/>
      <c r="BI50" s="1000"/>
      <c r="BJ50" s="1013">
        <f t="shared" si="47"/>
        <v>0</v>
      </c>
      <c r="BK50" s="1014"/>
      <c r="BL50" s="1012"/>
      <c r="BM50" s="1012"/>
      <c r="BN50" s="1000"/>
      <c r="BO50" s="1013">
        <f t="shared" si="48"/>
        <v>0</v>
      </c>
    </row>
    <row r="51" spans="1:67" s="997" customFormat="1">
      <c r="A51" s="995"/>
      <c r="B51" s="981" t="s">
        <v>300</v>
      </c>
      <c r="C51" s="1014"/>
      <c r="D51" s="1012"/>
      <c r="E51" s="1012"/>
      <c r="F51" s="1000"/>
      <c r="G51" s="1013">
        <f t="shared" si="36"/>
        <v>0</v>
      </c>
      <c r="H51" s="994">
        <v>0</v>
      </c>
      <c r="I51" s="994">
        <v>0</v>
      </c>
      <c r="J51" s="994">
        <v>0</v>
      </c>
      <c r="K51" s="994">
        <v>0</v>
      </c>
      <c r="L51" s="1013">
        <f t="shared" si="37"/>
        <v>0</v>
      </c>
      <c r="M51" s="994">
        <v>0</v>
      </c>
      <c r="N51" s="994">
        <v>0</v>
      </c>
      <c r="O51" s="994">
        <v>0</v>
      </c>
      <c r="P51" s="994">
        <v>0</v>
      </c>
      <c r="Q51" s="1013">
        <f t="shared" si="38"/>
        <v>0</v>
      </c>
      <c r="R51" s="994">
        <v>0</v>
      </c>
      <c r="S51" s="994">
        <v>0</v>
      </c>
      <c r="T51" s="994">
        <v>0</v>
      </c>
      <c r="U51" s="994">
        <v>0</v>
      </c>
      <c r="V51" s="1013">
        <f t="shared" si="39"/>
        <v>0</v>
      </c>
      <c r="W51" s="1002">
        <v>26.398</v>
      </c>
      <c r="X51" s="1000">
        <v>0</v>
      </c>
      <c r="Y51" s="1000">
        <v>25.829000000000001</v>
      </c>
      <c r="Z51" s="1000">
        <v>0</v>
      </c>
      <c r="AA51" s="1013">
        <f t="shared" si="40"/>
        <v>52.227000000000004</v>
      </c>
      <c r="AB51" s="1002">
        <v>26.094000000000001</v>
      </c>
      <c r="AC51" s="1000">
        <v>0</v>
      </c>
      <c r="AD51" s="1000">
        <v>14.837</v>
      </c>
      <c r="AE51" s="1000">
        <v>0</v>
      </c>
      <c r="AF51" s="1013">
        <f t="shared" si="41"/>
        <v>40.930999999999997</v>
      </c>
      <c r="AG51" s="1002">
        <v>37.064999999999998</v>
      </c>
      <c r="AH51" s="1000">
        <v>0</v>
      </c>
      <c r="AI51" s="1000">
        <v>24.169</v>
      </c>
      <c r="AJ51" s="1000">
        <v>0</v>
      </c>
      <c r="AK51" s="1013">
        <f t="shared" si="42"/>
        <v>61.233999999999995</v>
      </c>
      <c r="AL51" s="1002">
        <v>46.734999999999999</v>
      </c>
      <c r="AM51" s="1002">
        <v>0</v>
      </c>
      <c r="AN51" s="1204">
        <v>30.318000000000001</v>
      </c>
      <c r="AO51" s="1000"/>
      <c r="AP51" s="1013">
        <f t="shared" si="43"/>
        <v>77.052999999999997</v>
      </c>
      <c r="AQ51" s="1051">
        <v>53.192999999999998</v>
      </c>
      <c r="AR51" s="1204"/>
      <c r="AS51" s="1000">
        <v>34.93</v>
      </c>
      <c r="AT51" s="1000"/>
      <c r="AU51" s="1013">
        <f t="shared" si="44"/>
        <v>88.12299999999999</v>
      </c>
      <c r="AV51" s="1014"/>
      <c r="AW51" s="1012"/>
      <c r="AX51" s="1012"/>
      <c r="AY51" s="1000"/>
      <c r="AZ51" s="1013">
        <f t="shared" si="45"/>
        <v>0</v>
      </c>
      <c r="BA51" s="1014"/>
      <c r="BB51" s="1012"/>
      <c r="BC51" s="1012"/>
      <c r="BD51" s="1000"/>
      <c r="BE51" s="1013">
        <f t="shared" si="46"/>
        <v>0</v>
      </c>
      <c r="BF51" s="1014"/>
      <c r="BG51" s="1012"/>
      <c r="BH51" s="1012"/>
      <c r="BI51" s="1000"/>
      <c r="BJ51" s="1013">
        <f t="shared" si="47"/>
        <v>0</v>
      </c>
      <c r="BK51" s="1014"/>
      <c r="BL51" s="1012"/>
      <c r="BM51" s="1012"/>
      <c r="BN51" s="1000"/>
      <c r="BO51" s="1013">
        <f t="shared" si="48"/>
        <v>0</v>
      </c>
    </row>
    <row r="52" spans="1:67" s="997" customFormat="1" hidden="1" outlineLevel="1">
      <c r="A52" s="995"/>
      <c r="B52" s="981" t="s">
        <v>310</v>
      </c>
      <c r="C52" s="1014"/>
      <c r="D52" s="1012"/>
      <c r="E52" s="1012"/>
      <c r="F52" s="1000"/>
      <c r="G52" s="1013">
        <f t="shared" si="36"/>
        <v>0</v>
      </c>
      <c r="H52" s="994">
        <v>0</v>
      </c>
      <c r="I52" s="994">
        <v>0</v>
      </c>
      <c r="J52" s="994">
        <v>0</v>
      </c>
      <c r="K52" s="994">
        <v>0</v>
      </c>
      <c r="L52" s="1013">
        <f t="shared" si="37"/>
        <v>0</v>
      </c>
      <c r="M52" s="994">
        <v>0</v>
      </c>
      <c r="N52" s="994">
        <v>0</v>
      </c>
      <c r="O52" s="994">
        <v>0</v>
      </c>
      <c r="P52" s="994">
        <v>0</v>
      </c>
      <c r="Q52" s="1013">
        <f t="shared" si="38"/>
        <v>0</v>
      </c>
      <c r="R52" s="994">
        <v>0</v>
      </c>
      <c r="S52" s="994">
        <v>2.09</v>
      </c>
      <c r="T52" s="994">
        <v>0</v>
      </c>
      <c r="U52" s="994">
        <v>0</v>
      </c>
      <c r="V52" s="1013">
        <f t="shared" si="39"/>
        <v>2.09</v>
      </c>
      <c r="W52" s="998">
        <v>0</v>
      </c>
      <c r="X52" s="998">
        <v>0</v>
      </c>
      <c r="Y52" s="998">
        <v>0</v>
      </c>
      <c r="Z52" s="998">
        <v>0</v>
      </c>
      <c r="AA52" s="1013">
        <f t="shared" si="40"/>
        <v>0</v>
      </c>
      <c r="AB52" s="998">
        <v>0</v>
      </c>
      <c r="AC52" s="998">
        <v>0</v>
      </c>
      <c r="AD52" s="998">
        <v>0</v>
      </c>
      <c r="AE52" s="998">
        <v>0</v>
      </c>
      <c r="AF52" s="1013">
        <f t="shared" si="41"/>
        <v>0</v>
      </c>
      <c r="AG52" s="998">
        <v>0</v>
      </c>
      <c r="AH52" s="998">
        <v>0</v>
      </c>
      <c r="AI52" s="998">
        <v>0</v>
      </c>
      <c r="AJ52" s="998">
        <v>0</v>
      </c>
      <c r="AK52" s="1013">
        <f t="shared" si="42"/>
        <v>0</v>
      </c>
      <c r="AL52" s="1002">
        <v>0</v>
      </c>
      <c r="AM52" s="1002">
        <v>0</v>
      </c>
      <c r="AN52" s="1204"/>
      <c r="AO52" s="998"/>
      <c r="AP52" s="1013">
        <f t="shared" si="43"/>
        <v>0</v>
      </c>
      <c r="AQ52" s="1051"/>
      <c r="AR52" s="1204"/>
      <c r="AS52" s="1000"/>
      <c r="AT52" s="1000"/>
      <c r="AU52" s="1013">
        <f t="shared" si="44"/>
        <v>0</v>
      </c>
      <c r="AV52" s="1014"/>
      <c r="AW52" s="1012"/>
      <c r="AX52" s="1012"/>
      <c r="AY52" s="1000"/>
      <c r="AZ52" s="1013">
        <f t="shared" si="45"/>
        <v>0</v>
      </c>
      <c r="BA52" s="1014"/>
      <c r="BB52" s="1012"/>
      <c r="BC52" s="1012"/>
      <c r="BD52" s="1000"/>
      <c r="BE52" s="1013">
        <f t="shared" si="46"/>
        <v>0</v>
      </c>
      <c r="BF52" s="1014"/>
      <c r="BG52" s="1012"/>
      <c r="BH52" s="1012"/>
      <c r="BI52" s="1000"/>
      <c r="BJ52" s="1013">
        <f t="shared" si="47"/>
        <v>0</v>
      </c>
      <c r="BK52" s="1014"/>
      <c r="BL52" s="1012"/>
      <c r="BM52" s="1012"/>
      <c r="BN52" s="1000"/>
      <c r="BO52" s="1013">
        <f t="shared" si="48"/>
        <v>0</v>
      </c>
    </row>
    <row r="53" spans="1:67" s="997" customFormat="1" hidden="1" outlineLevel="1">
      <c r="A53" s="995"/>
      <c r="B53" s="981" t="s">
        <v>309</v>
      </c>
      <c r="C53" s="1014"/>
      <c r="D53" s="1012"/>
      <c r="E53" s="1012"/>
      <c r="F53" s="1000"/>
      <c r="G53" s="1013">
        <f t="shared" si="36"/>
        <v>0</v>
      </c>
      <c r="H53" s="994">
        <v>0</v>
      </c>
      <c r="I53" s="994">
        <v>0</v>
      </c>
      <c r="J53" s="994">
        <v>0</v>
      </c>
      <c r="K53" s="994">
        <v>0</v>
      </c>
      <c r="L53" s="1013">
        <f t="shared" si="37"/>
        <v>0</v>
      </c>
      <c r="M53" s="994">
        <v>-0.129</v>
      </c>
      <c r="N53" s="994">
        <v>-0.19900000000000001</v>
      </c>
      <c r="O53" s="994">
        <v>-6.3E-2</v>
      </c>
      <c r="P53" s="994">
        <v>0</v>
      </c>
      <c r="Q53" s="1013">
        <f t="shared" si="38"/>
        <v>-0.39100000000000001</v>
      </c>
      <c r="R53" s="994">
        <v>-0.03</v>
      </c>
      <c r="S53" s="994">
        <v>0</v>
      </c>
      <c r="T53" s="994">
        <v>0</v>
      </c>
      <c r="U53" s="994">
        <v>0</v>
      </c>
      <c r="V53" s="1013">
        <f t="shared" si="39"/>
        <v>-0.03</v>
      </c>
      <c r="W53" s="998">
        <v>0</v>
      </c>
      <c r="X53" s="998">
        <v>0</v>
      </c>
      <c r="Y53" s="998">
        <v>0</v>
      </c>
      <c r="Z53" s="998">
        <v>0</v>
      </c>
      <c r="AA53" s="1013">
        <f t="shared" si="40"/>
        <v>0</v>
      </c>
      <c r="AB53" s="998">
        <v>0</v>
      </c>
      <c r="AC53" s="998">
        <v>0</v>
      </c>
      <c r="AD53" s="998">
        <v>0</v>
      </c>
      <c r="AE53" s="998">
        <v>0</v>
      </c>
      <c r="AF53" s="1013">
        <f t="shared" si="41"/>
        <v>0</v>
      </c>
      <c r="AG53" s="998">
        <v>0</v>
      </c>
      <c r="AH53" s="998">
        <v>0</v>
      </c>
      <c r="AI53" s="998">
        <v>0</v>
      </c>
      <c r="AJ53" s="998">
        <v>0</v>
      </c>
      <c r="AK53" s="1013">
        <f t="shared" si="42"/>
        <v>0</v>
      </c>
      <c r="AL53" s="1002">
        <v>0</v>
      </c>
      <c r="AM53" s="1002">
        <v>0</v>
      </c>
      <c r="AN53" s="1204"/>
      <c r="AO53" s="998"/>
      <c r="AP53" s="1013">
        <f t="shared" si="43"/>
        <v>0</v>
      </c>
      <c r="AQ53" s="1051"/>
      <c r="AR53" s="1204"/>
      <c r="AS53" s="1000"/>
      <c r="AT53" s="1000"/>
      <c r="AU53" s="1013">
        <f t="shared" si="44"/>
        <v>0</v>
      </c>
      <c r="AV53" s="1014"/>
      <c r="AW53" s="1012"/>
      <c r="AX53" s="1012"/>
      <c r="AY53" s="1000"/>
      <c r="AZ53" s="1013">
        <f t="shared" si="45"/>
        <v>0</v>
      </c>
      <c r="BA53" s="1014"/>
      <c r="BB53" s="1012"/>
      <c r="BC53" s="1012"/>
      <c r="BD53" s="1000"/>
      <c r="BE53" s="1013">
        <f t="shared" si="46"/>
        <v>0</v>
      </c>
      <c r="BF53" s="1014"/>
      <c r="BG53" s="1012"/>
      <c r="BH53" s="1012"/>
      <c r="BI53" s="1000"/>
      <c r="BJ53" s="1013">
        <f t="shared" si="47"/>
        <v>0</v>
      </c>
      <c r="BK53" s="1014"/>
      <c r="BL53" s="1012"/>
      <c r="BM53" s="1012"/>
      <c r="BN53" s="1000"/>
      <c r="BO53" s="1013">
        <f t="shared" si="48"/>
        <v>0</v>
      </c>
    </row>
    <row r="54" spans="1:67" s="997" customFormat="1" collapsed="1">
      <c r="A54" s="995"/>
      <c r="B54" s="981" t="s">
        <v>301</v>
      </c>
      <c r="C54" s="990"/>
      <c r="D54" s="1012"/>
      <c r="E54" s="1012"/>
      <c r="F54" s="1000"/>
      <c r="G54" s="1013">
        <f t="shared" si="36"/>
        <v>0</v>
      </c>
      <c r="H54" s="994">
        <v>0</v>
      </c>
      <c r="I54" s="994">
        <v>0</v>
      </c>
      <c r="J54" s="994">
        <v>0</v>
      </c>
      <c r="K54" s="994">
        <v>0</v>
      </c>
      <c r="L54" s="1013">
        <f t="shared" si="37"/>
        <v>0</v>
      </c>
      <c r="M54" s="994">
        <v>0</v>
      </c>
      <c r="N54" s="994">
        <v>0</v>
      </c>
      <c r="O54" s="994">
        <v>0</v>
      </c>
      <c r="P54" s="994">
        <v>0</v>
      </c>
      <c r="Q54" s="1013">
        <f t="shared" si="38"/>
        <v>0</v>
      </c>
      <c r="R54" s="994">
        <v>0</v>
      </c>
      <c r="S54" s="994">
        <v>0</v>
      </c>
      <c r="T54" s="994">
        <v>0</v>
      </c>
      <c r="U54" s="994">
        <v>0</v>
      </c>
      <c r="V54" s="991">
        <f t="shared" ref="V54:V63" si="49">SUM(R54:U54)</f>
        <v>0</v>
      </c>
      <c r="W54" s="998">
        <v>0</v>
      </c>
      <c r="X54" s="998">
        <v>0</v>
      </c>
      <c r="Y54" s="998">
        <v>0</v>
      </c>
      <c r="Z54" s="1000">
        <v>0</v>
      </c>
      <c r="AA54" s="991">
        <f t="shared" ref="AA54:AA62" si="50">SUM(W54:Z54)</f>
        <v>0</v>
      </c>
      <c r="AB54" s="998">
        <v>-53.216000000000001</v>
      </c>
      <c r="AC54" s="1000">
        <v>-30.893000000000001</v>
      </c>
      <c r="AD54" s="1000">
        <v>-51.656999999999996</v>
      </c>
      <c r="AE54" s="1000">
        <v>-48.881999999999998</v>
      </c>
      <c r="AF54" s="991">
        <f t="shared" ref="AF54:AF63" si="51">SUM(AB54:AE54)</f>
        <v>-184.64800000000002</v>
      </c>
      <c r="AG54" s="998">
        <v>-84.399000000000001</v>
      </c>
      <c r="AH54" s="1000">
        <v>-98.311000000000007</v>
      </c>
      <c r="AI54" s="1000">
        <v>-91.117999999999995</v>
      </c>
      <c r="AJ54" s="1000">
        <v>-106.971</v>
      </c>
      <c r="AK54" s="991">
        <f t="shared" ref="AK54:AK63" si="52">SUM(AG54:AJ54)</f>
        <v>-380.79899999999998</v>
      </c>
      <c r="AL54" s="998">
        <v>-174.59</v>
      </c>
      <c r="AM54" s="1000">
        <v>-103.524</v>
      </c>
      <c r="AN54" s="1204">
        <v>-81.492999999999995</v>
      </c>
      <c r="AO54" s="1000">
        <v>-129.542</v>
      </c>
      <c r="AP54" s="991">
        <f t="shared" si="43"/>
        <v>-489.149</v>
      </c>
      <c r="AQ54" s="1214">
        <v>-132.49799999999999</v>
      </c>
      <c r="AR54" s="1204">
        <v>-161.999</v>
      </c>
      <c r="AS54" s="1000">
        <v>-190.72399999999999</v>
      </c>
      <c r="AT54" s="1012"/>
      <c r="AU54" s="1013">
        <f t="shared" si="44"/>
        <v>-485.22099999999995</v>
      </c>
      <c r="AV54" s="990"/>
      <c r="AW54" s="1012"/>
      <c r="AX54" s="1012"/>
      <c r="AY54" s="1012"/>
      <c r="AZ54" s="1013">
        <f t="shared" si="45"/>
        <v>0</v>
      </c>
      <c r="BA54" s="990"/>
      <c r="BB54" s="1012"/>
      <c r="BC54" s="1012"/>
      <c r="BD54" s="1012"/>
      <c r="BE54" s="1013">
        <f t="shared" si="46"/>
        <v>0</v>
      </c>
      <c r="BF54" s="990"/>
      <c r="BG54" s="1012"/>
      <c r="BH54" s="1012"/>
      <c r="BI54" s="1012"/>
      <c r="BJ54" s="1013">
        <f t="shared" si="47"/>
        <v>0</v>
      </c>
      <c r="BK54" s="990"/>
      <c r="BL54" s="1012"/>
      <c r="BM54" s="1012"/>
      <c r="BN54" s="1012"/>
      <c r="BO54" s="1013">
        <f t="shared" si="48"/>
        <v>0</v>
      </c>
    </row>
    <row r="55" spans="1:67" s="997" customFormat="1" hidden="1" outlineLevel="1">
      <c r="A55" s="995"/>
      <c r="B55" s="981" t="s">
        <v>312</v>
      </c>
      <c r="C55" s="990"/>
      <c r="D55" s="1012"/>
      <c r="E55" s="1012"/>
      <c r="F55" s="1000"/>
      <c r="G55" s="1013">
        <f t="shared" si="36"/>
        <v>0</v>
      </c>
      <c r="H55" s="994">
        <v>-14.182</v>
      </c>
      <c r="I55" s="994">
        <v>-1E-3</v>
      </c>
      <c r="J55" s="994">
        <v>0</v>
      </c>
      <c r="K55" s="994">
        <v>-15.461</v>
      </c>
      <c r="L55" s="1013">
        <f t="shared" si="37"/>
        <v>-29.643999999999998</v>
      </c>
      <c r="M55" s="994">
        <v>0</v>
      </c>
      <c r="N55" s="994">
        <v>0</v>
      </c>
      <c r="O55" s="994">
        <v>0</v>
      </c>
      <c r="P55" s="994">
        <v>0</v>
      </c>
      <c r="Q55" s="1013">
        <f t="shared" si="38"/>
        <v>0</v>
      </c>
      <c r="R55" s="994">
        <v>0</v>
      </c>
      <c r="S55" s="994">
        <v>0</v>
      </c>
      <c r="T55" s="994">
        <v>0</v>
      </c>
      <c r="U55" s="994">
        <v>0</v>
      </c>
      <c r="V55" s="991">
        <f t="shared" si="49"/>
        <v>0</v>
      </c>
      <c r="W55" s="998">
        <v>0</v>
      </c>
      <c r="X55" s="998">
        <v>0</v>
      </c>
      <c r="Y55" s="998">
        <v>0</v>
      </c>
      <c r="Z55" s="1000">
        <v>0</v>
      </c>
      <c r="AA55" s="991">
        <f t="shared" si="50"/>
        <v>0</v>
      </c>
      <c r="AB55" s="998">
        <v>0</v>
      </c>
      <c r="AC55" s="1000">
        <v>0</v>
      </c>
      <c r="AD55" s="1000">
        <v>0</v>
      </c>
      <c r="AE55" s="1000">
        <v>0</v>
      </c>
      <c r="AF55" s="991">
        <f t="shared" si="51"/>
        <v>0</v>
      </c>
      <c r="AG55" s="998">
        <v>0</v>
      </c>
      <c r="AH55" s="1000">
        <v>0</v>
      </c>
      <c r="AI55" s="1000">
        <v>0</v>
      </c>
      <c r="AJ55" s="1000">
        <v>0</v>
      </c>
      <c r="AK55" s="991">
        <f t="shared" si="52"/>
        <v>0</v>
      </c>
      <c r="AL55" s="998">
        <v>0</v>
      </c>
      <c r="AM55" s="998">
        <v>0</v>
      </c>
      <c r="AN55" s="1204"/>
      <c r="AO55" s="1000"/>
      <c r="AP55" s="991">
        <f t="shared" si="43"/>
        <v>0</v>
      </c>
      <c r="AQ55" s="1214"/>
      <c r="AR55" s="1204"/>
      <c r="AS55" s="1000"/>
      <c r="AT55" s="1012"/>
      <c r="AU55" s="1013">
        <f t="shared" si="44"/>
        <v>0</v>
      </c>
      <c r="AV55" s="990"/>
      <c r="AW55" s="1012"/>
      <c r="AX55" s="1012"/>
      <c r="AY55" s="1012"/>
      <c r="AZ55" s="1013">
        <f t="shared" si="45"/>
        <v>0</v>
      </c>
      <c r="BA55" s="990"/>
      <c r="BB55" s="1012"/>
      <c r="BC55" s="1012"/>
      <c r="BD55" s="1012"/>
      <c r="BE55" s="1013">
        <f t="shared" si="46"/>
        <v>0</v>
      </c>
      <c r="BF55" s="990"/>
      <c r="BG55" s="1012"/>
      <c r="BH55" s="1012"/>
      <c r="BI55" s="1012"/>
      <c r="BJ55" s="1013">
        <f t="shared" si="47"/>
        <v>0</v>
      </c>
      <c r="BK55" s="990"/>
      <c r="BL55" s="1012"/>
      <c r="BM55" s="1012"/>
      <c r="BN55" s="1012"/>
      <c r="BO55" s="1013">
        <f t="shared" si="48"/>
        <v>0</v>
      </c>
    </row>
    <row r="56" spans="1:67" s="997" customFormat="1" collapsed="1">
      <c r="A56" s="995"/>
      <c r="B56" s="981" t="s">
        <v>302</v>
      </c>
      <c r="C56" s="990"/>
      <c r="D56" s="1012"/>
      <c r="E56" s="1012"/>
      <c r="F56" s="1000"/>
      <c r="G56" s="1013">
        <f t="shared" si="36"/>
        <v>0</v>
      </c>
      <c r="H56" s="994">
        <v>0</v>
      </c>
      <c r="I56" s="994">
        <v>0</v>
      </c>
      <c r="J56" s="994">
        <v>0</v>
      </c>
      <c r="K56" s="994">
        <v>0</v>
      </c>
      <c r="L56" s="1013">
        <f t="shared" si="37"/>
        <v>0</v>
      </c>
      <c r="M56" s="994">
        <v>0</v>
      </c>
      <c r="N56" s="994">
        <v>0</v>
      </c>
      <c r="O56" s="994">
        <v>0</v>
      </c>
      <c r="P56" s="994">
        <v>0</v>
      </c>
      <c r="Q56" s="1013">
        <f t="shared" si="38"/>
        <v>0</v>
      </c>
      <c r="R56" s="994">
        <v>0</v>
      </c>
      <c r="S56" s="994">
        <v>0</v>
      </c>
      <c r="T56" s="994">
        <v>0</v>
      </c>
      <c r="U56" s="994">
        <v>0</v>
      </c>
      <c r="V56" s="991">
        <f t="shared" si="49"/>
        <v>0</v>
      </c>
      <c r="W56" s="998">
        <v>0</v>
      </c>
      <c r="X56" s="998">
        <v>0</v>
      </c>
      <c r="Y56" s="998">
        <v>0</v>
      </c>
      <c r="Z56" s="1000">
        <v>0</v>
      </c>
      <c r="AA56" s="991">
        <f t="shared" si="50"/>
        <v>0</v>
      </c>
      <c r="AB56" s="998">
        <v>0</v>
      </c>
      <c r="AC56" s="1000">
        <v>0</v>
      </c>
      <c r="AD56" s="1000">
        <v>-1.8</v>
      </c>
      <c r="AE56" s="1000">
        <v>0</v>
      </c>
      <c r="AF56" s="991">
        <f t="shared" si="51"/>
        <v>-1.8</v>
      </c>
      <c r="AG56" s="998">
        <v>-191.69399999999999</v>
      </c>
      <c r="AH56" s="1000">
        <v>0</v>
      </c>
      <c r="AI56" s="1000">
        <v>-400.03800000000001</v>
      </c>
      <c r="AJ56" s="1000">
        <v>0</v>
      </c>
      <c r="AK56" s="991">
        <f t="shared" si="52"/>
        <v>-591.73199999999997</v>
      </c>
      <c r="AL56" s="998">
        <v>-516.32899999999995</v>
      </c>
      <c r="AM56" s="994">
        <v>-400</v>
      </c>
      <c r="AN56" s="1207">
        <v>-1016.004</v>
      </c>
      <c r="AO56" s="1000">
        <v>0</v>
      </c>
      <c r="AP56" s="991">
        <f t="shared" si="43"/>
        <v>-1932.3330000000001</v>
      </c>
      <c r="AQ56" s="1214">
        <v>-490.63799999999998</v>
      </c>
      <c r="AR56" s="1207">
        <v>0</v>
      </c>
      <c r="AS56" s="1400">
        <v>-232.89599999999999</v>
      </c>
      <c r="AT56" s="990">
        <f>-'Share Count'!AT21</f>
        <v>-232.89599999999999</v>
      </c>
      <c r="AU56" s="1013">
        <f t="shared" si="44"/>
        <v>-956.43</v>
      </c>
      <c r="AV56" s="990">
        <f>-'Share Count'!AV21</f>
        <v>-250</v>
      </c>
      <c r="AW56" s="990">
        <f>-'Share Count'!AW21</f>
        <v>-250</v>
      </c>
      <c r="AX56" s="990">
        <f>-'Share Count'!AX21</f>
        <v>-250</v>
      </c>
      <c r="AY56" s="990">
        <f>-'Share Count'!AY21</f>
        <v>-250</v>
      </c>
      <c r="AZ56" s="1013">
        <f t="shared" si="45"/>
        <v>-1000</v>
      </c>
      <c r="BA56" s="990">
        <f>-'Share Count'!BA21</f>
        <v>-67.104000000000042</v>
      </c>
      <c r="BB56" s="990">
        <f>-'Share Count'!BB21</f>
        <v>0</v>
      </c>
      <c r="BC56" s="990">
        <f>-'Share Count'!BC21</f>
        <v>0</v>
      </c>
      <c r="BD56" s="990">
        <f>-'Share Count'!BD21</f>
        <v>0</v>
      </c>
      <c r="BE56" s="1013">
        <f t="shared" si="46"/>
        <v>-67.104000000000042</v>
      </c>
      <c r="BF56" s="990">
        <f>-'Share Count'!BF21</f>
        <v>0</v>
      </c>
      <c r="BG56" s="990">
        <f>-'Share Count'!BG21</f>
        <v>0</v>
      </c>
      <c r="BH56" s="990">
        <f>-'Share Count'!BH21</f>
        <v>0</v>
      </c>
      <c r="BI56" s="990">
        <f>-'Share Count'!BI21</f>
        <v>0</v>
      </c>
      <c r="BJ56" s="1013">
        <f t="shared" si="47"/>
        <v>0</v>
      </c>
      <c r="BK56" s="990">
        <f>-'Share Count'!BK21</f>
        <v>0</v>
      </c>
      <c r="BL56" s="990">
        <f>-'Share Count'!BL21</f>
        <v>0</v>
      </c>
      <c r="BM56" s="990">
        <f>-'Share Count'!BM21</f>
        <v>0</v>
      </c>
      <c r="BN56" s="990">
        <f>-'Share Count'!BN21</f>
        <v>0</v>
      </c>
      <c r="BO56" s="1013">
        <f t="shared" si="48"/>
        <v>0</v>
      </c>
    </row>
    <row r="57" spans="1:67" s="997" customFormat="1">
      <c r="A57" s="995"/>
      <c r="B57" s="981" t="s">
        <v>471</v>
      </c>
      <c r="C57" s="990"/>
      <c r="D57" s="1012"/>
      <c r="E57" s="1012"/>
      <c r="F57" s="1000"/>
      <c r="G57" s="1013"/>
      <c r="H57" s="994"/>
      <c r="I57" s="994"/>
      <c r="J57" s="994"/>
      <c r="K57" s="994"/>
      <c r="L57" s="1013"/>
      <c r="M57" s="994"/>
      <c r="N57" s="994"/>
      <c r="O57" s="994"/>
      <c r="P57" s="994"/>
      <c r="Q57" s="1013"/>
      <c r="R57" s="994"/>
      <c r="S57" s="994"/>
      <c r="T57" s="994"/>
      <c r="U57" s="994"/>
      <c r="V57" s="991"/>
      <c r="W57" s="998"/>
      <c r="X57" s="998"/>
      <c r="Y57" s="998"/>
      <c r="Z57" s="1000"/>
      <c r="AA57" s="991"/>
      <c r="AB57" s="998"/>
      <c r="AC57" s="1000"/>
      <c r="AD57" s="1000"/>
      <c r="AE57" s="1000"/>
      <c r="AF57" s="991"/>
      <c r="AG57" s="998"/>
      <c r="AH57" s="1000"/>
      <c r="AI57" s="1000"/>
      <c r="AJ57" s="1000"/>
      <c r="AK57" s="991"/>
      <c r="AL57" s="998"/>
      <c r="AM57" s="994"/>
      <c r="AN57" s="1207">
        <v>2300</v>
      </c>
      <c r="AO57" s="1000"/>
      <c r="AP57" s="991"/>
      <c r="AQ57" s="1214"/>
      <c r="AR57" s="1207"/>
      <c r="AS57" s="1400"/>
      <c r="AT57" s="990"/>
      <c r="AU57" s="1013">
        <f t="shared" si="44"/>
        <v>0</v>
      </c>
      <c r="AV57" s="990"/>
      <c r="AW57" s="990"/>
      <c r="AX57" s="990"/>
      <c r="AY57" s="990"/>
      <c r="AZ57" s="1013"/>
      <c r="BA57" s="990"/>
      <c r="BB57" s="990"/>
      <c r="BC57" s="990"/>
      <c r="BD57" s="990"/>
      <c r="BE57" s="1013"/>
      <c r="BF57" s="990"/>
      <c r="BG57" s="990"/>
      <c r="BH57" s="990"/>
      <c r="BI57" s="990"/>
      <c r="BJ57" s="1013"/>
      <c r="BK57" s="990"/>
      <c r="BL57" s="990"/>
      <c r="BM57" s="990"/>
      <c r="BN57" s="990"/>
      <c r="BO57" s="1013"/>
    </row>
    <row r="58" spans="1:67" s="997" customFormat="1">
      <c r="A58" s="995"/>
      <c r="B58" s="981" t="s">
        <v>472</v>
      </c>
      <c r="C58" s="990"/>
      <c r="D58" s="1012"/>
      <c r="E58" s="1012"/>
      <c r="F58" s="1000"/>
      <c r="G58" s="1013"/>
      <c r="H58" s="994"/>
      <c r="I58" s="994"/>
      <c r="J58" s="994"/>
      <c r="K58" s="994"/>
      <c r="L58" s="1013"/>
      <c r="M58" s="994"/>
      <c r="N58" s="994"/>
      <c r="O58" s="994"/>
      <c r="P58" s="994"/>
      <c r="Q58" s="1013"/>
      <c r="R58" s="994"/>
      <c r="S58" s="994"/>
      <c r="T58" s="994"/>
      <c r="U58" s="994"/>
      <c r="V58" s="991"/>
      <c r="W58" s="998"/>
      <c r="X58" s="998"/>
      <c r="Y58" s="998"/>
      <c r="Z58" s="1000"/>
      <c r="AA58" s="991"/>
      <c r="AB58" s="998"/>
      <c r="AC58" s="1000"/>
      <c r="AD58" s="1000"/>
      <c r="AE58" s="1000"/>
      <c r="AF58" s="991"/>
      <c r="AG58" s="998"/>
      <c r="AH58" s="1000"/>
      <c r="AI58" s="1000"/>
      <c r="AJ58" s="1000"/>
      <c r="AK58" s="991"/>
      <c r="AL58" s="998"/>
      <c r="AM58" s="994"/>
      <c r="AN58" s="1207">
        <v>-31.23</v>
      </c>
      <c r="AO58" s="1000"/>
      <c r="AP58" s="991"/>
      <c r="AQ58" s="1214"/>
      <c r="AR58" s="1207"/>
      <c r="AS58" s="1400"/>
      <c r="AT58" s="990"/>
      <c r="AU58" s="1013">
        <f t="shared" si="44"/>
        <v>0</v>
      </c>
      <c r="AV58" s="990"/>
      <c r="AW58" s="990"/>
      <c r="AX58" s="990"/>
      <c r="AY58" s="990"/>
      <c r="AZ58" s="1013"/>
      <c r="BA58" s="990"/>
      <c r="BB58" s="990"/>
      <c r="BC58" s="990"/>
      <c r="BD58" s="990"/>
      <c r="BE58" s="1013"/>
      <c r="BF58" s="990"/>
      <c r="BG58" s="990"/>
      <c r="BH58" s="990"/>
      <c r="BI58" s="990"/>
      <c r="BJ58" s="1013"/>
      <c r="BK58" s="990"/>
      <c r="BL58" s="990"/>
      <c r="BM58" s="990"/>
      <c r="BN58" s="990"/>
      <c r="BO58" s="1013"/>
    </row>
    <row r="59" spans="1:67" s="997" customFormat="1">
      <c r="A59" s="995"/>
      <c r="B59" s="981" t="s">
        <v>473</v>
      </c>
      <c r="C59" s="990"/>
      <c r="D59" s="1012"/>
      <c r="E59" s="1012"/>
      <c r="F59" s="1000"/>
      <c r="G59" s="1013"/>
      <c r="H59" s="994"/>
      <c r="I59" s="994"/>
      <c r="J59" s="994"/>
      <c r="K59" s="994"/>
      <c r="L59" s="1013"/>
      <c r="M59" s="994"/>
      <c r="N59" s="994"/>
      <c r="O59" s="994"/>
      <c r="P59" s="994"/>
      <c r="Q59" s="1013"/>
      <c r="R59" s="994"/>
      <c r="S59" s="994"/>
      <c r="T59" s="994"/>
      <c r="U59" s="994"/>
      <c r="V59" s="991"/>
      <c r="W59" s="998"/>
      <c r="X59" s="998"/>
      <c r="Y59" s="998"/>
      <c r="Z59" s="1000"/>
      <c r="AA59" s="991"/>
      <c r="AB59" s="998"/>
      <c r="AC59" s="1000"/>
      <c r="AD59" s="1000"/>
      <c r="AE59" s="1000"/>
      <c r="AF59" s="991"/>
      <c r="AG59" s="998"/>
      <c r="AH59" s="1000"/>
      <c r="AI59" s="1000"/>
      <c r="AJ59" s="1000"/>
      <c r="AK59" s="991"/>
      <c r="AL59" s="998"/>
      <c r="AM59" s="994"/>
      <c r="AN59" s="1207">
        <v>-195.5</v>
      </c>
      <c r="AO59" s="1000"/>
      <c r="AP59" s="991"/>
      <c r="AQ59" s="1214"/>
      <c r="AR59" s="1207"/>
      <c r="AS59" s="1400"/>
      <c r="AT59" s="990"/>
      <c r="AU59" s="1013">
        <f t="shared" si="44"/>
        <v>0</v>
      </c>
      <c r="AV59" s="990"/>
      <c r="AW59" s="990"/>
      <c r="AX59" s="990"/>
      <c r="AY59" s="990"/>
      <c r="AZ59" s="1013"/>
      <c r="BA59" s="990"/>
      <c r="BB59" s="990"/>
      <c r="BC59" s="990"/>
      <c r="BD59" s="990"/>
      <c r="BE59" s="1013"/>
      <c r="BF59" s="990"/>
      <c r="BG59" s="990"/>
      <c r="BH59" s="990"/>
      <c r="BI59" s="990"/>
      <c r="BJ59" s="1013"/>
      <c r="BK59" s="990"/>
      <c r="BL59" s="990"/>
      <c r="BM59" s="990"/>
      <c r="BN59" s="990"/>
      <c r="BO59" s="1013"/>
    </row>
    <row r="60" spans="1:67" s="997" customFormat="1" hidden="1" outlineLevel="1">
      <c r="A60" s="995"/>
      <c r="B60" s="987" t="s">
        <v>303</v>
      </c>
      <c r="C60" s="990"/>
      <c r="D60" s="1012"/>
      <c r="E60" s="1012"/>
      <c r="F60" s="1000"/>
      <c r="G60" s="1013">
        <f t="shared" si="36"/>
        <v>0</v>
      </c>
      <c r="H60" s="994">
        <v>0</v>
      </c>
      <c r="I60" s="994">
        <v>0</v>
      </c>
      <c r="J60" s="994">
        <v>0</v>
      </c>
      <c r="K60" s="994">
        <v>0</v>
      </c>
      <c r="L60" s="1013">
        <f t="shared" si="37"/>
        <v>0</v>
      </c>
      <c r="M60" s="994">
        <v>0</v>
      </c>
      <c r="N60" s="994">
        <v>0</v>
      </c>
      <c r="O60" s="994">
        <v>0</v>
      </c>
      <c r="P60" s="994">
        <v>0</v>
      </c>
      <c r="Q60" s="1013">
        <f t="shared" si="38"/>
        <v>0</v>
      </c>
      <c r="R60" s="994">
        <v>0</v>
      </c>
      <c r="S60" s="994">
        <v>0</v>
      </c>
      <c r="T60" s="994">
        <v>0</v>
      </c>
      <c r="U60" s="994">
        <v>0</v>
      </c>
      <c r="V60" s="1013">
        <f t="shared" si="49"/>
        <v>0</v>
      </c>
      <c r="W60" s="998">
        <v>0</v>
      </c>
      <c r="X60" s="998">
        <v>0</v>
      </c>
      <c r="Y60" s="998">
        <v>0</v>
      </c>
      <c r="Z60" s="1000">
        <v>0</v>
      </c>
      <c r="AA60" s="1013">
        <f t="shared" si="50"/>
        <v>0</v>
      </c>
      <c r="AB60" s="998">
        <v>0</v>
      </c>
      <c r="AC60" s="1000">
        <v>0</v>
      </c>
      <c r="AD60" s="1000">
        <v>13</v>
      </c>
      <c r="AE60" s="1000">
        <v>0</v>
      </c>
      <c r="AF60" s="1013">
        <f t="shared" si="51"/>
        <v>13</v>
      </c>
      <c r="AG60" s="998">
        <v>0</v>
      </c>
      <c r="AH60" s="1000">
        <v>0</v>
      </c>
      <c r="AI60" s="1000">
        <v>0</v>
      </c>
      <c r="AJ60" s="1000">
        <v>0</v>
      </c>
      <c r="AK60" s="1013">
        <f t="shared" si="52"/>
        <v>0</v>
      </c>
      <c r="AL60" s="998">
        <v>0</v>
      </c>
      <c r="AM60" s="998">
        <v>0</v>
      </c>
      <c r="AN60" s="1204"/>
      <c r="AO60" s="1000"/>
      <c r="AP60" s="1013">
        <f t="shared" si="43"/>
        <v>0</v>
      </c>
      <c r="AQ60" s="1214"/>
      <c r="AR60" s="1204"/>
      <c r="AS60" s="1000"/>
      <c r="AT60" s="1012"/>
      <c r="AU60" s="1013">
        <f t="shared" si="44"/>
        <v>0</v>
      </c>
      <c r="AV60" s="990"/>
      <c r="AW60" s="1012"/>
      <c r="AX60" s="1012"/>
      <c r="AY60" s="1012"/>
      <c r="AZ60" s="1013">
        <f t="shared" si="45"/>
        <v>0</v>
      </c>
      <c r="BA60" s="990"/>
      <c r="BB60" s="1012"/>
      <c r="BC60" s="1012"/>
      <c r="BD60" s="1012"/>
      <c r="BE60" s="1013">
        <f t="shared" si="46"/>
        <v>0</v>
      </c>
      <c r="BF60" s="990"/>
      <c r="BG60" s="1012"/>
      <c r="BH60" s="1012"/>
      <c r="BI60" s="1012"/>
      <c r="BJ60" s="1013">
        <f t="shared" si="47"/>
        <v>0</v>
      </c>
      <c r="BK60" s="990"/>
      <c r="BL60" s="1012"/>
      <c r="BM60" s="1012"/>
      <c r="BN60" s="1012"/>
      <c r="BO60" s="1013">
        <f t="shared" ref="BO60:BO65" si="53">SUM(BK60:BN60)</f>
        <v>0</v>
      </c>
    </row>
    <row r="61" spans="1:67" s="997" customFormat="1" hidden="1" outlineLevel="1">
      <c r="A61" s="995"/>
      <c r="B61" s="987" t="s">
        <v>311</v>
      </c>
      <c r="C61" s="990"/>
      <c r="D61" s="1012"/>
      <c r="E61" s="1012"/>
      <c r="F61" s="1000"/>
      <c r="G61" s="1013">
        <f t="shared" si="36"/>
        <v>0</v>
      </c>
      <c r="H61" s="994">
        <v>0</v>
      </c>
      <c r="I61" s="994">
        <v>0</v>
      </c>
      <c r="J61" s="994">
        <v>0</v>
      </c>
      <c r="K61" s="994">
        <v>0</v>
      </c>
      <c r="L61" s="1013">
        <f t="shared" si="37"/>
        <v>0</v>
      </c>
      <c r="M61" s="994">
        <v>0</v>
      </c>
      <c r="N61" s="994">
        <v>0</v>
      </c>
      <c r="O61" s="994">
        <v>0</v>
      </c>
      <c r="P61" s="994">
        <v>0</v>
      </c>
      <c r="Q61" s="1013">
        <f t="shared" si="38"/>
        <v>0</v>
      </c>
      <c r="R61" s="994">
        <v>0</v>
      </c>
      <c r="S61" s="994">
        <v>-2.2309999999999999</v>
      </c>
      <c r="T61" s="994">
        <v>0</v>
      </c>
      <c r="U61" s="994">
        <v>0</v>
      </c>
      <c r="V61" s="1013">
        <f t="shared" si="49"/>
        <v>-2.2309999999999999</v>
      </c>
      <c r="W61" s="998">
        <v>0</v>
      </c>
      <c r="X61" s="998">
        <v>0</v>
      </c>
      <c r="Y61" s="998">
        <v>0</v>
      </c>
      <c r="Z61" s="998">
        <v>0</v>
      </c>
      <c r="AA61" s="1013">
        <f t="shared" si="50"/>
        <v>0</v>
      </c>
      <c r="AB61" s="998">
        <v>0</v>
      </c>
      <c r="AC61" s="998">
        <v>0</v>
      </c>
      <c r="AD61" s="998">
        <v>0</v>
      </c>
      <c r="AE61" s="998">
        <v>0</v>
      </c>
      <c r="AF61" s="1013">
        <f t="shared" si="51"/>
        <v>0</v>
      </c>
      <c r="AG61" s="998">
        <v>0</v>
      </c>
      <c r="AH61" s="998">
        <v>0</v>
      </c>
      <c r="AI61" s="998">
        <v>0</v>
      </c>
      <c r="AJ61" s="998">
        <v>0</v>
      </c>
      <c r="AK61" s="1013">
        <f t="shared" si="52"/>
        <v>0</v>
      </c>
      <c r="AL61" s="998">
        <v>0</v>
      </c>
      <c r="AM61" s="998">
        <v>0</v>
      </c>
      <c r="AN61" s="1204"/>
      <c r="AO61" s="998"/>
      <c r="AP61" s="1013">
        <f t="shared" si="43"/>
        <v>0</v>
      </c>
      <c r="AQ61" s="1214"/>
      <c r="AR61" s="1204"/>
      <c r="AS61" s="1000"/>
      <c r="AT61" s="1012"/>
      <c r="AU61" s="1013">
        <f t="shared" si="44"/>
        <v>0</v>
      </c>
      <c r="AV61" s="990"/>
      <c r="AW61" s="1012"/>
      <c r="AX61" s="1012"/>
      <c r="AY61" s="1012"/>
      <c r="AZ61" s="1013">
        <f t="shared" si="45"/>
        <v>0</v>
      </c>
      <c r="BA61" s="990"/>
      <c r="BB61" s="1012"/>
      <c r="BC61" s="1012"/>
      <c r="BD61" s="1012"/>
      <c r="BE61" s="1013">
        <f t="shared" si="46"/>
        <v>0</v>
      </c>
      <c r="BF61" s="990"/>
      <c r="BG61" s="1012"/>
      <c r="BH61" s="1012"/>
      <c r="BI61" s="1012"/>
      <c r="BJ61" s="1013">
        <f t="shared" si="47"/>
        <v>0</v>
      </c>
      <c r="BK61" s="990"/>
      <c r="BL61" s="1012"/>
      <c r="BM61" s="1012"/>
      <c r="BN61" s="1012"/>
      <c r="BO61" s="1013">
        <f t="shared" si="53"/>
        <v>0</v>
      </c>
    </row>
    <row r="62" spans="1:67" s="997" customFormat="1" hidden="1" outlineLevel="1">
      <c r="A62" s="995"/>
      <c r="B62" s="987" t="s">
        <v>304</v>
      </c>
      <c r="C62" s="990"/>
      <c r="D62" s="1012"/>
      <c r="E62" s="1012"/>
      <c r="F62" s="1000"/>
      <c r="G62" s="1013">
        <f t="shared" si="36"/>
        <v>0</v>
      </c>
      <c r="H62" s="994">
        <v>0</v>
      </c>
      <c r="I62" s="994">
        <v>0</v>
      </c>
      <c r="J62" s="994">
        <v>0</v>
      </c>
      <c r="K62" s="994">
        <v>0</v>
      </c>
      <c r="L62" s="1013">
        <f t="shared" si="37"/>
        <v>0</v>
      </c>
      <c r="M62" s="994">
        <v>0</v>
      </c>
      <c r="N62" s="994">
        <v>0</v>
      </c>
      <c r="O62" s="994">
        <v>0</v>
      </c>
      <c r="P62" s="994">
        <v>0</v>
      </c>
      <c r="Q62" s="1013">
        <f t="shared" si="38"/>
        <v>0</v>
      </c>
      <c r="R62" s="994">
        <v>-0.105</v>
      </c>
      <c r="S62" s="994">
        <v>-0.6</v>
      </c>
      <c r="T62" s="994">
        <v>-0.56399999999999995</v>
      </c>
      <c r="U62" s="994">
        <v>0</v>
      </c>
      <c r="V62" s="1013">
        <f t="shared" si="49"/>
        <v>-1.2689999999999999</v>
      </c>
      <c r="W62" s="998">
        <v>0</v>
      </c>
      <c r="X62" s="998">
        <v>0</v>
      </c>
      <c r="Y62" s="998">
        <v>0</v>
      </c>
      <c r="Z62" s="1000">
        <v>-1.0649999999999999</v>
      </c>
      <c r="AA62" s="1013">
        <f t="shared" si="50"/>
        <v>-1.0649999999999999</v>
      </c>
      <c r="AB62" s="998">
        <v>0</v>
      </c>
      <c r="AC62" s="1000">
        <v>0</v>
      </c>
      <c r="AD62" s="1000">
        <v>0</v>
      </c>
      <c r="AE62" s="1000">
        <v>0</v>
      </c>
      <c r="AF62" s="1013">
        <f t="shared" si="51"/>
        <v>0</v>
      </c>
      <c r="AG62" s="998">
        <v>0</v>
      </c>
      <c r="AH62" s="1000">
        <v>0</v>
      </c>
      <c r="AI62" s="1000">
        <v>0</v>
      </c>
      <c r="AJ62" s="1000">
        <v>0</v>
      </c>
      <c r="AK62" s="1013">
        <f t="shared" si="52"/>
        <v>0</v>
      </c>
      <c r="AL62" s="998">
        <v>0</v>
      </c>
      <c r="AM62" s="998">
        <v>0</v>
      </c>
      <c r="AN62" s="1204"/>
      <c r="AO62" s="1000">
        <v>-0.25</v>
      </c>
      <c r="AP62" s="1013">
        <f t="shared" si="43"/>
        <v>-0.25</v>
      </c>
      <c r="AQ62" s="1214">
        <v>-0.374</v>
      </c>
      <c r="AR62" s="1204">
        <v>-0.22600000000000001</v>
      </c>
      <c r="AS62" s="1000"/>
      <c r="AT62" s="1012"/>
      <c r="AU62" s="1013">
        <f t="shared" si="44"/>
        <v>-0.6</v>
      </c>
      <c r="AV62" s="990"/>
      <c r="AW62" s="1012"/>
      <c r="AX62" s="1012"/>
      <c r="AY62" s="1012"/>
      <c r="AZ62" s="1013">
        <f t="shared" si="45"/>
        <v>0</v>
      </c>
      <c r="BA62" s="990"/>
      <c r="BB62" s="1012"/>
      <c r="BC62" s="1012"/>
      <c r="BD62" s="1012"/>
      <c r="BE62" s="1013">
        <f t="shared" si="46"/>
        <v>0</v>
      </c>
      <c r="BF62" s="990"/>
      <c r="BG62" s="1012"/>
      <c r="BH62" s="1012"/>
      <c r="BI62" s="1012"/>
      <c r="BJ62" s="1013">
        <f t="shared" si="47"/>
        <v>0</v>
      </c>
      <c r="BK62" s="990"/>
      <c r="BL62" s="1012"/>
      <c r="BM62" s="1012"/>
      <c r="BN62" s="1012"/>
      <c r="BO62" s="1013">
        <f t="shared" si="53"/>
        <v>0</v>
      </c>
    </row>
    <row r="63" spans="1:67" s="1003" customFormat="1" hidden="1" outlineLevel="2">
      <c r="A63" s="1005"/>
      <c r="B63" s="987" t="s">
        <v>290</v>
      </c>
      <c r="C63" s="990"/>
      <c r="D63" s="993"/>
      <c r="E63" s="993"/>
      <c r="F63" s="994"/>
      <c r="G63" s="1013">
        <f t="shared" si="36"/>
        <v>0</v>
      </c>
      <c r="H63" s="994">
        <v>0</v>
      </c>
      <c r="I63" s="994">
        <v>0</v>
      </c>
      <c r="J63" s="994">
        <v>0</v>
      </c>
      <c r="K63" s="994">
        <v>0</v>
      </c>
      <c r="L63" s="1013">
        <f t="shared" si="37"/>
        <v>0</v>
      </c>
      <c r="M63" s="994">
        <v>0</v>
      </c>
      <c r="N63" s="994">
        <v>0</v>
      </c>
      <c r="O63" s="994">
        <v>0</v>
      </c>
      <c r="P63" s="994">
        <v>0</v>
      </c>
      <c r="Q63" s="1013">
        <f t="shared" si="38"/>
        <v>0</v>
      </c>
      <c r="R63" s="994">
        <v>0</v>
      </c>
      <c r="S63" s="994">
        <v>0</v>
      </c>
      <c r="T63" s="994">
        <v>0</v>
      </c>
      <c r="U63" s="994">
        <v>0</v>
      </c>
      <c r="V63" s="991">
        <f t="shared" si="49"/>
        <v>0</v>
      </c>
      <c r="W63" s="998">
        <v>0</v>
      </c>
      <c r="X63" s="998">
        <v>0</v>
      </c>
      <c r="Y63" s="998">
        <v>0</v>
      </c>
      <c r="Z63" s="998">
        <v>0</v>
      </c>
      <c r="AA63" s="1013"/>
      <c r="AB63" s="998">
        <v>0</v>
      </c>
      <c r="AC63" s="998">
        <v>0</v>
      </c>
      <c r="AD63" s="998">
        <v>0</v>
      </c>
      <c r="AE63" s="998">
        <v>0</v>
      </c>
      <c r="AF63" s="1013">
        <f t="shared" si="51"/>
        <v>0</v>
      </c>
      <c r="AG63" s="998">
        <v>0</v>
      </c>
      <c r="AH63" s="1000">
        <v>0</v>
      </c>
      <c r="AI63" s="1000">
        <v>0</v>
      </c>
      <c r="AJ63" s="994">
        <v>0</v>
      </c>
      <c r="AK63" s="1013">
        <f t="shared" si="52"/>
        <v>0</v>
      </c>
      <c r="AL63" s="998">
        <v>0</v>
      </c>
      <c r="AM63" s="998">
        <v>0</v>
      </c>
      <c r="AN63" s="1207"/>
      <c r="AO63" s="994"/>
      <c r="AP63" s="1013">
        <f t="shared" si="43"/>
        <v>0</v>
      </c>
      <c r="AQ63" s="1214"/>
      <c r="AR63" s="1207"/>
      <c r="AS63" s="1400">
        <v>-2.145</v>
      </c>
      <c r="AT63" s="996"/>
      <c r="AU63" s="1013">
        <f t="shared" si="44"/>
        <v>-2.145</v>
      </c>
      <c r="AV63" s="996"/>
      <c r="AW63" s="996"/>
      <c r="AX63" s="996"/>
      <c r="AY63" s="996"/>
      <c r="AZ63" s="1013">
        <f t="shared" si="45"/>
        <v>0</v>
      </c>
      <c r="BA63" s="996"/>
      <c r="BB63" s="996"/>
      <c r="BC63" s="996"/>
      <c r="BD63" s="996"/>
      <c r="BE63" s="1013">
        <f t="shared" si="46"/>
        <v>0</v>
      </c>
      <c r="BF63" s="996"/>
      <c r="BG63" s="996"/>
      <c r="BH63" s="996"/>
      <c r="BI63" s="996"/>
      <c r="BJ63" s="1013">
        <f t="shared" si="47"/>
        <v>0</v>
      </c>
      <c r="BK63" s="996"/>
      <c r="BL63" s="996"/>
      <c r="BM63" s="996"/>
      <c r="BN63" s="996"/>
      <c r="BO63" s="1013">
        <f t="shared" si="53"/>
        <v>0</v>
      </c>
    </row>
    <row r="64" spans="1:67" s="1010" customFormat="1" collapsed="1">
      <c r="A64" s="1006"/>
      <c r="B64" s="985" t="s">
        <v>276</v>
      </c>
      <c r="C64" s="1008"/>
      <c r="D64" s="1017"/>
      <c r="E64" s="1017"/>
      <c r="F64" s="1017">
        <f>SUM(F47:F62)</f>
        <v>0</v>
      </c>
      <c r="G64" s="1009">
        <f>SUM(G47:G62)</f>
        <v>0</v>
      </c>
      <c r="H64" s="1017">
        <f>SUM(H47:H63)</f>
        <v>-13.652000000000001</v>
      </c>
      <c r="I64" s="1017">
        <f>SUM(I47:I63)</f>
        <v>0.79199999999999993</v>
      </c>
      <c r="J64" s="1017">
        <f>SUM(J47:J63)</f>
        <v>441.363</v>
      </c>
      <c r="K64" s="1017">
        <f>SUM(K47:K63)</f>
        <v>-14.902000000000001</v>
      </c>
      <c r="L64" s="1009">
        <f t="shared" si="37"/>
        <v>413.601</v>
      </c>
      <c r="M64" s="1017">
        <f>SUM(M47:M63)</f>
        <v>14.465999999999999</v>
      </c>
      <c r="N64" s="1017">
        <f>SUM(N47:N63)</f>
        <v>1.425</v>
      </c>
      <c r="O64" s="1017">
        <f>SUM(O47:O63)</f>
        <v>34.92</v>
      </c>
      <c r="P64" s="1017">
        <f>SUM(P47:P63)</f>
        <v>6.6579999999999995</v>
      </c>
      <c r="Q64" s="1009">
        <f t="shared" si="38"/>
        <v>57.469000000000001</v>
      </c>
      <c r="R64" s="1017">
        <f>SUM(R47:R63)</f>
        <v>489.46899999999999</v>
      </c>
      <c r="S64" s="1017">
        <f>SUM(S47:S63)</f>
        <v>9.1230000000000011</v>
      </c>
      <c r="T64" s="1017">
        <f>SUM(T47:T63)</f>
        <v>4254.4199999999992</v>
      </c>
      <c r="U64" s="1017">
        <f>SUM(U47:U63)</f>
        <v>22.277999999999999</v>
      </c>
      <c r="V64" s="1009">
        <f>SUM(R64:U64)</f>
        <v>4775.2899999999991</v>
      </c>
      <c r="W64" s="1017">
        <f>SUM(W47:W63)</f>
        <v>67.8</v>
      </c>
      <c r="X64" s="1017">
        <f>SUM(X47:X63)</f>
        <v>24.463000000000001</v>
      </c>
      <c r="Y64" s="1017">
        <f>SUM(Y47:Y63)</f>
        <v>50.408000000000001</v>
      </c>
      <c r="Z64" s="1017">
        <f>SUM(Z47:Z63)</f>
        <v>35.527000000000001</v>
      </c>
      <c r="AA64" s="1009">
        <f>SUM(W64:Z64)</f>
        <v>178.19799999999998</v>
      </c>
      <c r="AB64" s="1017">
        <f>SUM(AB47:AB63)</f>
        <v>-11.845999999999997</v>
      </c>
      <c r="AC64" s="1017">
        <f>SUM(AC47:AC63)</f>
        <v>-22.373000000000001</v>
      </c>
      <c r="AD64" s="1017">
        <f>SUM(AD47:AD63)</f>
        <v>-18.320999999999998</v>
      </c>
      <c r="AE64" s="1017">
        <f>SUM(AE47:AE63)</f>
        <v>-40.083999999999996</v>
      </c>
      <c r="AF64" s="1009">
        <f>SUM(AB64:AE64)</f>
        <v>-92.623999999999995</v>
      </c>
      <c r="AG64" s="1017">
        <f>SUM(AG47:AG63)</f>
        <v>-223.65799999999999</v>
      </c>
      <c r="AH64" s="1017">
        <f>SUM(AH47:AH63)</f>
        <v>-82.162000000000006</v>
      </c>
      <c r="AI64" s="1017">
        <f>SUM(AI47:AI63)</f>
        <v>-459.65199999999999</v>
      </c>
      <c r="AJ64" s="1017">
        <f>SUM(AJ47:AJ63)</f>
        <v>-88.631</v>
      </c>
      <c r="AK64" s="1009">
        <f>SUM(AG64:AJ64)</f>
        <v>-854.10299999999995</v>
      </c>
      <c r="AL64" s="1017">
        <f>SUM(AL47:AL63)</f>
        <v>-633.49799999999993</v>
      </c>
      <c r="AM64" s="1017">
        <f>SUM(AM47:AM63)</f>
        <v>-490.54599999999999</v>
      </c>
      <c r="AN64" s="1017">
        <f>SUM(AN47:AN63)</f>
        <v>1017.6389999999999</v>
      </c>
      <c r="AO64" s="1017">
        <f>SUM(AO47:AO63)</f>
        <v>-120.11799999999999</v>
      </c>
      <c r="AP64" s="1009">
        <f>SUM(AL64:AO64)</f>
        <v>-226.52299999999997</v>
      </c>
      <c r="AQ64" s="1358">
        <f t="shared" ref="AQ64:AT64" si="54">SUM(AQ47:AQ63)</f>
        <v>-564.05700000000002</v>
      </c>
      <c r="AR64" s="1358">
        <f t="shared" si="54"/>
        <v>-134.03899999999999</v>
      </c>
      <c r="AS64" s="1017">
        <f t="shared" si="54"/>
        <v>-361.98599999999999</v>
      </c>
      <c r="AT64" s="1017">
        <f t="shared" si="54"/>
        <v>-232.89599999999999</v>
      </c>
      <c r="AU64" s="1009">
        <f>SUM(AQ64:AT64)</f>
        <v>-1292.9779999999998</v>
      </c>
      <c r="AV64" s="1017">
        <f t="shared" ref="AV64:AY64" si="55">SUM(AV47:AV63)</f>
        <v>-250</v>
      </c>
      <c r="AW64" s="1017">
        <f t="shared" si="55"/>
        <v>-250</v>
      </c>
      <c r="AX64" s="1017">
        <f t="shared" si="55"/>
        <v>-250</v>
      </c>
      <c r="AY64" s="1017">
        <f t="shared" si="55"/>
        <v>-250</v>
      </c>
      <c r="AZ64" s="1009">
        <f>SUM(AV64:AY64)</f>
        <v>-1000</v>
      </c>
      <c r="BA64" s="1017">
        <f t="shared" ref="BA64:BD64" si="56">SUM(BA47:BA63)</f>
        <v>-67.104000000000042</v>
      </c>
      <c r="BB64" s="1017">
        <f t="shared" si="56"/>
        <v>0</v>
      </c>
      <c r="BC64" s="1017">
        <f t="shared" si="56"/>
        <v>0</v>
      </c>
      <c r="BD64" s="1017">
        <f t="shared" si="56"/>
        <v>0</v>
      </c>
      <c r="BE64" s="1009">
        <f>SUM(BA64:BD64)</f>
        <v>-67.104000000000042</v>
      </c>
      <c r="BF64" s="1017">
        <f t="shared" ref="BF64:BI64" si="57">SUM(BF47:BF63)</f>
        <v>0</v>
      </c>
      <c r="BG64" s="1017">
        <f t="shared" si="57"/>
        <v>0</v>
      </c>
      <c r="BH64" s="1017">
        <f t="shared" si="57"/>
        <v>0</v>
      </c>
      <c r="BI64" s="1017">
        <f t="shared" si="57"/>
        <v>0</v>
      </c>
      <c r="BJ64" s="1009">
        <f>SUM(BF64:BI64)</f>
        <v>0</v>
      </c>
      <c r="BK64" s="1017">
        <f t="shared" ref="BK64:BN64" si="58">SUM(BK47:BK63)</f>
        <v>0</v>
      </c>
      <c r="BL64" s="1017">
        <f t="shared" si="58"/>
        <v>0</v>
      </c>
      <c r="BM64" s="1017">
        <f t="shared" si="58"/>
        <v>0</v>
      </c>
      <c r="BN64" s="1017">
        <f t="shared" si="58"/>
        <v>0</v>
      </c>
      <c r="BO64" s="1009">
        <f t="shared" si="53"/>
        <v>0</v>
      </c>
    </row>
    <row r="65" spans="1:67" s="997" customFormat="1">
      <c r="A65" s="995"/>
      <c r="B65" s="1015" t="s">
        <v>277</v>
      </c>
      <c r="C65" s="990"/>
      <c r="D65" s="999"/>
      <c r="E65" s="999"/>
      <c r="F65" s="999"/>
      <c r="G65" s="1013">
        <f>SUM(C65:F65)</f>
        <v>0</v>
      </c>
      <c r="H65" s="994">
        <v>0</v>
      </c>
      <c r="I65" s="994">
        <v>0</v>
      </c>
      <c r="J65" s="994">
        <v>0</v>
      </c>
      <c r="K65" s="994">
        <v>0</v>
      </c>
      <c r="L65" s="1013">
        <f>SUM(H65:K65)</f>
        <v>0</v>
      </c>
      <c r="M65" s="994">
        <v>0</v>
      </c>
      <c r="N65" s="994">
        <v>0</v>
      </c>
      <c r="O65" s="994">
        <v>0</v>
      </c>
      <c r="P65" s="994">
        <v>0</v>
      </c>
      <c r="Q65" s="1013">
        <f>SUM(M65:P65)</f>
        <v>0</v>
      </c>
      <c r="R65" s="994">
        <v>0</v>
      </c>
      <c r="S65" s="998">
        <v>0</v>
      </c>
      <c r="T65" s="998">
        <v>0</v>
      </c>
      <c r="U65" s="998">
        <v>-1.0999999999999999E-2</v>
      </c>
      <c r="V65" s="1013">
        <f>SUM(R65:U65)</f>
        <v>-1.0999999999999999E-2</v>
      </c>
      <c r="W65" s="994">
        <v>1.9E-2</v>
      </c>
      <c r="X65" s="998">
        <v>0.19600000000000001</v>
      </c>
      <c r="Y65" s="998">
        <v>-0.19400000000000001</v>
      </c>
      <c r="Z65" s="998">
        <v>-0.25700000000000001</v>
      </c>
      <c r="AA65" s="1013">
        <f>SUM(W65:Z65)</f>
        <v>-0.23600000000000002</v>
      </c>
      <c r="AB65" s="994">
        <v>-5.0979999999999999</v>
      </c>
      <c r="AC65" s="994">
        <v>-2.29</v>
      </c>
      <c r="AD65" s="994">
        <v>-2.0019999999999998</v>
      </c>
      <c r="AE65" s="994">
        <v>8.4570000000000007</v>
      </c>
      <c r="AF65" s="1013">
        <f>SUM(AB65:AE65)</f>
        <v>-0.93299999999999983</v>
      </c>
      <c r="AG65" s="994">
        <v>0.53500000000000003</v>
      </c>
      <c r="AH65" s="994">
        <v>0.47</v>
      </c>
      <c r="AI65" s="994">
        <v>-5.6</v>
      </c>
      <c r="AJ65" s="994">
        <v>2.5640000000000001</v>
      </c>
      <c r="AK65" s="1013">
        <f>SUM(AG65:AJ65)</f>
        <v>-2.0309999999999997</v>
      </c>
      <c r="AL65" s="998">
        <v>-2.633</v>
      </c>
      <c r="AM65" s="998">
        <v>0.72399999999999998</v>
      </c>
      <c r="AN65" s="1214">
        <v>0.77800000000000002</v>
      </c>
      <c r="AO65" s="994">
        <v>-5.0549999999999997</v>
      </c>
      <c r="AP65" s="1013">
        <f>SUM(AL65:AO65)</f>
        <v>-6.1859999999999999</v>
      </c>
      <c r="AQ65" s="1214">
        <v>12.397</v>
      </c>
      <c r="AR65" s="1214">
        <v>-0.17499999999999999</v>
      </c>
      <c r="AS65" s="1402">
        <v>2.1000000000000001E-2</v>
      </c>
      <c r="AT65" s="999"/>
      <c r="AU65" s="1013">
        <f>SUM(AQ65:AT65)</f>
        <v>12.243</v>
      </c>
      <c r="AV65" s="990"/>
      <c r="AW65" s="999"/>
      <c r="AX65" s="999"/>
      <c r="AY65" s="999"/>
      <c r="AZ65" s="1013">
        <f>SUM(AV65:AY65)</f>
        <v>0</v>
      </c>
      <c r="BA65" s="990"/>
      <c r="BB65" s="999"/>
      <c r="BC65" s="999"/>
      <c r="BD65" s="999"/>
      <c r="BE65" s="1013">
        <f>SUM(BA65:BD65)</f>
        <v>0</v>
      </c>
      <c r="BF65" s="990"/>
      <c r="BG65" s="999"/>
      <c r="BH65" s="999"/>
      <c r="BI65" s="999"/>
      <c r="BJ65" s="1013">
        <f>SUM(BF65:BI65)</f>
        <v>0</v>
      </c>
      <c r="BK65" s="990"/>
      <c r="BL65" s="999"/>
      <c r="BM65" s="999"/>
      <c r="BN65" s="999"/>
      <c r="BO65" s="1013">
        <f t="shared" si="53"/>
        <v>0</v>
      </c>
    </row>
    <row r="66" spans="1:67" s="997" customFormat="1">
      <c r="A66" s="995"/>
      <c r="C66" s="1014"/>
      <c r="D66" s="1012"/>
      <c r="E66" s="1012"/>
      <c r="F66" s="1012"/>
      <c r="G66" s="1013"/>
      <c r="H66" s="1018"/>
      <c r="I66" s="1000"/>
      <c r="J66" s="1000"/>
      <c r="K66" s="1000"/>
      <c r="L66" s="1013"/>
      <c r="M66" s="1018"/>
      <c r="N66" s="1000"/>
      <c r="O66" s="1000"/>
      <c r="P66" s="1000"/>
      <c r="Q66" s="1013"/>
      <c r="R66" s="1018"/>
      <c r="S66" s="1000"/>
      <c r="T66" s="1000"/>
      <c r="U66" s="1000"/>
      <c r="V66" s="1013"/>
      <c r="W66" s="1018"/>
      <c r="X66" s="1000"/>
      <c r="Y66" s="1000"/>
      <c r="Z66" s="1000"/>
      <c r="AA66" s="1013"/>
      <c r="AB66" s="1018"/>
      <c r="AC66" s="1000"/>
      <c r="AD66" s="1000"/>
      <c r="AE66" s="1000"/>
      <c r="AF66" s="1013"/>
      <c r="AG66" s="1018"/>
      <c r="AH66" s="1000"/>
      <c r="AI66" s="1000"/>
      <c r="AJ66" s="1000"/>
      <c r="AK66" s="1013"/>
      <c r="AL66" s="1018"/>
      <c r="AM66" s="1000"/>
      <c r="AN66" s="1204"/>
      <c r="AO66" s="1000"/>
      <c r="AP66" s="1013"/>
      <c r="AQ66" s="1018"/>
      <c r="AR66" s="1204"/>
      <c r="AS66" s="1204"/>
      <c r="AT66" s="1000"/>
      <c r="AU66" s="1013"/>
      <c r="AV66" s="1018"/>
      <c r="AW66" s="1000"/>
      <c r="AX66" s="1000"/>
      <c r="AY66" s="1000"/>
      <c r="AZ66" s="1013"/>
      <c r="BA66" s="1018"/>
      <c r="BB66" s="1000"/>
      <c r="BC66" s="1000"/>
      <c r="BD66" s="1000"/>
      <c r="BE66" s="1013"/>
      <c r="BF66" s="1018"/>
      <c r="BG66" s="1000"/>
      <c r="BH66" s="1000"/>
      <c r="BI66" s="1000"/>
      <c r="BJ66" s="1013"/>
      <c r="BK66" s="1018"/>
      <c r="BL66" s="1000"/>
      <c r="BM66" s="1000"/>
      <c r="BN66" s="1000"/>
      <c r="BO66" s="1013"/>
    </row>
    <row r="67" spans="1:67" s="1019" customFormat="1">
      <c r="B67" s="1019" t="s">
        <v>474</v>
      </c>
      <c r="C67" s="993">
        <f t="shared" ref="C67:AH67" si="59">SUM(C32,C44,C64:C65)</f>
        <v>0</v>
      </c>
      <c r="D67" s="993">
        <f t="shared" si="59"/>
        <v>0</v>
      </c>
      <c r="E67" s="993">
        <f t="shared" si="59"/>
        <v>0</v>
      </c>
      <c r="F67" s="993">
        <f t="shared" si="59"/>
        <v>0</v>
      </c>
      <c r="G67" s="991">
        <f t="shared" si="59"/>
        <v>0</v>
      </c>
      <c r="H67" s="993">
        <f t="shared" si="59"/>
        <v>-66.111000000000004</v>
      </c>
      <c r="I67" s="993">
        <f t="shared" si="59"/>
        <v>-97.731999999999985</v>
      </c>
      <c r="J67" s="993">
        <f t="shared" si="59"/>
        <v>140.95299999999997</v>
      </c>
      <c r="K67" s="993">
        <f t="shared" si="59"/>
        <v>-70.133000000000038</v>
      </c>
      <c r="L67" s="991">
        <f t="shared" si="59"/>
        <v>-93.023000000000081</v>
      </c>
      <c r="M67" s="993">
        <f t="shared" si="59"/>
        <v>17.445999999999991</v>
      </c>
      <c r="N67" s="993">
        <f t="shared" si="59"/>
        <v>23.379999999999985</v>
      </c>
      <c r="O67" s="993">
        <f t="shared" si="59"/>
        <v>30.363999999999983</v>
      </c>
      <c r="P67" s="993">
        <f t="shared" si="59"/>
        <v>-51.783999999999963</v>
      </c>
      <c r="Q67" s="991">
        <f t="shared" si="59"/>
        <v>19.406000000000013</v>
      </c>
      <c r="R67" s="993">
        <f t="shared" si="59"/>
        <v>310.87299999999999</v>
      </c>
      <c r="S67" s="993">
        <f t="shared" si="59"/>
        <v>-298.96100000000007</v>
      </c>
      <c r="T67" s="993">
        <f t="shared" si="59"/>
        <v>3801.030999999999</v>
      </c>
      <c r="U67" s="993">
        <f t="shared" si="59"/>
        <v>-3119.7260000000001</v>
      </c>
      <c r="V67" s="991">
        <f t="shared" si="59"/>
        <v>693.21699999999919</v>
      </c>
      <c r="W67" s="993">
        <f t="shared" si="59"/>
        <v>-174.3959999999999</v>
      </c>
      <c r="X67" s="993">
        <f t="shared" si="59"/>
        <v>54.585999999999991</v>
      </c>
      <c r="Y67" s="993">
        <f t="shared" si="59"/>
        <v>236.81600000000017</v>
      </c>
      <c r="Z67" s="993">
        <f t="shared" si="59"/>
        <v>150.33499999999987</v>
      </c>
      <c r="AA67" s="991">
        <f t="shared" si="59"/>
        <v>267.34100000000012</v>
      </c>
      <c r="AB67" s="993">
        <f t="shared" si="59"/>
        <v>-22.123000000000054</v>
      </c>
      <c r="AC67" s="993">
        <f t="shared" si="59"/>
        <v>-156.67699999999994</v>
      </c>
      <c r="AD67" s="993">
        <f t="shared" si="59"/>
        <v>-87.908000000000058</v>
      </c>
      <c r="AE67" s="993">
        <f t="shared" si="59"/>
        <v>120.90500000000009</v>
      </c>
      <c r="AF67" s="991">
        <f t="shared" si="59"/>
        <v>-145.80299999999997</v>
      </c>
      <c r="AG67" s="993">
        <f t="shared" si="59"/>
        <v>-285.89199999999988</v>
      </c>
      <c r="AH67" s="993">
        <f t="shared" si="59"/>
        <v>102.54099999999994</v>
      </c>
      <c r="AI67" s="993">
        <f t="shared" ref="AI67:BJ67" si="60">SUM(AI32,AI44,AI64:AI65)</f>
        <v>226.51499999999996</v>
      </c>
      <c r="AJ67" s="993">
        <f t="shared" si="60"/>
        <v>781.08199999999999</v>
      </c>
      <c r="AK67" s="991">
        <f t="shared" si="60"/>
        <v>824.24600000000021</v>
      </c>
      <c r="AL67" s="993">
        <f t="shared" si="60"/>
        <v>-431.84100000000007</v>
      </c>
      <c r="AM67" s="993">
        <f t="shared" si="60"/>
        <v>-35.879000000000183</v>
      </c>
      <c r="AN67" s="1217">
        <f t="shared" si="60"/>
        <v>852.98099999999999</v>
      </c>
      <c r="AO67" s="993">
        <f>SUM(AO32,AO44,AO64:AO65)</f>
        <v>532.44000000000017</v>
      </c>
      <c r="AP67" s="991">
        <f>SUM(AP32,AP44,AP64:AP65)</f>
        <v>917.70099999999991</v>
      </c>
      <c r="AQ67" s="993">
        <f t="shared" ref="AQ67:AS67" si="61">SUM(AQ32,AQ44,AQ64:AQ65)</f>
        <v>-379.27000000000015</v>
      </c>
      <c r="AR67" s="993">
        <f t="shared" si="61"/>
        <v>-358.57000000000005</v>
      </c>
      <c r="AS67" s="1217">
        <f t="shared" si="61"/>
        <v>23.792999999999822</v>
      </c>
      <c r="AT67" s="993">
        <f t="shared" si="60"/>
        <v>520.61491265617872</v>
      </c>
      <c r="AU67" s="991">
        <f t="shared" si="60"/>
        <v>-193.43208734382159</v>
      </c>
      <c r="AV67" s="993">
        <f t="shared" si="60"/>
        <v>243.45135180081877</v>
      </c>
      <c r="AW67" s="993">
        <f t="shared" si="60"/>
        <v>-186.92540844106941</v>
      </c>
      <c r="AX67" s="993">
        <f t="shared" si="60"/>
        <v>-119.7613135053065</v>
      </c>
      <c r="AY67" s="993">
        <f t="shared" si="60"/>
        <v>543.53469691953774</v>
      </c>
      <c r="AZ67" s="991">
        <f t="shared" si="60"/>
        <v>480.29932677398051</v>
      </c>
      <c r="BA67" s="993">
        <f t="shared" si="60"/>
        <v>512.18691328850048</v>
      </c>
      <c r="BB67" s="993">
        <f t="shared" si="60"/>
        <v>134.15583168224157</v>
      </c>
      <c r="BC67" s="993">
        <f t="shared" si="60"/>
        <v>210.87357943538905</v>
      </c>
      <c r="BD67" s="993">
        <f t="shared" si="60"/>
        <v>982.17756385644361</v>
      </c>
      <c r="BE67" s="991">
        <f t="shared" si="60"/>
        <v>1839.3938882625746</v>
      </c>
      <c r="BF67" s="993">
        <f t="shared" si="60"/>
        <v>687.38161035895541</v>
      </c>
      <c r="BG67" s="993">
        <f t="shared" si="60"/>
        <v>195.35714919137789</v>
      </c>
      <c r="BH67" s="993">
        <f t="shared" si="60"/>
        <v>339.97537962839766</v>
      </c>
      <c r="BI67" s="993">
        <f t="shared" si="60"/>
        <v>1221.4195970079013</v>
      </c>
      <c r="BJ67" s="991">
        <f t="shared" si="60"/>
        <v>2444.1337361866322</v>
      </c>
      <c r="BK67" s="993">
        <f>SUM(BK32,BK44,BK64:BK65)</f>
        <v>809.56242021241417</v>
      </c>
      <c r="BL67" s="993">
        <f>SUM(BL32,BL44,BL64:BL65)</f>
        <v>308.49880277668842</v>
      </c>
      <c r="BM67" s="993">
        <f>SUM(BM32,BM44,BM64:BM65)</f>
        <v>506.13865403442446</v>
      </c>
      <c r="BN67" s="993">
        <f>SUM(BN32,BN44,BN64:BN65)</f>
        <v>1499.7593683366601</v>
      </c>
      <c r="BO67" s="991">
        <f>SUM(BO32,BO44,BO64:BO65)</f>
        <v>3123.9592453601872</v>
      </c>
    </row>
    <row r="68" spans="1:67" s="997" customFormat="1">
      <c r="A68" s="995"/>
      <c r="B68" s="1202" t="s">
        <v>475</v>
      </c>
      <c r="C68" s="1002"/>
      <c r="D68" s="999">
        <f>C69</f>
        <v>0</v>
      </c>
      <c r="E68" s="999">
        <f>D69</f>
        <v>0</v>
      </c>
      <c r="F68" s="999">
        <f>E69</f>
        <v>0</v>
      </c>
      <c r="G68" s="1013">
        <f>F68</f>
        <v>0</v>
      </c>
      <c r="H68" s="1020">
        <v>215.59299999999999</v>
      </c>
      <c r="I68" s="999">
        <f>H69</f>
        <v>149.48199999999997</v>
      </c>
      <c r="J68" s="999">
        <f>I69</f>
        <v>51.749999999999986</v>
      </c>
      <c r="K68" s="999">
        <f>J69</f>
        <v>192.70299999999997</v>
      </c>
      <c r="L68" s="1013">
        <f>H68</f>
        <v>215.59299999999999</v>
      </c>
      <c r="M68" s="1020">
        <f>K69</f>
        <v>122.56999999999994</v>
      </c>
      <c r="N68" s="999">
        <f>M69</f>
        <v>140.01599999999993</v>
      </c>
      <c r="O68" s="999">
        <f>N69</f>
        <v>163.39599999999993</v>
      </c>
      <c r="P68" s="999">
        <f>O69</f>
        <v>193.75999999999991</v>
      </c>
      <c r="Q68" s="1013">
        <f>M68</f>
        <v>122.56999999999994</v>
      </c>
      <c r="R68" s="1020">
        <f>P69</f>
        <v>141.97599999999994</v>
      </c>
      <c r="S68" s="999">
        <f>R69</f>
        <v>452.84899999999993</v>
      </c>
      <c r="T68" s="999">
        <f>S69</f>
        <v>153.88799999999986</v>
      </c>
      <c r="U68" s="999">
        <f>T69</f>
        <v>3954.918999999999</v>
      </c>
      <c r="V68" s="1013">
        <f>R68</f>
        <v>141.97599999999994</v>
      </c>
      <c r="W68" s="1020">
        <f>U69</f>
        <v>835.19299999999885</v>
      </c>
      <c r="X68" s="999">
        <f>W69</f>
        <v>660.79699999999889</v>
      </c>
      <c r="Y68" s="999">
        <f>X69</f>
        <v>715.3829999999989</v>
      </c>
      <c r="Z68" s="999">
        <f>Y69</f>
        <v>952.19899999999905</v>
      </c>
      <c r="AA68" s="1013">
        <f>W68</f>
        <v>835.19299999999885</v>
      </c>
      <c r="AB68" s="1020">
        <f>Z69</f>
        <v>1102.533999999999</v>
      </c>
      <c r="AC68" s="999">
        <f>AB69</f>
        <v>1080.4109999999989</v>
      </c>
      <c r="AD68" s="999">
        <f>AC69</f>
        <v>923.73399999999901</v>
      </c>
      <c r="AE68" s="999">
        <f>AD69</f>
        <v>835.825999999999</v>
      </c>
      <c r="AF68" s="1013">
        <f>AB68</f>
        <v>1102.533999999999</v>
      </c>
      <c r="AG68" s="1020">
        <f>AE69</f>
        <v>956.73099999999909</v>
      </c>
      <c r="AH68" s="999">
        <f>AG69</f>
        <v>670.83899999999926</v>
      </c>
      <c r="AI68" s="999">
        <f>AH69</f>
        <v>773.3799999999992</v>
      </c>
      <c r="AJ68" s="999">
        <f>AI69</f>
        <v>999.89499999999919</v>
      </c>
      <c r="AK68" s="1013">
        <f>AG68</f>
        <v>956.73099999999909</v>
      </c>
      <c r="AL68" s="1020">
        <f>AJ69</f>
        <v>1780.9769999999992</v>
      </c>
      <c r="AM68" s="999">
        <f>AL69</f>
        <v>1349.1359999999991</v>
      </c>
      <c r="AN68" s="1216">
        <f>AM69</f>
        <v>1313.2569999999989</v>
      </c>
      <c r="AO68" s="999">
        <f>AN69</f>
        <v>2166.2379999999989</v>
      </c>
      <c r="AP68" s="1013">
        <f>AL68</f>
        <v>1780.9769999999992</v>
      </c>
      <c r="AQ68" s="1020">
        <f>AO69</f>
        <v>2698.677999999999</v>
      </c>
      <c r="AR68" s="999">
        <f>AQ69</f>
        <v>2319.407999999999</v>
      </c>
      <c r="AS68" s="1216">
        <f>AR69</f>
        <v>1960.8379999999988</v>
      </c>
      <c r="AT68" s="999">
        <f>AS69</f>
        <v>1984.6309999999987</v>
      </c>
      <c r="AU68" s="1013">
        <f>AQ68</f>
        <v>2698.677999999999</v>
      </c>
      <c r="AV68" s="1020">
        <f>AT69</f>
        <v>2505.2459126561776</v>
      </c>
      <c r="AW68" s="999">
        <f>AV69</f>
        <v>2748.6972644569964</v>
      </c>
      <c r="AX68" s="999">
        <f>AW69</f>
        <v>2561.7718560159269</v>
      </c>
      <c r="AY68" s="999">
        <f>AX69</f>
        <v>2442.0105425106203</v>
      </c>
      <c r="AZ68" s="1013">
        <f>AV68</f>
        <v>2505.2459126561776</v>
      </c>
      <c r="BA68" s="1020">
        <f>AY69</f>
        <v>2985.5452394301583</v>
      </c>
      <c r="BB68" s="999">
        <f>BA69</f>
        <v>3497.7321527186587</v>
      </c>
      <c r="BC68" s="999">
        <f>BB69</f>
        <v>3631.8879844009002</v>
      </c>
      <c r="BD68" s="999">
        <f>BC69</f>
        <v>3842.7615638362895</v>
      </c>
      <c r="BE68" s="1013">
        <f>BA68</f>
        <v>2985.5452394301583</v>
      </c>
      <c r="BF68" s="1020">
        <f>BD69</f>
        <v>4824.9391276927327</v>
      </c>
      <c r="BG68" s="999">
        <f>BF69</f>
        <v>5512.3207380516878</v>
      </c>
      <c r="BH68" s="999">
        <f>BG69</f>
        <v>5707.6778872430659</v>
      </c>
      <c r="BI68" s="999">
        <f>BH69</f>
        <v>6047.6532668714635</v>
      </c>
      <c r="BJ68" s="1013">
        <f>BF68</f>
        <v>4824.9391276927327</v>
      </c>
      <c r="BK68" s="1020">
        <f>BI69</f>
        <v>7269.0728638793644</v>
      </c>
      <c r="BL68" s="999">
        <f>BK69</f>
        <v>8078.6352840917789</v>
      </c>
      <c r="BM68" s="999">
        <f>BL69</f>
        <v>8387.1340868684674</v>
      </c>
      <c r="BN68" s="999">
        <f>BM69</f>
        <v>8893.2727409028921</v>
      </c>
      <c r="BO68" s="1013">
        <f>BK68</f>
        <v>7269.0728638793644</v>
      </c>
    </row>
    <row r="69" spans="1:67" s="1022" customFormat="1">
      <c r="A69" s="1021"/>
      <c r="B69" s="1019" t="s">
        <v>476</v>
      </c>
      <c r="C69" s="993">
        <f>C67+C68</f>
        <v>0</v>
      </c>
      <c r="D69" s="993">
        <f t="shared" ref="D69:I69" si="62">D67+D68</f>
        <v>0</v>
      </c>
      <c r="E69" s="993">
        <f t="shared" si="62"/>
        <v>0</v>
      </c>
      <c r="F69" s="993">
        <f t="shared" si="62"/>
        <v>0</v>
      </c>
      <c r="G69" s="991">
        <f t="shared" si="62"/>
        <v>0</v>
      </c>
      <c r="H69" s="993">
        <f t="shared" si="62"/>
        <v>149.48199999999997</v>
      </c>
      <c r="I69" s="993">
        <f t="shared" si="62"/>
        <v>51.749999999999986</v>
      </c>
      <c r="J69" s="993">
        <f t="shared" ref="J69:R69" si="63">J67+J68</f>
        <v>192.70299999999997</v>
      </c>
      <c r="K69" s="993">
        <f t="shared" si="63"/>
        <v>122.56999999999994</v>
      </c>
      <c r="L69" s="991">
        <f t="shared" si="63"/>
        <v>122.56999999999991</v>
      </c>
      <c r="M69" s="993">
        <f t="shared" si="63"/>
        <v>140.01599999999993</v>
      </c>
      <c r="N69" s="993">
        <f t="shared" si="63"/>
        <v>163.39599999999993</v>
      </c>
      <c r="O69" s="993">
        <f t="shared" si="63"/>
        <v>193.75999999999991</v>
      </c>
      <c r="P69" s="993">
        <f t="shared" si="63"/>
        <v>141.97599999999994</v>
      </c>
      <c r="Q69" s="991">
        <f t="shared" si="63"/>
        <v>141.97599999999994</v>
      </c>
      <c r="R69" s="993">
        <f t="shared" si="63"/>
        <v>452.84899999999993</v>
      </c>
      <c r="S69" s="993">
        <f t="shared" ref="S69:AK69" si="64">S67+S68</f>
        <v>153.88799999999986</v>
      </c>
      <c r="T69" s="993">
        <f t="shared" si="64"/>
        <v>3954.918999999999</v>
      </c>
      <c r="U69" s="993">
        <f t="shared" si="64"/>
        <v>835.19299999999885</v>
      </c>
      <c r="V69" s="991">
        <f t="shared" si="64"/>
        <v>835.19299999999907</v>
      </c>
      <c r="W69" s="993">
        <f t="shared" si="64"/>
        <v>660.79699999999889</v>
      </c>
      <c r="X69" s="993">
        <f t="shared" si="64"/>
        <v>715.3829999999989</v>
      </c>
      <c r="Y69" s="993">
        <f t="shared" si="64"/>
        <v>952.19899999999905</v>
      </c>
      <c r="Z69" s="993">
        <f t="shared" si="64"/>
        <v>1102.533999999999</v>
      </c>
      <c r="AA69" s="991">
        <f t="shared" si="64"/>
        <v>1102.533999999999</v>
      </c>
      <c r="AB69" s="993">
        <f t="shared" si="64"/>
        <v>1080.4109999999989</v>
      </c>
      <c r="AC69" s="993">
        <f t="shared" si="64"/>
        <v>923.73399999999901</v>
      </c>
      <c r="AD69" s="993">
        <f t="shared" si="64"/>
        <v>835.825999999999</v>
      </c>
      <c r="AE69" s="993">
        <f t="shared" si="64"/>
        <v>956.73099999999909</v>
      </c>
      <c r="AF69" s="991">
        <f t="shared" si="64"/>
        <v>956.73099999999897</v>
      </c>
      <c r="AG69" s="993">
        <f t="shared" si="64"/>
        <v>670.83899999999926</v>
      </c>
      <c r="AH69" s="993">
        <f t="shared" si="64"/>
        <v>773.3799999999992</v>
      </c>
      <c r="AI69" s="993">
        <f t="shared" si="64"/>
        <v>999.89499999999919</v>
      </c>
      <c r="AJ69" s="993">
        <f t="shared" si="64"/>
        <v>1780.9769999999992</v>
      </c>
      <c r="AK69" s="991">
        <f t="shared" si="64"/>
        <v>1780.9769999999994</v>
      </c>
      <c r="AL69" s="993">
        <f t="shared" ref="AL69:AQ69" si="65">AL67+AL68</f>
        <v>1349.1359999999991</v>
      </c>
      <c r="AM69" s="993">
        <f t="shared" si="65"/>
        <v>1313.2569999999989</v>
      </c>
      <c r="AN69" s="1217">
        <f t="shared" si="65"/>
        <v>2166.2379999999989</v>
      </c>
      <c r="AO69" s="993">
        <f t="shared" si="65"/>
        <v>2698.677999999999</v>
      </c>
      <c r="AP69" s="991">
        <f t="shared" si="65"/>
        <v>2698.677999999999</v>
      </c>
      <c r="AQ69" s="993">
        <f t="shared" si="65"/>
        <v>2319.407999999999</v>
      </c>
      <c r="AR69" s="993">
        <f t="shared" ref="AR69:AS69" si="66">AR67+AR68</f>
        <v>1960.8379999999988</v>
      </c>
      <c r="AS69" s="1217">
        <f t="shared" si="66"/>
        <v>1984.6309999999987</v>
      </c>
      <c r="AT69" s="993">
        <f t="shared" ref="AT69:AZ69" si="67">AT67+AT68</f>
        <v>2505.2459126561776</v>
      </c>
      <c r="AU69" s="991">
        <f t="shared" si="67"/>
        <v>2505.2459126561776</v>
      </c>
      <c r="AV69" s="993">
        <f t="shared" si="67"/>
        <v>2748.6972644569964</v>
      </c>
      <c r="AW69" s="993">
        <f t="shared" si="67"/>
        <v>2561.7718560159269</v>
      </c>
      <c r="AX69" s="993">
        <f t="shared" si="67"/>
        <v>2442.0105425106203</v>
      </c>
      <c r="AY69" s="993">
        <f t="shared" si="67"/>
        <v>2985.5452394301583</v>
      </c>
      <c r="AZ69" s="991">
        <f t="shared" si="67"/>
        <v>2985.5452394301583</v>
      </c>
      <c r="BA69" s="993">
        <f t="shared" ref="BA69:BJ69" si="68">BA67+BA68</f>
        <v>3497.7321527186587</v>
      </c>
      <c r="BB69" s="993">
        <f t="shared" si="68"/>
        <v>3631.8879844009002</v>
      </c>
      <c r="BC69" s="993">
        <f t="shared" si="68"/>
        <v>3842.7615638362895</v>
      </c>
      <c r="BD69" s="993">
        <f t="shared" si="68"/>
        <v>4824.9391276927327</v>
      </c>
      <c r="BE69" s="991">
        <f t="shared" si="68"/>
        <v>4824.9391276927327</v>
      </c>
      <c r="BF69" s="993">
        <f t="shared" si="68"/>
        <v>5512.3207380516878</v>
      </c>
      <c r="BG69" s="993">
        <f t="shared" si="68"/>
        <v>5707.6778872430659</v>
      </c>
      <c r="BH69" s="993">
        <f t="shared" si="68"/>
        <v>6047.6532668714635</v>
      </c>
      <c r="BI69" s="993">
        <f t="shared" si="68"/>
        <v>7269.0728638793644</v>
      </c>
      <c r="BJ69" s="991">
        <f t="shared" si="68"/>
        <v>7269.0728638793644</v>
      </c>
      <c r="BK69" s="993">
        <f>BK67+BK68</f>
        <v>8078.6352840917789</v>
      </c>
      <c r="BL69" s="993">
        <f>BL67+BL68</f>
        <v>8387.1340868684674</v>
      </c>
      <c r="BM69" s="993">
        <f>BM67+BM68</f>
        <v>8893.2727409028921</v>
      </c>
      <c r="BN69" s="993">
        <f>BN67+BN68</f>
        <v>10393.032109239552</v>
      </c>
      <c r="BO69" s="991">
        <f>BO67+BO68</f>
        <v>10393.032109239552</v>
      </c>
    </row>
    <row r="70" spans="1:67">
      <c r="C70" s="568"/>
      <c r="D70" s="568"/>
      <c r="E70" s="568"/>
      <c r="F70" s="568"/>
      <c r="G70" s="569"/>
      <c r="H70" s="562"/>
      <c r="I70" s="562"/>
      <c r="J70" s="562"/>
      <c r="K70" s="562"/>
      <c r="L70" s="569"/>
      <c r="M70" s="562"/>
      <c r="N70" s="562"/>
      <c r="O70" s="562"/>
      <c r="P70" s="562"/>
      <c r="Q70" s="569"/>
      <c r="R70" s="562"/>
      <c r="S70" s="562"/>
      <c r="T70" s="562"/>
      <c r="U70" s="562"/>
      <c r="V70" s="569"/>
      <c r="W70" s="562"/>
      <c r="X70" s="562"/>
      <c r="Y70" s="562"/>
      <c r="Z70" s="562"/>
      <c r="AA70" s="569"/>
      <c r="AB70" s="562"/>
      <c r="AC70" s="562"/>
      <c r="AD70" s="562"/>
      <c r="AE70" s="562"/>
      <c r="AF70" s="569"/>
      <c r="AG70" s="562"/>
      <c r="AH70" s="562"/>
      <c r="AI70" s="562"/>
      <c r="AJ70" s="562"/>
      <c r="AK70" s="569"/>
      <c r="AL70" s="562"/>
      <c r="AM70" s="994"/>
      <c r="AN70" s="562"/>
      <c r="AO70" s="562"/>
      <c r="AP70" s="569"/>
      <c r="AQ70" s="562"/>
      <c r="AR70" s="994"/>
      <c r="AS70" s="562"/>
      <c r="AT70" s="562"/>
      <c r="AU70" s="569"/>
      <c r="AV70" s="562"/>
      <c r="AW70" s="562"/>
      <c r="AX70" s="562"/>
      <c r="AY70" s="562"/>
      <c r="AZ70" s="569"/>
      <c r="BA70" s="562"/>
      <c r="BB70" s="562"/>
      <c r="BC70" s="562"/>
      <c r="BD70" s="562"/>
      <c r="BE70" s="569"/>
      <c r="BF70" s="562"/>
      <c r="BG70" s="562"/>
      <c r="BH70" s="562"/>
      <c r="BI70" s="562"/>
      <c r="BJ70" s="569"/>
      <c r="BK70" s="562"/>
      <c r="BL70" s="562"/>
      <c r="BM70" s="562"/>
      <c r="BN70" s="562"/>
      <c r="BO70" s="569"/>
    </row>
    <row r="71" spans="1:67" s="1019" customFormat="1">
      <c r="B71" s="1019" t="s">
        <v>477</v>
      </c>
      <c r="C71" s="993"/>
      <c r="D71" s="993"/>
      <c r="E71" s="993"/>
      <c r="F71" s="993"/>
      <c r="G71" s="991"/>
      <c r="H71" s="1221">
        <f>BS!H10</f>
        <v>148.58699999999999</v>
      </c>
      <c r="I71" s="1221">
        <f>BS!I10</f>
        <v>50.42</v>
      </c>
      <c r="J71" s="1221">
        <f>BS!J10</f>
        <v>189.351</v>
      </c>
      <c r="K71" s="1221">
        <f>BS!K10</f>
        <v>116.541</v>
      </c>
      <c r="L71" s="1222">
        <f>BS!L10</f>
        <v>116.541</v>
      </c>
      <c r="M71" s="1221">
        <f>BS!M10</f>
        <v>125.85599999999999</v>
      </c>
      <c r="N71" s="1221">
        <f>BS!N10</f>
        <v>148.774</v>
      </c>
      <c r="O71" s="1221">
        <f>BS!O10</f>
        <v>179.13800000000001</v>
      </c>
      <c r="P71" s="1221">
        <f>BS!P10</f>
        <v>127.206</v>
      </c>
      <c r="Q71" s="1222">
        <f>BS!Q10</f>
        <v>127.206</v>
      </c>
      <c r="R71" s="1221">
        <f>BS!R10</f>
        <v>437.56</v>
      </c>
      <c r="S71" s="1221">
        <f>BS!S10</f>
        <v>138.9</v>
      </c>
      <c r="T71" s="1221">
        <f>BS!T10</f>
        <v>3939.9250000000002</v>
      </c>
      <c r="U71" s="1221">
        <f>BS!U10</f>
        <v>820.17700000000002</v>
      </c>
      <c r="V71" s="1222">
        <f>BS!V10</f>
        <v>820.17700000000002</v>
      </c>
      <c r="W71" s="1221">
        <f>BS!W10</f>
        <v>644.67399999999998</v>
      </c>
      <c r="X71" s="1221">
        <f>BS!X10</f>
        <v>698.548</v>
      </c>
      <c r="Y71" s="1221">
        <f>BS!Y10</f>
        <v>935.21699999999998</v>
      </c>
      <c r="Z71" s="1221">
        <f>BS!Z10</f>
        <v>1085.729</v>
      </c>
      <c r="AA71" s="1222">
        <f>BS!AA10</f>
        <v>1085.729</v>
      </c>
      <c r="AB71" s="1221">
        <f>BS!AB10</f>
        <v>1063.4010000000001</v>
      </c>
      <c r="AC71" s="1221">
        <f>BS!AC10</f>
        <v>906.66300000000001</v>
      </c>
      <c r="AD71" s="1221">
        <f>BS!AD10</f>
        <v>819.00300000000004</v>
      </c>
      <c r="AE71" s="1221">
        <f>BS!AE10</f>
        <v>939.90200000000004</v>
      </c>
      <c r="AF71" s="1222">
        <f>BS!AF10</f>
        <v>939.90200000000004</v>
      </c>
      <c r="AG71" s="1221">
        <f>BS!AG10</f>
        <v>653.01400000000001</v>
      </c>
      <c r="AH71" s="1221">
        <f>BS!AH10</f>
        <v>755.19200000000001</v>
      </c>
      <c r="AI71" s="1221">
        <f>BS!AI10</f>
        <v>982.18200000000002</v>
      </c>
      <c r="AJ71" s="1221">
        <f>BS!AJ10</f>
        <v>1762.749</v>
      </c>
      <c r="AK71" s="1222">
        <f>BS!AK10</f>
        <v>1762.749</v>
      </c>
      <c r="AL71" s="1221">
        <f>BS!AL10</f>
        <v>1330.4110000000001</v>
      </c>
      <c r="AM71" s="1221">
        <f>BS!AM10</f>
        <v>1282.0450000000001</v>
      </c>
      <c r="AN71" s="1223">
        <f>BS!AN10</f>
        <v>2148.9279999999999</v>
      </c>
      <c r="AO71" s="1221">
        <f>BS!AO10</f>
        <v>2628.7979999999998</v>
      </c>
      <c r="AP71" s="1222">
        <f>BS!AP10</f>
        <v>2628.7979999999998</v>
      </c>
      <c r="AQ71" s="1221">
        <f>BS!AQ10</f>
        <v>2243.0830000000001</v>
      </c>
      <c r="AR71" s="1221">
        <f>BS!AR10</f>
        <v>1880.72</v>
      </c>
      <c r="AS71" s="1223">
        <f>BS!AS10</f>
        <v>1941.6569999999999</v>
      </c>
      <c r="AT71" s="1221">
        <f>BS!AT10</f>
        <v>2462.2719126561788</v>
      </c>
      <c r="AU71" s="1222">
        <f>BS!AU10</f>
        <v>2462.2719126561788</v>
      </c>
      <c r="AV71" s="1221">
        <f>BS!AV10</f>
        <v>2705.7232644569976</v>
      </c>
      <c r="AW71" s="1221">
        <f>BS!AW10</f>
        <v>2518.7978560159281</v>
      </c>
      <c r="AX71" s="1221">
        <f>BS!AX10</f>
        <v>2399.0365425106215</v>
      </c>
      <c r="AY71" s="1221">
        <f>BS!AY10</f>
        <v>2942.5712394301595</v>
      </c>
      <c r="AZ71" s="1222">
        <f>BS!AZ10</f>
        <v>2942.5712394301595</v>
      </c>
      <c r="BA71" s="1221">
        <f>BS!BA10</f>
        <v>3454.7581527186599</v>
      </c>
      <c r="BB71" s="1221">
        <f>BS!BB10</f>
        <v>3588.9139844009014</v>
      </c>
      <c r="BC71" s="1221">
        <f>BS!BC10</f>
        <v>3799.7875638362907</v>
      </c>
      <c r="BD71" s="1221">
        <f>BS!BD10</f>
        <v>4781.9651276927343</v>
      </c>
      <c r="BE71" s="1222">
        <f>BS!BE10</f>
        <v>4781.9651276927343</v>
      </c>
      <c r="BF71" s="1221">
        <f>BS!BF10</f>
        <v>5469.3467380516886</v>
      </c>
      <c r="BG71" s="1221">
        <f>BS!BG10</f>
        <v>5664.7038872430676</v>
      </c>
      <c r="BH71" s="1221">
        <f>BS!BH10</f>
        <v>6004.6792668714643</v>
      </c>
      <c r="BI71" s="1221">
        <f>BS!BI10</f>
        <v>7226.098863879366</v>
      </c>
      <c r="BJ71" s="1222">
        <f>BS!BJ10</f>
        <v>7226.098863879366</v>
      </c>
      <c r="BK71" s="1221">
        <f>BS!BK10</f>
        <v>8035.6612840917805</v>
      </c>
      <c r="BL71" s="1221">
        <f>BS!BL10</f>
        <v>8344.1600868684691</v>
      </c>
      <c r="BM71" s="1221">
        <f>BS!BM10</f>
        <v>8850.2987409028938</v>
      </c>
      <c r="BN71" s="1221">
        <f>BS!BN10</f>
        <v>10350.058109239553</v>
      </c>
      <c r="BO71" s="1222">
        <f>BS!BO10</f>
        <v>10350.058109239553</v>
      </c>
    </row>
    <row r="72" spans="1:67" s="997" customFormat="1">
      <c r="A72" s="995"/>
      <c r="B72" s="1224" t="s">
        <v>305</v>
      </c>
      <c r="C72" s="990"/>
      <c r="D72" s="999"/>
      <c r="E72" s="999"/>
      <c r="F72" s="999"/>
      <c r="G72" s="1013">
        <f>F72</f>
        <v>0</v>
      </c>
      <c r="H72" s="990">
        <f>BS!H11</f>
        <v>0.89500000000000002</v>
      </c>
      <c r="I72" s="990">
        <f>BS!I11</f>
        <v>1.33</v>
      </c>
      <c r="J72" s="990">
        <f>BS!J11</f>
        <v>3.3519999999999999</v>
      </c>
      <c r="K72" s="990">
        <f>BS!K11</f>
        <v>6.0289999999999999</v>
      </c>
      <c r="L72" s="1013">
        <f>K72</f>
        <v>6.0289999999999999</v>
      </c>
      <c r="M72" s="990">
        <f>BS!M11</f>
        <v>14.16</v>
      </c>
      <c r="N72" s="990">
        <f>BS!N11</f>
        <v>14.622</v>
      </c>
      <c r="O72" s="990">
        <f>BS!O11</f>
        <v>14.622</v>
      </c>
      <c r="P72" s="990">
        <f>BS!P11</f>
        <v>14.77</v>
      </c>
      <c r="Q72" s="1013">
        <f>P72</f>
        <v>14.77</v>
      </c>
      <c r="R72" s="993">
        <f>R69-BS!R10</f>
        <v>15.28899999999993</v>
      </c>
      <c r="S72" s="993">
        <f>S69-BS!S10</f>
        <v>14.987999999999857</v>
      </c>
      <c r="T72" s="993">
        <f>T69-BS!T10</f>
        <v>14.993999999998778</v>
      </c>
      <c r="U72" s="993">
        <f>U69-BS!U10</f>
        <v>15.015999999998826</v>
      </c>
      <c r="V72" s="1013">
        <f>U72</f>
        <v>15.015999999998826</v>
      </c>
      <c r="W72" s="993">
        <f>W69-BS!W10</f>
        <v>16.12299999999891</v>
      </c>
      <c r="X72" s="993">
        <f>X69-BS!X10</f>
        <v>16.8349999999989</v>
      </c>
      <c r="Y72" s="993">
        <f>Y69-BS!Y10</f>
        <v>16.981999999999061</v>
      </c>
      <c r="Z72" s="993">
        <f>Z69-BS!Z10</f>
        <v>16.804999999998927</v>
      </c>
      <c r="AA72" s="1013">
        <f>Z72</f>
        <v>16.804999999998927</v>
      </c>
      <c r="AB72" s="993">
        <f>AB69-BS!AB10</f>
        <v>17.009999999998854</v>
      </c>
      <c r="AC72" s="993">
        <f>AC69-BS!AC10</f>
        <v>17.070999999999003</v>
      </c>
      <c r="AD72" s="993">
        <f>AD69-BS!AD10</f>
        <v>16.822999999998956</v>
      </c>
      <c r="AE72" s="993">
        <f>AE69-BS!AE10</f>
        <v>16.828999999999041</v>
      </c>
      <c r="AF72" s="1013">
        <f>AE72</f>
        <v>16.828999999999041</v>
      </c>
      <c r="AG72" s="993">
        <f>AG69-BS!AG10</f>
        <v>17.82499999999925</v>
      </c>
      <c r="AH72" s="999">
        <f>AH69-BS!AH10</f>
        <v>18.187999999999192</v>
      </c>
      <c r="AI72" s="999">
        <f>AI69-BS!AI10</f>
        <v>17.71299999999917</v>
      </c>
      <c r="AJ72" s="999">
        <f>AJ69-BS!AJ10</f>
        <v>18.227999999999156</v>
      </c>
      <c r="AK72" s="1013">
        <f>AJ72</f>
        <v>18.227999999999156</v>
      </c>
      <c r="AL72" s="993">
        <f>AL69-BS!AL10</f>
        <v>18.724999999999</v>
      </c>
      <c r="AM72" s="999">
        <f>AM69-BS!AM10</f>
        <v>31.211999999998852</v>
      </c>
      <c r="AN72" s="1216">
        <f>AN69-BS!AN10</f>
        <v>17.309999999999036</v>
      </c>
      <c r="AO72" s="999">
        <f>AO69-BS!AO10</f>
        <v>69.8799999999992</v>
      </c>
      <c r="AP72" s="1013">
        <f>AO72</f>
        <v>69.8799999999992</v>
      </c>
      <c r="AQ72" s="993">
        <f>AQ69-BS!AQ10</f>
        <v>76.324999999998909</v>
      </c>
      <c r="AR72" s="999">
        <f>AR69-BS!AR10</f>
        <v>80.117999999998801</v>
      </c>
      <c r="AS72" s="1216">
        <f>AS69-BS!AS10</f>
        <v>42.973999999998796</v>
      </c>
      <c r="AT72" s="998">
        <f>AS72</f>
        <v>42.973999999998796</v>
      </c>
      <c r="AU72" s="1013">
        <f>AT72</f>
        <v>42.973999999998796</v>
      </c>
      <c r="AV72" s="994">
        <f>AT72</f>
        <v>42.973999999998796</v>
      </c>
      <c r="AW72" s="998">
        <f>AV72</f>
        <v>42.973999999998796</v>
      </c>
      <c r="AX72" s="998">
        <f>AW72</f>
        <v>42.973999999998796</v>
      </c>
      <c r="AY72" s="998">
        <f>AX72</f>
        <v>42.973999999998796</v>
      </c>
      <c r="AZ72" s="1013">
        <f>AY72</f>
        <v>42.973999999998796</v>
      </c>
      <c r="BA72" s="994">
        <f>AY72</f>
        <v>42.973999999998796</v>
      </c>
      <c r="BB72" s="998">
        <f>BA72</f>
        <v>42.973999999998796</v>
      </c>
      <c r="BC72" s="998">
        <f>BB72</f>
        <v>42.973999999998796</v>
      </c>
      <c r="BD72" s="998">
        <f>BC72</f>
        <v>42.973999999998796</v>
      </c>
      <c r="BE72" s="1013">
        <f>BD72</f>
        <v>42.973999999998796</v>
      </c>
      <c r="BF72" s="994">
        <f>BD72</f>
        <v>42.973999999998796</v>
      </c>
      <c r="BG72" s="998">
        <f>BF72</f>
        <v>42.973999999998796</v>
      </c>
      <c r="BH72" s="998">
        <f>BG72</f>
        <v>42.973999999998796</v>
      </c>
      <c r="BI72" s="998">
        <f>BH72</f>
        <v>42.973999999998796</v>
      </c>
      <c r="BJ72" s="1013">
        <f>BI72</f>
        <v>42.973999999998796</v>
      </c>
      <c r="BK72" s="994">
        <f>BI72</f>
        <v>42.973999999998796</v>
      </c>
      <c r="BL72" s="998">
        <f>BK72</f>
        <v>42.973999999998796</v>
      </c>
      <c r="BM72" s="998">
        <f>BL72</f>
        <v>42.973999999998796</v>
      </c>
      <c r="BN72" s="998">
        <f>BM72</f>
        <v>42.973999999998796</v>
      </c>
      <c r="BO72" s="1013">
        <f>BN72</f>
        <v>42.973999999998796</v>
      </c>
    </row>
    <row r="73" spans="1:67" s="1022" customFormat="1">
      <c r="A73" s="1021"/>
      <c r="B73" s="1019" t="s">
        <v>478</v>
      </c>
      <c r="C73" s="993"/>
      <c r="D73" s="993"/>
      <c r="E73" s="993"/>
      <c r="F73" s="993"/>
      <c r="G73" s="991"/>
      <c r="H73" s="993">
        <f t="shared" ref="H73:AM73" si="69">H71+H72</f>
        <v>149.482</v>
      </c>
      <c r="I73" s="993">
        <f t="shared" si="69"/>
        <v>51.75</v>
      </c>
      <c r="J73" s="993">
        <f t="shared" si="69"/>
        <v>192.703</v>
      </c>
      <c r="K73" s="993">
        <f t="shared" si="69"/>
        <v>122.57</v>
      </c>
      <c r="L73" s="991">
        <f t="shared" si="69"/>
        <v>122.57</v>
      </c>
      <c r="M73" s="993">
        <f t="shared" si="69"/>
        <v>140.01599999999999</v>
      </c>
      <c r="N73" s="993">
        <f t="shared" si="69"/>
        <v>163.39600000000002</v>
      </c>
      <c r="O73" s="993">
        <f t="shared" si="69"/>
        <v>193.76</v>
      </c>
      <c r="P73" s="993">
        <f t="shared" si="69"/>
        <v>141.976</v>
      </c>
      <c r="Q73" s="991">
        <f t="shared" si="69"/>
        <v>141.976</v>
      </c>
      <c r="R73" s="993">
        <f t="shared" si="69"/>
        <v>452.84899999999993</v>
      </c>
      <c r="S73" s="993">
        <f t="shared" si="69"/>
        <v>153.88799999999986</v>
      </c>
      <c r="T73" s="993">
        <f t="shared" si="69"/>
        <v>3954.918999999999</v>
      </c>
      <c r="U73" s="993">
        <f t="shared" si="69"/>
        <v>835.19299999999885</v>
      </c>
      <c r="V73" s="991">
        <f t="shared" si="69"/>
        <v>835.19299999999885</v>
      </c>
      <c r="W73" s="993">
        <f t="shared" si="69"/>
        <v>660.79699999999889</v>
      </c>
      <c r="X73" s="993">
        <f t="shared" si="69"/>
        <v>715.3829999999989</v>
      </c>
      <c r="Y73" s="993">
        <f t="shared" si="69"/>
        <v>952.19899999999905</v>
      </c>
      <c r="Z73" s="993">
        <f t="shared" si="69"/>
        <v>1102.533999999999</v>
      </c>
      <c r="AA73" s="991">
        <f t="shared" si="69"/>
        <v>1102.533999999999</v>
      </c>
      <c r="AB73" s="993">
        <f t="shared" si="69"/>
        <v>1080.4109999999989</v>
      </c>
      <c r="AC73" s="993">
        <f t="shared" si="69"/>
        <v>923.73399999999901</v>
      </c>
      <c r="AD73" s="993">
        <f t="shared" si="69"/>
        <v>835.825999999999</v>
      </c>
      <c r="AE73" s="993">
        <f t="shared" si="69"/>
        <v>956.73099999999909</v>
      </c>
      <c r="AF73" s="991">
        <f t="shared" si="69"/>
        <v>956.73099999999909</v>
      </c>
      <c r="AG73" s="993">
        <f t="shared" si="69"/>
        <v>670.83899999999926</v>
      </c>
      <c r="AH73" s="993">
        <f t="shared" si="69"/>
        <v>773.3799999999992</v>
      </c>
      <c r="AI73" s="993">
        <f t="shared" si="69"/>
        <v>999.89499999999919</v>
      </c>
      <c r="AJ73" s="993">
        <f t="shared" si="69"/>
        <v>1780.9769999999992</v>
      </c>
      <c r="AK73" s="991">
        <f t="shared" si="69"/>
        <v>1780.9769999999992</v>
      </c>
      <c r="AL73" s="993">
        <f t="shared" si="69"/>
        <v>1349.1359999999991</v>
      </c>
      <c r="AM73" s="993">
        <f t="shared" si="69"/>
        <v>1313.2569999999989</v>
      </c>
      <c r="AN73" s="1217">
        <f t="shared" ref="AN73:BJ73" si="70">AN71+AN72</f>
        <v>2166.2379999999989</v>
      </c>
      <c r="AO73" s="993">
        <f t="shared" si="70"/>
        <v>2698.677999999999</v>
      </c>
      <c r="AP73" s="991">
        <f t="shared" si="70"/>
        <v>2698.677999999999</v>
      </c>
      <c r="AQ73" s="993">
        <f t="shared" si="70"/>
        <v>2319.407999999999</v>
      </c>
      <c r="AR73" s="993">
        <f t="shared" si="70"/>
        <v>1960.8379999999988</v>
      </c>
      <c r="AS73" s="1217">
        <f t="shared" ref="AS73" si="71">AS71+AS72</f>
        <v>1984.6309999999987</v>
      </c>
      <c r="AT73" s="993">
        <f t="shared" si="70"/>
        <v>2505.2459126561776</v>
      </c>
      <c r="AU73" s="991">
        <f t="shared" si="70"/>
        <v>2505.2459126561776</v>
      </c>
      <c r="AV73" s="993">
        <f t="shared" si="70"/>
        <v>2748.6972644569964</v>
      </c>
      <c r="AW73" s="993">
        <f t="shared" si="70"/>
        <v>2561.7718560159269</v>
      </c>
      <c r="AX73" s="993">
        <f t="shared" si="70"/>
        <v>2442.0105425106203</v>
      </c>
      <c r="AY73" s="993">
        <f t="shared" si="70"/>
        <v>2985.5452394301583</v>
      </c>
      <c r="AZ73" s="991">
        <f t="shared" si="70"/>
        <v>2985.5452394301583</v>
      </c>
      <c r="BA73" s="993">
        <f t="shared" si="70"/>
        <v>3497.7321527186587</v>
      </c>
      <c r="BB73" s="993">
        <f t="shared" si="70"/>
        <v>3631.8879844009002</v>
      </c>
      <c r="BC73" s="993">
        <f t="shared" si="70"/>
        <v>3842.7615638362895</v>
      </c>
      <c r="BD73" s="993">
        <f t="shared" si="70"/>
        <v>4824.9391276927327</v>
      </c>
      <c r="BE73" s="991">
        <f t="shared" si="70"/>
        <v>4824.9391276927327</v>
      </c>
      <c r="BF73" s="993">
        <f t="shared" si="70"/>
        <v>5512.3207380516869</v>
      </c>
      <c r="BG73" s="993">
        <f t="shared" si="70"/>
        <v>5707.6778872430659</v>
      </c>
      <c r="BH73" s="993">
        <f t="shared" si="70"/>
        <v>6047.6532668714626</v>
      </c>
      <c r="BI73" s="993">
        <f t="shared" si="70"/>
        <v>7269.0728638793644</v>
      </c>
      <c r="BJ73" s="991">
        <f t="shared" si="70"/>
        <v>7269.0728638793644</v>
      </c>
      <c r="BK73" s="993">
        <f>BK71+BK72</f>
        <v>8078.6352840917789</v>
      </c>
      <c r="BL73" s="993">
        <f>BL71+BL72</f>
        <v>8387.1340868684674</v>
      </c>
      <c r="BM73" s="993">
        <f>BM71+BM72</f>
        <v>8893.2727409028921</v>
      </c>
      <c r="BN73" s="993">
        <f>BN71+BN72</f>
        <v>10393.032109239552</v>
      </c>
      <c r="BO73" s="991">
        <f>BO71+BO72</f>
        <v>10393.032109239552</v>
      </c>
    </row>
    <row r="74" spans="1:67">
      <c r="C74" s="568"/>
      <c r="D74" s="568"/>
      <c r="E74" s="568"/>
      <c r="F74" s="568"/>
      <c r="G74" s="569"/>
      <c r="H74" s="562"/>
      <c r="I74" s="562"/>
      <c r="J74" s="562"/>
      <c r="K74" s="562"/>
      <c r="L74" s="569"/>
      <c r="M74" s="562"/>
      <c r="N74" s="562"/>
      <c r="O74" s="562"/>
      <c r="P74" s="562"/>
      <c r="Q74" s="569"/>
      <c r="R74" s="562"/>
      <c r="S74" s="562"/>
      <c r="T74" s="562"/>
      <c r="U74" s="562"/>
      <c r="V74" s="569"/>
      <c r="W74" s="562"/>
      <c r="X74" s="562"/>
      <c r="Y74" s="562"/>
      <c r="Z74" s="562"/>
      <c r="AA74" s="569"/>
      <c r="AB74" s="562"/>
      <c r="AC74" s="562"/>
      <c r="AD74" s="562"/>
      <c r="AE74" s="562"/>
      <c r="AF74" s="569"/>
      <c r="AG74" s="562"/>
      <c r="AH74" s="562"/>
      <c r="AI74" s="562"/>
      <c r="AJ74" s="562"/>
      <c r="AK74" s="569"/>
      <c r="AL74" s="562"/>
      <c r="AM74" s="994"/>
      <c r="AN74" s="562"/>
      <c r="AO74" s="562"/>
      <c r="AP74" s="569"/>
      <c r="AQ74" s="562"/>
      <c r="AR74" s="994"/>
      <c r="AS74" s="562"/>
      <c r="AT74" s="562"/>
      <c r="AU74" s="569"/>
      <c r="AV74" s="562"/>
      <c r="AW74" s="562"/>
      <c r="AX74" s="562"/>
      <c r="AY74" s="562"/>
      <c r="AZ74" s="569"/>
      <c r="BA74" s="562"/>
      <c r="BB74" s="562"/>
      <c r="BC74" s="562"/>
      <c r="BD74" s="562"/>
      <c r="BE74" s="569"/>
      <c r="BF74" s="562"/>
      <c r="BG74" s="562"/>
      <c r="BH74" s="562"/>
      <c r="BI74" s="562"/>
      <c r="BJ74" s="569"/>
      <c r="BK74" s="562"/>
      <c r="BL74" s="562"/>
      <c r="BM74" s="562"/>
      <c r="BN74" s="562"/>
      <c r="BO74" s="569"/>
    </row>
    <row r="75" spans="1:67" s="399" customFormat="1">
      <c r="A75" s="570"/>
      <c r="B75" s="1023" t="s">
        <v>224</v>
      </c>
      <c r="C75" s="571"/>
      <c r="D75" s="571"/>
      <c r="E75" s="571"/>
      <c r="F75" s="571"/>
      <c r="G75" s="572"/>
      <c r="H75" s="571" t="str">
        <f>IF(AND((H69-H72)-BS!H10 &lt; 0.001, (CF!H69-CF!H72) - BS!H10 &gt; -0.001), "OK", (CF!H69-CF!H72)-BS!H10)</f>
        <v>OK</v>
      </c>
      <c r="I75" s="571" t="str">
        <f>IF(AND((I69-I72)-BS!I10 &lt; 0.001, (CF!I69-CF!I72) - BS!I10 &gt; -0.001), "OK", (CF!I69-CF!I72)-BS!I10)</f>
        <v>OK</v>
      </c>
      <c r="J75" s="571" t="str">
        <f>IF(AND((J69-J72)-BS!J10 &lt; 0.001, (CF!J69-CF!J72) - BS!J10 &gt; -0.001), "OK", (CF!J69-CF!J72)-BS!J10)</f>
        <v>OK</v>
      </c>
      <c r="K75" s="571" t="str">
        <f>IF(AND((K69-K72)-BS!K10 &lt; 0.001, (CF!K69-CF!K72) - BS!K10 &gt; -0.001), "OK", (CF!K69-CF!K72)-BS!K10)</f>
        <v>OK</v>
      </c>
      <c r="L75" s="573" t="str">
        <f>IF(AND((L69-L72)-BS!L10 &lt; 0.001, (CF!L69-CF!L72) - BS!L10 &gt; -0.001), "OK", (CF!L69-CF!L72)-BS!L10)</f>
        <v>OK</v>
      </c>
      <c r="M75" s="571" t="str">
        <f>IF(AND((M69-M72)-BS!M10 &lt; 0.001, (CF!M69-CF!M72) - BS!M10 &gt; -0.001), "OK", (CF!M69-CF!M72)-BS!M10)</f>
        <v>OK</v>
      </c>
      <c r="N75" s="571" t="str">
        <f>IF(AND((N69-N72)-BS!N10 &lt; 0.001, (CF!N69-CF!N72) - BS!N10 &gt; -0.001), "OK", (CF!N69-CF!N72)-BS!N10)</f>
        <v>OK</v>
      </c>
      <c r="O75" s="571" t="str">
        <f>IF(AND((O69-O72)-BS!O10 &lt; 0.001, (CF!O69-CF!O72) - BS!O10 &gt; -0.001), "OK", (CF!O69-CF!O72)-BS!O10)</f>
        <v>OK</v>
      </c>
      <c r="P75" s="571" t="str">
        <f>IF(AND((P69-P72)-BS!P10 &lt; 0.001, (CF!P69-CF!P72) - BS!P10 &gt; -0.001), "OK", (CF!P69-CF!P72)-BS!P10)</f>
        <v>OK</v>
      </c>
      <c r="Q75" s="573" t="str">
        <f>IF(AND((Q69-Q72)-BS!Q10 &lt; 0.001, (CF!Q69-CF!Q72) - BS!Q10 &gt; -0.001), "OK", (CF!Q69-CF!Q72)-BS!Q10)</f>
        <v>OK</v>
      </c>
      <c r="R75" s="571" t="str">
        <f>IF(AND((R69-R72)-BS!R10 &lt; 0.001, (CF!R69-CF!R72) - BS!R10 &gt; -0.001), "OK", (CF!R69-CF!R72)-BS!R10)</f>
        <v>OK</v>
      </c>
      <c r="S75" s="571" t="str">
        <f>IF(AND((S69-S72)-BS!S10 &lt; 0.001, (CF!S69-CF!S72) - BS!S10 &gt; -0.001), "OK", (CF!S69-CF!S72)-BS!S10)</f>
        <v>OK</v>
      </c>
      <c r="T75" s="571" t="str">
        <f>IF(AND((T69-T72)-BS!T10 &lt; 0.001, (CF!T69-CF!T72) - BS!T10 &gt; -0.001), "OK", (CF!T69-CF!T72)-BS!T10)</f>
        <v>OK</v>
      </c>
      <c r="U75" s="571" t="str">
        <f>IF(AND((U69-U72)-BS!U10 &lt; 0.001, (CF!U69-CF!U72) - BS!U10 &gt; -0.001), "OK", (CF!U69-CF!U72)-BS!U10)</f>
        <v>OK</v>
      </c>
      <c r="V75" s="573" t="str">
        <f>IF(AND((V69-V72)-BS!V10 &lt; 0.001, (CF!V69-CF!V72) - BS!V10 &gt; -0.001), "OK", (CF!V69-CF!V72)-BS!V10)</f>
        <v>OK</v>
      </c>
      <c r="W75" s="571" t="str">
        <f>IF(AND((W69-W72)-BS!W10 &lt; 0.001, (CF!W69-CF!W72) - BS!W10 &gt; -0.001), "OK", (CF!W69-CF!W72)-BS!W10)</f>
        <v>OK</v>
      </c>
      <c r="X75" s="571" t="str">
        <f>IF(AND((X69-X72)-BS!X10 &lt; 0.001, (CF!X69-CF!X72) - BS!X10 &gt; -0.001), "OK", (CF!X69-CF!X72)-BS!X10)</f>
        <v>OK</v>
      </c>
      <c r="Y75" s="571" t="str">
        <f>IF(AND((Y69-Y72)-BS!Y10 &lt; 0.001, (CF!Y69-CF!Y72) - BS!Y10 &gt; -0.001), "OK", (CF!Y69-CF!Y72)-BS!Y10)</f>
        <v>OK</v>
      </c>
      <c r="Z75" s="571" t="str">
        <f>IF(AND((Z69-Z72)-BS!Z10 &lt; 0.001, (CF!Z69-CF!Z72) - BS!Z10 &gt; -0.001), "OK", (CF!Z69-CF!Z72)-BS!Z10)</f>
        <v>OK</v>
      </c>
      <c r="AA75" s="573" t="str">
        <f>IF(AND((AA69-AA72)-BS!AA10 &lt; 0.001, (CF!AA69-CF!AA72) - BS!AA10 &gt; -0.001), "OK", (CF!AA69-CF!AA72)-BS!AA10)</f>
        <v>OK</v>
      </c>
      <c r="AB75" s="571" t="str">
        <f>IF(AND((AB69-AB72)-BS!AB10 &lt; 0.001, (CF!AB69-CF!AB72) - BS!AB10 &gt; -0.001), "OK", (CF!AB69-CF!AB72)-BS!AB10)</f>
        <v>OK</v>
      </c>
      <c r="AC75" s="571" t="str">
        <f>IF(AND((AC69-AC72)-BS!AC10 &lt; 0.001, (CF!AC69-CF!AC72) - BS!AC10 &gt; -0.001), "OK", (CF!AC69-CF!AC72)-BS!AC10)</f>
        <v>OK</v>
      </c>
      <c r="AD75" s="571" t="str">
        <f>IF(AND((AD69-AD72)-BS!AD10 &lt; 0.001, (CF!AD69-CF!AD72) - BS!AD10 &gt; -0.001), "OK", (CF!AD69-CF!AD72)-BS!AD10)</f>
        <v>OK</v>
      </c>
      <c r="AE75" s="571" t="str">
        <f>IF(AND((AE69-AE72)-BS!AE10 &lt; 0.001, (CF!AE69-CF!AE72) - BS!AE10 &gt; -0.001), "OK", (CF!AE69-CF!AE72)-BS!AE10)</f>
        <v>OK</v>
      </c>
      <c r="AF75" s="573" t="str">
        <f>IF(AND((AF69-AF72)-BS!AF10 &lt; 0.001, (CF!AF69-CF!AF72) - BS!AF10 &gt; -0.001), "OK", (CF!AF69-CF!AF72)-BS!AF10)</f>
        <v>OK</v>
      </c>
      <c r="AG75" s="571" t="str">
        <f>IF(AND((AG69-AG72)-BS!AG10 &lt; 0.001, (CF!AG69-CF!AG72) - BS!AG10 &gt; -0.001), "OK", (CF!AG69-CF!AG72)-BS!AG10)</f>
        <v>OK</v>
      </c>
      <c r="AH75" s="571" t="str">
        <f>IF(AND((AH69-AH72)-BS!AH10 &lt; 0.001, (CF!AH69-CF!AH72) - BS!AH10 &gt; -0.001), "OK", (CF!AH69-CF!AH72)-BS!AH10)</f>
        <v>OK</v>
      </c>
      <c r="AI75" s="571" t="str">
        <f>IF(AND((AI69-AI72)-BS!AI10 &lt; 0.001, (CF!AI69-CF!AI72) - BS!AI10 &gt; -0.001), "OK", (CF!AI69-CF!AI72)-BS!AI10)</f>
        <v>OK</v>
      </c>
      <c r="AJ75" s="571" t="str">
        <f>IF(AND((AJ69-AJ72)-BS!AJ10 &lt; 0.001, (CF!AJ69-CF!AJ72) - BS!AJ10 &gt; -0.001), "OK", (CF!AJ69-CF!AJ72)-BS!AJ10)</f>
        <v>OK</v>
      </c>
      <c r="AK75" s="573" t="str">
        <f>IF(AND((AK69-AK72)-BS!AK10 &lt; 0.001, (CF!AK69-CF!AK72) - BS!AK10 &gt; -0.001), "OK", (CF!AK69-CF!AK72)-BS!AK10)</f>
        <v>OK</v>
      </c>
      <c r="AL75" s="571" t="str">
        <f>IF(AND((AL69-AL72)-BS!AL10 &lt; 0.001, (CF!AL69-CF!AL72) - BS!AL10 &gt; -0.001), "OK", (CF!AL69-CF!AL72)-BS!AL10)</f>
        <v>OK</v>
      </c>
      <c r="AM75" s="571" t="str">
        <f>IF(AND((AM69-AM72)-BS!AM10 &lt; 0.001, (CF!AM69-CF!AM72) - BS!AM10 &gt; -0.001), "OK", (CF!AM69-CF!AM72)-BS!AM10)</f>
        <v>OK</v>
      </c>
      <c r="AN75" s="571" t="str">
        <f>IF(AND((AN69-AN72)-BS!AN10 &lt; 0.001, (CF!AN69-CF!AN72) - BS!AN10 &gt; -0.001), "OK", (CF!AN69-CF!AN72)-BS!AN10)</f>
        <v>OK</v>
      </c>
      <c r="AO75" s="571" t="str">
        <f>IF(AND((AO69-AO72)-BS!AO10 &lt; 0.001, (CF!AO69-CF!AO72) - BS!AO10 &gt; -0.001), "OK", (CF!AO69-CF!AO72)-BS!AO10)</f>
        <v>OK</v>
      </c>
      <c r="AP75" s="573" t="str">
        <f>IF(AND((AP69-AP72)-BS!AP10 &lt; 0.001, (CF!AP69-CF!AP72) - BS!AP10 &gt; -0.001), "OK", (CF!AP69-CF!AP72)-BS!AP10)</f>
        <v>OK</v>
      </c>
      <c r="AQ75" s="571" t="str">
        <f>IF(AND((AQ69-AQ72)-BS!AQ10 &lt; 0.001, (CF!AQ69-CF!AQ72) - BS!AQ10 &gt; -0.001), "OK", (CF!AQ69-CF!AQ72)-BS!AQ10)</f>
        <v>OK</v>
      </c>
      <c r="AR75" s="571" t="str">
        <f>IF(AND((AR69-AR72)-BS!AR10 &lt; 0.001, (CF!AR69-CF!AR72) - BS!AR10 &gt; -0.001), "OK", (CF!AR69-CF!AR72)-BS!AR10)</f>
        <v>OK</v>
      </c>
      <c r="AS75" s="571" t="str">
        <f>IF(AND((AS69-AS72)-BS!AS10 &lt; 0.001, (CF!AS69-CF!AS72) - BS!AS10 &gt; -0.001), "OK", (CF!AS69-CF!AS72)-BS!AS10)</f>
        <v>OK</v>
      </c>
      <c r="AT75" s="571" t="str">
        <f>IF(AND((AT69-AT72)-BS!AT10 &lt; 0.001, (CF!AT69-CF!AT72) - BS!AT10 &gt; -0.001), "OK", (CF!AT69-CF!AT72)-BS!AT10)</f>
        <v>OK</v>
      </c>
      <c r="AU75" s="573" t="str">
        <f>IF(AND((AU69-AU72)-BS!AU10 &lt; 0.001, (CF!AU69-CF!AU72) - BS!AU10 &gt; -0.001), "OK", (CF!AU69-CF!AU72)-BS!AU10)</f>
        <v>OK</v>
      </c>
      <c r="AV75" s="571" t="str">
        <f>IF(AND((AV69-AV72)-BS!AV10 &lt; 0.001, (CF!AV69-CF!AV72) - BS!AV10 &gt; -0.001), "OK", (CF!AV69-CF!AV72)-BS!AV10)</f>
        <v>OK</v>
      </c>
      <c r="AW75" s="571" t="str">
        <f>IF(AND((AW69-AW72)-BS!AW10 &lt; 0.001, (CF!AW69-CF!AW72) - BS!AW10 &gt; -0.001), "OK", (CF!AW69-CF!AW72)-BS!AW10)</f>
        <v>OK</v>
      </c>
      <c r="AX75" s="571" t="str">
        <f>IF(AND((AX69-AX72)-BS!AX10 &lt; 0.001, (CF!AX69-CF!AX72) - BS!AX10 &gt; -0.001), "OK", (CF!AX69-CF!AX72)-BS!AX10)</f>
        <v>OK</v>
      </c>
      <c r="AY75" s="571" t="str">
        <f>IF(AND((AY69-AY72)-BS!AY10 &lt; 0.001, (CF!AY69-CF!AY72) - BS!AY10 &gt; -0.001), "OK", (CF!AY69-CF!AY72)-BS!AY10)</f>
        <v>OK</v>
      </c>
      <c r="AZ75" s="573" t="str">
        <f>IF(AND((AZ69-AZ72)-BS!AZ10 &lt; 0.001, (CF!AZ69-CF!AZ72) - BS!AZ10 &gt; -0.001), "OK", (CF!AZ69-CF!AZ72)-BS!AZ10)</f>
        <v>OK</v>
      </c>
      <c r="BA75" s="571" t="str">
        <f>IF(AND((BA69-BA72)-BS!BA10 &lt; 0.001, (CF!BA69-CF!BA72) - BS!BA10 &gt; -0.001), "OK", (CF!BA69-CF!BA72)-BS!BA10)</f>
        <v>OK</v>
      </c>
      <c r="BB75" s="571" t="str">
        <f>IF(AND((BB69-BB72)-BS!BB10 &lt; 0.001, (CF!BB69-CF!BB72) - BS!BB10 &gt; -0.001), "OK", (CF!BB69-CF!BB72)-BS!BB10)</f>
        <v>OK</v>
      </c>
      <c r="BC75" s="571" t="str">
        <f>IF(AND((BC69-BC72)-BS!BC10 &lt; 0.001, (CF!BC69-CF!BC72) - BS!BC10 &gt; -0.001), "OK", (CF!BC69-CF!BC72)-BS!BC10)</f>
        <v>OK</v>
      </c>
      <c r="BD75" s="571" t="str">
        <f>IF(AND((BD69-BD72)-BS!BD10 &lt; 0.001, (CF!BD69-CF!BD72) - BS!BD10 &gt; -0.001), "OK", (CF!BD69-CF!BD72)-BS!BD10)</f>
        <v>OK</v>
      </c>
      <c r="BE75" s="573" t="str">
        <f>IF(AND((BE69-BE72)-BS!BE10 &lt; 0.001, (CF!BE69-CF!BE72) - BS!BE10 &gt; -0.001), "OK", (CF!BE69-CF!BE72)-BS!BE10)</f>
        <v>OK</v>
      </c>
      <c r="BF75" s="571" t="str">
        <f>IF(AND((BF69-BF72)-BS!BF10 &lt; 0.001, (CF!BF69-CF!BF72) - BS!BF10 &gt; -0.001), "OK", (CF!BF69-CF!BF72)-BS!BF10)</f>
        <v>OK</v>
      </c>
      <c r="BG75" s="571" t="str">
        <f>IF(AND((BG69-BG72)-BS!BG10 &lt; 0.001, (CF!BG69-CF!BG72) - BS!BG10 &gt; -0.001), "OK", (CF!BG69-CF!BG72)-BS!BG10)</f>
        <v>OK</v>
      </c>
      <c r="BH75" s="571" t="str">
        <f>IF(AND((BH69-BH72)-BS!BH10 &lt; 0.001, (CF!BH69-CF!BH72) - BS!BH10 &gt; -0.001), "OK", (CF!BH69-CF!BH72)-BS!BH10)</f>
        <v>OK</v>
      </c>
      <c r="BI75" s="571" t="str">
        <f>IF(AND((BI69-BI72)-BS!BI10 &lt; 0.001, (CF!BI69-CF!BI72) - BS!BI10 &gt; -0.001), "OK", (CF!BI69-CF!BI72)-BS!BI10)</f>
        <v>OK</v>
      </c>
      <c r="BJ75" s="573" t="str">
        <f>IF(AND((BJ69-BJ72)-BS!BJ10 &lt; 0.001, (CF!BJ69-CF!BJ72) - BS!BJ10 &gt; -0.001), "OK", (CF!BJ69-CF!BJ72)-BS!BJ10)</f>
        <v>OK</v>
      </c>
      <c r="BK75" s="571" t="str">
        <f>IF(AND((BK69-BK72)-BS!BK10 &lt; 0.001, (CF!BK69-CF!BK72) - BS!BK10 &gt; -0.001), "OK", (CF!BK69-CF!BK72)-BS!BK10)</f>
        <v>OK</v>
      </c>
      <c r="BL75" s="571" t="str">
        <f>IF(AND((BL69-BL72)-BS!BL10 &lt; 0.001, (CF!BL69-CF!BL72) - BS!BL10 &gt; -0.001), "OK", (CF!BL69-CF!BL72)-BS!BL10)</f>
        <v>OK</v>
      </c>
      <c r="BM75" s="571" t="str">
        <f>IF(AND((BM69-BM72)-BS!BM10 &lt; 0.001, (CF!BM69-CF!BM72) - BS!BM10 &gt; -0.001), "OK", (CF!BM69-CF!BM72)-BS!BM10)</f>
        <v>OK</v>
      </c>
      <c r="BN75" s="571" t="str">
        <f>IF(AND((BN69-BN72)-BS!BN10 &lt; 0.001, (CF!BN69-CF!BN72) - BS!BN10 &gt; -0.001), "OK", (CF!BN69-CF!BN72)-BS!BN10)</f>
        <v>OK</v>
      </c>
      <c r="BO75" s="573" t="str">
        <f>IF(AND((BO69-BO72)-BS!BO10 &lt; 0.001, (CF!BO69-CF!BO72) - BS!BO10 &gt; -0.001), "OK", (CF!BO69-CF!BO72)-BS!BO10)</f>
        <v>OK</v>
      </c>
    </row>
    <row r="76" spans="1:67" s="435" customFormat="1">
      <c r="A76" s="319"/>
      <c r="B76" s="983"/>
      <c r="C76" s="394"/>
      <c r="D76" s="395"/>
      <c r="E76" s="395"/>
      <c r="F76" s="395"/>
      <c r="G76" s="574"/>
      <c r="H76" s="394"/>
      <c r="I76" s="395"/>
      <c r="J76" s="395"/>
      <c r="K76" s="395"/>
      <c r="L76" s="574"/>
      <c r="M76" s="394"/>
      <c r="N76" s="395"/>
      <c r="O76" s="395"/>
      <c r="P76" s="395"/>
      <c r="Q76" s="574"/>
      <c r="R76" s="394"/>
      <c r="S76" s="395"/>
      <c r="T76" s="395"/>
      <c r="U76" s="395"/>
      <c r="V76" s="574"/>
      <c r="W76" s="394"/>
      <c r="X76" s="395"/>
      <c r="Y76" s="395"/>
      <c r="Z76" s="395"/>
      <c r="AA76" s="574"/>
      <c r="AB76" s="394"/>
      <c r="AC76" s="395"/>
      <c r="AD76" s="395"/>
      <c r="AE76" s="395"/>
      <c r="AF76" s="574"/>
      <c r="AG76" s="394"/>
      <c r="AH76" s="395"/>
      <c r="AI76" s="395"/>
      <c r="AJ76" s="395"/>
      <c r="AK76" s="574"/>
      <c r="AL76" s="394"/>
      <c r="AM76" s="395"/>
      <c r="AN76" s="395"/>
      <c r="AO76" s="395"/>
      <c r="AP76" s="574"/>
      <c r="AQ76" s="394"/>
      <c r="AR76" s="395"/>
      <c r="AS76" s="395"/>
      <c r="AT76" s="395"/>
      <c r="AU76" s="574"/>
      <c r="AV76" s="394"/>
      <c r="AW76" s="395"/>
      <c r="AX76" s="395"/>
      <c r="AY76" s="395"/>
      <c r="AZ76" s="574"/>
      <c r="BA76" s="394"/>
      <c r="BB76" s="395"/>
      <c r="BC76" s="395"/>
      <c r="BD76" s="395"/>
      <c r="BE76" s="574"/>
      <c r="BF76" s="394"/>
      <c r="BG76" s="395"/>
      <c r="BH76" s="395"/>
      <c r="BI76" s="395"/>
      <c r="BJ76" s="574"/>
      <c r="BK76" s="394"/>
      <c r="BL76" s="395"/>
      <c r="BM76" s="395"/>
      <c r="BN76" s="395"/>
      <c r="BO76" s="574"/>
    </row>
    <row r="77" spans="1:67">
      <c r="B77" s="986" t="s">
        <v>47</v>
      </c>
      <c r="C77" s="463"/>
      <c r="D77" s="384"/>
      <c r="E77" s="384"/>
      <c r="F77" s="384"/>
      <c r="G77" s="566"/>
      <c r="H77" s="463"/>
      <c r="I77" s="384"/>
      <c r="J77" s="384"/>
      <c r="K77" s="384"/>
      <c r="L77" s="566"/>
      <c r="M77" s="463"/>
      <c r="N77" s="384"/>
      <c r="O77" s="384"/>
      <c r="P77" s="384"/>
      <c r="Q77" s="566"/>
      <c r="R77" s="463"/>
      <c r="S77" s="384"/>
      <c r="T77" s="384"/>
      <c r="U77" s="384"/>
      <c r="V77" s="566"/>
      <c r="W77" s="463"/>
      <c r="X77" s="384"/>
      <c r="Y77" s="384"/>
      <c r="Z77" s="384"/>
      <c r="AA77" s="566"/>
      <c r="AB77" s="463"/>
      <c r="AC77" s="384"/>
      <c r="AD77" s="384"/>
      <c r="AE77" s="384"/>
      <c r="AF77" s="566"/>
      <c r="AG77" s="463"/>
      <c r="AH77" s="384"/>
      <c r="AI77" s="384"/>
      <c r="AJ77" s="384"/>
      <c r="AK77" s="566"/>
      <c r="AL77" s="463"/>
      <c r="AM77" s="384"/>
      <c r="AN77" s="384"/>
      <c r="AO77" s="384"/>
      <c r="AP77" s="566"/>
      <c r="AQ77" s="463"/>
      <c r="AR77" s="384"/>
      <c r="AS77" s="384"/>
      <c r="AT77" s="384"/>
      <c r="AU77" s="566"/>
      <c r="AV77" s="463"/>
      <c r="AW77" s="384"/>
      <c r="AX77" s="384"/>
      <c r="AY77" s="384"/>
      <c r="AZ77" s="566"/>
      <c r="BA77" s="463"/>
      <c r="BB77" s="384"/>
      <c r="BC77" s="384"/>
      <c r="BD77" s="384"/>
      <c r="BE77" s="566"/>
      <c r="BF77" s="463"/>
      <c r="BG77" s="384"/>
      <c r="BH77" s="384"/>
      <c r="BI77" s="384"/>
      <c r="BJ77" s="566"/>
      <c r="BK77" s="463"/>
      <c r="BL77" s="384"/>
      <c r="BM77" s="384"/>
      <c r="BN77" s="384"/>
      <c r="BO77" s="566"/>
    </row>
    <row r="78" spans="1:67" s="1039" customFormat="1" hidden="1" outlineLevel="1">
      <c r="A78" s="1036"/>
      <c r="B78" s="1015" t="s">
        <v>278</v>
      </c>
      <c r="C78" s="1037">
        <f>C32</f>
        <v>0</v>
      </c>
      <c r="D78" s="1037">
        <f>D32</f>
        <v>0</v>
      </c>
      <c r="E78" s="1037">
        <f>E32</f>
        <v>0</v>
      </c>
      <c r="F78" s="1037">
        <f>F32</f>
        <v>0</v>
      </c>
      <c r="G78" s="1038">
        <f>SUM(C78:F78)</f>
        <v>0</v>
      </c>
      <c r="H78" s="1037">
        <f>H32</f>
        <v>-35.994</v>
      </c>
      <c r="I78" s="1037">
        <f>I32</f>
        <v>-22.340999999999998</v>
      </c>
      <c r="J78" s="1037">
        <f>J32</f>
        <v>-15.247999999999994</v>
      </c>
      <c r="K78" s="1037">
        <f>K32</f>
        <v>-70.399000000000029</v>
      </c>
      <c r="L78" s="1038">
        <f>SUM(H78:K78)</f>
        <v>-143.98200000000003</v>
      </c>
      <c r="M78" s="1037">
        <f>M32</f>
        <v>-36.663000000000011</v>
      </c>
      <c r="N78" s="1037">
        <f>N32</f>
        <v>-73.353000000000009</v>
      </c>
      <c r="O78" s="1037">
        <f>O32</f>
        <v>-23.750000000000007</v>
      </c>
      <c r="P78" s="1037">
        <f>P32</f>
        <v>-42.791999999999973</v>
      </c>
      <c r="Q78" s="1038">
        <f>SUM(M78:P78)</f>
        <v>-176.55799999999999</v>
      </c>
      <c r="R78" s="1037">
        <f>R32</f>
        <v>-6.5920000000000165</v>
      </c>
      <c r="S78" s="1037">
        <f>S32</f>
        <v>-38.685000000000031</v>
      </c>
      <c r="T78" s="1037">
        <f>T32</f>
        <v>-19.753999999999976</v>
      </c>
      <c r="U78" s="1037">
        <f>U32</f>
        <v>19.613999999999976</v>
      </c>
      <c r="V78" s="1038">
        <f>SUM(R78:U78)</f>
        <v>-45.417000000000044</v>
      </c>
      <c r="W78" s="1037">
        <f>W32</f>
        <v>21.854000000000042</v>
      </c>
      <c r="X78" s="1037">
        <f>X32</f>
        <v>-6.1110000000000184</v>
      </c>
      <c r="Y78" s="1037">
        <f>Y32</f>
        <v>15.538000000000061</v>
      </c>
      <c r="Z78" s="1037">
        <f>Z32</f>
        <v>78.897999999999968</v>
      </c>
      <c r="AA78" s="1038">
        <f>SUM(W78:Z78)</f>
        <v>110.17900000000006</v>
      </c>
      <c r="AB78" s="1037">
        <f>AB32</f>
        <v>184.61299999999997</v>
      </c>
      <c r="AC78" s="1037">
        <f>AC32</f>
        <v>64.433000000000035</v>
      </c>
      <c r="AD78" s="1037">
        <f>AD32</f>
        <v>79.276999999999902</v>
      </c>
      <c r="AE78" s="1037">
        <f>AE32</f>
        <v>217.31599999999997</v>
      </c>
      <c r="AF78" s="1038">
        <f>SUM(AB78:AE78)</f>
        <v>545.6389999999999</v>
      </c>
      <c r="AG78" s="1037">
        <f>AG32</f>
        <v>299.44400000000002</v>
      </c>
      <c r="AH78" s="1037">
        <f>AH32</f>
        <v>83.190999999999903</v>
      </c>
      <c r="AI78" s="1037">
        <f>AI32</f>
        <v>120.90700000000004</v>
      </c>
      <c r="AJ78" s="1037">
        <f>AJ32</f>
        <v>344.58000000000004</v>
      </c>
      <c r="AK78" s="1038">
        <f>SUM(AG78:AJ78)</f>
        <v>848.12200000000007</v>
      </c>
      <c r="AL78" s="1037">
        <f>AL32</f>
        <v>355.4679999999999</v>
      </c>
      <c r="AM78" s="1037">
        <f>AM32</f>
        <v>69.864999999999824</v>
      </c>
      <c r="AN78" s="1037">
        <f>AN32</f>
        <v>101.70600000000007</v>
      </c>
      <c r="AO78" s="1037">
        <f>AO32</f>
        <v>432.72500000000014</v>
      </c>
      <c r="AP78" s="1038">
        <f>SUM(AL78:AO78)</f>
        <v>959.7639999999999</v>
      </c>
      <c r="AQ78" s="1037">
        <f>AQ32</f>
        <v>228.37299999999982</v>
      </c>
      <c r="AR78" s="1037">
        <f>AR32</f>
        <v>74.896000000000015</v>
      </c>
      <c r="AS78" s="1037">
        <f>AS32</f>
        <v>137.51899999999983</v>
      </c>
      <c r="AT78" s="1037">
        <f>AT32</f>
        <v>778.12334199234817</v>
      </c>
      <c r="AU78" s="1038">
        <f>SUM(AQ78:AT78)</f>
        <v>1218.9113419923478</v>
      </c>
      <c r="AV78" s="1037">
        <f>AV32</f>
        <v>516.42904381033372</v>
      </c>
      <c r="AW78" s="1037">
        <f>AW32</f>
        <v>87.837711408083067</v>
      </c>
      <c r="AX78" s="1037">
        <f>AX32</f>
        <v>156.52918718246411</v>
      </c>
      <c r="AY78" s="1037">
        <f>AY32</f>
        <v>820.6461720508189</v>
      </c>
      <c r="AZ78" s="1038">
        <f>SUM(AV78:AY78)</f>
        <v>1581.4421144516998</v>
      </c>
      <c r="BA78" s="1037">
        <f>BA32</f>
        <v>607.80288150744786</v>
      </c>
      <c r="BB78" s="1037">
        <f>BB32</f>
        <v>164.97014530100705</v>
      </c>
      <c r="BC78" s="1037">
        <f>BC32</f>
        <v>243.67805306417969</v>
      </c>
      <c r="BD78" s="1037">
        <f>BD32</f>
        <v>1015.6678626552145</v>
      </c>
      <c r="BE78" s="1038">
        <f>SUM(BA78:BD78)</f>
        <v>2032.1189425278492</v>
      </c>
      <c r="BF78" s="1037">
        <f>BF32</f>
        <v>722.32053858284326</v>
      </c>
      <c r="BG78" s="1037">
        <f>BG32</f>
        <v>233.02988895878525</v>
      </c>
      <c r="BH78" s="1037">
        <f>BH32</f>
        <v>380.79868948199612</v>
      </c>
      <c r="BI78" s="1037">
        <f>BI32</f>
        <v>1263.2794369387429</v>
      </c>
      <c r="BJ78" s="1038">
        <f>SUM(BF78:BI78)</f>
        <v>2599.4285539623675</v>
      </c>
      <c r="BK78" s="1037">
        <f>BK32</f>
        <v>853.00300552292833</v>
      </c>
      <c r="BL78" s="1037">
        <f>BL32</f>
        <v>354.74673405856493</v>
      </c>
      <c r="BM78" s="1037">
        <f>BM32</f>
        <v>556.59319321806754</v>
      </c>
      <c r="BN78" s="1037">
        <f>BN32</f>
        <v>1550.9610918639446</v>
      </c>
      <c r="BO78" s="1038">
        <f>SUM(BK78:BN78)</f>
        <v>3315.3040246635055</v>
      </c>
    </row>
    <row r="79" spans="1:67" s="1039" customFormat="1" hidden="1" outlineLevel="1">
      <c r="A79" s="1036"/>
      <c r="B79" s="1015" t="s">
        <v>201</v>
      </c>
      <c r="C79" s="1037">
        <f t="shared" ref="C79:F80" si="72">C35</f>
        <v>0</v>
      </c>
      <c r="D79" s="1037">
        <f t="shared" si="72"/>
        <v>0</v>
      </c>
      <c r="E79" s="1037">
        <f t="shared" si="72"/>
        <v>0</v>
      </c>
      <c r="F79" s="1037">
        <f t="shared" si="72"/>
        <v>0</v>
      </c>
      <c r="G79" s="1038">
        <f>SUM(C79:F79)</f>
        <v>0</v>
      </c>
      <c r="H79" s="1037">
        <f t="shared" ref="H79:K80" si="73">H35</f>
        <v>-7.1999999999999995E-2</v>
      </c>
      <c r="I79" s="1037">
        <f t="shared" si="73"/>
        <v>-0.76</v>
      </c>
      <c r="J79" s="1037">
        <f t="shared" si="73"/>
        <v>-0.505</v>
      </c>
      <c r="K79" s="1037">
        <f t="shared" si="73"/>
        <v>-0.72099999999999997</v>
      </c>
      <c r="L79" s="1038">
        <f>SUM(H79:K79)</f>
        <v>-2.0579999999999998</v>
      </c>
      <c r="M79" s="1037">
        <f t="shared" ref="M79:P80" si="74">M35</f>
        <v>-1.64</v>
      </c>
      <c r="N79" s="1037">
        <f t="shared" si="74"/>
        <v>-9.7070000000000007</v>
      </c>
      <c r="O79" s="1037">
        <f t="shared" si="74"/>
        <v>-3.157</v>
      </c>
      <c r="P79" s="1037">
        <f t="shared" si="74"/>
        <v>-4.0789999999999997</v>
      </c>
      <c r="Q79" s="1038">
        <f>SUM(M79:P79)</f>
        <v>-18.583000000000002</v>
      </c>
      <c r="R79" s="1037">
        <f t="shared" ref="R79:U80" si="75">R35</f>
        <v>-2.0329999999999999</v>
      </c>
      <c r="S79" s="1037">
        <f t="shared" si="75"/>
        <v>-4.7149999999999999</v>
      </c>
      <c r="T79" s="1037">
        <f t="shared" si="75"/>
        <v>-17.27</v>
      </c>
      <c r="U79" s="1037">
        <f t="shared" si="75"/>
        <v>-11.019</v>
      </c>
      <c r="V79" s="1038">
        <f>SUM(R79:U79)</f>
        <v>-35.036999999999999</v>
      </c>
      <c r="W79" s="1037">
        <f t="shared" ref="W79:Z80" si="76">W35</f>
        <v>-6.43</v>
      </c>
      <c r="X79" s="1037">
        <f t="shared" si="76"/>
        <v>-3.4969999999999999</v>
      </c>
      <c r="Y79" s="1037">
        <f t="shared" si="76"/>
        <v>-2.282</v>
      </c>
      <c r="Z79" s="1037">
        <f t="shared" si="76"/>
        <v>-4.0119999999999996</v>
      </c>
      <c r="AA79" s="1038">
        <f>SUM(W79:Z79)</f>
        <v>-16.221</v>
      </c>
      <c r="AB79" s="1037">
        <f t="shared" ref="AB79:AE80" si="77">AB35</f>
        <v>-7.4130000000000003</v>
      </c>
      <c r="AC79" s="1037">
        <f t="shared" si="77"/>
        <v>-3.8479999999999999</v>
      </c>
      <c r="AD79" s="1037">
        <f t="shared" si="77"/>
        <v>-8.5050000000000008</v>
      </c>
      <c r="AE79" s="1037">
        <f t="shared" si="77"/>
        <v>-5.3620000000000001</v>
      </c>
      <c r="AF79" s="1038">
        <f>SUM(AB79:AE79)</f>
        <v>-25.128</v>
      </c>
      <c r="AG79" s="1037">
        <f t="shared" ref="AG79:AJ80" si="78">AG35</f>
        <v>-6.97</v>
      </c>
      <c r="AH79" s="1037">
        <f t="shared" si="78"/>
        <v>-6.298</v>
      </c>
      <c r="AI79" s="1037">
        <f t="shared" si="78"/>
        <v>-8.7460000000000004</v>
      </c>
      <c r="AJ79" s="1037">
        <f t="shared" si="78"/>
        <v>-13.071999999999999</v>
      </c>
      <c r="AK79" s="1038">
        <f>SUM(AG79:AJ79)</f>
        <v>-35.085999999999999</v>
      </c>
      <c r="AL79" s="1037">
        <f t="shared" ref="AL79:AO80" si="79">AL35</f>
        <v>-16.518999999999998</v>
      </c>
      <c r="AM79" s="1037">
        <f t="shared" si="79"/>
        <v>-5.0430000000000001</v>
      </c>
      <c r="AN79" s="1037">
        <f t="shared" si="79"/>
        <v>-13.44</v>
      </c>
      <c r="AO79" s="1037">
        <f t="shared" si="79"/>
        <v>-11.276999999999999</v>
      </c>
      <c r="AP79" s="1038">
        <f>SUM(AL79:AO79)</f>
        <v>-46.278999999999996</v>
      </c>
      <c r="AQ79" s="1037">
        <f t="shared" ref="AQ79:AS79" si="80">AQ35</f>
        <v>-44.988999999999997</v>
      </c>
      <c r="AR79" s="1037">
        <f t="shared" si="80"/>
        <v>-16.664999999999999</v>
      </c>
      <c r="AS79" s="1037">
        <f t="shared" si="80"/>
        <v>-23.905000000000001</v>
      </c>
      <c r="AT79" s="1037">
        <f t="shared" ref="AT79:AT80" si="81">AT35</f>
        <v>-24.612429336169502</v>
      </c>
      <c r="AU79" s="1038">
        <f>SUM(AQ79:AT79)</f>
        <v>-110.1714293361695</v>
      </c>
      <c r="AV79" s="1037">
        <f t="shared" ref="AV79:AY80" si="82">AV35</f>
        <v>-16.412637149653523</v>
      </c>
      <c r="AW79" s="1037">
        <f t="shared" si="82"/>
        <v>-17.687942749394619</v>
      </c>
      <c r="AX79" s="1037">
        <f t="shared" si="82"/>
        <v>-18.778929062693297</v>
      </c>
      <c r="AY79" s="1037">
        <f t="shared" si="82"/>
        <v>-19.365339379486574</v>
      </c>
      <c r="AZ79" s="1038">
        <f>SUM(AV79:AY79)</f>
        <v>-72.244848341228007</v>
      </c>
      <c r="BA79" s="1037">
        <f t="shared" ref="BA79:BD80" si="83">BA35</f>
        <v>-20.365691584962409</v>
      </c>
      <c r="BB79" s="1037">
        <f t="shared" si="83"/>
        <v>-22.010224013403917</v>
      </c>
      <c r="BC79" s="1037">
        <f t="shared" si="83"/>
        <v>-23.431766877707613</v>
      </c>
      <c r="BD79" s="1037">
        <f t="shared" si="83"/>
        <v>-23.921641999122095</v>
      </c>
      <c r="BE79" s="1038">
        <f>SUM(BA79:BD79)</f>
        <v>-89.729324475196023</v>
      </c>
      <c r="BF79" s="1037">
        <f t="shared" ref="BF79:BI80" si="84">BF35</f>
        <v>-24.956377302777067</v>
      </c>
      <c r="BG79" s="1037">
        <f t="shared" si="84"/>
        <v>-26.909099833862395</v>
      </c>
      <c r="BH79" s="1037">
        <f t="shared" si="84"/>
        <v>-29.159507038284605</v>
      </c>
      <c r="BI79" s="1037">
        <f t="shared" si="84"/>
        <v>-29.899885664886913</v>
      </c>
      <c r="BJ79" s="1038">
        <f>SUM(BF79:BI79)</f>
        <v>-110.92486983981098</v>
      </c>
      <c r="BK79" s="1037">
        <f t="shared" ref="BK79:BN80" si="85">BK35</f>
        <v>-31.028989507510126</v>
      </c>
      <c r="BL79" s="1037">
        <f t="shared" si="85"/>
        <v>-33.034236629911803</v>
      </c>
      <c r="BM79" s="1037">
        <f t="shared" si="85"/>
        <v>-36.038956559745046</v>
      </c>
      <c r="BN79" s="1037">
        <f t="shared" si="85"/>
        <v>-36.572659662346112</v>
      </c>
      <c r="BO79" s="1038">
        <f>SUM(BK79:BN79)</f>
        <v>-136.67484235951309</v>
      </c>
    </row>
    <row r="80" spans="1:67" s="1039" customFormat="1" hidden="1" outlineLevel="1">
      <c r="A80" s="1036"/>
      <c r="B80" s="1015" t="s">
        <v>294</v>
      </c>
      <c r="C80" s="1037">
        <f t="shared" si="72"/>
        <v>0</v>
      </c>
      <c r="D80" s="1037">
        <f t="shared" si="72"/>
        <v>0</v>
      </c>
      <c r="E80" s="1037">
        <f t="shared" si="72"/>
        <v>0</v>
      </c>
      <c r="F80" s="1037">
        <f t="shared" si="72"/>
        <v>0</v>
      </c>
      <c r="G80" s="1038">
        <f>SUM(C80:F80)</f>
        <v>0</v>
      </c>
      <c r="H80" s="1037">
        <f t="shared" si="73"/>
        <v>-0.42099999999999999</v>
      </c>
      <c r="I80" s="1037">
        <f t="shared" si="73"/>
        <v>-0.47499999999999998</v>
      </c>
      <c r="J80" s="1037">
        <f t="shared" si="73"/>
        <v>-0.64300000000000002</v>
      </c>
      <c r="K80" s="1037">
        <f t="shared" si="73"/>
        <v>-0.41899999999999998</v>
      </c>
      <c r="L80" s="1038">
        <f>SUM(H80:K80)</f>
        <v>-1.958</v>
      </c>
      <c r="M80" s="1037">
        <f t="shared" si="74"/>
        <v>-0.55700000000000005</v>
      </c>
      <c r="N80" s="1037">
        <f t="shared" si="74"/>
        <v>-1.0640000000000001</v>
      </c>
      <c r="O80" s="1037">
        <f t="shared" si="74"/>
        <v>-1.319</v>
      </c>
      <c r="P80" s="1037">
        <f t="shared" si="74"/>
        <v>-1.325</v>
      </c>
      <c r="Q80" s="1038">
        <f>SUM(M80:P80)</f>
        <v>-4.2649999999999997</v>
      </c>
      <c r="R80" s="1037">
        <f t="shared" si="75"/>
        <v>-2.1890000000000001</v>
      </c>
      <c r="S80" s="1037">
        <f t="shared" si="75"/>
        <v>-0.98099999999999998</v>
      </c>
      <c r="T80" s="1037">
        <f t="shared" si="75"/>
        <v>-0.84399999999999997</v>
      </c>
      <c r="U80" s="1037">
        <f t="shared" si="75"/>
        <v>-1.2789999999999999</v>
      </c>
      <c r="V80" s="1038">
        <f>SUM(R80:U80)</f>
        <v>-5.2930000000000001</v>
      </c>
      <c r="W80" s="1037">
        <f t="shared" si="76"/>
        <v>-2.48</v>
      </c>
      <c r="X80" s="1037">
        <f t="shared" si="76"/>
        <v>-2.3439999999999999</v>
      </c>
      <c r="Y80" s="1037">
        <f t="shared" si="76"/>
        <v>-3.7879999999999998</v>
      </c>
      <c r="Z80" s="1037">
        <f t="shared" si="76"/>
        <v>-4.16</v>
      </c>
      <c r="AA80" s="1038">
        <f>SUM(W80:Z80)</f>
        <v>-12.772</v>
      </c>
      <c r="AB80" s="1037">
        <f t="shared" si="77"/>
        <v>-4.8040000000000003</v>
      </c>
      <c r="AC80" s="1037">
        <f t="shared" si="77"/>
        <v>-6.7359999999999998</v>
      </c>
      <c r="AD80" s="1037">
        <f t="shared" si="77"/>
        <v>-5.7789999999999999</v>
      </c>
      <c r="AE80" s="1037">
        <f t="shared" si="77"/>
        <v>-6.6929999999999996</v>
      </c>
      <c r="AF80" s="1038">
        <f>SUM(AB80:AE80)</f>
        <v>-24.012</v>
      </c>
      <c r="AG80" s="1037">
        <f t="shared" si="78"/>
        <v>-9.3409999999999993</v>
      </c>
      <c r="AH80" s="1037">
        <f t="shared" si="78"/>
        <v>-7.8739999999999997</v>
      </c>
      <c r="AI80" s="1037">
        <f t="shared" si="78"/>
        <v>-9.8889999999999993</v>
      </c>
      <c r="AJ80" s="1037">
        <f t="shared" si="78"/>
        <v>-7.0289999999999999</v>
      </c>
      <c r="AK80" s="1038">
        <f>SUM(AG80:AJ80)</f>
        <v>-34.132999999999996</v>
      </c>
      <c r="AL80" s="1037">
        <f t="shared" si="79"/>
        <v>-7.4039999999999999</v>
      </c>
      <c r="AM80" s="1037">
        <f t="shared" si="79"/>
        <v>-5.992</v>
      </c>
      <c r="AN80" s="1037">
        <f t="shared" si="79"/>
        <v>-10.032</v>
      </c>
      <c r="AO80" s="1037">
        <f t="shared" si="79"/>
        <v>-6.0049999999999999</v>
      </c>
      <c r="AP80" s="1038">
        <f>SUM(AL80:AO80)</f>
        <v>-29.433</v>
      </c>
      <c r="AQ80" s="1037">
        <f t="shared" ref="AQ80:AS80" si="86">AQ36</f>
        <v>0</v>
      </c>
      <c r="AR80" s="1037">
        <f t="shared" si="86"/>
        <v>0</v>
      </c>
      <c r="AS80" s="1037">
        <f t="shared" si="86"/>
        <v>0</v>
      </c>
      <c r="AT80" s="1037">
        <f t="shared" si="81"/>
        <v>0</v>
      </c>
      <c r="AU80" s="1038">
        <f>SUM(AQ80:AT80)</f>
        <v>0</v>
      </c>
      <c r="AV80" s="1037">
        <f t="shared" si="82"/>
        <v>-6.5650548598614096</v>
      </c>
      <c r="AW80" s="1037">
        <f t="shared" si="82"/>
        <v>-7.0751770997578465</v>
      </c>
      <c r="AX80" s="1037">
        <f t="shared" si="82"/>
        <v>-7.5115716250773188</v>
      </c>
      <c r="AY80" s="1037">
        <f t="shared" si="82"/>
        <v>-7.7461357517946299</v>
      </c>
      <c r="AZ80" s="1038">
        <f>SUM(AV80:AY80)</f>
        <v>-28.897939336491206</v>
      </c>
      <c r="BA80" s="1037">
        <f t="shared" si="83"/>
        <v>-8.1462766339849644</v>
      </c>
      <c r="BB80" s="1037">
        <f t="shared" si="83"/>
        <v>-8.8040896053615665</v>
      </c>
      <c r="BC80" s="1037">
        <f t="shared" si="83"/>
        <v>-9.3727067510830437</v>
      </c>
      <c r="BD80" s="1037">
        <f t="shared" si="83"/>
        <v>-9.5686567996488368</v>
      </c>
      <c r="BE80" s="1038">
        <f>SUM(BA80:BD80)</f>
        <v>-35.891729790078408</v>
      </c>
      <c r="BF80" s="1037">
        <f t="shared" si="84"/>
        <v>-9.9825509211108265</v>
      </c>
      <c r="BG80" s="1037">
        <f t="shared" si="84"/>
        <v>-10.76363993354496</v>
      </c>
      <c r="BH80" s="1037">
        <f t="shared" si="84"/>
        <v>-11.663802815313844</v>
      </c>
      <c r="BI80" s="1037">
        <f t="shared" si="84"/>
        <v>-11.959954265954766</v>
      </c>
      <c r="BJ80" s="1038">
        <f>SUM(BF80:BI80)</f>
        <v>-44.369947935924394</v>
      </c>
      <c r="BK80" s="1037">
        <f t="shared" si="85"/>
        <v>-12.411595803004049</v>
      </c>
      <c r="BL80" s="1037">
        <f t="shared" si="85"/>
        <v>-13.213694651964721</v>
      </c>
      <c r="BM80" s="1037">
        <f t="shared" si="85"/>
        <v>-14.415582623898018</v>
      </c>
      <c r="BN80" s="1037">
        <f t="shared" si="85"/>
        <v>-14.629063864938445</v>
      </c>
      <c r="BO80" s="1038">
        <f>SUM(BK80:BN80)</f>
        <v>-54.669936943805233</v>
      </c>
    </row>
    <row r="81" spans="1:67" s="1010" customFormat="1" hidden="1" outlineLevel="1">
      <c r="A81" s="1006" t="s">
        <v>77</v>
      </c>
      <c r="B81" s="1007" t="s">
        <v>47</v>
      </c>
      <c r="C81" s="1008">
        <f>SUM(C78:C80)</f>
        <v>0</v>
      </c>
      <c r="D81" s="1017">
        <f>SUM(D78:D80)</f>
        <v>0</v>
      </c>
      <c r="E81" s="1017">
        <f>SUM(E78:E80)</f>
        <v>0</v>
      </c>
      <c r="F81" s="1017">
        <f>SUM(F78:F80)</f>
        <v>0</v>
      </c>
      <c r="G81" s="1009">
        <f>SUM(C81:F81)</f>
        <v>0</v>
      </c>
      <c r="H81" s="1008">
        <f>SUM(H78:H80)</f>
        <v>-36.487000000000002</v>
      </c>
      <c r="I81" s="1017">
        <f>SUM(I78:I80)</f>
        <v>-23.576000000000001</v>
      </c>
      <c r="J81" s="1017">
        <f>SUM(J78:J80)</f>
        <v>-16.395999999999994</v>
      </c>
      <c r="K81" s="1017">
        <f>SUM(K78:K80)</f>
        <v>-71.53900000000003</v>
      </c>
      <c r="L81" s="1009">
        <f>SUM(H81:K81)</f>
        <v>-147.99800000000005</v>
      </c>
      <c r="M81" s="1017">
        <f>SUM(M78:M80)</f>
        <v>-38.860000000000014</v>
      </c>
      <c r="N81" s="1017">
        <f>SUM(N78:N80)</f>
        <v>-84.123999999999995</v>
      </c>
      <c r="O81" s="1017">
        <f>SUM(O78:O80)</f>
        <v>-28.226000000000006</v>
      </c>
      <c r="P81" s="1017">
        <f>SUM(P78:P80)</f>
        <v>-48.195999999999977</v>
      </c>
      <c r="Q81" s="1009">
        <f>SUM(M81:P81)</f>
        <v>-199.40599999999998</v>
      </c>
      <c r="R81" s="1017">
        <f>SUM(R78:R80)</f>
        <v>-10.814000000000016</v>
      </c>
      <c r="S81" s="1017">
        <f>SUM(S78:S80)</f>
        <v>-44.381000000000036</v>
      </c>
      <c r="T81" s="1017">
        <f>SUM(T78:T80)</f>
        <v>-37.867999999999974</v>
      </c>
      <c r="U81" s="1017">
        <f>SUM(U78:U80)</f>
        <v>7.3159999999999759</v>
      </c>
      <c r="V81" s="1009">
        <f>SUM(R81:U81)</f>
        <v>-85.747000000000043</v>
      </c>
      <c r="W81" s="1017">
        <f>SUM(W78:W80)</f>
        <v>12.944000000000042</v>
      </c>
      <c r="X81" s="1017">
        <f>SUM(X78:X80)</f>
        <v>-11.952000000000018</v>
      </c>
      <c r="Y81" s="1017">
        <f>SUM(Y78:Y80)</f>
        <v>9.4680000000000604</v>
      </c>
      <c r="Z81" s="1017">
        <f>SUM(Z78:Z80)</f>
        <v>70.725999999999971</v>
      </c>
      <c r="AA81" s="1009">
        <f>SUM(W81:Z81)</f>
        <v>81.18600000000005</v>
      </c>
      <c r="AB81" s="1017">
        <f>SUM(AB78:AB80)</f>
        <v>172.39599999999996</v>
      </c>
      <c r="AC81" s="1017">
        <f>SUM(AC78:AC80)</f>
        <v>53.849000000000039</v>
      </c>
      <c r="AD81" s="1017">
        <f>SUM(AD78:AD80)</f>
        <v>64.99299999999991</v>
      </c>
      <c r="AE81" s="1017">
        <f>SUM(AE78:AE80)</f>
        <v>205.26099999999997</v>
      </c>
      <c r="AF81" s="1009">
        <f>SUM(AB81:AE81)</f>
        <v>496.49899999999991</v>
      </c>
      <c r="AG81" s="1017">
        <f>SUM(AG78:AG80)</f>
        <v>283.13299999999998</v>
      </c>
      <c r="AH81" s="1017">
        <f>SUM(AH78:AH80)</f>
        <v>69.018999999999906</v>
      </c>
      <c r="AI81" s="1017">
        <f>SUM(AI78:AI80)</f>
        <v>102.27200000000005</v>
      </c>
      <c r="AJ81" s="1017">
        <f>SUM(AJ78:AJ80)</f>
        <v>324.47900000000004</v>
      </c>
      <c r="AK81" s="1009">
        <f>SUM(AG81:AJ81)</f>
        <v>778.90300000000002</v>
      </c>
      <c r="AL81" s="1017">
        <f>SUM(AL78:AL80)</f>
        <v>331.5449999999999</v>
      </c>
      <c r="AM81" s="1017">
        <f>SUM(AM78:AM80)</f>
        <v>58.829999999999821</v>
      </c>
      <c r="AN81" s="1017">
        <f>SUM(AN78:AN80)</f>
        <v>78.23400000000008</v>
      </c>
      <c r="AO81" s="1017">
        <f>SUM(AO78:AO80)</f>
        <v>415.44300000000015</v>
      </c>
      <c r="AP81" s="1009">
        <f>SUM(AL81:AO81)</f>
        <v>884.05199999999991</v>
      </c>
      <c r="AQ81" s="1017">
        <f>SUM(AQ78:AQ80)</f>
        <v>183.38399999999982</v>
      </c>
      <c r="AR81" s="1017">
        <f>SUM(AR78:AR80)</f>
        <v>58.231000000000016</v>
      </c>
      <c r="AS81" s="1017">
        <f>SUM(AS78:AS80)</f>
        <v>113.61399999999983</v>
      </c>
      <c r="AT81" s="1017">
        <f>SUM(AT78:AT80)</f>
        <v>753.51091265617868</v>
      </c>
      <c r="AU81" s="1009">
        <f>SUM(AQ81:AT81)</f>
        <v>1108.7399126561784</v>
      </c>
      <c r="AV81" s="1017">
        <f>SUM(AV78:AV80)</f>
        <v>493.45135180081883</v>
      </c>
      <c r="AW81" s="1017">
        <f>SUM(AW78:AW80)</f>
        <v>63.074591558930599</v>
      </c>
      <c r="AX81" s="1017">
        <f>SUM(AX78:AX80)</f>
        <v>130.2386864946935</v>
      </c>
      <c r="AY81" s="1017">
        <f>SUM(AY78:AY80)</f>
        <v>793.53469691953762</v>
      </c>
      <c r="AZ81" s="1009">
        <f>SUM(AV81:AY81)</f>
        <v>1480.2993267739807</v>
      </c>
      <c r="BA81" s="1017">
        <f>SUM(BA78:BA80)</f>
        <v>579.29091328850052</v>
      </c>
      <c r="BB81" s="1017">
        <f>SUM(BB78:BB80)</f>
        <v>134.15583168224157</v>
      </c>
      <c r="BC81" s="1017">
        <f>SUM(BC78:BC80)</f>
        <v>210.87357943538905</v>
      </c>
      <c r="BD81" s="1017">
        <f>SUM(BD78:BD80)</f>
        <v>982.17756385644361</v>
      </c>
      <c r="BE81" s="1009">
        <f>SUM(BA81:BD81)</f>
        <v>1906.4978882625746</v>
      </c>
      <c r="BF81" s="1017">
        <f>SUM(BF78:BF80)</f>
        <v>687.38161035895541</v>
      </c>
      <c r="BG81" s="1017">
        <f>SUM(BG78:BG80)</f>
        <v>195.35714919137789</v>
      </c>
      <c r="BH81" s="1017">
        <f>SUM(BH78:BH80)</f>
        <v>339.97537962839766</v>
      </c>
      <c r="BI81" s="1017">
        <f>SUM(BI78:BI80)</f>
        <v>1221.4195970079013</v>
      </c>
      <c r="BJ81" s="1009">
        <f>SUM(BF81:BI81)</f>
        <v>2444.1337361866322</v>
      </c>
      <c r="BK81" s="1017">
        <f>SUM(BK78:BK80)</f>
        <v>809.56242021241417</v>
      </c>
      <c r="BL81" s="1017">
        <f>SUM(BL78:BL80)</f>
        <v>308.49880277668842</v>
      </c>
      <c r="BM81" s="1017">
        <f>SUM(BM78:BM80)</f>
        <v>506.13865403442446</v>
      </c>
      <c r="BN81" s="1017">
        <f>SUM(BN78:BN80)</f>
        <v>1499.7593683366601</v>
      </c>
      <c r="BO81" s="1009">
        <f>SUM(BK81:BN81)</f>
        <v>3123.9592453601872</v>
      </c>
    </row>
    <row r="82" spans="1:67" s="1032" customFormat="1" hidden="1" outlineLevel="1">
      <c r="A82" s="1027"/>
      <c r="B82" s="1028" t="s">
        <v>308</v>
      </c>
      <c r="C82" s="1029"/>
      <c r="D82" s="1030"/>
      <c r="E82" s="1030"/>
      <c r="F82" s="1030"/>
      <c r="G82" s="1031"/>
      <c r="H82" s="1256">
        <f>IFERROR(H81/'IS (Non-GAAP)'!H10,"--")</f>
        <v>-2.7223009773931208</v>
      </c>
      <c r="I82" s="797">
        <f>IFERROR(I81/'IS (Non-GAAP)'!I10,"--")</f>
        <v>-1.3167271711812343</v>
      </c>
      <c r="J82" s="797">
        <f>IFERROR(J81/'IS (Non-GAAP)'!J10,"--")</f>
        <v>-0.57168758716875845</v>
      </c>
      <c r="K82" s="797">
        <f>IFERROR(K81/'IS (Non-GAAP)'!K10,"--")</f>
        <v>-1.9504607666721201</v>
      </c>
      <c r="L82" s="679">
        <f>IFERROR(L81/'IS (Non-GAAP)'!L10,"--")</f>
        <v>-1.5310243518920825</v>
      </c>
      <c r="M82" s="797">
        <f>IFERROR(M81/'IS (Non-GAAP)'!M10,"--")</f>
        <v>-0.88914311863631201</v>
      </c>
      <c r="N82" s="797">
        <f>IFERROR(N81/'IS (Non-GAAP)'!N10,"--")</f>
        <v>-1.3941894960141865</v>
      </c>
      <c r="O82" s="797">
        <f>IFERROR(O81/'IS (Non-GAAP)'!O10,"--")</f>
        <v>-0.38659398455048494</v>
      </c>
      <c r="P82" s="797">
        <f>IFERROR(P81/'IS (Non-GAAP)'!P10,"--")</f>
        <v>-0.54960543721206012</v>
      </c>
      <c r="Q82" s="679">
        <f>IFERROR(Q81/'IS (Non-GAAP)'!Q10,"--")</f>
        <v>-0.75319171438499999</v>
      </c>
      <c r="R82" s="797">
        <f>IFERROR(R81/'IS (Non-GAAP)'!R10,"--")</f>
        <v>-9.9379681110141213E-2</v>
      </c>
      <c r="S82" s="797">
        <f>IFERROR(S81/'IS (Non-GAAP)'!S10,"--")</f>
        <v>-0.33332832626084374</v>
      </c>
      <c r="T82" s="797">
        <f>IFERROR(T81/'IS (Non-GAAP)'!T10,"--")</f>
        <v>-0.23723249636646099</v>
      </c>
      <c r="U82" s="797">
        <f>IFERROR(U81/'IS (Non-GAAP)'!U10,"--")</f>
        <v>3.8411256661328726E-2</v>
      </c>
      <c r="V82" s="679">
        <f>IFERROR(V81/'IS (Non-GAAP)'!V10,"--")</f>
        <v>-0.14483091771120304</v>
      </c>
      <c r="W82" s="797">
        <f>IFERROR(W81/'IS (Non-GAAP)'!W10,"--")</f>
        <v>5.6545252802362639E-2</v>
      </c>
      <c r="X82" s="797">
        <f>IFERROR(X81/'IS (Non-GAAP)'!X10,"--")</f>
        <v>-4.390921314631268E-2</v>
      </c>
      <c r="Y82" s="797">
        <f>IFERROR(Y81/'IS (Non-GAAP)'!Y10,"--")</f>
        <v>2.8309926115518313E-2</v>
      </c>
      <c r="Z82" s="797">
        <f>IFERROR(Z81/'IS (Non-GAAP)'!Z10,"--")</f>
        <v>0.18429075445444446</v>
      </c>
      <c r="AA82" s="679">
        <f>IFERROR(AA81/'IS (Non-GAAP)'!AA10,"--")</f>
        <v>6.6582631238379902E-2</v>
      </c>
      <c r="AB82" s="797">
        <f>IFERROR(AB81/'IS (Non-GAAP)'!AB10,"--")</f>
        <v>0.40816249221655831</v>
      </c>
      <c r="AC82" s="797">
        <f>IFERROR(AC81/'IS (Non-GAAP)'!AC10,"--")</f>
        <v>0.10829405045369724</v>
      </c>
      <c r="AD82" s="797">
        <f>IFERROR(AD81/'IS (Non-GAAP)'!AD10,"--")</f>
        <v>0.11667815621476824</v>
      </c>
      <c r="AE82" s="797">
        <f>IFERROR(AE81/'IS (Non-GAAP)'!AE10,"--")</f>
        <v>0.34848356230433336</v>
      </c>
      <c r="AF82" s="679">
        <f>IFERROR(AF81/'IS (Non-GAAP)'!AF10,"--")</f>
        <v>0.24035864583651029</v>
      </c>
      <c r="AG82" s="797">
        <f>IFERROR(AG81/'IS (Non-GAAP)'!AG10,"--")</f>
        <v>0.45403055489184552</v>
      </c>
      <c r="AH82" s="797">
        <f>IFERROR(AH81/'IS (Non-GAAP)'!AH10,"--")</f>
        <v>0.10239934245079496</v>
      </c>
      <c r="AI82" s="797">
        <f>IFERROR(AI81/'IS (Non-GAAP)'!AI10,"--")</f>
        <v>0.13930231702882026</v>
      </c>
      <c r="AJ82" s="797">
        <f>IFERROR(AJ81/'IS (Non-GAAP)'!AJ10,"--")</f>
        <v>0.4188452547376465</v>
      </c>
      <c r="AK82" s="679">
        <f>IFERROR(AK81/'IS (Non-GAAP)'!AK10,"--")</f>
        <v>0.27753645212933314</v>
      </c>
      <c r="AL82" s="797">
        <f>IFERROR(AL81/'IS (Non-GAAP)'!AL10,"--")</f>
        <v>0.40007409114659059</v>
      </c>
      <c r="AM82" s="797">
        <f>IFERROR(AM81/'IS (Non-GAAP)'!AM10,"--")</f>
        <v>6.7712295830105587E-2</v>
      </c>
      <c r="AN82" s="797">
        <f>IFERROR(AN81/'IS (Non-GAAP)'!AN10,"--")</f>
        <v>8.3042668778274861E-2</v>
      </c>
      <c r="AO82" s="797">
        <f>IFERROR(AO81/'IS (Non-GAAP)'!AO10,"--")</f>
        <v>0.42101300201668085</v>
      </c>
      <c r="AP82" s="679">
        <f>IFERROR(AP81/'IS (Non-GAAP)'!AP10,"--")</f>
        <v>0.24378253229928554</v>
      </c>
      <c r="AQ82" s="797">
        <f>IFERROR(AQ81/'IS (Non-GAAP)'!AQ10,"--")</f>
        <v>0.17597982484929076</v>
      </c>
      <c r="AR82" s="797">
        <f>IFERROR(AR81/'IS (Non-GAAP)'!AR10,"--")</f>
        <v>5.0858145504376111E-2</v>
      </c>
      <c r="AS82" s="797">
        <f>IFERROR(AS81/'IS (Non-GAAP)'!AS10,"--")</f>
        <v>9.36706710890923E-2</v>
      </c>
      <c r="AT82" s="797">
        <f>IFERROR(AT81/'IS (Non-GAAP)'!AT10,"--")</f>
        <v>0.6033865060108986</v>
      </c>
      <c r="AU82" s="679">
        <f>IFERROR(AU81/'IS (Non-GAAP)'!AU10,"--")</f>
        <v>0.23850254515451905</v>
      </c>
      <c r="AV82" s="797">
        <f>IFERROR(AV81/'IS (Non-GAAP)'!AV10,"--")</f>
        <v>0.37581662479149169</v>
      </c>
      <c r="AW82" s="797">
        <f>IFERROR(AW81/'IS (Non-GAAP)'!AW10,"--")</f>
        <v>4.4574567300293709E-2</v>
      </c>
      <c r="AX82" s="797">
        <f>IFERROR(AX81/'IS (Non-GAAP)'!AX10,"--")</f>
        <v>8.6692035299172771E-2</v>
      </c>
      <c r="AY82" s="797">
        <f>IFERROR(AY81/'IS (Non-GAAP)'!AY10,"--")</f>
        <v>0.51221326500487097</v>
      </c>
      <c r="AZ82" s="679">
        <f>IFERROR(AZ81/'IS (Non-GAAP)'!AZ10,"--")</f>
        <v>0.25612541253152887</v>
      </c>
      <c r="BA82" s="797">
        <f>IFERROR(BA81/'IS (Non-GAAP)'!BA10,"--")</f>
        <v>0.35555563560890596</v>
      </c>
      <c r="BB82" s="797">
        <f>IFERROR(BB81/'IS (Non-GAAP)'!BB10,"--")</f>
        <v>7.6189496981347485E-2</v>
      </c>
      <c r="BC82" s="797">
        <f>IFERROR(BC81/'IS (Non-GAAP)'!BC10,"--")</f>
        <v>0.11249342641122426</v>
      </c>
      <c r="BD82" s="797">
        <f>IFERROR(BD81/'IS (Non-GAAP)'!BD10,"--")</f>
        <v>0.5132264561377563</v>
      </c>
      <c r="BE82" s="679">
        <f>IFERROR(BE81/'IS (Non-GAAP)'!BE10,"--")</f>
        <v>0.26559013725629765</v>
      </c>
      <c r="BF82" s="797">
        <f>IFERROR(BF81/'IS (Non-GAAP)'!BF10,"--")</f>
        <v>0.34429156224252233</v>
      </c>
      <c r="BG82" s="797">
        <f>IFERROR(BG81/'IS (Non-GAAP)'!BG10,"--")</f>
        <v>9.0748645624305013E-2</v>
      </c>
      <c r="BH82" s="797">
        <f>IFERROR(BH81/'IS (Non-GAAP)'!BH10,"--")</f>
        <v>0.14573950923708659</v>
      </c>
      <c r="BI82" s="797">
        <f>IFERROR(BI81/'IS (Non-GAAP)'!BI10,"--")</f>
        <v>0.51062887442839022</v>
      </c>
      <c r="BJ82" s="679">
        <f>IFERROR(BJ81/'IS (Non-GAAP)'!BJ10,"--")</f>
        <v>0.2754267077027292</v>
      </c>
      <c r="BK82" s="797">
        <f>IFERROR(BK81/'IS (Non-GAAP)'!BK10,"--")</f>
        <v>0.326131479409147</v>
      </c>
      <c r="BL82" s="797">
        <f>IFERROR(BL81/'IS (Non-GAAP)'!BL10,"--")</f>
        <v>0.11673449814841086</v>
      </c>
      <c r="BM82" s="797">
        <f>IFERROR(BM81/'IS (Non-GAAP)'!BM10,"--")</f>
        <v>0.17555261803825833</v>
      </c>
      <c r="BN82" s="797">
        <f>IFERROR(BN81/'IS (Non-GAAP)'!BN10,"--")</f>
        <v>0.51259581002005927</v>
      </c>
      <c r="BO82" s="679">
        <f>IFERROR(BO81/'IS (Non-GAAP)'!BO10,"--")</f>
        <v>0.28571088792102306</v>
      </c>
    </row>
    <row r="83" spans="1:67" s="1032" customFormat="1" hidden="1" outlineLevel="1">
      <c r="A83" s="1027"/>
      <c r="B83" s="1033" t="s">
        <v>322</v>
      </c>
      <c r="C83" s="1029"/>
      <c r="D83" s="1030"/>
      <c r="E83" s="1030"/>
      <c r="F83" s="1030"/>
      <c r="G83" s="1031"/>
      <c r="H83" s="1034"/>
      <c r="I83" s="1034"/>
      <c r="J83" s="1034"/>
      <c r="K83" s="1034"/>
      <c r="L83" s="1013">
        <f>SUM(H83:K83)</f>
        <v>0</v>
      </c>
      <c r="M83" s="1034"/>
      <c r="N83" s="1034"/>
      <c r="O83" s="1034">
        <v>2.4E-2</v>
      </c>
      <c r="P83" s="1034">
        <v>0.105</v>
      </c>
      <c r="Q83" s="1013">
        <f>SUM(M83:P83)</f>
        <v>0.129</v>
      </c>
      <c r="R83" s="1034">
        <v>3.0190000000000001</v>
      </c>
      <c r="S83" s="1034">
        <v>0.36499999999999999</v>
      </c>
      <c r="T83" s="1034">
        <v>0.81200000000000006</v>
      </c>
      <c r="U83" s="1034">
        <v>9.94</v>
      </c>
      <c r="V83" s="1013">
        <f>SUM(R83:U83)</f>
        <v>14.135999999999999</v>
      </c>
      <c r="W83" s="1034">
        <v>10.445</v>
      </c>
      <c r="X83" s="1034">
        <v>14.763999999999999</v>
      </c>
      <c r="Y83" s="1034">
        <v>12.058</v>
      </c>
      <c r="Z83" s="1034">
        <v>31.378</v>
      </c>
      <c r="AA83" s="1013">
        <f>SUM(W83:Z83)</f>
        <v>68.644999999999996</v>
      </c>
      <c r="AB83" s="1034">
        <v>9.0449999999999999</v>
      </c>
      <c r="AC83" s="1034">
        <v>4.7960000000000003</v>
      </c>
      <c r="AD83" s="1034">
        <v>5.1999999999999998E-2</v>
      </c>
      <c r="AE83" s="1034">
        <v>10.034000000000001</v>
      </c>
      <c r="AF83" s="1013">
        <f>SUM(AB83:AE83)</f>
        <v>23.927</v>
      </c>
      <c r="AG83" s="1034">
        <v>3.7850000000000001</v>
      </c>
      <c r="AH83" s="1034">
        <v>19.138000000000002</v>
      </c>
      <c r="AI83" s="1034">
        <v>8.5410000000000004</v>
      </c>
      <c r="AJ83" s="1034">
        <v>-0.182</v>
      </c>
      <c r="AK83" s="1013">
        <f>SUM(AG83:AJ83)</f>
        <v>31.282000000000004</v>
      </c>
      <c r="AL83" s="1034">
        <v>34.146000000000001</v>
      </c>
      <c r="AM83" s="1034">
        <v>7.1210000000000004</v>
      </c>
      <c r="AN83" s="1218">
        <v>8.5630000000000006</v>
      </c>
      <c r="AO83" s="1034">
        <v>7.6440000000000001</v>
      </c>
      <c r="AP83" s="1013">
        <f>SUM(AL83:AO83)</f>
        <v>57.474000000000004</v>
      </c>
      <c r="AQ83" s="1034">
        <v>22.885000000000002</v>
      </c>
      <c r="AR83" s="1218">
        <v>9.5340000000000007</v>
      </c>
      <c r="AS83" s="1405">
        <v>22.81</v>
      </c>
      <c r="AT83" s="1218">
        <v>7.5</v>
      </c>
      <c r="AU83" s="1013">
        <f>SUM(AQ83:AT83)</f>
        <v>62.728999999999999</v>
      </c>
      <c r="AV83" s="1218">
        <f>AT83</f>
        <v>7.5</v>
      </c>
      <c r="AW83" s="1218">
        <f>AV83</f>
        <v>7.5</v>
      </c>
      <c r="AX83" s="1218">
        <f>AW83</f>
        <v>7.5</v>
      </c>
      <c r="AY83" s="1218">
        <f>AX83</f>
        <v>7.5</v>
      </c>
      <c r="AZ83" s="1013">
        <f>SUM(AV83:AY83)</f>
        <v>30</v>
      </c>
      <c r="BA83" s="1218">
        <f>AY83</f>
        <v>7.5</v>
      </c>
      <c r="BB83" s="1218">
        <f>BA83</f>
        <v>7.5</v>
      </c>
      <c r="BC83" s="1218">
        <f>BB83</f>
        <v>7.5</v>
      </c>
      <c r="BD83" s="1218">
        <f>BC83</f>
        <v>7.5</v>
      </c>
      <c r="BE83" s="1013">
        <f>SUM(BA83:BD83)</f>
        <v>30</v>
      </c>
      <c r="BF83" s="1218">
        <f>BD83</f>
        <v>7.5</v>
      </c>
      <c r="BG83" s="1218">
        <f>BF83</f>
        <v>7.5</v>
      </c>
      <c r="BH83" s="1218">
        <f>BG83</f>
        <v>7.5</v>
      </c>
      <c r="BI83" s="1218">
        <f>BH83</f>
        <v>7.5</v>
      </c>
      <c r="BJ83" s="1013">
        <f>SUM(BF83:BI83)</f>
        <v>30</v>
      </c>
      <c r="BK83" s="1218">
        <f>BI83</f>
        <v>7.5</v>
      </c>
      <c r="BL83" s="1218">
        <f>BK83</f>
        <v>7.5</v>
      </c>
      <c r="BM83" s="1218">
        <f>BL83</f>
        <v>7.5</v>
      </c>
      <c r="BN83" s="1218">
        <f>BM83</f>
        <v>7.5</v>
      </c>
      <c r="BO83" s="1013">
        <f>SUM(BK83:BN83)</f>
        <v>30</v>
      </c>
    </row>
    <row r="84" spans="1:67" s="1010" customFormat="1" hidden="1" outlineLevel="1">
      <c r="A84" s="1035" t="s">
        <v>82</v>
      </c>
      <c r="B84" s="1007" t="s">
        <v>152</v>
      </c>
      <c r="C84" s="1008"/>
      <c r="D84" s="1017"/>
      <c r="E84" s="1017"/>
      <c r="F84" s="1017"/>
      <c r="G84" s="1009"/>
      <c r="H84" s="1017">
        <f>H81+H83</f>
        <v>-36.487000000000002</v>
      </c>
      <c r="I84" s="1017">
        <f>I81+I83</f>
        <v>-23.576000000000001</v>
      </c>
      <c r="J84" s="1017">
        <f>J81+J83</f>
        <v>-16.395999999999994</v>
      </c>
      <c r="K84" s="1017">
        <f>K81+K83</f>
        <v>-71.53900000000003</v>
      </c>
      <c r="L84" s="1009">
        <f>SUM(H84:K84)</f>
        <v>-147.99800000000005</v>
      </c>
      <c r="M84" s="1017">
        <f>M81+M83</f>
        <v>-38.860000000000014</v>
      </c>
      <c r="N84" s="1017">
        <f>N81+N83</f>
        <v>-84.123999999999995</v>
      </c>
      <c r="O84" s="1017">
        <f>O81+O83</f>
        <v>-28.202000000000005</v>
      </c>
      <c r="P84" s="1017">
        <f>P81+P83</f>
        <v>-48.09099999999998</v>
      </c>
      <c r="Q84" s="1009">
        <f>SUM(M84:P84)</f>
        <v>-199.27699999999999</v>
      </c>
      <c r="R84" s="1017">
        <f>R81+R83</f>
        <v>-7.7950000000000159</v>
      </c>
      <c r="S84" s="1017">
        <f>S81+S83</f>
        <v>-44.016000000000034</v>
      </c>
      <c r="T84" s="1017">
        <f>T81+T83</f>
        <v>-37.055999999999976</v>
      </c>
      <c r="U84" s="1017">
        <f>U81+U83</f>
        <v>17.255999999999975</v>
      </c>
      <c r="V84" s="1009">
        <f>SUM(R84:U84)</f>
        <v>-71.611000000000047</v>
      </c>
      <c r="W84" s="1017">
        <f>W81+W83</f>
        <v>23.389000000000042</v>
      </c>
      <c r="X84" s="1017">
        <f>X81+X83</f>
        <v>2.8119999999999816</v>
      </c>
      <c r="Y84" s="1017">
        <f>Y81+Y83</f>
        <v>21.52600000000006</v>
      </c>
      <c r="Z84" s="1017">
        <f>Z81+Z83</f>
        <v>102.10399999999997</v>
      </c>
      <c r="AA84" s="1009">
        <f>SUM(W84:Z84)</f>
        <v>149.83100000000005</v>
      </c>
      <c r="AB84" s="1017">
        <f>AB81+AB83</f>
        <v>181.44099999999995</v>
      </c>
      <c r="AC84" s="1017">
        <f>AC81+AC83</f>
        <v>58.645000000000039</v>
      </c>
      <c r="AD84" s="1017">
        <f>AD81+AD83</f>
        <v>65.044999999999916</v>
      </c>
      <c r="AE84" s="1017">
        <f>AE81+AE83</f>
        <v>215.29499999999996</v>
      </c>
      <c r="AF84" s="1009">
        <f>SUM(AB84:AE84)</f>
        <v>520.42599999999993</v>
      </c>
      <c r="AG84" s="1017">
        <f>AG81+AG83</f>
        <v>286.91800000000001</v>
      </c>
      <c r="AH84" s="1017">
        <f>AH81+AH83</f>
        <v>88.156999999999911</v>
      </c>
      <c r="AI84" s="1017">
        <f>AI81+AI83</f>
        <v>110.81300000000005</v>
      </c>
      <c r="AJ84" s="1017">
        <f>AJ81+AJ83</f>
        <v>324.29700000000003</v>
      </c>
      <c r="AK84" s="1009">
        <f>SUM(AG84:AJ84)</f>
        <v>810.18499999999995</v>
      </c>
      <c r="AL84" s="1017">
        <f>AL81+AL83</f>
        <v>365.69099999999992</v>
      </c>
      <c r="AM84" s="1017">
        <f>AM81+AM83</f>
        <v>65.950999999999823</v>
      </c>
      <c r="AN84" s="1017">
        <f>AN81+AN83</f>
        <v>86.797000000000082</v>
      </c>
      <c r="AO84" s="1017">
        <f>AO81+AO83</f>
        <v>423.08700000000016</v>
      </c>
      <c r="AP84" s="1009">
        <f>SUM(AL84:AO84)</f>
        <v>941.52600000000007</v>
      </c>
      <c r="AQ84" s="1017">
        <f>AQ81+AQ83</f>
        <v>206.26899999999981</v>
      </c>
      <c r="AR84" s="1017">
        <f>AR81+AR83</f>
        <v>67.765000000000015</v>
      </c>
      <c r="AS84" s="1017">
        <f>AS81+AS83</f>
        <v>136.42399999999984</v>
      </c>
      <c r="AT84" s="1017">
        <f>AT81+AT83</f>
        <v>761.01091265617868</v>
      </c>
      <c r="AU84" s="1009">
        <f>SUM(AQ84:AT84)</f>
        <v>1171.4689126561784</v>
      </c>
      <c r="AV84" s="1017">
        <f>AV81+AV83</f>
        <v>500.95135180081883</v>
      </c>
      <c r="AW84" s="1017">
        <f>AW81+AW83</f>
        <v>70.574591558930592</v>
      </c>
      <c r="AX84" s="1017">
        <f>AX81+AX83</f>
        <v>137.7386864946935</v>
      </c>
      <c r="AY84" s="1017">
        <f>AY81+AY83</f>
        <v>801.03469691953762</v>
      </c>
      <c r="AZ84" s="1009">
        <f>SUM(AV84:AY84)</f>
        <v>1510.2993267739805</v>
      </c>
      <c r="BA84" s="1017">
        <f>BA81+BA83</f>
        <v>586.79091328850052</v>
      </c>
      <c r="BB84" s="1017">
        <f>BB81+BB83</f>
        <v>141.65583168224157</v>
      </c>
      <c r="BC84" s="1017">
        <f>BC81+BC83</f>
        <v>218.37357943538905</v>
      </c>
      <c r="BD84" s="1017">
        <f>BD81+BD83</f>
        <v>989.67756385644361</v>
      </c>
      <c r="BE84" s="1009">
        <f>SUM(BA84:BD84)</f>
        <v>1936.4978882625746</v>
      </c>
      <c r="BF84" s="1017">
        <f>BF81+BF83</f>
        <v>694.88161035895541</v>
      </c>
      <c r="BG84" s="1017">
        <f>BG81+BG83</f>
        <v>202.85714919137789</v>
      </c>
      <c r="BH84" s="1017">
        <f>BH81+BH83</f>
        <v>347.47537962839766</v>
      </c>
      <c r="BI84" s="1017">
        <f>BI81+BI83</f>
        <v>1228.9195970079013</v>
      </c>
      <c r="BJ84" s="1009">
        <f>SUM(BF84:BI84)</f>
        <v>2474.1337361866322</v>
      </c>
      <c r="BK84" s="1017">
        <f>BK81+BK83</f>
        <v>817.06242021241417</v>
      </c>
      <c r="BL84" s="1017">
        <f>BL81+BL83</f>
        <v>315.99880277668842</v>
      </c>
      <c r="BM84" s="1017">
        <f>BM81+BM83</f>
        <v>513.63865403442446</v>
      </c>
      <c r="BN84" s="1017">
        <f>BN81+BN83</f>
        <v>1507.2593683366601</v>
      </c>
      <c r="BO84" s="1009">
        <f>SUM(BK84:BN84)</f>
        <v>3153.9592453601872</v>
      </c>
    </row>
    <row r="85" spans="1:67" s="592" customFormat="1" hidden="1" outlineLevel="1">
      <c r="A85" s="107" t="s">
        <v>185</v>
      </c>
      <c r="B85" s="1024" t="s">
        <v>323</v>
      </c>
      <c r="C85" s="589"/>
      <c r="D85" s="590"/>
      <c r="E85" s="590"/>
      <c r="F85" s="590"/>
      <c r="G85" s="591"/>
      <c r="H85" s="797">
        <f>IFERROR(H84/'IS (Non-GAAP)'!H10,"--")</f>
        <v>-2.7223009773931208</v>
      </c>
      <c r="I85" s="797">
        <f>IFERROR(I84/'IS (Non-GAAP)'!I10,"--")</f>
        <v>-1.3167271711812343</v>
      </c>
      <c r="J85" s="797">
        <f>IFERROR(J84/'IS (Non-GAAP)'!J10,"--")</f>
        <v>-0.57168758716875845</v>
      </c>
      <c r="K85" s="797">
        <f>IFERROR(K84/'IS (Non-GAAP)'!K10,"--")</f>
        <v>-1.9504607666721201</v>
      </c>
      <c r="L85" s="679">
        <f>IFERROR(L84/'IS (Non-GAAP)'!L10,"--")</f>
        <v>-1.5310243518920825</v>
      </c>
      <c r="M85" s="797">
        <f>IFERROR(M84/'IS (Non-GAAP)'!M10,"--")</f>
        <v>-0.88914311863631201</v>
      </c>
      <c r="N85" s="797">
        <f>IFERROR(N84/'IS (Non-GAAP)'!N10,"--")</f>
        <v>-1.3941894960141865</v>
      </c>
      <c r="O85" s="797">
        <f>IFERROR(O84/'IS (Non-GAAP)'!O10,"--")</f>
        <v>-0.38626527146222545</v>
      </c>
      <c r="P85" s="797">
        <f>IFERROR(P84/'IS (Non-GAAP)'!P10,"--")</f>
        <v>-0.54840806458970004</v>
      </c>
      <c r="Q85" s="679">
        <f>IFERROR(Q84/'IS (Non-GAAP)'!Q10,"--")</f>
        <v>-0.75270445857947932</v>
      </c>
      <c r="R85" s="797">
        <f>IFERROR(R84/'IS (Non-GAAP)'!R10,"--")</f>
        <v>-7.1635344391857883E-2</v>
      </c>
      <c r="S85" s="797">
        <f>IFERROR(S84/'IS (Non-GAAP)'!S10,"--")</f>
        <v>-0.33058695407262789</v>
      </c>
      <c r="T85" s="797">
        <f>IFERROR(T84/'IS (Non-GAAP)'!T10,"--")</f>
        <v>-0.23214554202375565</v>
      </c>
      <c r="U85" s="797">
        <f>IFERROR(U84/'IS (Non-GAAP)'!U10,"--")</f>
        <v>9.0599322710209096E-2</v>
      </c>
      <c r="V85" s="679">
        <f>IFERROR(V84/'IS (Non-GAAP)'!V10,"--")</f>
        <v>-0.12095451558908139</v>
      </c>
      <c r="W85" s="797">
        <f>IFERROR(W84/'IS (Non-GAAP)'!W10,"--")</f>
        <v>0.10217374210402178</v>
      </c>
      <c r="X85" s="797">
        <f>IFERROR(X84/'IS (Non-GAAP)'!X10,"--")</f>
        <v>1.0330715141183925E-2</v>
      </c>
      <c r="Y85" s="797">
        <f>IFERROR(Y84/'IS (Non-GAAP)'!Y10,"--")</f>
        <v>6.4364118035767318E-2</v>
      </c>
      <c r="Z85" s="797">
        <f>IFERROR(Z84/'IS (Non-GAAP)'!Z10,"--")</f>
        <v>0.26605241626582304</v>
      </c>
      <c r="AA85" s="679">
        <f>IFERROR(AA84/'IS (Non-GAAP)'!AA10,"--")</f>
        <v>0.12288008056903525</v>
      </c>
      <c r="AB85" s="797">
        <f>IFERROR(AB84/'IS (Non-GAAP)'!AB10,"--")</f>
        <v>0.42957731473041455</v>
      </c>
      <c r="AC85" s="797">
        <f>IFERROR(AC84/'IS (Non-GAAP)'!AC10,"--")</f>
        <v>0.1179391370101037</v>
      </c>
      <c r="AD85" s="797">
        <f>IFERROR(AD84/'IS (Non-GAAP)'!AD10,"--")</f>
        <v>0.11677150879309466</v>
      </c>
      <c r="AE85" s="797">
        <f>IFERROR(AE84/'IS (Non-GAAP)'!AE10,"--")</f>
        <v>0.36551886888552354</v>
      </c>
      <c r="AF85" s="679">
        <f>IFERROR(AF84/'IS (Non-GAAP)'!AF10,"--")</f>
        <v>0.25194187423964942</v>
      </c>
      <c r="AG85" s="797">
        <f>IFERROR(AG84/'IS (Non-GAAP)'!AG10,"--")</f>
        <v>0.46010016051982122</v>
      </c>
      <c r="AH85" s="797">
        <f>IFERROR(AH84/'IS (Non-GAAP)'!AH10,"--")</f>
        <v>0.1307932429104266</v>
      </c>
      <c r="AI85" s="797">
        <f>IFERROR(AI84/'IS (Non-GAAP)'!AI10,"--")</f>
        <v>0.15093581485562674</v>
      </c>
      <c r="AJ85" s="797">
        <f>IFERROR(AJ84/'IS (Non-GAAP)'!AJ10,"--")</f>
        <v>0.41861032478420651</v>
      </c>
      <c r="AK85" s="679">
        <f>IFERROR(AK84/'IS (Non-GAAP)'!AK10,"--")</f>
        <v>0.28868276341008281</v>
      </c>
      <c r="AL85" s="797">
        <f>IFERROR(AL84/'IS (Non-GAAP)'!AL10,"--")</f>
        <v>0.44127793954210698</v>
      </c>
      <c r="AM85" s="797">
        <f>IFERROR(AM84/'IS (Non-GAAP)'!AM10,"--")</f>
        <v>7.5908441650370473E-2</v>
      </c>
      <c r="AN85" s="797">
        <f>IFERROR(AN84/'IS (Non-GAAP)'!AN10,"--")</f>
        <v>9.2131995321061463E-2</v>
      </c>
      <c r="AO85" s="797">
        <f>IFERROR(AO84/'IS (Non-GAAP)'!AO10,"--")</f>
        <v>0.42875948802659197</v>
      </c>
      <c r="AP85" s="679">
        <f>IFERROR(AP84/'IS (Non-GAAP)'!AP10,"--")</f>
        <v>0.25963132542612555</v>
      </c>
      <c r="AQ85" s="797">
        <f>IFERROR(AQ84/'IS (Non-GAAP)'!AQ10,"--")</f>
        <v>0.19794083721501524</v>
      </c>
      <c r="AR85" s="797">
        <f>IFERROR(AR84/'IS (Non-GAAP)'!AR10,"--")</f>
        <v>5.9185008502413615E-2</v>
      </c>
      <c r="AS85" s="797">
        <f>IFERROR(AS84/'IS (Non-GAAP)'!AS10,"--")</f>
        <v>0.11247669858167418</v>
      </c>
      <c r="AT85" s="797">
        <f>IFERROR(AT84/'IS (Non-GAAP)'!AT10,"--")</f>
        <v>0.60939225684883858</v>
      </c>
      <c r="AU85" s="679">
        <f>IFERROR(AU84/'IS (Non-GAAP)'!AU10,"--")</f>
        <v>0.25199626535365582</v>
      </c>
      <c r="AV85" s="797">
        <f>IFERROR(AV84/'IS (Non-GAAP)'!AV10,"--")</f>
        <v>0.38152868673163998</v>
      </c>
      <c r="AW85" s="797">
        <f>IFERROR(AW84/'IS (Non-GAAP)'!AW10,"--")</f>
        <v>4.9874787983290245E-2</v>
      </c>
      <c r="AX85" s="797">
        <f>IFERROR(AX84/'IS (Non-GAAP)'!AX10,"--")</f>
        <v>9.168433276656382E-2</v>
      </c>
      <c r="AY85" s="797">
        <f>IFERROR(AY84/'IS (Non-GAAP)'!AY10,"--")</f>
        <v>0.51705438852782393</v>
      </c>
      <c r="AZ85" s="679">
        <f>IFERROR(AZ84/'IS (Non-GAAP)'!AZ10,"--")</f>
        <v>0.26131609406260209</v>
      </c>
      <c r="BA85" s="797">
        <f>IFERROR(BA84/'IS (Non-GAAP)'!BA10,"--")</f>
        <v>0.3601589656558572</v>
      </c>
      <c r="BB85" s="797">
        <f>IFERROR(BB84/'IS (Non-GAAP)'!BB10,"--")</f>
        <v>8.044888116312171E-2</v>
      </c>
      <c r="BC85" s="797">
        <f>IFERROR(BC84/'IS (Non-GAAP)'!BC10,"--")</f>
        <v>0.11649440510349655</v>
      </c>
      <c r="BD85" s="797">
        <f>IFERROR(BD84/'IS (Non-GAAP)'!BD10,"--")</f>
        <v>0.51714550149440208</v>
      </c>
      <c r="BE85" s="679">
        <f>IFERROR(BE84/'IS (Non-GAAP)'!BE10,"--")</f>
        <v>0.26976937299882975</v>
      </c>
      <c r="BF85" s="797">
        <f>IFERROR(BF84/'IS (Non-GAAP)'!BF10,"--")</f>
        <v>0.34804811708470162</v>
      </c>
      <c r="BG85" s="797">
        <f>IFERROR(BG84/'IS (Non-GAAP)'!BG10,"--")</f>
        <v>9.4232597171507088E-2</v>
      </c>
      <c r="BH85" s="797">
        <f>IFERROR(BH84/'IS (Non-GAAP)'!BH10,"--")</f>
        <v>0.14895458416537369</v>
      </c>
      <c r="BI85" s="797">
        <f>IFERROR(BI84/'IS (Non-GAAP)'!BI10,"--")</f>
        <v>0.51376433792315856</v>
      </c>
      <c r="BJ85" s="679">
        <f>IFERROR(BJ84/'IS (Non-GAAP)'!BJ10,"--")</f>
        <v>0.27880737427949909</v>
      </c>
      <c r="BK85" s="797">
        <f>IFERROR(BK84/'IS (Non-GAAP)'!BK10,"--")</f>
        <v>0.32915284753901503</v>
      </c>
      <c r="BL85" s="797">
        <f>IFERROR(BL84/'IS (Non-GAAP)'!BL10,"--")</f>
        <v>0.11957246292569018</v>
      </c>
      <c r="BM85" s="797">
        <f>IFERROR(BM84/'IS (Non-GAAP)'!BM10,"--")</f>
        <v>0.17815396971292688</v>
      </c>
      <c r="BN85" s="797">
        <f>IFERROR(BN84/'IS (Non-GAAP)'!BN10,"--")</f>
        <v>0.51515920029206952</v>
      </c>
      <c r="BO85" s="679">
        <f>IFERROR(BO84/'IS (Non-GAAP)'!BO10,"--")</f>
        <v>0.28845462622374296</v>
      </c>
    </row>
    <row r="86" spans="1:67" collapsed="1">
      <c r="B86" s="987" t="s">
        <v>12</v>
      </c>
      <c r="D86" s="564"/>
      <c r="E86" s="432"/>
      <c r="F86" s="432"/>
      <c r="G86" s="578"/>
      <c r="H86" s="432"/>
      <c r="I86" s="432"/>
      <c r="J86" s="432"/>
      <c r="K86" s="432"/>
      <c r="L86" s="578"/>
      <c r="M86" s="432"/>
      <c r="N86" s="433"/>
      <c r="O86" s="433"/>
      <c r="P86" s="433"/>
      <c r="Q86" s="578"/>
      <c r="R86" s="433"/>
      <c r="S86" s="433"/>
      <c r="T86" s="579"/>
      <c r="U86" s="432"/>
      <c r="V86" s="578"/>
      <c r="W86" s="432"/>
      <c r="X86" s="432"/>
      <c r="Y86" s="432"/>
      <c r="Z86" s="432"/>
      <c r="AA86" s="578"/>
      <c r="AB86" s="432"/>
      <c r="AC86" s="432"/>
      <c r="AD86" s="432"/>
      <c r="AE86" s="432"/>
      <c r="AF86" s="578"/>
      <c r="AG86" s="432"/>
      <c r="AH86" s="432"/>
      <c r="AI86" s="432"/>
      <c r="AJ86" s="432"/>
      <c r="AK86" s="578"/>
      <c r="AL86" s="432"/>
      <c r="AM86" s="432"/>
      <c r="AN86" s="432"/>
      <c r="AO86" s="432"/>
      <c r="AP86" s="578"/>
      <c r="AQ86" s="432"/>
      <c r="AR86" s="432"/>
      <c r="AS86" s="432"/>
      <c r="AT86" s="432"/>
      <c r="AU86" s="578"/>
      <c r="AV86" s="432"/>
      <c r="AW86" s="432"/>
      <c r="AX86" s="432"/>
      <c r="AY86" s="432"/>
      <c r="AZ86" s="578"/>
      <c r="BA86" s="432"/>
      <c r="BB86" s="432"/>
      <c r="BC86" s="432"/>
      <c r="BD86" s="432"/>
      <c r="BE86" s="578"/>
      <c r="BF86" s="432"/>
      <c r="BG86" s="432"/>
      <c r="BH86" s="432"/>
      <c r="BI86" s="432"/>
      <c r="BJ86" s="578"/>
      <c r="BK86" s="432"/>
      <c r="BL86" s="432"/>
      <c r="BM86" s="432"/>
      <c r="BN86" s="432"/>
      <c r="BO86" s="578"/>
    </row>
    <row r="87" spans="1:67">
      <c r="B87" s="987"/>
      <c r="D87" s="580"/>
      <c r="E87" s="580"/>
      <c r="F87" s="580"/>
      <c r="H87" s="580"/>
      <c r="I87" s="580"/>
      <c r="J87" s="580"/>
      <c r="K87" s="580"/>
      <c r="M87" s="559"/>
      <c r="N87" s="581"/>
      <c r="O87" s="581"/>
      <c r="P87" s="581"/>
      <c r="Q87" s="581"/>
      <c r="R87" s="581"/>
      <c r="S87" s="581"/>
      <c r="T87" s="581"/>
      <c r="U87" s="580"/>
      <c r="W87" s="580"/>
      <c r="X87" s="580"/>
      <c r="Y87" s="580"/>
      <c r="Z87" s="582"/>
      <c r="AB87" s="432"/>
      <c r="AC87" s="432"/>
      <c r="AD87" s="432"/>
      <c r="AE87" s="432"/>
      <c r="AG87" s="432"/>
      <c r="AH87" s="432"/>
      <c r="AI87" s="432"/>
      <c r="AJ87" s="432"/>
      <c r="AL87" s="432"/>
      <c r="AM87" s="432"/>
      <c r="AN87" s="432"/>
      <c r="AO87" s="432"/>
      <c r="AQ87" s="432"/>
      <c r="AR87" s="432"/>
      <c r="AS87" s="432"/>
      <c r="AT87" s="432"/>
      <c r="AV87" s="432"/>
      <c r="AW87" s="432"/>
      <c r="AX87" s="432"/>
      <c r="AY87" s="432"/>
      <c r="BA87" s="432"/>
      <c r="BB87" s="432"/>
      <c r="BC87" s="432"/>
      <c r="BD87" s="432"/>
      <c r="BF87" s="432"/>
      <c r="BG87" s="432"/>
      <c r="BH87" s="432"/>
      <c r="BI87" s="432"/>
      <c r="BK87" s="432"/>
      <c r="BL87" s="432"/>
      <c r="BM87" s="432"/>
      <c r="BN87" s="432"/>
    </row>
    <row r="88" spans="1:67" s="255" customFormat="1">
      <c r="A88" s="431"/>
      <c r="B88" s="987"/>
      <c r="C88" s="469"/>
      <c r="D88" s="583"/>
      <c r="E88" s="564"/>
      <c r="F88" s="564"/>
      <c r="G88" s="432"/>
      <c r="H88" s="564"/>
      <c r="I88" s="564"/>
      <c r="J88" s="584"/>
      <c r="K88" s="564"/>
      <c r="L88" s="432"/>
      <c r="M88" s="564"/>
      <c r="N88" s="584"/>
      <c r="O88" s="584"/>
      <c r="P88" s="584"/>
      <c r="Q88" s="432"/>
      <c r="R88" s="584"/>
      <c r="S88" s="559"/>
      <c r="T88" s="559"/>
      <c r="U88" s="559"/>
      <c r="V88" s="432"/>
      <c r="W88" s="564"/>
      <c r="X88" s="564"/>
      <c r="Y88" s="564"/>
      <c r="Z88" s="585"/>
      <c r="AA88" s="432"/>
      <c r="AB88" s="469"/>
      <c r="AC88" s="432"/>
      <c r="AD88" s="432"/>
      <c r="AE88" s="432"/>
      <c r="AF88" s="432"/>
      <c r="AG88" s="469"/>
      <c r="AH88" s="432"/>
      <c r="AI88" s="432"/>
      <c r="AJ88" s="432"/>
      <c r="AK88" s="432"/>
      <c r="AL88" s="469"/>
      <c r="AM88" s="432"/>
      <c r="AN88" s="432"/>
      <c r="AO88" s="432"/>
      <c r="AP88" s="432"/>
      <c r="AQ88" s="469"/>
      <c r="AR88" s="432"/>
      <c r="AS88" s="432"/>
      <c r="AT88" s="432"/>
      <c r="AU88" s="432"/>
      <c r="AV88" s="469"/>
      <c r="AW88" s="432"/>
      <c r="AX88" s="432"/>
      <c r="AY88" s="432"/>
      <c r="AZ88" s="432"/>
      <c r="BA88" s="469"/>
      <c r="BB88" s="432"/>
      <c r="BC88" s="432"/>
      <c r="BD88" s="432"/>
      <c r="BE88" s="432"/>
      <c r="BF88" s="469"/>
      <c r="BG88" s="432"/>
      <c r="BH88" s="432"/>
      <c r="BI88" s="432"/>
      <c r="BJ88" s="432"/>
      <c r="BK88" s="469"/>
      <c r="BL88" s="432"/>
      <c r="BM88" s="432"/>
      <c r="BN88" s="432"/>
      <c r="BO88" s="432"/>
    </row>
    <row r="89" spans="1:67" s="565" customFormat="1">
      <c r="A89" s="319"/>
      <c r="B89" s="1026"/>
      <c r="C89" s="576"/>
      <c r="D89" s="586"/>
      <c r="E89" s="468"/>
      <c r="F89" s="468"/>
      <c r="G89" s="468"/>
      <c r="H89" s="468"/>
      <c r="I89" s="468"/>
      <c r="J89" s="468"/>
      <c r="K89" s="468"/>
      <c r="L89" s="468"/>
      <c r="M89" s="468"/>
      <c r="N89" s="468"/>
      <c r="O89" s="468"/>
      <c r="P89" s="468"/>
      <c r="Q89" s="468"/>
      <c r="R89" s="468"/>
      <c r="S89" s="468"/>
      <c r="T89" s="468"/>
      <c r="U89" s="468"/>
      <c r="V89" s="468"/>
      <c r="W89" s="468"/>
      <c r="X89" s="468"/>
      <c r="Y89" s="468"/>
      <c r="Z89" s="587"/>
      <c r="AA89" s="468"/>
      <c r="AB89" s="588"/>
      <c r="AC89" s="588"/>
      <c r="AD89" s="588"/>
      <c r="AE89" s="588"/>
      <c r="AF89" s="468"/>
      <c r="AG89" s="588"/>
      <c r="AH89" s="588"/>
      <c r="AI89" s="588"/>
      <c r="AJ89" s="588"/>
      <c r="AK89" s="468"/>
      <c r="AL89" s="588"/>
      <c r="AM89" s="588"/>
      <c r="AN89" s="588"/>
      <c r="AO89" s="588"/>
      <c r="AP89" s="468"/>
      <c r="AQ89" s="588"/>
      <c r="AR89" s="588"/>
      <c r="AS89" s="588"/>
      <c r="AT89" s="588"/>
      <c r="AU89" s="468"/>
      <c r="AV89" s="588"/>
      <c r="AW89" s="588"/>
      <c r="AX89" s="588"/>
      <c r="AY89" s="588"/>
      <c r="AZ89" s="468"/>
      <c r="BA89" s="588"/>
      <c r="BB89" s="588"/>
      <c r="BC89" s="588"/>
      <c r="BD89" s="588"/>
      <c r="BE89" s="468"/>
      <c r="BF89" s="588"/>
      <c r="BG89" s="588"/>
      <c r="BH89" s="588"/>
      <c r="BI89" s="588"/>
      <c r="BJ89" s="468"/>
      <c r="BK89" s="588"/>
      <c r="BL89" s="588"/>
      <c r="BM89" s="588"/>
      <c r="BN89" s="588"/>
      <c r="BO89" s="468"/>
    </row>
    <row r="90" spans="1:67" s="92" customFormat="1">
      <c r="A90" s="575"/>
      <c r="B90" s="1026"/>
      <c r="C90" s="515"/>
      <c r="D90" s="516"/>
      <c r="E90" s="516"/>
      <c r="F90" s="516"/>
      <c r="G90" s="516"/>
      <c r="H90" s="516"/>
      <c r="I90" s="516"/>
      <c r="J90" s="516"/>
      <c r="K90" s="516"/>
      <c r="L90" s="516"/>
      <c r="M90" s="516"/>
      <c r="N90" s="516"/>
      <c r="O90" s="516"/>
      <c r="P90" s="516"/>
      <c r="Q90" s="516"/>
      <c r="R90" s="516"/>
      <c r="S90" s="516"/>
      <c r="T90" s="516"/>
      <c r="U90" s="516"/>
      <c r="V90" s="516"/>
      <c r="W90" s="516"/>
      <c r="X90" s="516"/>
      <c r="Y90" s="516"/>
      <c r="Z90" s="516"/>
      <c r="AA90" s="516"/>
      <c r="AB90" s="516"/>
      <c r="AC90" s="516"/>
      <c r="AD90" s="516"/>
      <c r="AE90" s="516"/>
      <c r="AF90" s="516"/>
      <c r="AG90" s="516"/>
      <c r="AH90" s="516"/>
      <c r="AI90" s="516"/>
      <c r="AJ90" s="516"/>
      <c r="AK90" s="516"/>
      <c r="AL90" s="516"/>
      <c r="AM90" s="516"/>
      <c r="AN90" s="516"/>
      <c r="AO90" s="516"/>
      <c r="AP90" s="516"/>
      <c r="AQ90" s="516"/>
      <c r="AR90" s="516"/>
      <c r="AS90" s="516"/>
      <c r="AT90" s="516"/>
      <c r="AU90" s="516"/>
      <c r="AV90" s="516"/>
      <c r="AW90" s="516"/>
      <c r="AX90" s="516"/>
      <c r="AY90" s="516"/>
      <c r="AZ90" s="516"/>
      <c r="BA90" s="516"/>
      <c r="BB90" s="516"/>
      <c r="BC90" s="516"/>
      <c r="BD90" s="516"/>
      <c r="BE90" s="516"/>
      <c r="BF90" s="516"/>
      <c r="BG90" s="516"/>
      <c r="BH90" s="516"/>
      <c r="BI90" s="516"/>
      <c r="BJ90" s="516"/>
      <c r="BK90" s="516"/>
      <c r="BL90" s="516"/>
      <c r="BM90" s="516"/>
      <c r="BN90" s="516"/>
      <c r="BO90" s="516"/>
    </row>
    <row r="91" spans="1:67">
      <c r="B91" s="1026"/>
    </row>
    <row r="92" spans="1:67">
      <c r="B92" s="986"/>
      <c r="H92" s="466"/>
      <c r="M92" s="466"/>
      <c r="S92" s="362"/>
    </row>
    <row r="93" spans="1:67">
      <c r="B93" s="987"/>
      <c r="C93" s="469"/>
      <c r="D93" s="432"/>
      <c r="E93" s="432"/>
      <c r="F93" s="432"/>
      <c r="G93" s="432"/>
      <c r="H93" s="469"/>
      <c r="I93" s="432"/>
      <c r="J93" s="432"/>
      <c r="K93" s="432"/>
      <c r="L93" s="432"/>
      <c r="M93" s="469"/>
      <c r="N93" s="432"/>
      <c r="O93" s="432"/>
      <c r="P93" s="432"/>
      <c r="Q93" s="432"/>
      <c r="R93" s="469"/>
      <c r="S93" s="432"/>
      <c r="T93" s="432"/>
      <c r="U93" s="432"/>
      <c r="V93" s="432"/>
      <c r="W93" s="469"/>
      <c r="X93" s="432"/>
      <c r="Y93" s="432"/>
      <c r="Z93" s="432"/>
      <c r="AA93" s="432"/>
      <c r="AB93" s="432"/>
      <c r="AC93" s="432"/>
      <c r="AD93" s="432"/>
      <c r="AE93" s="432"/>
      <c r="AF93" s="432"/>
      <c r="AG93" s="432"/>
      <c r="AH93" s="432"/>
      <c r="AI93" s="432"/>
      <c r="AJ93" s="432"/>
      <c r="AK93" s="432"/>
      <c r="AL93" s="432"/>
      <c r="AM93" s="432"/>
      <c r="AN93" s="432"/>
      <c r="AO93" s="432"/>
      <c r="AP93" s="432"/>
      <c r="AQ93" s="432"/>
      <c r="AR93" s="432"/>
      <c r="AS93" s="432"/>
      <c r="AT93" s="432"/>
      <c r="AU93" s="432"/>
      <c r="AV93" s="432"/>
      <c r="AW93" s="432"/>
      <c r="AX93" s="432"/>
      <c r="AY93" s="432"/>
      <c r="AZ93" s="432"/>
      <c r="BA93" s="432"/>
      <c r="BB93" s="432"/>
      <c r="BC93" s="432"/>
      <c r="BD93" s="432"/>
      <c r="BE93" s="432"/>
      <c r="BF93" s="432"/>
      <c r="BG93" s="432"/>
      <c r="BH93" s="432"/>
      <c r="BI93" s="432"/>
      <c r="BJ93" s="432"/>
      <c r="BK93" s="432"/>
      <c r="BL93" s="432"/>
      <c r="BM93" s="432"/>
      <c r="BN93" s="432"/>
      <c r="BO93" s="432"/>
    </row>
    <row r="94" spans="1:67">
      <c r="B94" s="987"/>
      <c r="C94" s="558"/>
      <c r="D94" s="580"/>
      <c r="E94" s="580"/>
      <c r="F94" s="580"/>
      <c r="G94" s="432"/>
      <c r="H94" s="558"/>
      <c r="I94" s="580"/>
      <c r="J94" s="580"/>
      <c r="K94" s="580"/>
      <c r="L94" s="432"/>
      <c r="M94" s="558"/>
      <c r="N94" s="580"/>
      <c r="O94" s="580"/>
      <c r="P94" s="580"/>
      <c r="Q94" s="432"/>
      <c r="R94" s="558"/>
      <c r="S94" s="580"/>
      <c r="T94" s="580"/>
      <c r="U94" s="580"/>
      <c r="V94" s="432"/>
      <c r="W94" s="558"/>
      <c r="X94" s="580"/>
      <c r="Y94" s="580"/>
      <c r="Z94" s="580"/>
      <c r="AA94" s="432"/>
      <c r="AB94" s="580"/>
      <c r="AC94" s="580"/>
      <c r="AD94" s="580"/>
      <c r="AE94" s="580"/>
      <c r="AF94" s="432"/>
      <c r="AG94" s="580"/>
      <c r="AH94" s="580"/>
      <c r="AI94" s="580"/>
      <c r="AJ94" s="580"/>
      <c r="AK94" s="432"/>
      <c r="AL94" s="580"/>
      <c r="AM94" s="580"/>
      <c r="AN94" s="580"/>
      <c r="AO94" s="580"/>
      <c r="AP94" s="432"/>
      <c r="AQ94" s="580"/>
      <c r="AR94" s="580"/>
      <c r="AS94" s="580"/>
      <c r="AT94" s="580"/>
      <c r="AU94" s="432"/>
      <c r="AV94" s="580"/>
      <c r="AW94" s="580"/>
      <c r="AX94" s="580"/>
      <c r="AY94" s="580"/>
      <c r="AZ94" s="432"/>
      <c r="BA94" s="580"/>
      <c r="BB94" s="580"/>
      <c r="BC94" s="580"/>
      <c r="BD94" s="580"/>
      <c r="BE94" s="432"/>
      <c r="BF94" s="580"/>
      <c r="BG94" s="580"/>
      <c r="BH94" s="580"/>
      <c r="BI94" s="580"/>
      <c r="BJ94" s="432"/>
      <c r="BK94" s="580"/>
      <c r="BL94" s="580"/>
      <c r="BM94" s="580"/>
      <c r="BN94" s="580"/>
      <c r="BO94" s="432"/>
    </row>
    <row r="95" spans="1:67">
      <c r="B95" s="987"/>
      <c r="C95" s="469"/>
      <c r="D95" s="432"/>
      <c r="E95" s="432"/>
      <c r="F95" s="432"/>
      <c r="G95" s="432"/>
      <c r="H95" s="469"/>
      <c r="I95" s="432"/>
      <c r="J95" s="432"/>
      <c r="K95" s="432"/>
      <c r="L95" s="432"/>
      <c r="M95" s="469"/>
      <c r="N95" s="432"/>
      <c r="O95" s="432"/>
      <c r="P95" s="432"/>
      <c r="Q95" s="432"/>
      <c r="R95" s="469"/>
      <c r="S95" s="432"/>
      <c r="T95" s="432"/>
      <c r="U95" s="432"/>
      <c r="V95" s="432"/>
      <c r="W95" s="469"/>
      <c r="X95" s="432"/>
      <c r="Y95" s="432"/>
      <c r="Z95" s="432"/>
      <c r="AA95" s="432"/>
      <c r="AB95" s="432"/>
      <c r="AC95" s="432"/>
      <c r="AD95" s="432"/>
      <c r="AE95" s="432"/>
      <c r="AF95" s="432"/>
      <c r="AG95" s="432"/>
      <c r="AH95" s="432"/>
      <c r="AI95" s="432"/>
      <c r="AJ95" s="432"/>
      <c r="AK95" s="432"/>
      <c r="AL95" s="432"/>
      <c r="AM95" s="432"/>
      <c r="AN95" s="432"/>
      <c r="AO95" s="432"/>
      <c r="AP95" s="432"/>
      <c r="AQ95" s="432"/>
      <c r="AR95" s="432"/>
      <c r="AS95" s="432"/>
      <c r="AT95" s="432"/>
      <c r="AU95" s="432"/>
      <c r="AV95" s="432"/>
      <c r="AW95" s="432"/>
      <c r="AX95" s="432"/>
      <c r="AY95" s="432"/>
      <c r="AZ95" s="432"/>
      <c r="BA95" s="432"/>
      <c r="BB95" s="432"/>
      <c r="BC95" s="432"/>
      <c r="BD95" s="432"/>
      <c r="BE95" s="432"/>
      <c r="BF95" s="432"/>
      <c r="BG95" s="432"/>
      <c r="BH95" s="432"/>
      <c r="BI95" s="432"/>
      <c r="BJ95" s="432"/>
      <c r="BK95" s="432"/>
      <c r="BL95" s="432"/>
      <c r="BM95" s="432"/>
      <c r="BN95" s="432"/>
      <c r="BO95" s="432"/>
    </row>
    <row r="96" spans="1:67">
      <c r="B96" s="987"/>
      <c r="C96" s="558"/>
      <c r="D96" s="580"/>
      <c r="E96" s="580"/>
      <c r="F96" s="580"/>
      <c r="G96" s="432"/>
      <c r="H96" s="558"/>
      <c r="I96" s="580"/>
      <c r="J96" s="580"/>
      <c r="K96" s="580"/>
      <c r="L96" s="432"/>
      <c r="M96" s="558"/>
      <c r="N96" s="580"/>
      <c r="O96" s="580"/>
      <c r="P96" s="580"/>
      <c r="Q96" s="432"/>
      <c r="R96" s="558"/>
      <c r="S96" s="580"/>
      <c r="T96" s="580"/>
      <c r="U96" s="580"/>
      <c r="V96" s="432"/>
      <c r="W96" s="558"/>
      <c r="X96" s="580"/>
      <c r="Y96" s="580"/>
      <c r="Z96" s="580"/>
      <c r="AA96" s="432"/>
      <c r="AB96" s="580"/>
      <c r="AC96" s="580"/>
      <c r="AD96" s="580"/>
      <c r="AE96" s="580"/>
      <c r="AF96" s="432"/>
      <c r="AG96" s="580"/>
      <c r="AH96" s="580"/>
      <c r="AI96" s="580"/>
      <c r="AJ96" s="580"/>
      <c r="AK96" s="432"/>
      <c r="AL96" s="580"/>
      <c r="AM96" s="580"/>
      <c r="AN96" s="580"/>
      <c r="AO96" s="580"/>
      <c r="AP96" s="432"/>
      <c r="AQ96" s="580"/>
      <c r="AR96" s="580"/>
      <c r="AS96" s="580"/>
      <c r="AT96" s="580"/>
      <c r="AU96" s="432"/>
      <c r="AV96" s="580"/>
      <c r="AW96" s="580"/>
      <c r="AX96" s="580"/>
      <c r="AY96" s="580"/>
      <c r="AZ96" s="432"/>
      <c r="BA96" s="580"/>
      <c r="BB96" s="580"/>
      <c r="BC96" s="580"/>
      <c r="BD96" s="580"/>
      <c r="BE96" s="432"/>
      <c r="BF96" s="580"/>
      <c r="BG96" s="580"/>
      <c r="BH96" s="580"/>
      <c r="BI96" s="580"/>
      <c r="BJ96" s="432"/>
      <c r="BK96" s="580"/>
      <c r="BL96" s="580"/>
      <c r="BM96" s="580"/>
      <c r="BN96" s="580"/>
      <c r="BO96" s="432"/>
    </row>
    <row r="97" spans="2:67">
      <c r="B97" s="987"/>
      <c r="C97" s="558"/>
      <c r="D97" s="580"/>
      <c r="E97" s="580"/>
      <c r="F97" s="580"/>
      <c r="G97" s="432"/>
      <c r="H97" s="558"/>
      <c r="I97" s="580"/>
      <c r="J97" s="580"/>
      <c r="K97" s="580"/>
      <c r="L97" s="432"/>
      <c r="M97" s="558"/>
      <c r="N97" s="580"/>
      <c r="O97" s="580"/>
      <c r="P97" s="580"/>
      <c r="Q97" s="432"/>
      <c r="R97" s="558"/>
      <c r="S97" s="580"/>
      <c r="T97" s="580"/>
      <c r="U97" s="580"/>
      <c r="V97" s="432"/>
      <c r="W97" s="558"/>
      <c r="X97" s="580"/>
      <c r="Y97" s="580"/>
      <c r="Z97" s="580"/>
      <c r="AA97" s="432"/>
      <c r="AB97" s="432"/>
      <c r="AC97" s="432"/>
      <c r="AD97" s="432"/>
      <c r="AE97" s="432"/>
      <c r="AF97" s="432"/>
      <c r="AG97" s="432"/>
      <c r="AH97" s="432"/>
      <c r="AI97" s="432"/>
      <c r="AJ97" s="432"/>
      <c r="AK97" s="432"/>
      <c r="AL97" s="432"/>
      <c r="AM97" s="432"/>
      <c r="AN97" s="432"/>
      <c r="AO97" s="432"/>
      <c r="AP97" s="432"/>
      <c r="AQ97" s="432"/>
      <c r="AR97" s="432"/>
      <c r="AS97" s="432"/>
      <c r="AT97" s="432"/>
      <c r="AU97" s="432"/>
      <c r="AV97" s="432"/>
      <c r="AW97" s="432"/>
      <c r="AX97" s="432"/>
      <c r="AY97" s="432"/>
      <c r="AZ97" s="432"/>
      <c r="BA97" s="432"/>
      <c r="BB97" s="432"/>
      <c r="BC97" s="432"/>
      <c r="BD97" s="432"/>
      <c r="BE97" s="432"/>
      <c r="BF97" s="432"/>
      <c r="BG97" s="432"/>
      <c r="BH97" s="432"/>
      <c r="BI97" s="432"/>
      <c r="BJ97" s="432"/>
      <c r="BK97" s="432"/>
      <c r="BL97" s="432"/>
      <c r="BM97" s="432"/>
      <c r="BN97" s="432"/>
      <c r="BO97" s="432"/>
    </row>
    <row r="99" spans="2:67">
      <c r="B99" s="987"/>
      <c r="C99" s="576"/>
      <c r="D99" s="468"/>
      <c r="E99" s="468"/>
      <c r="F99" s="468"/>
      <c r="G99" s="468"/>
      <c r="H99" s="576"/>
      <c r="I99" s="468"/>
      <c r="J99" s="468"/>
      <c r="K99" s="468"/>
      <c r="L99" s="468"/>
      <c r="M99" s="576"/>
      <c r="N99" s="468"/>
      <c r="O99" s="468"/>
      <c r="P99" s="468"/>
      <c r="Q99" s="468"/>
      <c r="R99" s="576"/>
      <c r="S99" s="468"/>
      <c r="T99" s="468"/>
      <c r="U99" s="468"/>
      <c r="V99" s="468"/>
      <c r="W99" s="576"/>
      <c r="X99" s="468"/>
      <c r="Y99" s="468"/>
      <c r="Z99" s="468"/>
      <c r="AA99" s="468"/>
      <c r="AB99" s="588"/>
      <c r="AC99" s="577"/>
      <c r="AD99" s="577"/>
      <c r="AE99" s="581"/>
      <c r="AF99" s="468"/>
      <c r="AG99" s="588"/>
      <c r="AH99" s="577"/>
      <c r="AI99" s="577"/>
      <c r="AJ99" s="581"/>
      <c r="AK99" s="468"/>
      <c r="AL99" s="588"/>
      <c r="AM99" s="577"/>
      <c r="AN99" s="577"/>
      <c r="AO99" s="581"/>
      <c r="AP99" s="468"/>
      <c r="AQ99" s="588"/>
      <c r="AR99" s="577"/>
      <c r="AS99" s="577"/>
      <c r="AT99" s="581"/>
      <c r="AU99" s="468"/>
      <c r="AV99" s="588"/>
      <c r="AW99" s="577"/>
      <c r="AX99" s="577"/>
      <c r="AY99" s="581"/>
      <c r="AZ99" s="468"/>
      <c r="BA99" s="588"/>
      <c r="BB99" s="577"/>
      <c r="BC99" s="577"/>
      <c r="BD99" s="581"/>
      <c r="BE99" s="468"/>
      <c r="BF99" s="588"/>
      <c r="BG99" s="577"/>
      <c r="BH99" s="577"/>
      <c r="BI99" s="581"/>
      <c r="BJ99" s="468"/>
      <c r="BK99" s="588"/>
      <c r="BL99" s="577"/>
      <c r="BM99" s="577"/>
      <c r="BN99" s="581"/>
      <c r="BO99" s="468"/>
    </row>
    <row r="100" spans="2:67">
      <c r="R100" s="576"/>
      <c r="S100" s="468"/>
      <c r="T100" s="468"/>
      <c r="U100" s="468"/>
      <c r="V100" s="468"/>
      <c r="W100" s="576"/>
      <c r="X100" s="468"/>
      <c r="Y100" s="468"/>
      <c r="Z100" s="468"/>
      <c r="AA100" s="468"/>
    </row>
    <row r="163" spans="3:67">
      <c r="C163" s="471"/>
      <c r="D163" s="471"/>
      <c r="E163" s="471"/>
      <c r="F163" s="471"/>
      <c r="G163" s="471"/>
      <c r="H163" s="471"/>
      <c r="I163" s="471"/>
      <c r="J163" s="471"/>
      <c r="K163" s="471"/>
      <c r="L163" s="471"/>
      <c r="M163" s="471"/>
      <c r="N163" s="471"/>
      <c r="O163" s="471"/>
      <c r="P163" s="471"/>
      <c r="Q163" s="471"/>
      <c r="R163" s="471"/>
      <c r="S163" s="471"/>
      <c r="T163" s="471"/>
      <c r="U163" s="471"/>
      <c r="V163" s="471"/>
      <c r="W163" s="471"/>
      <c r="X163" s="471"/>
      <c r="Y163" s="471"/>
      <c r="Z163" s="471"/>
      <c r="AA163" s="471"/>
      <c r="AB163" s="471"/>
      <c r="AC163" s="471"/>
      <c r="AD163" s="471"/>
      <c r="AE163" s="471"/>
      <c r="AF163" s="471"/>
      <c r="AG163" s="471"/>
      <c r="AH163" s="471"/>
      <c r="AI163" s="471"/>
      <c r="AJ163" s="471"/>
      <c r="AK163" s="471"/>
      <c r="AL163" s="471"/>
      <c r="AM163" s="471"/>
      <c r="AN163" s="471"/>
      <c r="AO163" s="471"/>
      <c r="AP163" s="471"/>
      <c r="AQ163" s="471"/>
      <c r="AR163" s="471"/>
      <c r="AS163" s="471"/>
      <c r="AT163" s="471"/>
      <c r="AU163" s="471"/>
      <c r="AV163" s="471"/>
      <c r="AW163" s="471"/>
      <c r="AX163" s="471"/>
      <c r="AY163" s="471"/>
      <c r="AZ163" s="471"/>
      <c r="BA163" s="471"/>
      <c r="BB163" s="471"/>
      <c r="BC163" s="471"/>
      <c r="BD163" s="471"/>
      <c r="BE163" s="471"/>
      <c r="BF163" s="471"/>
      <c r="BG163" s="471"/>
      <c r="BH163" s="471"/>
      <c r="BI163" s="471"/>
      <c r="BJ163" s="471"/>
      <c r="BK163" s="471"/>
      <c r="BL163" s="471"/>
      <c r="BM163" s="471"/>
      <c r="BN163" s="471"/>
      <c r="BO163" s="471"/>
    </row>
    <row r="164" spans="3:67">
      <c r="C164" s="471"/>
      <c r="D164" s="471"/>
      <c r="E164" s="471"/>
      <c r="F164" s="471"/>
      <c r="G164" s="471"/>
      <c r="H164" s="471"/>
      <c r="I164" s="471"/>
      <c r="J164" s="471"/>
      <c r="K164" s="471"/>
      <c r="L164" s="471"/>
      <c r="M164" s="471"/>
      <c r="N164" s="471"/>
      <c r="O164" s="471"/>
      <c r="P164" s="471"/>
      <c r="Q164" s="471"/>
      <c r="R164" s="471"/>
      <c r="S164" s="471"/>
      <c r="T164" s="471"/>
      <c r="U164" s="471"/>
      <c r="V164" s="471"/>
      <c r="W164" s="471"/>
      <c r="X164" s="471"/>
      <c r="Y164" s="471"/>
      <c r="Z164" s="471"/>
      <c r="AA164" s="471"/>
      <c r="AB164" s="471"/>
      <c r="AC164" s="471"/>
      <c r="AD164" s="471"/>
      <c r="AE164" s="471"/>
      <c r="AF164" s="471"/>
      <c r="AG164" s="471"/>
      <c r="AH164" s="471"/>
      <c r="AI164" s="471"/>
      <c r="AJ164" s="471"/>
      <c r="AK164" s="471"/>
      <c r="AL164" s="471"/>
      <c r="AM164" s="471"/>
      <c r="AN164" s="471"/>
      <c r="AO164" s="471"/>
      <c r="AP164" s="471"/>
      <c r="AQ164" s="471"/>
      <c r="AR164" s="471"/>
      <c r="AS164" s="471"/>
      <c r="AT164" s="471"/>
      <c r="AU164" s="471"/>
      <c r="AV164" s="471"/>
      <c r="AW164" s="471"/>
      <c r="AX164" s="471"/>
      <c r="AY164" s="471"/>
      <c r="AZ164" s="471"/>
      <c r="BA164" s="471"/>
      <c r="BB164" s="471"/>
      <c r="BC164" s="471"/>
      <c r="BD164" s="471"/>
      <c r="BE164" s="471"/>
      <c r="BF164" s="471"/>
      <c r="BG164" s="471"/>
      <c r="BH164" s="471"/>
      <c r="BI164" s="471"/>
      <c r="BJ164" s="471"/>
      <c r="BK164" s="471"/>
      <c r="BL164" s="471"/>
      <c r="BM164" s="471"/>
      <c r="BN164" s="471"/>
      <c r="BO164" s="471"/>
    </row>
    <row r="165" spans="3:67">
      <c r="C165" s="472"/>
      <c r="D165" s="471"/>
      <c r="E165" s="471"/>
      <c r="F165" s="471"/>
      <c r="G165" s="471"/>
      <c r="H165" s="472"/>
      <c r="I165" s="471"/>
      <c r="J165" s="471"/>
      <c r="K165" s="471"/>
      <c r="L165" s="471"/>
      <c r="M165" s="472"/>
      <c r="N165" s="471"/>
      <c r="O165" s="471"/>
      <c r="P165" s="471"/>
      <c r="Q165" s="471"/>
      <c r="R165" s="472"/>
      <c r="S165" s="471"/>
      <c r="T165" s="471"/>
      <c r="U165" s="471"/>
      <c r="V165" s="471"/>
      <c r="W165" s="472"/>
      <c r="X165" s="471"/>
      <c r="Y165" s="471"/>
      <c r="Z165" s="471"/>
      <c r="AA165" s="471"/>
      <c r="AB165" s="472"/>
      <c r="AC165" s="471"/>
      <c r="AD165" s="471"/>
      <c r="AE165" s="471"/>
      <c r="AF165" s="471"/>
      <c r="AG165" s="472"/>
      <c r="AH165" s="471"/>
      <c r="AI165" s="471"/>
      <c r="AJ165" s="471"/>
      <c r="AK165" s="471"/>
      <c r="AL165" s="472"/>
      <c r="AM165" s="471"/>
      <c r="AN165" s="471"/>
      <c r="AO165" s="471"/>
      <c r="AP165" s="471"/>
      <c r="AQ165" s="472"/>
      <c r="AR165" s="471"/>
      <c r="AS165" s="471"/>
      <c r="AT165" s="471"/>
      <c r="AU165" s="471"/>
      <c r="AV165" s="472"/>
      <c r="AW165" s="471"/>
      <c r="AX165" s="471"/>
      <c r="AY165" s="471"/>
      <c r="AZ165" s="471"/>
      <c r="BA165" s="472"/>
      <c r="BB165" s="471"/>
      <c r="BC165" s="471"/>
      <c r="BD165" s="471"/>
      <c r="BE165" s="471"/>
      <c r="BF165" s="472"/>
      <c r="BG165" s="471"/>
      <c r="BH165" s="471"/>
      <c r="BI165" s="471"/>
      <c r="BJ165" s="471"/>
      <c r="BK165" s="472"/>
      <c r="BL165" s="471"/>
      <c r="BM165" s="471"/>
      <c r="BN165" s="471"/>
      <c r="BO165" s="471"/>
    </row>
    <row r="166" spans="3:67">
      <c r="C166" s="473"/>
      <c r="D166" s="471"/>
      <c r="E166" s="471"/>
      <c r="F166" s="471"/>
      <c r="G166" s="471"/>
      <c r="H166" s="473"/>
      <c r="I166" s="471"/>
      <c r="J166" s="471"/>
      <c r="K166" s="471"/>
      <c r="L166" s="471"/>
      <c r="M166" s="473"/>
      <c r="N166" s="471"/>
      <c r="O166" s="471"/>
      <c r="P166" s="471"/>
      <c r="Q166" s="471"/>
      <c r="R166" s="473"/>
      <c r="S166" s="471"/>
      <c r="T166" s="471"/>
      <c r="U166" s="471"/>
      <c r="V166" s="471"/>
      <c r="W166" s="473"/>
      <c r="X166" s="471"/>
      <c r="Y166" s="471"/>
      <c r="Z166" s="471"/>
      <c r="AA166" s="471"/>
      <c r="AB166" s="473"/>
      <c r="AC166" s="471"/>
      <c r="AD166" s="471"/>
      <c r="AE166" s="471"/>
      <c r="AF166" s="471"/>
      <c r="AG166" s="473"/>
      <c r="AH166" s="471"/>
      <c r="AI166" s="471"/>
      <c r="AJ166" s="471"/>
      <c r="AK166" s="471"/>
      <c r="AL166" s="473"/>
      <c r="AM166" s="471"/>
      <c r="AN166" s="471"/>
      <c r="AO166" s="471"/>
      <c r="AP166" s="471"/>
      <c r="AQ166" s="473"/>
      <c r="AR166" s="471"/>
      <c r="AS166" s="471"/>
      <c r="AT166" s="471"/>
      <c r="AU166" s="471"/>
      <c r="AV166" s="473"/>
      <c r="AW166" s="471"/>
      <c r="AX166" s="471"/>
      <c r="AY166" s="471"/>
      <c r="AZ166" s="471"/>
      <c r="BA166" s="473"/>
      <c r="BB166" s="471"/>
      <c r="BC166" s="471"/>
      <c r="BD166" s="471"/>
      <c r="BE166" s="471"/>
      <c r="BF166" s="473"/>
      <c r="BG166" s="471"/>
      <c r="BH166" s="471"/>
      <c r="BI166" s="471"/>
      <c r="BJ166" s="471"/>
      <c r="BK166" s="473"/>
      <c r="BL166" s="471"/>
      <c r="BM166" s="471"/>
      <c r="BN166" s="471"/>
      <c r="BO166" s="471"/>
    </row>
    <row r="167" spans="3:67">
      <c r="C167" s="429"/>
      <c r="D167" s="474"/>
      <c r="E167" s="474"/>
      <c r="F167" s="474"/>
      <c r="G167" s="474"/>
      <c r="H167" s="429"/>
      <c r="I167" s="474"/>
      <c r="J167" s="474"/>
      <c r="K167" s="474"/>
      <c r="L167" s="474"/>
      <c r="M167" s="429"/>
      <c r="N167" s="474"/>
      <c r="O167" s="474"/>
      <c r="P167" s="474"/>
      <c r="Q167" s="474"/>
      <c r="R167" s="429"/>
      <c r="S167" s="474"/>
      <c r="T167" s="474"/>
      <c r="U167" s="474"/>
      <c r="V167" s="474"/>
      <c r="W167" s="429"/>
      <c r="X167" s="474"/>
      <c r="Y167" s="474"/>
      <c r="Z167" s="474"/>
      <c r="AA167" s="474"/>
      <c r="AB167" s="429"/>
      <c r="AC167" s="474"/>
      <c r="AD167" s="474"/>
      <c r="AE167" s="474"/>
      <c r="AF167" s="474"/>
      <c r="AG167" s="429"/>
      <c r="AH167" s="474"/>
      <c r="AI167" s="474"/>
      <c r="AJ167" s="474"/>
      <c r="AK167" s="474"/>
      <c r="AL167" s="429"/>
      <c r="AM167" s="474"/>
      <c r="AN167" s="474"/>
      <c r="AO167" s="474"/>
      <c r="AP167" s="474"/>
      <c r="AQ167" s="429"/>
      <c r="AR167" s="474"/>
      <c r="AS167" s="474"/>
      <c r="AT167" s="474"/>
      <c r="AU167" s="474"/>
      <c r="AV167" s="429"/>
      <c r="AW167" s="474"/>
      <c r="AX167" s="474"/>
      <c r="AY167" s="474"/>
      <c r="AZ167" s="474"/>
      <c r="BA167" s="429"/>
      <c r="BB167" s="474"/>
      <c r="BC167" s="474"/>
      <c r="BD167" s="474"/>
      <c r="BE167" s="474"/>
      <c r="BF167" s="429"/>
      <c r="BG167" s="474"/>
      <c r="BH167" s="474"/>
      <c r="BI167" s="474"/>
      <c r="BJ167" s="474"/>
      <c r="BK167" s="429"/>
      <c r="BL167" s="474"/>
      <c r="BM167" s="474"/>
      <c r="BN167" s="474"/>
      <c r="BO167" s="474"/>
    </row>
    <row r="168" spans="3:67">
      <c r="C168" s="475"/>
      <c r="D168" s="476"/>
      <c r="E168" s="476"/>
      <c r="F168" s="476"/>
      <c r="G168" s="476"/>
      <c r="H168" s="475"/>
      <c r="I168" s="476"/>
      <c r="J168" s="476"/>
      <c r="K168" s="476"/>
      <c r="L168" s="476"/>
      <c r="M168" s="475"/>
      <c r="N168" s="476"/>
      <c r="O168" s="476"/>
      <c r="P168" s="476"/>
      <c r="Q168" s="476"/>
      <c r="R168" s="475"/>
      <c r="S168" s="476"/>
      <c r="T168" s="476"/>
      <c r="U168" s="476"/>
      <c r="V168" s="476"/>
      <c r="W168" s="475"/>
      <c r="X168" s="476"/>
      <c r="Y168" s="476"/>
      <c r="Z168" s="476"/>
      <c r="AA168" s="476"/>
      <c r="AB168" s="475"/>
      <c r="AC168" s="476"/>
      <c r="AD168" s="476"/>
      <c r="AE168" s="476"/>
      <c r="AF168" s="476"/>
      <c r="AG168" s="475"/>
      <c r="AH168" s="476"/>
      <c r="AI168" s="476"/>
      <c r="AJ168" s="476"/>
      <c r="AK168" s="476"/>
      <c r="AL168" s="475"/>
      <c r="AM168" s="476"/>
      <c r="AN168" s="476"/>
      <c r="AO168" s="476"/>
      <c r="AP168" s="476"/>
      <c r="AQ168" s="475"/>
      <c r="AR168" s="476"/>
      <c r="AS168" s="476"/>
      <c r="AT168" s="476"/>
      <c r="AU168" s="476"/>
      <c r="AV168" s="475"/>
      <c r="AW168" s="476"/>
      <c r="AX168" s="476"/>
      <c r="AY168" s="476"/>
      <c r="AZ168" s="476"/>
      <c r="BA168" s="475"/>
      <c r="BB168" s="476"/>
      <c r="BC168" s="476"/>
      <c r="BD168" s="476"/>
      <c r="BE168" s="476"/>
      <c r="BF168" s="475"/>
      <c r="BG168" s="476"/>
      <c r="BH168" s="476"/>
      <c r="BI168" s="476"/>
      <c r="BJ168" s="476"/>
      <c r="BK168" s="475"/>
      <c r="BL168" s="476"/>
      <c r="BM168" s="476"/>
      <c r="BN168" s="476"/>
      <c r="BO168" s="476"/>
    </row>
    <row r="169" spans="3:67">
      <c r="C169" s="475"/>
      <c r="D169" s="476"/>
      <c r="E169" s="476"/>
      <c r="F169" s="476"/>
      <c r="G169" s="476"/>
      <c r="H169" s="475"/>
      <c r="I169" s="476"/>
      <c r="J169" s="476"/>
      <c r="K169" s="476"/>
      <c r="L169" s="476"/>
      <c r="M169" s="475"/>
      <c r="N169" s="476"/>
      <c r="O169" s="476"/>
      <c r="P169" s="476"/>
      <c r="Q169" s="476"/>
      <c r="R169" s="475"/>
      <c r="S169" s="476"/>
      <c r="T169" s="476"/>
      <c r="U169" s="476"/>
      <c r="V169" s="476"/>
      <c r="W169" s="475"/>
      <c r="X169" s="476"/>
      <c r="Y169" s="476"/>
      <c r="Z169" s="476"/>
      <c r="AA169" s="476"/>
      <c r="AB169" s="475"/>
      <c r="AC169" s="476"/>
      <c r="AD169" s="476"/>
      <c r="AE169" s="476"/>
      <c r="AF169" s="476"/>
      <c r="AG169" s="475"/>
      <c r="AH169" s="476"/>
      <c r="AI169" s="476"/>
      <c r="AJ169" s="476"/>
      <c r="AK169" s="476"/>
      <c r="AL169" s="475"/>
      <c r="AM169" s="476"/>
      <c r="AN169" s="476"/>
      <c r="AO169" s="476"/>
      <c r="AP169" s="476"/>
      <c r="AQ169" s="475"/>
      <c r="AR169" s="476"/>
      <c r="AS169" s="476"/>
      <c r="AT169" s="476"/>
      <c r="AU169" s="476"/>
      <c r="AV169" s="475"/>
      <c r="AW169" s="476"/>
      <c r="AX169" s="476"/>
      <c r="AY169" s="476"/>
      <c r="AZ169" s="476"/>
      <c r="BA169" s="475"/>
      <c r="BB169" s="476"/>
      <c r="BC169" s="476"/>
      <c r="BD169" s="476"/>
      <c r="BE169" s="476"/>
      <c r="BF169" s="475"/>
      <c r="BG169" s="476"/>
      <c r="BH169" s="476"/>
      <c r="BI169" s="476"/>
      <c r="BJ169" s="476"/>
      <c r="BK169" s="475"/>
      <c r="BL169" s="476"/>
      <c r="BM169" s="476"/>
      <c r="BN169" s="476"/>
      <c r="BO169" s="476"/>
    </row>
    <row r="170" spans="3:67">
      <c r="C170" s="475"/>
      <c r="D170" s="476"/>
      <c r="E170" s="476"/>
      <c r="F170" s="476"/>
      <c r="G170" s="476"/>
      <c r="H170" s="475"/>
      <c r="I170" s="476"/>
      <c r="J170" s="476"/>
      <c r="K170" s="476"/>
      <c r="L170" s="476"/>
      <c r="M170" s="475"/>
      <c r="N170" s="476"/>
      <c r="O170" s="476"/>
      <c r="P170" s="476"/>
      <c r="Q170" s="476"/>
      <c r="R170" s="475"/>
      <c r="S170" s="476"/>
      <c r="T170" s="476"/>
      <c r="U170" s="476"/>
      <c r="V170" s="476"/>
      <c r="W170" s="475"/>
      <c r="X170" s="476"/>
      <c r="Y170" s="476"/>
      <c r="Z170" s="476"/>
      <c r="AA170" s="476"/>
      <c r="AB170" s="475"/>
      <c r="AC170" s="476"/>
      <c r="AD170" s="476"/>
      <c r="AE170" s="476"/>
      <c r="AF170" s="476"/>
      <c r="AG170" s="475"/>
      <c r="AH170" s="476"/>
      <c r="AI170" s="476"/>
      <c r="AJ170" s="476"/>
      <c r="AK170" s="476"/>
      <c r="AL170" s="475"/>
      <c r="AM170" s="476"/>
      <c r="AN170" s="476"/>
      <c r="AO170" s="476"/>
      <c r="AP170" s="476"/>
      <c r="AQ170" s="475"/>
      <c r="AR170" s="476"/>
      <c r="AS170" s="476"/>
      <c r="AT170" s="476"/>
      <c r="AU170" s="476"/>
      <c r="AV170" s="475"/>
      <c r="AW170" s="476"/>
      <c r="AX170" s="476"/>
      <c r="AY170" s="476"/>
      <c r="AZ170" s="476"/>
      <c r="BA170" s="475"/>
      <c r="BB170" s="476"/>
      <c r="BC170" s="476"/>
      <c r="BD170" s="476"/>
      <c r="BE170" s="476"/>
      <c r="BF170" s="475"/>
      <c r="BG170" s="476"/>
      <c r="BH170" s="476"/>
      <c r="BI170" s="476"/>
      <c r="BJ170" s="476"/>
      <c r="BK170" s="475"/>
      <c r="BL170" s="476"/>
      <c r="BM170" s="476"/>
      <c r="BN170" s="476"/>
      <c r="BO170" s="476"/>
    </row>
    <row r="171" spans="3:67">
      <c r="C171" s="430"/>
      <c r="D171" s="477"/>
      <c r="E171" s="477"/>
      <c r="F171" s="477"/>
      <c r="G171" s="477"/>
      <c r="H171" s="430"/>
      <c r="I171" s="477"/>
      <c r="J171" s="477"/>
      <c r="K171" s="477"/>
      <c r="L171" s="477"/>
      <c r="M171" s="430"/>
      <c r="N171" s="477"/>
      <c r="O171" s="477"/>
      <c r="P171" s="477"/>
      <c r="Q171" s="477"/>
      <c r="R171" s="430"/>
      <c r="S171" s="477"/>
      <c r="T171" s="477"/>
      <c r="U171" s="477"/>
      <c r="V171" s="477"/>
      <c r="W171" s="430"/>
      <c r="X171" s="477"/>
      <c r="Y171" s="477"/>
      <c r="Z171" s="477"/>
      <c r="AA171" s="477"/>
      <c r="AB171" s="430"/>
      <c r="AC171" s="477"/>
      <c r="AD171" s="477"/>
      <c r="AE171" s="477"/>
      <c r="AF171" s="477"/>
      <c r="AG171" s="430"/>
      <c r="AH171" s="477"/>
      <c r="AI171" s="477"/>
      <c r="AJ171" s="477"/>
      <c r="AK171" s="477"/>
      <c r="AL171" s="430"/>
      <c r="AM171" s="477"/>
      <c r="AN171" s="477"/>
      <c r="AO171" s="477"/>
      <c r="AP171" s="477"/>
      <c r="AQ171" s="430"/>
      <c r="AR171" s="477"/>
      <c r="AS171" s="477"/>
      <c r="AT171" s="477"/>
      <c r="AU171" s="477"/>
      <c r="AV171" s="430"/>
      <c r="AW171" s="477"/>
      <c r="AX171" s="477"/>
      <c r="AY171" s="477"/>
      <c r="AZ171" s="477"/>
      <c r="BA171" s="430"/>
      <c r="BB171" s="477"/>
      <c r="BC171" s="477"/>
      <c r="BD171" s="477"/>
      <c r="BE171" s="477"/>
      <c r="BF171" s="430"/>
      <c r="BG171" s="477"/>
      <c r="BH171" s="477"/>
      <c r="BI171" s="477"/>
      <c r="BJ171" s="477"/>
      <c r="BK171" s="430"/>
      <c r="BL171" s="477"/>
      <c r="BM171" s="477"/>
      <c r="BN171" s="477"/>
      <c r="BO171" s="477"/>
    </row>
    <row r="172" spans="3:67">
      <c r="C172" s="478"/>
      <c r="D172" s="476"/>
      <c r="E172" s="476"/>
      <c r="F172" s="476"/>
      <c r="G172" s="476"/>
      <c r="H172" s="478"/>
      <c r="I172" s="476"/>
      <c r="J172" s="476"/>
      <c r="K172" s="476"/>
      <c r="L172" s="476"/>
      <c r="M172" s="478"/>
      <c r="N172" s="476"/>
      <c r="O172" s="476"/>
      <c r="P172" s="476"/>
      <c r="Q172" s="476"/>
      <c r="R172" s="478"/>
      <c r="S172" s="476"/>
      <c r="T172" s="476"/>
      <c r="U172" s="476"/>
      <c r="V172" s="476"/>
      <c r="W172" s="478"/>
      <c r="X172" s="476"/>
      <c r="Y172" s="476"/>
      <c r="Z172" s="476"/>
      <c r="AA172" s="476"/>
      <c r="AB172" s="478"/>
      <c r="AC172" s="476"/>
      <c r="AD172" s="476"/>
      <c r="AE172" s="476"/>
      <c r="AF172" s="476"/>
      <c r="AG172" s="478"/>
      <c r="AH172" s="476"/>
      <c r="AI172" s="476"/>
      <c r="AJ172" s="476"/>
      <c r="AK172" s="476"/>
      <c r="AL172" s="478"/>
      <c r="AM172" s="476"/>
      <c r="AN172" s="476"/>
      <c r="AO172" s="476"/>
      <c r="AP172" s="476"/>
      <c r="AQ172" s="478"/>
      <c r="AR172" s="476"/>
      <c r="AS172" s="476"/>
      <c r="AT172" s="476"/>
      <c r="AU172" s="476"/>
      <c r="AV172" s="478"/>
      <c r="AW172" s="476"/>
      <c r="AX172" s="476"/>
      <c r="AY172" s="476"/>
      <c r="AZ172" s="476"/>
      <c r="BA172" s="478"/>
      <c r="BB172" s="476"/>
      <c r="BC172" s="476"/>
      <c r="BD172" s="476"/>
      <c r="BE172" s="476"/>
      <c r="BF172" s="478"/>
      <c r="BG172" s="476"/>
      <c r="BH172" s="476"/>
      <c r="BI172" s="476"/>
      <c r="BJ172" s="476"/>
      <c r="BK172" s="478"/>
      <c r="BL172" s="476"/>
      <c r="BM172" s="476"/>
      <c r="BN172" s="476"/>
      <c r="BO172" s="476"/>
    </row>
    <row r="173" spans="3:67">
      <c r="C173" s="478"/>
      <c r="D173" s="476"/>
      <c r="E173" s="476"/>
      <c r="F173" s="476"/>
      <c r="G173" s="476"/>
      <c r="H173" s="478"/>
      <c r="I173" s="476"/>
      <c r="J173" s="476"/>
      <c r="K173" s="476"/>
      <c r="L173" s="476"/>
      <c r="M173" s="478"/>
      <c r="N173" s="476"/>
      <c r="O173" s="476"/>
      <c r="P173" s="476"/>
      <c r="Q173" s="476"/>
      <c r="R173" s="478"/>
      <c r="S173" s="476"/>
      <c r="T173" s="476"/>
      <c r="U173" s="476"/>
      <c r="V173" s="476"/>
      <c r="W173" s="478"/>
      <c r="X173" s="476"/>
      <c r="Y173" s="476"/>
      <c r="Z173" s="476"/>
      <c r="AA173" s="476"/>
      <c r="AB173" s="478"/>
      <c r="AC173" s="476"/>
      <c r="AD173" s="476"/>
      <c r="AE173" s="476"/>
      <c r="AF173" s="476"/>
      <c r="AG173" s="478"/>
      <c r="AH173" s="476"/>
      <c r="AI173" s="476"/>
      <c r="AJ173" s="476"/>
      <c r="AK173" s="476"/>
      <c r="AL173" s="478"/>
      <c r="AM173" s="476"/>
      <c r="AN173" s="476"/>
      <c r="AO173" s="476"/>
      <c r="AP173" s="476"/>
      <c r="AQ173" s="478"/>
      <c r="AR173" s="476"/>
      <c r="AS173" s="476"/>
      <c r="AT173" s="476"/>
      <c r="AU173" s="476"/>
      <c r="AV173" s="478"/>
      <c r="AW173" s="476"/>
      <c r="AX173" s="476"/>
      <c r="AY173" s="476"/>
      <c r="AZ173" s="476"/>
      <c r="BA173" s="478"/>
      <c r="BB173" s="476"/>
      <c r="BC173" s="476"/>
      <c r="BD173" s="476"/>
      <c r="BE173" s="476"/>
      <c r="BF173" s="478"/>
      <c r="BG173" s="476"/>
      <c r="BH173" s="476"/>
      <c r="BI173" s="476"/>
      <c r="BJ173" s="476"/>
      <c r="BK173" s="478"/>
      <c r="BL173" s="476"/>
      <c r="BM173" s="476"/>
      <c r="BN173" s="476"/>
      <c r="BO173" s="476"/>
    </row>
    <row r="174" spans="3:67">
      <c r="C174" s="478"/>
      <c r="D174" s="476"/>
      <c r="E174" s="476"/>
      <c r="F174" s="476"/>
      <c r="G174" s="476"/>
      <c r="H174" s="478"/>
      <c r="I174" s="476"/>
      <c r="J174" s="476"/>
      <c r="K174" s="476"/>
      <c r="L174" s="476"/>
      <c r="M174" s="478"/>
      <c r="N174" s="476"/>
      <c r="O174" s="476"/>
      <c r="P174" s="476"/>
      <c r="Q174" s="476"/>
      <c r="R174" s="478"/>
      <c r="S174" s="476"/>
      <c r="T174" s="476"/>
      <c r="U174" s="476"/>
      <c r="V174" s="476"/>
      <c r="W174" s="478"/>
      <c r="X174" s="476"/>
      <c r="Y174" s="476"/>
      <c r="Z174" s="476"/>
      <c r="AA174" s="476"/>
      <c r="AB174" s="478"/>
      <c r="AC174" s="476"/>
      <c r="AD174" s="476"/>
      <c r="AE174" s="476"/>
      <c r="AF174" s="476"/>
      <c r="AG174" s="478"/>
      <c r="AH174" s="476"/>
      <c r="AI174" s="476"/>
      <c r="AJ174" s="476"/>
      <c r="AK174" s="476"/>
      <c r="AL174" s="478"/>
      <c r="AM174" s="476"/>
      <c r="AN174" s="476"/>
      <c r="AO174" s="476"/>
      <c r="AP174" s="476"/>
      <c r="AQ174" s="478"/>
      <c r="AR174" s="476"/>
      <c r="AS174" s="476"/>
      <c r="AT174" s="476"/>
      <c r="AU174" s="476"/>
      <c r="AV174" s="478"/>
      <c r="AW174" s="476"/>
      <c r="AX174" s="476"/>
      <c r="AY174" s="476"/>
      <c r="AZ174" s="476"/>
      <c r="BA174" s="478"/>
      <c r="BB174" s="476"/>
      <c r="BC174" s="476"/>
      <c r="BD174" s="476"/>
      <c r="BE174" s="476"/>
      <c r="BF174" s="478"/>
      <c r="BG174" s="476"/>
      <c r="BH174" s="476"/>
      <c r="BI174" s="476"/>
      <c r="BJ174" s="476"/>
      <c r="BK174" s="478"/>
      <c r="BL174" s="476"/>
      <c r="BM174" s="476"/>
      <c r="BN174" s="476"/>
      <c r="BO174" s="476"/>
    </row>
    <row r="175" spans="3:67">
      <c r="C175" s="430"/>
      <c r="D175" s="477"/>
      <c r="E175" s="477"/>
      <c r="F175" s="477"/>
      <c r="G175" s="477"/>
      <c r="H175" s="430"/>
      <c r="I175" s="477"/>
      <c r="J175" s="477"/>
      <c r="K175" s="477"/>
      <c r="L175" s="477"/>
      <c r="M175" s="430"/>
      <c r="N175" s="477"/>
      <c r="O175" s="477"/>
      <c r="P175" s="477"/>
      <c r="Q175" s="477"/>
      <c r="R175" s="430"/>
      <c r="S175" s="477"/>
      <c r="T175" s="477"/>
      <c r="U175" s="477"/>
      <c r="V175" s="477"/>
      <c r="W175" s="430"/>
      <c r="X175" s="477"/>
      <c r="Y175" s="477"/>
      <c r="Z175" s="477"/>
      <c r="AA175" s="477"/>
      <c r="AB175" s="430"/>
      <c r="AC175" s="477"/>
      <c r="AD175" s="477"/>
      <c r="AE175" s="477"/>
      <c r="AF175" s="477"/>
      <c r="AG175" s="430"/>
      <c r="AH175" s="477"/>
      <c r="AI175" s="477"/>
      <c r="AJ175" s="477"/>
      <c r="AK175" s="477"/>
      <c r="AL175" s="430"/>
      <c r="AM175" s="477"/>
      <c r="AN175" s="477"/>
      <c r="AO175" s="477"/>
      <c r="AP175" s="477"/>
      <c r="AQ175" s="430"/>
      <c r="AR175" s="477"/>
      <c r="AS175" s="477"/>
      <c r="AT175" s="477"/>
      <c r="AU175" s="477"/>
      <c r="AV175" s="430"/>
      <c r="AW175" s="477"/>
      <c r="AX175" s="477"/>
      <c r="AY175" s="477"/>
      <c r="AZ175" s="477"/>
      <c r="BA175" s="430"/>
      <c r="BB175" s="477"/>
      <c r="BC175" s="477"/>
      <c r="BD175" s="477"/>
      <c r="BE175" s="477"/>
      <c r="BF175" s="430"/>
      <c r="BG175" s="477"/>
      <c r="BH175" s="477"/>
      <c r="BI175" s="477"/>
      <c r="BJ175" s="477"/>
      <c r="BK175" s="430"/>
      <c r="BL175" s="477"/>
      <c r="BM175" s="477"/>
      <c r="BN175" s="477"/>
      <c r="BO175" s="477"/>
    </row>
    <row r="176" spans="3:67">
      <c r="C176" s="479"/>
      <c r="D176" s="476"/>
      <c r="E176" s="476"/>
      <c r="F176" s="476"/>
      <c r="G176" s="476"/>
      <c r="H176" s="479"/>
      <c r="I176" s="476"/>
      <c r="J176" s="476"/>
      <c r="K176" s="476"/>
      <c r="L176" s="476"/>
      <c r="M176" s="479"/>
      <c r="N176" s="476"/>
      <c r="O176" s="476"/>
      <c r="P176" s="476"/>
      <c r="Q176" s="476"/>
      <c r="R176" s="479"/>
      <c r="S176" s="476"/>
      <c r="T176" s="476"/>
      <c r="U176" s="476"/>
      <c r="V176" s="476"/>
      <c r="W176" s="479"/>
      <c r="X176" s="476"/>
      <c r="Y176" s="476"/>
      <c r="Z176" s="476"/>
      <c r="AA176" s="476"/>
      <c r="AB176" s="479"/>
      <c r="AC176" s="476"/>
      <c r="AD176" s="476"/>
      <c r="AE176" s="476"/>
      <c r="AF176" s="476"/>
      <c r="AG176" s="479"/>
      <c r="AH176" s="476"/>
      <c r="AI176" s="476"/>
      <c r="AJ176" s="476"/>
      <c r="AK176" s="476"/>
      <c r="AL176" s="479"/>
      <c r="AM176" s="476"/>
      <c r="AN176" s="476"/>
      <c r="AO176" s="476"/>
      <c r="AP176" s="476"/>
      <c r="AQ176" s="479"/>
      <c r="AR176" s="476"/>
      <c r="AS176" s="476"/>
      <c r="AT176" s="476"/>
      <c r="AU176" s="476"/>
      <c r="AV176" s="479"/>
      <c r="AW176" s="476"/>
      <c r="AX176" s="476"/>
      <c r="AY176" s="476"/>
      <c r="AZ176" s="476"/>
      <c r="BA176" s="479"/>
      <c r="BB176" s="476"/>
      <c r="BC176" s="476"/>
      <c r="BD176" s="476"/>
      <c r="BE176" s="476"/>
      <c r="BF176" s="479"/>
      <c r="BG176" s="476"/>
      <c r="BH176" s="476"/>
      <c r="BI176" s="476"/>
      <c r="BJ176" s="476"/>
      <c r="BK176" s="479"/>
      <c r="BL176" s="476"/>
      <c r="BM176" s="476"/>
      <c r="BN176" s="476"/>
      <c r="BO176" s="476"/>
    </row>
    <row r="177" spans="3:67">
      <c r="C177" s="479"/>
      <c r="D177" s="476"/>
      <c r="E177" s="476"/>
      <c r="F177" s="476"/>
      <c r="G177" s="476"/>
      <c r="H177" s="479"/>
      <c r="I177" s="476"/>
      <c r="J177" s="476"/>
      <c r="K177" s="476"/>
      <c r="L177" s="476"/>
      <c r="M177" s="479"/>
      <c r="N177" s="476"/>
      <c r="O177" s="476"/>
      <c r="P177" s="476"/>
      <c r="Q177" s="476"/>
      <c r="R177" s="479"/>
      <c r="S177" s="476"/>
      <c r="T177" s="476"/>
      <c r="U177" s="476"/>
      <c r="V177" s="476"/>
      <c r="W177" s="479"/>
      <c r="X177" s="476"/>
      <c r="Y177" s="476"/>
      <c r="Z177" s="476"/>
      <c r="AA177" s="476"/>
      <c r="AB177" s="479"/>
      <c r="AC177" s="476"/>
      <c r="AD177" s="476"/>
      <c r="AE177" s="476"/>
      <c r="AF177" s="476"/>
      <c r="AG177" s="479"/>
      <c r="AH177" s="476"/>
      <c r="AI177" s="476"/>
      <c r="AJ177" s="476"/>
      <c r="AK177" s="476"/>
      <c r="AL177" s="479"/>
      <c r="AM177" s="476"/>
      <c r="AN177" s="476"/>
      <c r="AO177" s="476"/>
      <c r="AP177" s="476"/>
      <c r="AQ177" s="479"/>
      <c r="AR177" s="476"/>
      <c r="AS177" s="476"/>
      <c r="AT177" s="476"/>
      <c r="AU177" s="476"/>
      <c r="AV177" s="479"/>
      <c r="AW177" s="476"/>
      <c r="AX177" s="476"/>
      <c r="AY177" s="476"/>
      <c r="AZ177" s="476"/>
      <c r="BA177" s="479"/>
      <c r="BB177" s="476"/>
      <c r="BC177" s="476"/>
      <c r="BD177" s="476"/>
      <c r="BE177" s="476"/>
      <c r="BF177" s="479"/>
      <c r="BG177" s="476"/>
      <c r="BH177" s="476"/>
      <c r="BI177" s="476"/>
      <c r="BJ177" s="476"/>
      <c r="BK177" s="479"/>
      <c r="BL177" s="476"/>
      <c r="BM177" s="476"/>
      <c r="BN177" s="476"/>
      <c r="BO177" s="476"/>
    </row>
    <row r="178" spans="3:67">
      <c r="C178" s="479"/>
      <c r="D178" s="476"/>
      <c r="E178" s="476"/>
      <c r="F178" s="476"/>
      <c r="G178" s="476"/>
      <c r="H178" s="479"/>
      <c r="I178" s="476"/>
      <c r="J178" s="476"/>
      <c r="K178" s="476"/>
      <c r="L178" s="476"/>
      <c r="M178" s="479"/>
      <c r="N178" s="476"/>
      <c r="O178" s="476"/>
      <c r="P178" s="476"/>
      <c r="Q178" s="476"/>
      <c r="R178" s="479"/>
      <c r="S178" s="476"/>
      <c r="T178" s="476"/>
      <c r="U178" s="476"/>
      <c r="V178" s="476"/>
      <c r="W178" s="479"/>
      <c r="X178" s="476"/>
      <c r="Y178" s="476"/>
      <c r="Z178" s="476"/>
      <c r="AA178" s="476"/>
      <c r="AB178" s="479"/>
      <c r="AC178" s="476"/>
      <c r="AD178" s="476"/>
      <c r="AE178" s="476"/>
      <c r="AF178" s="476"/>
      <c r="AG178" s="479"/>
      <c r="AH178" s="476"/>
      <c r="AI178" s="476"/>
      <c r="AJ178" s="476"/>
      <c r="AK178" s="476"/>
      <c r="AL178" s="479"/>
      <c r="AM178" s="476"/>
      <c r="AN178" s="476"/>
      <c r="AO178" s="476"/>
      <c r="AP178" s="476"/>
      <c r="AQ178" s="479"/>
      <c r="AR178" s="476"/>
      <c r="AS178" s="476"/>
      <c r="AT178" s="476"/>
      <c r="AU178" s="476"/>
      <c r="AV178" s="479"/>
      <c r="AW178" s="476"/>
      <c r="AX178" s="476"/>
      <c r="AY178" s="476"/>
      <c r="AZ178" s="476"/>
      <c r="BA178" s="479"/>
      <c r="BB178" s="476"/>
      <c r="BC178" s="476"/>
      <c r="BD178" s="476"/>
      <c r="BE178" s="476"/>
      <c r="BF178" s="479"/>
      <c r="BG178" s="476"/>
      <c r="BH178" s="476"/>
      <c r="BI178" s="476"/>
      <c r="BJ178" s="476"/>
      <c r="BK178" s="479"/>
      <c r="BL178" s="476"/>
      <c r="BM178" s="476"/>
      <c r="BN178" s="476"/>
      <c r="BO178" s="476"/>
    </row>
    <row r="179" spans="3:67">
      <c r="C179" s="430"/>
      <c r="D179" s="477"/>
      <c r="E179" s="477"/>
      <c r="F179" s="477"/>
      <c r="G179" s="477"/>
      <c r="H179" s="430"/>
      <c r="I179" s="477"/>
      <c r="J179" s="477"/>
      <c r="K179" s="477"/>
      <c r="L179" s="477"/>
      <c r="M179" s="430"/>
      <c r="N179" s="477"/>
      <c r="O179" s="477"/>
      <c r="P179" s="477"/>
      <c r="Q179" s="477"/>
      <c r="R179" s="430"/>
      <c r="S179" s="477"/>
      <c r="T179" s="477"/>
      <c r="U179" s="477"/>
      <c r="V179" s="477"/>
      <c r="W179" s="430"/>
      <c r="X179" s="477"/>
      <c r="Y179" s="477"/>
      <c r="Z179" s="477"/>
      <c r="AA179" s="477"/>
      <c r="AB179" s="430"/>
      <c r="AC179" s="477"/>
      <c r="AD179" s="477"/>
      <c r="AE179" s="477"/>
      <c r="AF179" s="477"/>
      <c r="AG179" s="430"/>
      <c r="AH179" s="477"/>
      <c r="AI179" s="477"/>
      <c r="AJ179" s="477"/>
      <c r="AK179" s="477"/>
      <c r="AL179" s="430"/>
      <c r="AM179" s="477"/>
      <c r="AN179" s="477"/>
      <c r="AO179" s="477"/>
      <c r="AP179" s="477"/>
      <c r="AQ179" s="430"/>
      <c r="AR179" s="477"/>
      <c r="AS179" s="477"/>
      <c r="AT179" s="477"/>
      <c r="AU179" s="477"/>
      <c r="AV179" s="430"/>
      <c r="AW179" s="477"/>
      <c r="AX179" s="477"/>
      <c r="AY179" s="477"/>
      <c r="AZ179" s="477"/>
      <c r="BA179" s="430"/>
      <c r="BB179" s="477"/>
      <c r="BC179" s="477"/>
      <c r="BD179" s="477"/>
      <c r="BE179" s="477"/>
      <c r="BF179" s="430"/>
      <c r="BG179" s="477"/>
      <c r="BH179" s="477"/>
      <c r="BI179" s="477"/>
      <c r="BJ179" s="477"/>
      <c r="BK179" s="430"/>
      <c r="BL179" s="477"/>
      <c r="BM179" s="477"/>
      <c r="BN179" s="477"/>
      <c r="BO179" s="477"/>
    </row>
    <row r="180" spans="3:67">
      <c r="C180" s="479"/>
      <c r="D180" s="476"/>
      <c r="E180" s="476"/>
      <c r="F180" s="476"/>
      <c r="G180" s="476"/>
      <c r="H180" s="479"/>
      <c r="I180" s="476"/>
      <c r="J180" s="476"/>
      <c r="K180" s="476"/>
      <c r="L180" s="476"/>
      <c r="M180" s="479"/>
      <c r="N180" s="476"/>
      <c r="O180" s="476"/>
      <c r="P180" s="476"/>
      <c r="Q180" s="476"/>
      <c r="R180" s="479"/>
      <c r="S180" s="476"/>
      <c r="T180" s="476"/>
      <c r="U180" s="476"/>
      <c r="V180" s="476"/>
      <c r="W180" s="479"/>
      <c r="X180" s="476"/>
      <c r="Y180" s="476"/>
      <c r="Z180" s="476"/>
      <c r="AA180" s="476"/>
      <c r="AB180" s="479"/>
      <c r="AC180" s="476"/>
      <c r="AD180" s="476"/>
      <c r="AE180" s="476"/>
      <c r="AF180" s="476"/>
      <c r="AG180" s="479"/>
      <c r="AH180" s="476"/>
      <c r="AI180" s="476"/>
      <c r="AJ180" s="476"/>
      <c r="AK180" s="476"/>
      <c r="AL180" s="479"/>
      <c r="AM180" s="476"/>
      <c r="AN180" s="476"/>
      <c r="AO180" s="476"/>
      <c r="AP180" s="476"/>
      <c r="AQ180" s="479"/>
      <c r="AR180" s="476"/>
      <c r="AS180" s="476"/>
      <c r="AT180" s="476"/>
      <c r="AU180" s="476"/>
      <c r="AV180" s="479"/>
      <c r="AW180" s="476"/>
      <c r="AX180" s="476"/>
      <c r="AY180" s="476"/>
      <c r="AZ180" s="476"/>
      <c r="BA180" s="479"/>
      <c r="BB180" s="476"/>
      <c r="BC180" s="476"/>
      <c r="BD180" s="476"/>
      <c r="BE180" s="476"/>
      <c r="BF180" s="479"/>
      <c r="BG180" s="476"/>
      <c r="BH180" s="476"/>
      <c r="BI180" s="476"/>
      <c r="BJ180" s="476"/>
      <c r="BK180" s="479"/>
      <c r="BL180" s="476"/>
      <c r="BM180" s="476"/>
      <c r="BN180" s="476"/>
      <c r="BO180" s="476"/>
    </row>
    <row r="181" spans="3:67">
      <c r="C181" s="479"/>
      <c r="D181" s="476"/>
      <c r="E181" s="476"/>
      <c r="F181" s="476"/>
      <c r="G181" s="476"/>
      <c r="H181" s="479"/>
      <c r="I181" s="476"/>
      <c r="J181" s="476"/>
      <c r="K181" s="476"/>
      <c r="L181" s="476"/>
      <c r="M181" s="479"/>
      <c r="N181" s="476"/>
      <c r="O181" s="476"/>
      <c r="P181" s="476"/>
      <c r="Q181" s="476"/>
      <c r="R181" s="479"/>
      <c r="S181" s="476"/>
      <c r="T181" s="476"/>
      <c r="U181" s="476"/>
      <c r="V181" s="476"/>
      <c r="W181" s="479"/>
      <c r="X181" s="476"/>
      <c r="Y181" s="476"/>
      <c r="Z181" s="476"/>
      <c r="AA181" s="476"/>
      <c r="AB181" s="479"/>
      <c r="AC181" s="476"/>
      <c r="AD181" s="476"/>
      <c r="AE181" s="476"/>
      <c r="AF181" s="476"/>
      <c r="AG181" s="479"/>
      <c r="AH181" s="476"/>
      <c r="AI181" s="476"/>
      <c r="AJ181" s="476"/>
      <c r="AK181" s="476"/>
      <c r="AL181" s="479"/>
      <c r="AM181" s="476"/>
      <c r="AN181" s="476"/>
      <c r="AO181" s="476"/>
      <c r="AP181" s="476"/>
      <c r="AQ181" s="479"/>
      <c r="AR181" s="476"/>
      <c r="AS181" s="476"/>
      <c r="AT181" s="476"/>
      <c r="AU181" s="476"/>
      <c r="AV181" s="479"/>
      <c r="AW181" s="476"/>
      <c r="AX181" s="476"/>
      <c r="AY181" s="476"/>
      <c r="AZ181" s="476"/>
      <c r="BA181" s="479"/>
      <c r="BB181" s="476"/>
      <c r="BC181" s="476"/>
      <c r="BD181" s="476"/>
      <c r="BE181" s="476"/>
      <c r="BF181" s="479"/>
      <c r="BG181" s="476"/>
      <c r="BH181" s="476"/>
      <c r="BI181" s="476"/>
      <c r="BJ181" s="476"/>
      <c r="BK181" s="479"/>
      <c r="BL181" s="476"/>
      <c r="BM181" s="476"/>
      <c r="BN181" s="476"/>
      <c r="BO181" s="476"/>
    </row>
    <row r="182" spans="3:67">
      <c r="C182" s="479"/>
      <c r="D182" s="476"/>
      <c r="E182" s="476"/>
      <c r="F182" s="476"/>
      <c r="G182" s="476"/>
      <c r="H182" s="479"/>
      <c r="I182" s="476"/>
      <c r="J182" s="476"/>
      <c r="K182" s="476"/>
      <c r="L182" s="476"/>
      <c r="M182" s="479"/>
      <c r="N182" s="476"/>
      <c r="O182" s="476"/>
      <c r="P182" s="476"/>
      <c r="Q182" s="476"/>
      <c r="R182" s="479"/>
      <c r="S182" s="476"/>
      <c r="T182" s="476"/>
      <c r="U182" s="476"/>
      <c r="V182" s="476"/>
      <c r="W182" s="479"/>
      <c r="X182" s="476"/>
      <c r="Y182" s="476"/>
      <c r="Z182" s="476"/>
      <c r="AA182" s="476"/>
      <c r="AB182" s="479"/>
      <c r="AC182" s="476"/>
      <c r="AD182" s="476"/>
      <c r="AE182" s="476"/>
      <c r="AF182" s="476"/>
      <c r="AG182" s="479"/>
      <c r="AH182" s="476"/>
      <c r="AI182" s="476"/>
      <c r="AJ182" s="476"/>
      <c r="AK182" s="476"/>
      <c r="AL182" s="479"/>
      <c r="AM182" s="476"/>
      <c r="AN182" s="476"/>
      <c r="AO182" s="476"/>
      <c r="AP182" s="476"/>
      <c r="AQ182" s="479"/>
      <c r="AR182" s="476"/>
      <c r="AS182" s="476"/>
      <c r="AT182" s="476"/>
      <c r="AU182" s="476"/>
      <c r="AV182" s="479"/>
      <c r="AW182" s="476"/>
      <c r="AX182" s="476"/>
      <c r="AY182" s="476"/>
      <c r="AZ182" s="476"/>
      <c r="BA182" s="479"/>
      <c r="BB182" s="476"/>
      <c r="BC182" s="476"/>
      <c r="BD182" s="476"/>
      <c r="BE182" s="476"/>
      <c r="BF182" s="479"/>
      <c r="BG182" s="476"/>
      <c r="BH182" s="476"/>
      <c r="BI182" s="476"/>
      <c r="BJ182" s="476"/>
      <c r="BK182" s="479"/>
      <c r="BL182" s="476"/>
      <c r="BM182" s="476"/>
      <c r="BN182" s="476"/>
      <c r="BO182" s="476"/>
    </row>
    <row r="183" spans="3:67">
      <c r="C183" s="429"/>
      <c r="D183" s="477"/>
      <c r="E183" s="477"/>
      <c r="F183" s="477"/>
      <c r="G183" s="477"/>
      <c r="H183" s="429"/>
      <c r="I183" s="477"/>
      <c r="J183" s="477"/>
      <c r="K183" s="477"/>
      <c r="L183" s="477"/>
      <c r="M183" s="429"/>
      <c r="N183" s="477"/>
      <c r="O183" s="477"/>
      <c r="P183" s="477"/>
      <c r="Q183" s="477"/>
      <c r="R183" s="429"/>
      <c r="S183" s="477"/>
      <c r="T183" s="477"/>
      <c r="U183" s="477"/>
      <c r="V183" s="477"/>
      <c r="W183" s="429"/>
      <c r="X183" s="477"/>
      <c r="Y183" s="477"/>
      <c r="Z183" s="477"/>
      <c r="AA183" s="477"/>
      <c r="AB183" s="429"/>
      <c r="AC183" s="477"/>
      <c r="AD183" s="477"/>
      <c r="AE183" s="477"/>
      <c r="AF183" s="477"/>
      <c r="AG183" s="429"/>
      <c r="AH183" s="477"/>
      <c r="AI183" s="477"/>
      <c r="AJ183" s="477"/>
      <c r="AK183" s="477"/>
      <c r="AL183" s="429"/>
      <c r="AM183" s="477"/>
      <c r="AN183" s="477"/>
      <c r="AO183" s="477"/>
      <c r="AP183" s="477"/>
      <c r="AQ183" s="429"/>
      <c r="AR183" s="477"/>
      <c r="AS183" s="477"/>
      <c r="AT183" s="477"/>
      <c r="AU183" s="477"/>
      <c r="AV183" s="429"/>
      <c r="AW183" s="477"/>
      <c r="AX183" s="477"/>
      <c r="AY183" s="477"/>
      <c r="AZ183" s="477"/>
      <c r="BA183" s="429"/>
      <c r="BB183" s="477"/>
      <c r="BC183" s="477"/>
      <c r="BD183" s="477"/>
      <c r="BE183" s="477"/>
      <c r="BF183" s="429"/>
      <c r="BG183" s="477"/>
      <c r="BH183" s="477"/>
      <c r="BI183" s="477"/>
      <c r="BJ183" s="477"/>
      <c r="BK183" s="429"/>
      <c r="BL183" s="477"/>
      <c r="BM183" s="477"/>
      <c r="BN183" s="477"/>
      <c r="BO183" s="477"/>
    </row>
    <row r="184" spans="3:67">
      <c r="C184" s="475"/>
      <c r="D184" s="476"/>
      <c r="E184" s="476"/>
      <c r="F184" s="476"/>
      <c r="G184" s="476"/>
      <c r="H184" s="475"/>
      <c r="I184" s="476"/>
      <c r="J184" s="476"/>
      <c r="K184" s="476"/>
      <c r="L184" s="476"/>
      <c r="M184" s="475"/>
      <c r="N184" s="476"/>
      <c r="O184" s="476"/>
      <c r="P184" s="476"/>
      <c r="Q184" s="476"/>
      <c r="R184" s="475"/>
      <c r="S184" s="476"/>
      <c r="T184" s="476"/>
      <c r="U184" s="476"/>
      <c r="V184" s="476"/>
      <c r="W184" s="475"/>
      <c r="X184" s="476"/>
      <c r="Y184" s="476"/>
      <c r="Z184" s="476"/>
      <c r="AA184" s="476"/>
      <c r="AB184" s="475"/>
      <c r="AC184" s="476"/>
      <c r="AD184" s="476"/>
      <c r="AE184" s="476"/>
      <c r="AF184" s="476"/>
      <c r="AG184" s="475"/>
      <c r="AH184" s="476"/>
      <c r="AI184" s="476"/>
      <c r="AJ184" s="476"/>
      <c r="AK184" s="476"/>
      <c r="AL184" s="475"/>
      <c r="AM184" s="476"/>
      <c r="AN184" s="476"/>
      <c r="AO184" s="476"/>
      <c r="AP184" s="476"/>
      <c r="AQ184" s="475"/>
      <c r="AR184" s="476"/>
      <c r="AS184" s="476"/>
      <c r="AT184" s="476"/>
      <c r="AU184" s="476"/>
      <c r="AV184" s="475"/>
      <c r="AW184" s="476"/>
      <c r="AX184" s="476"/>
      <c r="AY184" s="476"/>
      <c r="AZ184" s="476"/>
      <c r="BA184" s="475"/>
      <c r="BB184" s="476"/>
      <c r="BC184" s="476"/>
      <c r="BD184" s="476"/>
      <c r="BE184" s="476"/>
      <c r="BF184" s="475"/>
      <c r="BG184" s="476"/>
      <c r="BH184" s="476"/>
      <c r="BI184" s="476"/>
      <c r="BJ184" s="476"/>
      <c r="BK184" s="475"/>
      <c r="BL184" s="476"/>
      <c r="BM184" s="476"/>
      <c r="BN184" s="476"/>
      <c r="BO184" s="476"/>
    </row>
    <row r="185" spans="3:67">
      <c r="C185" s="475"/>
      <c r="D185" s="476"/>
      <c r="E185" s="476"/>
      <c r="F185" s="476"/>
      <c r="G185" s="476"/>
      <c r="H185" s="475"/>
      <c r="I185" s="476"/>
      <c r="J185" s="476"/>
      <c r="K185" s="476"/>
      <c r="L185" s="476"/>
      <c r="M185" s="475"/>
      <c r="N185" s="476"/>
      <c r="O185" s="476"/>
      <c r="P185" s="476"/>
      <c r="Q185" s="476"/>
      <c r="R185" s="475"/>
      <c r="S185" s="476"/>
      <c r="T185" s="476"/>
      <c r="U185" s="476"/>
      <c r="V185" s="476"/>
      <c r="W185" s="475"/>
      <c r="X185" s="476"/>
      <c r="Y185" s="476"/>
      <c r="Z185" s="476"/>
      <c r="AA185" s="476"/>
      <c r="AB185" s="475"/>
      <c r="AC185" s="476"/>
      <c r="AD185" s="476"/>
      <c r="AE185" s="476"/>
      <c r="AF185" s="476"/>
      <c r="AG185" s="475"/>
      <c r="AH185" s="476"/>
      <c r="AI185" s="476"/>
      <c r="AJ185" s="476"/>
      <c r="AK185" s="476"/>
      <c r="AL185" s="475"/>
      <c r="AM185" s="476"/>
      <c r="AN185" s="476"/>
      <c r="AO185" s="476"/>
      <c r="AP185" s="476"/>
      <c r="AQ185" s="475"/>
      <c r="AR185" s="476"/>
      <c r="AS185" s="476"/>
      <c r="AT185" s="476"/>
      <c r="AU185" s="476"/>
      <c r="AV185" s="475"/>
      <c r="AW185" s="476"/>
      <c r="AX185" s="476"/>
      <c r="AY185" s="476"/>
      <c r="AZ185" s="476"/>
      <c r="BA185" s="475"/>
      <c r="BB185" s="476"/>
      <c r="BC185" s="476"/>
      <c r="BD185" s="476"/>
      <c r="BE185" s="476"/>
      <c r="BF185" s="475"/>
      <c r="BG185" s="476"/>
      <c r="BH185" s="476"/>
      <c r="BI185" s="476"/>
      <c r="BJ185" s="476"/>
      <c r="BK185" s="475"/>
      <c r="BL185" s="476"/>
      <c r="BM185" s="476"/>
      <c r="BN185" s="476"/>
      <c r="BO185" s="476"/>
    </row>
    <row r="186" spans="3:67">
      <c r="C186" s="475"/>
      <c r="D186" s="476"/>
      <c r="E186" s="476"/>
      <c r="F186" s="476"/>
      <c r="G186" s="476"/>
      <c r="H186" s="475"/>
      <c r="I186" s="476"/>
      <c r="J186" s="476"/>
      <c r="K186" s="476"/>
      <c r="L186" s="476"/>
      <c r="M186" s="475"/>
      <c r="N186" s="476"/>
      <c r="O186" s="476"/>
      <c r="P186" s="476"/>
      <c r="Q186" s="476"/>
      <c r="R186" s="475"/>
      <c r="S186" s="476"/>
      <c r="T186" s="476"/>
      <c r="U186" s="476"/>
      <c r="V186" s="476"/>
      <c r="W186" s="475"/>
      <c r="X186" s="476"/>
      <c r="Y186" s="476"/>
      <c r="Z186" s="476"/>
      <c r="AA186" s="476"/>
      <c r="AB186" s="475"/>
      <c r="AC186" s="476"/>
      <c r="AD186" s="476"/>
      <c r="AE186" s="476"/>
      <c r="AF186" s="476"/>
      <c r="AG186" s="475"/>
      <c r="AH186" s="476"/>
      <c r="AI186" s="476"/>
      <c r="AJ186" s="476"/>
      <c r="AK186" s="476"/>
      <c r="AL186" s="475"/>
      <c r="AM186" s="476"/>
      <c r="AN186" s="476"/>
      <c r="AO186" s="476"/>
      <c r="AP186" s="476"/>
      <c r="AQ186" s="475"/>
      <c r="AR186" s="476"/>
      <c r="AS186" s="476"/>
      <c r="AT186" s="476"/>
      <c r="AU186" s="476"/>
      <c r="AV186" s="475"/>
      <c r="AW186" s="476"/>
      <c r="AX186" s="476"/>
      <c r="AY186" s="476"/>
      <c r="AZ186" s="476"/>
      <c r="BA186" s="475"/>
      <c r="BB186" s="476"/>
      <c r="BC186" s="476"/>
      <c r="BD186" s="476"/>
      <c r="BE186" s="476"/>
      <c r="BF186" s="475"/>
      <c r="BG186" s="476"/>
      <c r="BH186" s="476"/>
      <c r="BI186" s="476"/>
      <c r="BJ186" s="476"/>
      <c r="BK186" s="475"/>
      <c r="BL186" s="476"/>
      <c r="BM186" s="476"/>
      <c r="BN186" s="476"/>
      <c r="BO186" s="476"/>
    </row>
    <row r="187" spans="3:67">
      <c r="C187" s="480"/>
      <c r="D187" s="481"/>
      <c r="E187" s="481"/>
      <c r="F187" s="481"/>
      <c r="G187" s="481"/>
      <c r="H187" s="480"/>
      <c r="I187" s="481"/>
      <c r="J187" s="481"/>
      <c r="K187" s="481"/>
      <c r="L187" s="481"/>
      <c r="M187" s="480"/>
      <c r="N187" s="481"/>
      <c r="O187" s="481"/>
      <c r="P187" s="481"/>
      <c r="Q187" s="481"/>
      <c r="R187" s="480"/>
      <c r="S187" s="481"/>
      <c r="T187" s="481"/>
      <c r="U187" s="481"/>
      <c r="V187" s="481"/>
      <c r="W187" s="480"/>
      <c r="X187" s="481"/>
      <c r="Y187" s="481"/>
      <c r="Z187" s="481"/>
      <c r="AA187" s="481"/>
      <c r="AB187" s="480"/>
      <c r="AC187" s="481"/>
      <c r="AD187" s="481"/>
      <c r="AE187" s="481"/>
      <c r="AF187" s="481"/>
      <c r="AG187" s="480"/>
      <c r="AH187" s="481"/>
      <c r="AI187" s="481"/>
      <c r="AJ187" s="481"/>
      <c r="AK187" s="481"/>
      <c r="AL187" s="480"/>
      <c r="AM187" s="481"/>
      <c r="AN187" s="481"/>
      <c r="AO187" s="481"/>
      <c r="AP187" s="481"/>
      <c r="AQ187" s="480"/>
      <c r="AR187" s="481"/>
      <c r="AS187" s="481"/>
      <c r="AT187" s="481"/>
      <c r="AU187" s="481"/>
      <c r="AV187" s="480"/>
      <c r="AW187" s="481"/>
      <c r="AX187" s="481"/>
      <c r="AY187" s="481"/>
      <c r="AZ187" s="481"/>
      <c r="BA187" s="480"/>
      <c r="BB187" s="481"/>
      <c r="BC187" s="481"/>
      <c r="BD187" s="481"/>
      <c r="BE187" s="481"/>
      <c r="BF187" s="480"/>
      <c r="BG187" s="481"/>
      <c r="BH187" s="481"/>
      <c r="BI187" s="481"/>
      <c r="BJ187" s="481"/>
      <c r="BK187" s="480"/>
      <c r="BL187" s="481"/>
      <c r="BM187" s="481"/>
      <c r="BN187" s="481"/>
      <c r="BO187" s="481"/>
    </row>
    <row r="188" spans="3:67">
      <c r="C188" s="475"/>
      <c r="D188" s="476"/>
      <c r="E188" s="476"/>
      <c r="F188" s="476"/>
      <c r="G188" s="476"/>
      <c r="H188" s="475"/>
      <c r="I188" s="476"/>
      <c r="J188" s="476"/>
      <c r="K188" s="476"/>
      <c r="L188" s="476"/>
      <c r="M188" s="475"/>
      <c r="N188" s="476"/>
      <c r="O188" s="476"/>
      <c r="P188" s="476"/>
      <c r="Q188" s="476"/>
      <c r="R188" s="475"/>
      <c r="S188" s="476"/>
      <c r="T188" s="476"/>
      <c r="U188" s="476"/>
      <c r="V188" s="476"/>
      <c r="W188" s="475"/>
      <c r="X188" s="476"/>
      <c r="Y188" s="476"/>
      <c r="Z188" s="476"/>
      <c r="AA188" s="476"/>
      <c r="AB188" s="475"/>
      <c r="AC188" s="476"/>
      <c r="AD188" s="476"/>
      <c r="AE188" s="476"/>
      <c r="AF188" s="476"/>
      <c r="AG188" s="475"/>
      <c r="AH188" s="476"/>
      <c r="AI188" s="476"/>
      <c r="AJ188" s="476"/>
      <c r="AK188" s="476"/>
      <c r="AL188" s="475"/>
      <c r="AM188" s="476"/>
      <c r="AN188" s="476"/>
      <c r="AO188" s="476"/>
      <c r="AP188" s="476"/>
      <c r="AQ188" s="475"/>
      <c r="AR188" s="476"/>
      <c r="AS188" s="476"/>
      <c r="AT188" s="476"/>
      <c r="AU188" s="476"/>
      <c r="AV188" s="475"/>
      <c r="AW188" s="476"/>
      <c r="AX188" s="476"/>
      <c r="AY188" s="476"/>
      <c r="AZ188" s="476"/>
      <c r="BA188" s="475"/>
      <c r="BB188" s="476"/>
      <c r="BC188" s="476"/>
      <c r="BD188" s="476"/>
      <c r="BE188" s="476"/>
      <c r="BF188" s="475"/>
      <c r="BG188" s="476"/>
      <c r="BH188" s="476"/>
      <c r="BI188" s="476"/>
      <c r="BJ188" s="476"/>
      <c r="BK188" s="475"/>
      <c r="BL188" s="476"/>
      <c r="BM188" s="476"/>
      <c r="BN188" s="476"/>
      <c r="BO188" s="476"/>
    </row>
    <row r="189" spans="3:67">
      <c r="C189" s="475"/>
      <c r="D189" s="476"/>
      <c r="E189" s="476"/>
      <c r="F189" s="476"/>
      <c r="G189" s="476"/>
      <c r="H189" s="475"/>
      <c r="I189" s="476"/>
      <c r="J189" s="476"/>
      <c r="K189" s="476"/>
      <c r="L189" s="476"/>
      <c r="M189" s="475"/>
      <c r="N189" s="476"/>
      <c r="O189" s="476"/>
      <c r="P189" s="476"/>
      <c r="Q189" s="476"/>
      <c r="R189" s="475"/>
      <c r="S189" s="476"/>
      <c r="T189" s="476"/>
      <c r="U189" s="476"/>
      <c r="V189" s="476"/>
      <c r="W189" s="475"/>
      <c r="X189" s="476"/>
      <c r="Y189" s="476"/>
      <c r="Z189" s="476"/>
      <c r="AA189" s="476"/>
      <c r="AB189" s="475"/>
      <c r="AC189" s="476"/>
      <c r="AD189" s="476"/>
      <c r="AE189" s="476"/>
      <c r="AF189" s="476"/>
      <c r="AG189" s="475"/>
      <c r="AH189" s="476"/>
      <c r="AI189" s="476"/>
      <c r="AJ189" s="476"/>
      <c r="AK189" s="476"/>
      <c r="AL189" s="475"/>
      <c r="AM189" s="476"/>
      <c r="AN189" s="476"/>
      <c r="AO189" s="476"/>
      <c r="AP189" s="476"/>
      <c r="AQ189" s="475"/>
      <c r="AR189" s="476"/>
      <c r="AS189" s="476"/>
      <c r="AT189" s="476"/>
      <c r="AU189" s="476"/>
      <c r="AV189" s="475"/>
      <c r="AW189" s="476"/>
      <c r="AX189" s="476"/>
      <c r="AY189" s="476"/>
      <c r="AZ189" s="476"/>
      <c r="BA189" s="475"/>
      <c r="BB189" s="476"/>
      <c r="BC189" s="476"/>
      <c r="BD189" s="476"/>
      <c r="BE189" s="476"/>
      <c r="BF189" s="475"/>
      <c r="BG189" s="476"/>
      <c r="BH189" s="476"/>
      <c r="BI189" s="476"/>
      <c r="BJ189" s="476"/>
      <c r="BK189" s="475"/>
      <c r="BL189" s="476"/>
      <c r="BM189" s="476"/>
      <c r="BN189" s="476"/>
      <c r="BO189" s="476"/>
    </row>
    <row r="190" spans="3:67">
      <c r="C190" s="475"/>
      <c r="D190" s="476"/>
      <c r="E190" s="476"/>
      <c r="F190" s="476"/>
      <c r="G190" s="476"/>
      <c r="H190" s="475"/>
      <c r="I190" s="476"/>
      <c r="J190" s="476"/>
      <c r="K190" s="476"/>
      <c r="L190" s="476"/>
      <c r="M190" s="475"/>
      <c r="N190" s="476"/>
      <c r="O190" s="476"/>
      <c r="P190" s="476"/>
      <c r="Q190" s="476"/>
      <c r="R190" s="475"/>
      <c r="S190" s="476"/>
      <c r="T190" s="476"/>
      <c r="U190" s="476"/>
      <c r="V190" s="476"/>
      <c r="W190" s="475"/>
      <c r="X190" s="476"/>
      <c r="Y190" s="476"/>
      <c r="Z190" s="476"/>
      <c r="AA190" s="476"/>
      <c r="AB190" s="475"/>
      <c r="AC190" s="476"/>
      <c r="AD190" s="476"/>
      <c r="AE190" s="476"/>
      <c r="AF190" s="476"/>
      <c r="AG190" s="475"/>
      <c r="AH190" s="476"/>
      <c r="AI190" s="476"/>
      <c r="AJ190" s="476"/>
      <c r="AK190" s="476"/>
      <c r="AL190" s="475"/>
      <c r="AM190" s="476"/>
      <c r="AN190" s="476"/>
      <c r="AO190" s="476"/>
      <c r="AP190" s="476"/>
      <c r="AQ190" s="475"/>
      <c r="AR190" s="476"/>
      <c r="AS190" s="476"/>
      <c r="AT190" s="476"/>
      <c r="AU190" s="476"/>
      <c r="AV190" s="475"/>
      <c r="AW190" s="476"/>
      <c r="AX190" s="476"/>
      <c r="AY190" s="476"/>
      <c r="AZ190" s="476"/>
      <c r="BA190" s="475"/>
      <c r="BB190" s="476"/>
      <c r="BC190" s="476"/>
      <c r="BD190" s="476"/>
      <c r="BE190" s="476"/>
      <c r="BF190" s="475"/>
      <c r="BG190" s="476"/>
      <c r="BH190" s="476"/>
      <c r="BI190" s="476"/>
      <c r="BJ190" s="476"/>
      <c r="BK190" s="475"/>
      <c r="BL190" s="476"/>
      <c r="BM190" s="476"/>
      <c r="BN190" s="476"/>
      <c r="BO190" s="476"/>
    </row>
    <row r="191" spans="3:67">
      <c r="C191" s="429"/>
      <c r="D191" s="477"/>
      <c r="E191" s="477"/>
      <c r="F191" s="477"/>
      <c r="G191" s="477"/>
      <c r="H191" s="429"/>
      <c r="I191" s="477"/>
      <c r="J191" s="477"/>
      <c r="K191" s="477"/>
      <c r="L191" s="477"/>
      <c r="M191" s="429"/>
      <c r="N191" s="477"/>
      <c r="O191" s="477"/>
      <c r="P191" s="477"/>
      <c r="Q191" s="477"/>
      <c r="R191" s="429"/>
      <c r="S191" s="477"/>
      <c r="T191" s="477"/>
      <c r="U191" s="477"/>
      <c r="V191" s="477"/>
      <c r="W191" s="429"/>
      <c r="X191" s="477"/>
      <c r="Y191" s="477"/>
      <c r="Z191" s="477"/>
      <c r="AA191" s="477"/>
      <c r="AB191" s="429"/>
      <c r="AC191" s="477"/>
      <c r="AD191" s="477"/>
      <c r="AE191" s="477"/>
      <c r="AF191" s="477"/>
      <c r="AG191" s="429"/>
      <c r="AH191" s="477"/>
      <c r="AI191" s="477"/>
      <c r="AJ191" s="477"/>
      <c r="AK191" s="477"/>
      <c r="AL191" s="429"/>
      <c r="AM191" s="477"/>
      <c r="AN191" s="477"/>
      <c r="AO191" s="477"/>
      <c r="AP191" s="477"/>
      <c r="AQ191" s="429"/>
      <c r="AR191" s="477"/>
      <c r="AS191" s="477"/>
      <c r="AT191" s="477"/>
      <c r="AU191" s="477"/>
      <c r="AV191" s="429"/>
      <c r="AW191" s="477"/>
      <c r="AX191" s="477"/>
      <c r="AY191" s="477"/>
      <c r="AZ191" s="477"/>
      <c r="BA191" s="429"/>
      <c r="BB191" s="477"/>
      <c r="BC191" s="477"/>
      <c r="BD191" s="477"/>
      <c r="BE191" s="477"/>
      <c r="BF191" s="429"/>
      <c r="BG191" s="477"/>
      <c r="BH191" s="477"/>
      <c r="BI191" s="477"/>
      <c r="BJ191" s="477"/>
      <c r="BK191" s="429"/>
      <c r="BL191" s="477"/>
      <c r="BM191" s="477"/>
      <c r="BN191" s="477"/>
      <c r="BO191" s="477"/>
    </row>
    <row r="192" spans="3:67">
      <c r="C192" s="475"/>
      <c r="D192" s="476"/>
      <c r="E192" s="476"/>
      <c r="F192" s="476"/>
      <c r="G192" s="476"/>
      <c r="H192" s="475"/>
      <c r="I192" s="476"/>
      <c r="J192" s="476"/>
      <c r="K192" s="476"/>
      <c r="L192" s="476"/>
      <c r="M192" s="475"/>
      <c r="N192" s="476"/>
      <c r="O192" s="476"/>
      <c r="P192" s="476"/>
      <c r="Q192" s="476"/>
      <c r="R192" s="475"/>
      <c r="S192" s="476"/>
      <c r="T192" s="476"/>
      <c r="U192" s="476"/>
      <c r="V192" s="476"/>
      <c r="W192" s="475"/>
      <c r="X192" s="476"/>
      <c r="Y192" s="476"/>
      <c r="Z192" s="476"/>
      <c r="AA192" s="476"/>
      <c r="AB192" s="475"/>
      <c r="AC192" s="476"/>
      <c r="AD192" s="476"/>
      <c r="AE192" s="476"/>
      <c r="AF192" s="476"/>
      <c r="AG192" s="475"/>
      <c r="AH192" s="476"/>
      <c r="AI192" s="476"/>
      <c r="AJ192" s="476"/>
      <c r="AK192" s="476"/>
      <c r="AL192" s="475"/>
      <c r="AM192" s="476"/>
      <c r="AN192" s="476"/>
      <c r="AO192" s="476"/>
      <c r="AP192" s="476"/>
      <c r="AQ192" s="475"/>
      <c r="AR192" s="476"/>
      <c r="AS192" s="476"/>
      <c r="AT192" s="476"/>
      <c r="AU192" s="476"/>
      <c r="AV192" s="475"/>
      <c r="AW192" s="476"/>
      <c r="AX192" s="476"/>
      <c r="AY192" s="476"/>
      <c r="AZ192" s="476"/>
      <c r="BA192" s="475"/>
      <c r="BB192" s="476"/>
      <c r="BC192" s="476"/>
      <c r="BD192" s="476"/>
      <c r="BE192" s="476"/>
      <c r="BF192" s="475"/>
      <c r="BG192" s="476"/>
      <c r="BH192" s="476"/>
      <c r="BI192" s="476"/>
      <c r="BJ192" s="476"/>
      <c r="BK192" s="475"/>
      <c r="BL192" s="476"/>
      <c r="BM192" s="476"/>
      <c r="BN192" s="476"/>
      <c r="BO192" s="476"/>
    </row>
    <row r="193" spans="3:67">
      <c r="C193" s="475"/>
      <c r="D193" s="476"/>
      <c r="E193" s="476"/>
      <c r="F193" s="476"/>
      <c r="G193" s="476"/>
      <c r="H193" s="475"/>
      <c r="I193" s="476"/>
      <c r="J193" s="476"/>
      <c r="K193" s="476"/>
      <c r="L193" s="476"/>
      <c r="M193" s="475"/>
      <c r="N193" s="476"/>
      <c r="O193" s="476"/>
      <c r="P193" s="476"/>
      <c r="Q193" s="476"/>
      <c r="R193" s="475"/>
      <c r="S193" s="476"/>
      <c r="T193" s="476"/>
      <c r="U193" s="476"/>
      <c r="V193" s="476"/>
      <c r="W193" s="475"/>
      <c r="X193" s="476"/>
      <c r="Y193" s="476"/>
      <c r="Z193" s="476"/>
      <c r="AA193" s="476"/>
      <c r="AB193" s="475"/>
      <c r="AC193" s="476"/>
      <c r="AD193" s="476"/>
      <c r="AE193" s="476"/>
      <c r="AF193" s="476"/>
      <c r="AG193" s="475"/>
      <c r="AH193" s="476"/>
      <c r="AI193" s="476"/>
      <c r="AJ193" s="476"/>
      <c r="AK193" s="476"/>
      <c r="AL193" s="475"/>
      <c r="AM193" s="476"/>
      <c r="AN193" s="476"/>
      <c r="AO193" s="476"/>
      <c r="AP193" s="476"/>
      <c r="AQ193" s="475"/>
      <c r="AR193" s="476"/>
      <c r="AS193" s="476"/>
      <c r="AT193" s="476"/>
      <c r="AU193" s="476"/>
      <c r="AV193" s="475"/>
      <c r="AW193" s="476"/>
      <c r="AX193" s="476"/>
      <c r="AY193" s="476"/>
      <c r="AZ193" s="476"/>
      <c r="BA193" s="475"/>
      <c r="BB193" s="476"/>
      <c r="BC193" s="476"/>
      <c r="BD193" s="476"/>
      <c r="BE193" s="476"/>
      <c r="BF193" s="475"/>
      <c r="BG193" s="476"/>
      <c r="BH193" s="476"/>
      <c r="BI193" s="476"/>
      <c r="BJ193" s="476"/>
      <c r="BK193" s="475"/>
      <c r="BL193" s="476"/>
      <c r="BM193" s="476"/>
      <c r="BN193" s="476"/>
      <c r="BO193" s="476"/>
    </row>
    <row r="194" spans="3:67">
      <c r="C194" s="475"/>
      <c r="D194" s="476"/>
      <c r="E194" s="476"/>
      <c r="F194" s="476"/>
      <c r="G194" s="476"/>
      <c r="H194" s="475"/>
      <c r="I194" s="476"/>
      <c r="J194" s="476"/>
      <c r="K194" s="476"/>
      <c r="L194" s="476"/>
      <c r="M194" s="475"/>
      <c r="N194" s="476"/>
      <c r="O194" s="476"/>
      <c r="P194" s="476"/>
      <c r="Q194" s="476"/>
      <c r="R194" s="475"/>
      <c r="S194" s="476"/>
      <c r="T194" s="476"/>
      <c r="U194" s="476"/>
      <c r="V194" s="476"/>
      <c r="W194" s="475"/>
      <c r="X194" s="476"/>
      <c r="Y194" s="476"/>
      <c r="Z194" s="476"/>
      <c r="AA194" s="476"/>
      <c r="AB194" s="475"/>
      <c r="AC194" s="476"/>
      <c r="AD194" s="476"/>
      <c r="AE194" s="476"/>
      <c r="AF194" s="476"/>
      <c r="AG194" s="475"/>
      <c r="AH194" s="476"/>
      <c r="AI194" s="476"/>
      <c r="AJ194" s="476"/>
      <c r="AK194" s="476"/>
      <c r="AL194" s="475"/>
      <c r="AM194" s="476"/>
      <c r="AN194" s="476"/>
      <c r="AO194" s="476"/>
      <c r="AP194" s="476"/>
      <c r="AQ194" s="475"/>
      <c r="AR194" s="476"/>
      <c r="AS194" s="476"/>
      <c r="AT194" s="476"/>
      <c r="AU194" s="476"/>
      <c r="AV194" s="475"/>
      <c r="AW194" s="476"/>
      <c r="AX194" s="476"/>
      <c r="AY194" s="476"/>
      <c r="AZ194" s="476"/>
      <c r="BA194" s="475"/>
      <c r="BB194" s="476"/>
      <c r="BC194" s="476"/>
      <c r="BD194" s="476"/>
      <c r="BE194" s="476"/>
      <c r="BF194" s="475"/>
      <c r="BG194" s="476"/>
      <c r="BH194" s="476"/>
      <c r="BI194" s="476"/>
      <c r="BJ194" s="476"/>
      <c r="BK194" s="475"/>
      <c r="BL194" s="476"/>
      <c r="BM194" s="476"/>
      <c r="BN194" s="476"/>
      <c r="BO194" s="476"/>
    </row>
    <row r="195" spans="3:67">
      <c r="C195" s="482"/>
      <c r="D195" s="483"/>
      <c r="E195" s="483"/>
      <c r="F195" s="483"/>
      <c r="G195" s="483"/>
      <c r="H195" s="482"/>
      <c r="I195" s="483"/>
      <c r="J195" s="483"/>
      <c r="K195" s="483"/>
      <c r="L195" s="483"/>
      <c r="M195" s="482"/>
      <c r="N195" s="483"/>
      <c r="O195" s="483"/>
      <c r="P195" s="483"/>
      <c r="Q195" s="483"/>
      <c r="R195" s="482"/>
      <c r="S195" s="483"/>
      <c r="T195" s="483"/>
      <c r="U195" s="483"/>
      <c r="V195" s="483"/>
      <c r="W195" s="482"/>
      <c r="X195" s="483"/>
      <c r="Y195" s="483"/>
      <c r="Z195" s="483"/>
      <c r="AA195" s="483"/>
      <c r="AB195" s="482"/>
      <c r="AC195" s="483"/>
      <c r="AD195" s="483"/>
      <c r="AE195" s="483"/>
      <c r="AF195" s="483"/>
      <c r="AG195" s="482"/>
      <c r="AH195" s="483"/>
      <c r="AI195" s="483"/>
      <c r="AJ195" s="483"/>
      <c r="AK195" s="483"/>
      <c r="AL195" s="482"/>
      <c r="AM195" s="483"/>
      <c r="AN195" s="483"/>
      <c r="AO195" s="483"/>
      <c r="AP195" s="483"/>
      <c r="AQ195" s="482"/>
      <c r="AR195" s="483"/>
      <c r="AS195" s="483"/>
      <c r="AT195" s="483"/>
      <c r="AU195" s="483"/>
      <c r="AV195" s="482"/>
      <c r="AW195" s="483"/>
      <c r="AX195" s="483"/>
      <c r="AY195" s="483"/>
      <c r="AZ195" s="483"/>
      <c r="BA195" s="482"/>
      <c r="BB195" s="483"/>
      <c r="BC195" s="483"/>
      <c r="BD195" s="483"/>
      <c r="BE195" s="483"/>
      <c r="BF195" s="482"/>
      <c r="BG195" s="483"/>
      <c r="BH195" s="483"/>
      <c r="BI195" s="483"/>
      <c r="BJ195" s="483"/>
      <c r="BK195" s="482"/>
      <c r="BL195" s="483"/>
      <c r="BM195" s="483"/>
      <c r="BN195" s="483"/>
      <c r="BO195" s="483"/>
    </row>
    <row r="196" spans="3:67">
      <c r="C196" s="475"/>
      <c r="D196" s="476"/>
      <c r="E196" s="476"/>
      <c r="F196" s="476"/>
      <c r="G196" s="476"/>
      <c r="H196" s="475"/>
      <c r="I196" s="476"/>
      <c r="J196" s="476"/>
      <c r="K196" s="476"/>
      <c r="L196" s="476"/>
      <c r="M196" s="475"/>
      <c r="N196" s="476"/>
      <c r="O196" s="476"/>
      <c r="P196" s="476"/>
      <c r="Q196" s="476"/>
      <c r="R196" s="475"/>
      <c r="S196" s="476"/>
      <c r="T196" s="476"/>
      <c r="U196" s="476"/>
      <c r="V196" s="476"/>
      <c r="W196" s="475"/>
      <c r="X196" s="476"/>
      <c r="Y196" s="476"/>
      <c r="Z196" s="476"/>
      <c r="AA196" s="476"/>
      <c r="AB196" s="475"/>
      <c r="AC196" s="476"/>
      <c r="AD196" s="476"/>
      <c r="AE196" s="476"/>
      <c r="AF196" s="476"/>
      <c r="AG196" s="475"/>
      <c r="AH196" s="476"/>
      <c r="AI196" s="476"/>
      <c r="AJ196" s="476"/>
      <c r="AK196" s="476"/>
      <c r="AL196" s="475"/>
      <c r="AM196" s="476"/>
      <c r="AN196" s="476"/>
      <c r="AO196" s="476"/>
      <c r="AP196" s="476"/>
      <c r="AQ196" s="475"/>
      <c r="AR196" s="476"/>
      <c r="AS196" s="476"/>
      <c r="AT196" s="476"/>
      <c r="AU196" s="476"/>
      <c r="AV196" s="475"/>
      <c r="AW196" s="476"/>
      <c r="AX196" s="476"/>
      <c r="AY196" s="476"/>
      <c r="AZ196" s="476"/>
      <c r="BA196" s="475"/>
      <c r="BB196" s="476"/>
      <c r="BC196" s="476"/>
      <c r="BD196" s="476"/>
      <c r="BE196" s="476"/>
      <c r="BF196" s="475"/>
      <c r="BG196" s="476"/>
      <c r="BH196" s="476"/>
      <c r="BI196" s="476"/>
      <c r="BJ196" s="476"/>
      <c r="BK196" s="475"/>
      <c r="BL196" s="476"/>
      <c r="BM196" s="476"/>
      <c r="BN196" s="476"/>
      <c r="BO196" s="476"/>
    </row>
    <row r="197" spans="3:67">
      <c r="C197" s="475"/>
      <c r="D197" s="476"/>
      <c r="E197" s="476"/>
      <c r="F197" s="476"/>
      <c r="G197" s="476"/>
      <c r="H197" s="475"/>
      <c r="I197" s="476"/>
      <c r="J197" s="476"/>
      <c r="K197" s="476"/>
      <c r="L197" s="476"/>
      <c r="M197" s="475"/>
      <c r="N197" s="476"/>
      <c r="O197" s="476"/>
      <c r="P197" s="476"/>
      <c r="Q197" s="476"/>
      <c r="R197" s="475"/>
      <c r="S197" s="476"/>
      <c r="T197" s="476"/>
      <c r="U197" s="476"/>
      <c r="V197" s="476"/>
      <c r="W197" s="475"/>
      <c r="X197" s="476"/>
      <c r="Y197" s="476"/>
      <c r="Z197" s="476"/>
      <c r="AA197" s="476"/>
      <c r="AB197" s="475"/>
      <c r="AC197" s="476"/>
      <c r="AD197" s="476"/>
      <c r="AE197" s="476"/>
      <c r="AF197" s="476"/>
      <c r="AG197" s="475"/>
      <c r="AH197" s="476"/>
      <c r="AI197" s="476"/>
      <c r="AJ197" s="476"/>
      <c r="AK197" s="476"/>
      <c r="AL197" s="475"/>
      <c r="AM197" s="476"/>
      <c r="AN197" s="476"/>
      <c r="AO197" s="476"/>
      <c r="AP197" s="476"/>
      <c r="AQ197" s="475"/>
      <c r="AR197" s="476"/>
      <c r="AS197" s="476"/>
      <c r="AT197" s="476"/>
      <c r="AU197" s="476"/>
      <c r="AV197" s="475"/>
      <c r="AW197" s="476"/>
      <c r="AX197" s="476"/>
      <c r="AY197" s="476"/>
      <c r="AZ197" s="476"/>
      <c r="BA197" s="475"/>
      <c r="BB197" s="476"/>
      <c r="BC197" s="476"/>
      <c r="BD197" s="476"/>
      <c r="BE197" s="476"/>
      <c r="BF197" s="475"/>
      <c r="BG197" s="476"/>
      <c r="BH197" s="476"/>
      <c r="BI197" s="476"/>
      <c r="BJ197" s="476"/>
      <c r="BK197" s="475"/>
      <c r="BL197" s="476"/>
      <c r="BM197" s="476"/>
      <c r="BN197" s="476"/>
      <c r="BO197" s="476"/>
    </row>
    <row r="198" spans="3:67">
      <c r="C198" s="484"/>
      <c r="D198" s="485"/>
      <c r="E198" s="485"/>
      <c r="F198" s="485"/>
      <c r="G198" s="485"/>
      <c r="H198" s="484"/>
      <c r="I198" s="485"/>
      <c r="J198" s="485"/>
      <c r="K198" s="485"/>
      <c r="L198" s="485"/>
      <c r="M198" s="484"/>
      <c r="N198" s="485"/>
      <c r="O198" s="485"/>
      <c r="P198" s="485"/>
      <c r="Q198" s="485"/>
      <c r="R198" s="484"/>
      <c r="S198" s="485"/>
      <c r="T198" s="485"/>
      <c r="U198" s="485"/>
      <c r="V198" s="485"/>
      <c r="W198" s="484"/>
      <c r="X198" s="485"/>
      <c r="Y198" s="485"/>
      <c r="Z198" s="485"/>
      <c r="AA198" s="485"/>
      <c r="AB198" s="484"/>
      <c r="AC198" s="485"/>
      <c r="AD198" s="485"/>
      <c r="AE198" s="485"/>
      <c r="AF198" s="485"/>
      <c r="AG198" s="484"/>
      <c r="AH198" s="485"/>
      <c r="AI198" s="485"/>
      <c r="AJ198" s="485"/>
      <c r="AK198" s="485"/>
      <c r="AL198" s="484"/>
      <c r="AM198" s="485"/>
      <c r="AN198" s="485"/>
      <c r="AO198" s="485"/>
      <c r="AP198" s="485"/>
      <c r="AQ198" s="484"/>
      <c r="AR198" s="485"/>
      <c r="AS198" s="485"/>
      <c r="AT198" s="485"/>
      <c r="AU198" s="485"/>
      <c r="AV198" s="484"/>
      <c r="AW198" s="485"/>
      <c r="AX198" s="485"/>
      <c r="AY198" s="485"/>
      <c r="AZ198" s="485"/>
      <c r="BA198" s="484"/>
      <c r="BB198" s="485"/>
      <c r="BC198" s="485"/>
      <c r="BD198" s="485"/>
      <c r="BE198" s="485"/>
      <c r="BF198" s="484"/>
      <c r="BG198" s="485"/>
      <c r="BH198" s="485"/>
      <c r="BI198" s="485"/>
      <c r="BJ198" s="485"/>
      <c r="BK198" s="484"/>
      <c r="BL198" s="485"/>
      <c r="BM198" s="485"/>
      <c r="BN198" s="485"/>
      <c r="BO198" s="485"/>
    </row>
    <row r="200" spans="3:67">
      <c r="C200" s="486"/>
      <c r="D200" s="487"/>
      <c r="E200" s="487"/>
      <c r="F200" s="487"/>
      <c r="G200" s="487"/>
      <c r="H200" s="486"/>
      <c r="I200" s="487"/>
      <c r="J200" s="487"/>
      <c r="K200" s="487"/>
      <c r="L200" s="487"/>
      <c r="M200" s="486"/>
      <c r="N200" s="487"/>
      <c r="O200" s="487"/>
      <c r="P200" s="487"/>
      <c r="Q200" s="487"/>
      <c r="R200" s="486"/>
      <c r="S200" s="487"/>
      <c r="T200" s="487"/>
      <c r="U200" s="487"/>
      <c r="V200" s="487"/>
      <c r="W200" s="486"/>
      <c r="X200" s="487"/>
      <c r="Y200" s="487"/>
      <c r="Z200" s="487"/>
      <c r="AA200" s="487"/>
      <c r="AB200" s="486"/>
      <c r="AC200" s="487"/>
      <c r="AD200" s="487"/>
      <c r="AE200" s="487"/>
      <c r="AF200" s="487"/>
      <c r="AG200" s="486"/>
      <c r="AH200" s="487"/>
      <c r="AI200" s="487"/>
      <c r="AJ200" s="487"/>
      <c r="AK200" s="487"/>
      <c r="AL200" s="486"/>
      <c r="AM200" s="487"/>
      <c r="AN200" s="487"/>
      <c r="AO200" s="487"/>
      <c r="AP200" s="487"/>
      <c r="AQ200" s="486"/>
      <c r="AR200" s="487"/>
      <c r="AS200" s="487"/>
      <c r="AT200" s="487"/>
      <c r="AU200" s="487"/>
      <c r="AV200" s="486"/>
      <c r="AW200" s="487"/>
      <c r="AX200" s="487"/>
      <c r="AY200" s="487"/>
      <c r="AZ200" s="487"/>
      <c r="BA200" s="486"/>
      <c r="BB200" s="487"/>
      <c r="BC200" s="487"/>
      <c r="BD200" s="487"/>
      <c r="BE200" s="487"/>
      <c r="BF200" s="486"/>
      <c r="BG200" s="487"/>
      <c r="BH200" s="487"/>
      <c r="BI200" s="487"/>
      <c r="BJ200" s="487"/>
      <c r="BK200" s="486"/>
      <c r="BL200" s="487"/>
      <c r="BM200" s="487"/>
      <c r="BN200" s="487"/>
      <c r="BO200" s="487"/>
    </row>
    <row r="201" spans="3:67">
      <c r="C201" s="488"/>
      <c r="D201" s="489"/>
      <c r="E201" s="489"/>
      <c r="F201" s="489"/>
      <c r="G201" s="489"/>
      <c r="H201" s="488"/>
      <c r="I201" s="489"/>
      <c r="J201" s="489"/>
      <c r="K201" s="489"/>
      <c r="L201" s="489"/>
      <c r="M201" s="488"/>
      <c r="N201" s="489"/>
      <c r="O201" s="489"/>
      <c r="P201" s="489"/>
      <c r="Q201" s="489"/>
      <c r="R201" s="488"/>
      <c r="S201" s="489"/>
      <c r="T201" s="489"/>
      <c r="U201" s="489"/>
      <c r="V201" s="489"/>
      <c r="W201" s="488"/>
      <c r="X201" s="489"/>
      <c r="Y201" s="489"/>
      <c r="Z201" s="489"/>
      <c r="AA201" s="489"/>
      <c r="AB201" s="488"/>
      <c r="AC201" s="489"/>
      <c r="AD201" s="489"/>
      <c r="AE201" s="489"/>
      <c r="AF201" s="489"/>
      <c r="AG201" s="488"/>
      <c r="AH201" s="489"/>
      <c r="AI201" s="489"/>
      <c r="AJ201" s="489"/>
      <c r="AK201" s="489"/>
      <c r="AL201" s="488"/>
      <c r="AM201" s="489"/>
      <c r="AN201" s="489"/>
      <c r="AO201" s="489"/>
      <c r="AP201" s="489"/>
      <c r="AQ201" s="488"/>
      <c r="AR201" s="489"/>
      <c r="AS201" s="489"/>
      <c r="AT201" s="489"/>
      <c r="AU201" s="489"/>
      <c r="AV201" s="488"/>
      <c r="AW201" s="489"/>
      <c r="AX201" s="489"/>
      <c r="AY201" s="489"/>
      <c r="AZ201" s="489"/>
      <c r="BA201" s="488"/>
      <c r="BB201" s="489"/>
      <c r="BC201" s="489"/>
      <c r="BD201" s="489"/>
      <c r="BE201" s="489"/>
      <c r="BF201" s="488"/>
      <c r="BG201" s="489"/>
      <c r="BH201" s="489"/>
      <c r="BI201" s="489"/>
      <c r="BJ201" s="489"/>
      <c r="BK201" s="488"/>
      <c r="BL201" s="489"/>
      <c r="BM201" s="489"/>
      <c r="BN201" s="489"/>
      <c r="BO201" s="489"/>
    </row>
    <row r="202" spans="3:67">
      <c r="C202" s="490"/>
      <c r="D202" s="491"/>
      <c r="E202" s="491"/>
      <c r="F202" s="491"/>
      <c r="G202" s="491"/>
      <c r="H202" s="490"/>
      <c r="I202" s="491"/>
      <c r="J202" s="491"/>
      <c r="K202" s="491"/>
      <c r="L202" s="491"/>
      <c r="M202" s="490"/>
      <c r="N202" s="491"/>
      <c r="O202" s="491"/>
      <c r="P202" s="491"/>
      <c r="Q202" s="491"/>
      <c r="R202" s="490"/>
      <c r="S202" s="491"/>
      <c r="T202" s="491"/>
      <c r="U202" s="491"/>
      <c r="V202" s="491"/>
      <c r="W202" s="490"/>
      <c r="X202" s="491"/>
      <c r="Y202" s="491"/>
      <c r="Z202" s="491"/>
      <c r="AA202" s="491"/>
      <c r="AB202" s="490"/>
      <c r="AC202" s="491"/>
      <c r="AD202" s="491"/>
      <c r="AE202" s="491"/>
      <c r="AF202" s="491"/>
      <c r="AG202" s="490"/>
      <c r="AH202" s="491"/>
      <c r="AI202" s="491"/>
      <c r="AJ202" s="491"/>
      <c r="AK202" s="491"/>
      <c r="AL202" s="490"/>
      <c r="AM202" s="491"/>
      <c r="AN202" s="491"/>
      <c r="AO202" s="491"/>
      <c r="AP202" s="491"/>
      <c r="AQ202" s="490"/>
      <c r="AR202" s="491"/>
      <c r="AS202" s="491"/>
      <c r="AT202" s="491"/>
      <c r="AU202" s="491"/>
      <c r="AV202" s="490"/>
      <c r="AW202" s="491"/>
      <c r="AX202" s="491"/>
      <c r="AY202" s="491"/>
      <c r="AZ202" s="491"/>
      <c r="BA202" s="490"/>
      <c r="BB202" s="491"/>
      <c r="BC202" s="491"/>
      <c r="BD202" s="491"/>
      <c r="BE202" s="491"/>
      <c r="BF202" s="490"/>
      <c r="BG202" s="491"/>
      <c r="BH202" s="491"/>
      <c r="BI202" s="491"/>
      <c r="BJ202" s="491"/>
      <c r="BK202" s="490"/>
      <c r="BL202" s="491"/>
      <c r="BM202" s="491"/>
      <c r="BN202" s="491"/>
      <c r="BO202" s="491"/>
    </row>
    <row r="203" spans="3:67">
      <c r="C203" s="492"/>
      <c r="D203" s="492"/>
      <c r="E203" s="492"/>
      <c r="F203" s="492"/>
      <c r="G203" s="492"/>
      <c r="H203" s="492"/>
      <c r="I203" s="492"/>
      <c r="J203" s="492"/>
      <c r="K203" s="492"/>
      <c r="L203" s="492"/>
      <c r="M203" s="492"/>
      <c r="N203" s="492"/>
      <c r="O203" s="492"/>
      <c r="P203" s="492"/>
      <c r="Q203" s="492"/>
      <c r="R203" s="492"/>
      <c r="S203" s="492"/>
      <c r="T203" s="492"/>
      <c r="U203" s="492"/>
      <c r="V203" s="492"/>
      <c r="W203" s="492"/>
      <c r="X203" s="492"/>
      <c r="Y203" s="492"/>
      <c r="Z203" s="492"/>
      <c r="AA203" s="492"/>
      <c r="AB203" s="492"/>
      <c r="AC203" s="492"/>
      <c r="AD203" s="492"/>
      <c r="AE203" s="492"/>
      <c r="AF203" s="492"/>
      <c r="AG203" s="492"/>
      <c r="AH203" s="492"/>
      <c r="AI203" s="492"/>
      <c r="AJ203" s="492"/>
      <c r="AK203" s="492"/>
      <c r="AL203" s="492"/>
      <c r="AM203" s="492"/>
      <c r="AN203" s="492"/>
      <c r="AO203" s="492"/>
      <c r="AP203" s="492"/>
      <c r="AQ203" s="492"/>
      <c r="AR203" s="492"/>
      <c r="AS203" s="492"/>
      <c r="AT203" s="492"/>
      <c r="AU203" s="492"/>
      <c r="AV203" s="492"/>
      <c r="AW203" s="492"/>
      <c r="AX203" s="492"/>
      <c r="AY203" s="492"/>
      <c r="AZ203" s="492"/>
      <c r="BA203" s="492"/>
      <c r="BB203" s="492"/>
      <c r="BC203" s="492"/>
      <c r="BD203" s="492"/>
      <c r="BE203" s="492"/>
      <c r="BF203" s="492"/>
      <c r="BG203" s="492"/>
      <c r="BH203" s="492"/>
      <c r="BI203" s="492"/>
      <c r="BJ203" s="492"/>
      <c r="BK203" s="492"/>
      <c r="BL203" s="492"/>
      <c r="BM203" s="492"/>
      <c r="BN203" s="492"/>
      <c r="BO203" s="492"/>
    </row>
    <row r="204" spans="3:67">
      <c r="D204" s="493"/>
      <c r="E204" s="493"/>
      <c r="F204" s="493"/>
      <c r="G204" s="493"/>
      <c r="I204" s="493"/>
      <c r="J204" s="493"/>
      <c r="K204" s="493"/>
      <c r="L204" s="493"/>
      <c r="N204" s="493"/>
      <c r="O204" s="493"/>
      <c r="P204" s="493"/>
      <c r="Q204" s="493"/>
      <c r="S204" s="493"/>
      <c r="T204" s="493"/>
      <c r="U204" s="493"/>
      <c r="V204" s="493"/>
      <c r="X204" s="493"/>
      <c r="Y204" s="493"/>
      <c r="Z204" s="493"/>
      <c r="AA204" s="493"/>
      <c r="AC204" s="493"/>
      <c r="AD204" s="493"/>
      <c r="AE204" s="493"/>
      <c r="AF204" s="493"/>
      <c r="AH204" s="493"/>
      <c r="AI204" s="493"/>
      <c r="AJ204" s="493"/>
      <c r="AK204" s="493"/>
      <c r="AM204" s="493"/>
      <c r="AN204" s="493"/>
      <c r="AO204" s="493"/>
      <c r="AP204" s="493"/>
      <c r="AR204" s="493"/>
      <c r="AS204" s="493"/>
      <c r="AT204" s="493"/>
      <c r="AU204" s="493"/>
      <c r="AW204" s="493"/>
      <c r="AX204" s="493"/>
      <c r="AY204" s="493"/>
      <c r="AZ204" s="493"/>
      <c r="BB204" s="493"/>
      <c r="BC204" s="493"/>
      <c r="BD204" s="493"/>
      <c r="BE204" s="493"/>
      <c r="BG204" s="493"/>
      <c r="BH204" s="493"/>
      <c r="BI204" s="493"/>
      <c r="BJ204" s="493"/>
      <c r="BL204" s="493"/>
      <c r="BM204" s="493"/>
      <c r="BN204" s="493"/>
      <c r="BO204" s="493"/>
    </row>
    <row r="205" spans="3:67">
      <c r="C205" s="479"/>
      <c r="D205" s="475"/>
      <c r="E205" s="475"/>
      <c r="F205" s="475"/>
      <c r="G205" s="475"/>
      <c r="H205" s="479"/>
      <c r="I205" s="475"/>
      <c r="J205" s="475"/>
      <c r="K205" s="475"/>
      <c r="L205" s="475"/>
      <c r="M205" s="479"/>
      <c r="N205" s="475"/>
      <c r="O205" s="475"/>
      <c r="P205" s="475"/>
      <c r="Q205" s="475"/>
      <c r="R205" s="479"/>
      <c r="S205" s="475"/>
      <c r="T205" s="475"/>
      <c r="U205" s="475"/>
      <c r="V205" s="475"/>
      <c r="W205" s="479"/>
      <c r="X205" s="475"/>
      <c r="Y205" s="475"/>
      <c r="Z205" s="475"/>
      <c r="AA205" s="475"/>
      <c r="AB205" s="479"/>
      <c r="AC205" s="475"/>
      <c r="AD205" s="475"/>
      <c r="AE205" s="475"/>
      <c r="AF205" s="475"/>
      <c r="AG205" s="479"/>
      <c r="AH205" s="475"/>
      <c r="AI205" s="475"/>
      <c r="AJ205" s="475"/>
      <c r="AK205" s="475"/>
      <c r="AL205" s="479"/>
      <c r="AM205" s="475"/>
      <c r="AN205" s="475"/>
      <c r="AO205" s="475"/>
      <c r="AP205" s="475"/>
      <c r="AQ205" s="479"/>
      <c r="AR205" s="475"/>
      <c r="AS205" s="475"/>
      <c r="AT205" s="475"/>
      <c r="AU205" s="475"/>
      <c r="AV205" s="479"/>
      <c r="AW205" s="475"/>
      <c r="AX205" s="475"/>
      <c r="AY205" s="475"/>
      <c r="AZ205" s="475"/>
      <c r="BA205" s="479"/>
      <c r="BB205" s="475"/>
      <c r="BC205" s="475"/>
      <c r="BD205" s="475"/>
      <c r="BE205" s="475"/>
      <c r="BF205" s="479"/>
      <c r="BG205" s="475"/>
      <c r="BH205" s="475"/>
      <c r="BI205" s="475"/>
      <c r="BJ205" s="475"/>
      <c r="BK205" s="479"/>
      <c r="BL205" s="475"/>
      <c r="BM205" s="475"/>
      <c r="BN205" s="475"/>
      <c r="BO205" s="475"/>
    </row>
    <row r="206" spans="3:67">
      <c r="C206" s="479"/>
      <c r="D206" s="475"/>
      <c r="E206" s="475"/>
      <c r="F206" s="475"/>
      <c r="G206" s="475"/>
      <c r="H206" s="479"/>
      <c r="I206" s="475"/>
      <c r="J206" s="475"/>
      <c r="K206" s="475"/>
      <c r="L206" s="475"/>
      <c r="M206" s="479"/>
      <c r="N206" s="475"/>
      <c r="O206" s="475"/>
      <c r="P206" s="475"/>
      <c r="Q206" s="475"/>
      <c r="R206" s="479"/>
      <c r="S206" s="475"/>
      <c r="T206" s="475"/>
      <c r="U206" s="475"/>
      <c r="V206" s="475"/>
      <c r="W206" s="479"/>
      <c r="X206" s="475"/>
      <c r="Y206" s="475"/>
      <c r="Z206" s="475"/>
      <c r="AA206" s="475"/>
      <c r="AB206" s="479"/>
      <c r="AC206" s="475"/>
      <c r="AD206" s="475"/>
      <c r="AE206" s="475"/>
      <c r="AF206" s="475"/>
      <c r="AG206" s="479"/>
      <c r="AH206" s="475"/>
      <c r="AI206" s="475"/>
      <c r="AJ206" s="475"/>
      <c r="AK206" s="475"/>
      <c r="AL206" s="479"/>
      <c r="AM206" s="475"/>
      <c r="AN206" s="475"/>
      <c r="AO206" s="475"/>
      <c r="AP206" s="475"/>
      <c r="AQ206" s="479"/>
      <c r="AR206" s="475"/>
      <c r="AS206" s="475"/>
      <c r="AT206" s="475"/>
      <c r="AU206" s="475"/>
      <c r="AV206" s="479"/>
      <c r="AW206" s="475"/>
      <c r="AX206" s="475"/>
      <c r="AY206" s="475"/>
      <c r="AZ206" s="475"/>
      <c r="BA206" s="479"/>
      <c r="BB206" s="475"/>
      <c r="BC206" s="475"/>
      <c r="BD206" s="475"/>
      <c r="BE206" s="475"/>
      <c r="BF206" s="479"/>
      <c r="BG206" s="475"/>
      <c r="BH206" s="475"/>
      <c r="BI206" s="475"/>
      <c r="BJ206" s="475"/>
      <c r="BK206" s="479"/>
      <c r="BL206" s="475"/>
      <c r="BM206" s="475"/>
      <c r="BN206" s="475"/>
      <c r="BO206" s="475"/>
    </row>
    <row r="207" spans="3:67">
      <c r="C207" s="479"/>
      <c r="D207" s="475"/>
      <c r="E207" s="475"/>
      <c r="F207" s="475"/>
      <c r="G207" s="475"/>
      <c r="H207" s="479"/>
      <c r="I207" s="475"/>
      <c r="J207" s="475"/>
      <c r="K207" s="475"/>
      <c r="L207" s="475"/>
      <c r="M207" s="479"/>
      <c r="N207" s="475"/>
      <c r="O207" s="475"/>
      <c r="P207" s="475"/>
      <c r="Q207" s="475"/>
      <c r="R207" s="479"/>
      <c r="S207" s="475"/>
      <c r="T207" s="475"/>
      <c r="U207" s="475"/>
      <c r="V207" s="475"/>
      <c r="W207" s="479"/>
      <c r="X207" s="475"/>
      <c r="Y207" s="475"/>
      <c r="Z207" s="475"/>
      <c r="AA207" s="475"/>
      <c r="AB207" s="479"/>
      <c r="AC207" s="475"/>
      <c r="AD207" s="475"/>
      <c r="AE207" s="475"/>
      <c r="AF207" s="475"/>
      <c r="AG207" s="479"/>
      <c r="AH207" s="475"/>
      <c r="AI207" s="475"/>
      <c r="AJ207" s="475"/>
      <c r="AK207" s="475"/>
      <c r="AL207" s="479"/>
      <c r="AM207" s="475"/>
      <c r="AN207" s="475"/>
      <c r="AO207" s="475"/>
      <c r="AP207" s="475"/>
      <c r="AQ207" s="479"/>
      <c r="AR207" s="475"/>
      <c r="AS207" s="475"/>
      <c r="AT207" s="475"/>
      <c r="AU207" s="475"/>
      <c r="AV207" s="479"/>
      <c r="AW207" s="475"/>
      <c r="AX207" s="475"/>
      <c r="AY207" s="475"/>
      <c r="AZ207" s="475"/>
      <c r="BA207" s="479"/>
      <c r="BB207" s="475"/>
      <c r="BC207" s="475"/>
      <c r="BD207" s="475"/>
      <c r="BE207" s="475"/>
      <c r="BF207" s="479"/>
      <c r="BG207" s="475"/>
      <c r="BH207" s="475"/>
      <c r="BI207" s="475"/>
      <c r="BJ207" s="475"/>
      <c r="BK207" s="479"/>
      <c r="BL207" s="475"/>
      <c r="BM207" s="475"/>
      <c r="BN207" s="475"/>
      <c r="BO207" s="475"/>
    </row>
    <row r="208" spans="3:67">
      <c r="C208" s="479"/>
      <c r="D208" s="475"/>
      <c r="E208" s="475"/>
      <c r="F208" s="475"/>
      <c r="G208" s="475"/>
      <c r="H208" s="479"/>
      <c r="I208" s="475"/>
      <c r="J208" s="475"/>
      <c r="K208" s="475"/>
      <c r="L208" s="475"/>
      <c r="M208" s="479"/>
      <c r="N208" s="475"/>
      <c r="O208" s="475"/>
      <c r="P208" s="475"/>
      <c r="Q208" s="475"/>
      <c r="R208" s="479"/>
      <c r="S208" s="475"/>
      <c r="T208" s="475"/>
      <c r="U208" s="475"/>
      <c r="V208" s="475"/>
      <c r="W208" s="479"/>
      <c r="X208" s="475"/>
      <c r="Y208" s="475"/>
      <c r="Z208" s="475"/>
      <c r="AA208" s="475"/>
      <c r="AB208" s="479"/>
      <c r="AC208" s="475"/>
      <c r="AD208" s="475"/>
      <c r="AE208" s="475"/>
      <c r="AF208" s="475"/>
      <c r="AG208" s="479"/>
      <c r="AH208" s="475"/>
      <c r="AI208" s="475"/>
      <c r="AJ208" s="475"/>
      <c r="AK208" s="475"/>
      <c r="AL208" s="479"/>
      <c r="AM208" s="475"/>
      <c r="AN208" s="475"/>
      <c r="AO208" s="475"/>
      <c r="AP208" s="475"/>
      <c r="AQ208" s="479"/>
      <c r="AR208" s="475"/>
      <c r="AS208" s="475"/>
      <c r="AT208" s="475"/>
      <c r="AU208" s="475"/>
      <c r="AV208" s="479"/>
      <c r="AW208" s="475"/>
      <c r="AX208" s="475"/>
      <c r="AY208" s="475"/>
      <c r="AZ208" s="475"/>
      <c r="BA208" s="479"/>
      <c r="BB208" s="475"/>
      <c r="BC208" s="475"/>
      <c r="BD208" s="475"/>
      <c r="BE208" s="475"/>
      <c r="BF208" s="479"/>
      <c r="BG208" s="475"/>
      <c r="BH208" s="475"/>
      <c r="BI208" s="475"/>
      <c r="BJ208" s="475"/>
      <c r="BK208" s="479"/>
      <c r="BL208" s="475"/>
      <c r="BM208" s="475"/>
      <c r="BN208" s="475"/>
      <c r="BO208" s="475"/>
    </row>
    <row r="209" spans="3:67">
      <c r="C209" s="479"/>
      <c r="D209" s="475"/>
      <c r="E209" s="475"/>
      <c r="F209" s="475"/>
      <c r="G209" s="475"/>
      <c r="H209" s="479"/>
      <c r="I209" s="475"/>
      <c r="J209" s="475"/>
      <c r="K209" s="475"/>
      <c r="L209" s="475"/>
      <c r="M209" s="479"/>
      <c r="N209" s="475"/>
      <c r="O209" s="475"/>
      <c r="P209" s="475"/>
      <c r="Q209" s="475"/>
      <c r="R209" s="479"/>
      <c r="S209" s="475"/>
      <c r="T209" s="475"/>
      <c r="U209" s="475"/>
      <c r="V209" s="475"/>
      <c r="W209" s="479"/>
      <c r="X209" s="475"/>
      <c r="Y209" s="475"/>
      <c r="Z209" s="475"/>
      <c r="AA209" s="475"/>
      <c r="AB209" s="479"/>
      <c r="AC209" s="475"/>
      <c r="AD209" s="475"/>
      <c r="AE209" s="475"/>
      <c r="AF209" s="475"/>
      <c r="AG209" s="479"/>
      <c r="AH209" s="475"/>
      <c r="AI209" s="475"/>
      <c r="AJ209" s="475"/>
      <c r="AK209" s="475"/>
      <c r="AL209" s="479"/>
      <c r="AM209" s="475"/>
      <c r="AN209" s="475"/>
      <c r="AO209" s="475"/>
      <c r="AP209" s="475"/>
      <c r="AQ209" s="479"/>
      <c r="AR209" s="475"/>
      <c r="AS209" s="475"/>
      <c r="AT209" s="475"/>
      <c r="AU209" s="475"/>
      <c r="AV209" s="479"/>
      <c r="AW209" s="475"/>
      <c r="AX209" s="475"/>
      <c r="AY209" s="475"/>
      <c r="AZ209" s="475"/>
      <c r="BA209" s="479"/>
      <c r="BB209" s="475"/>
      <c r="BC209" s="475"/>
      <c r="BD209" s="475"/>
      <c r="BE209" s="475"/>
      <c r="BF209" s="479"/>
      <c r="BG209" s="475"/>
      <c r="BH209" s="475"/>
      <c r="BI209" s="475"/>
      <c r="BJ209" s="475"/>
      <c r="BK209" s="479"/>
      <c r="BL209" s="475"/>
      <c r="BM209" s="475"/>
      <c r="BN209" s="475"/>
      <c r="BO209" s="475"/>
    </row>
    <row r="211" spans="3:67">
      <c r="C211" s="494"/>
      <c r="D211" s="494"/>
      <c r="E211" s="494"/>
      <c r="F211" s="494"/>
      <c r="G211" s="494"/>
      <c r="H211" s="494"/>
      <c r="I211" s="494"/>
      <c r="J211" s="494"/>
      <c r="K211" s="494"/>
      <c r="L211" s="494"/>
      <c r="M211" s="494"/>
      <c r="N211" s="494"/>
      <c r="O211" s="494"/>
      <c r="P211" s="494"/>
      <c r="Q211" s="494"/>
      <c r="R211" s="494"/>
      <c r="S211" s="494"/>
      <c r="T211" s="494"/>
      <c r="U211" s="494"/>
      <c r="V211" s="494"/>
      <c r="W211" s="494"/>
      <c r="X211" s="494"/>
      <c r="Y211" s="494"/>
      <c r="Z211" s="494"/>
      <c r="AA211" s="494"/>
      <c r="AB211" s="494"/>
      <c r="AC211" s="494"/>
      <c r="AD211" s="494"/>
      <c r="AE211" s="494"/>
      <c r="AF211" s="494"/>
      <c r="AG211" s="494"/>
      <c r="AH211" s="494"/>
      <c r="AI211" s="494"/>
      <c r="AJ211" s="494"/>
      <c r="AK211" s="494"/>
      <c r="AL211" s="494"/>
      <c r="AM211" s="494"/>
      <c r="AN211" s="494"/>
      <c r="AO211" s="494"/>
      <c r="AP211" s="494"/>
      <c r="AQ211" s="494"/>
      <c r="AR211" s="494"/>
      <c r="AS211" s="494"/>
      <c r="AT211" s="494"/>
      <c r="AU211" s="494"/>
      <c r="AV211" s="494"/>
      <c r="AW211" s="494"/>
      <c r="AX211" s="494"/>
      <c r="AY211" s="494"/>
      <c r="AZ211" s="494"/>
      <c r="BA211" s="494"/>
      <c r="BB211" s="494"/>
      <c r="BC211" s="494"/>
      <c r="BD211" s="494"/>
      <c r="BE211" s="494"/>
      <c r="BF211" s="494"/>
      <c r="BG211" s="494"/>
      <c r="BH211" s="494"/>
      <c r="BI211" s="494"/>
      <c r="BJ211" s="494"/>
      <c r="BK211" s="494"/>
      <c r="BL211" s="494"/>
      <c r="BM211" s="494"/>
      <c r="BN211" s="494"/>
      <c r="BO211" s="494"/>
    </row>
    <row r="212" spans="3:67">
      <c r="C212" s="490"/>
      <c r="D212" s="490"/>
      <c r="E212" s="490"/>
      <c r="F212" s="490"/>
      <c r="G212" s="490"/>
      <c r="H212" s="490"/>
      <c r="I212" s="490"/>
      <c r="J212" s="490"/>
      <c r="K212" s="490"/>
      <c r="L212" s="490"/>
      <c r="M212" s="490"/>
      <c r="N212" s="490"/>
      <c r="O212" s="490"/>
      <c r="P212" s="490"/>
      <c r="Q212" s="490"/>
      <c r="R212" s="490"/>
      <c r="S212" s="490"/>
      <c r="T212" s="490"/>
      <c r="U212" s="490"/>
      <c r="V212" s="490"/>
      <c r="W212" s="490"/>
      <c r="X212" s="490"/>
      <c r="Y212" s="490"/>
      <c r="Z212" s="490"/>
      <c r="AA212" s="490"/>
      <c r="AB212" s="490"/>
      <c r="AC212" s="490"/>
      <c r="AD212" s="490"/>
      <c r="AE212" s="490"/>
      <c r="AF212" s="490"/>
      <c r="AG212" s="490"/>
      <c r="AH212" s="490"/>
      <c r="AI212" s="490"/>
      <c r="AJ212" s="490"/>
      <c r="AK212" s="490"/>
      <c r="AL212" s="490"/>
      <c r="AM212" s="490"/>
      <c r="AN212" s="490"/>
      <c r="AO212" s="490"/>
      <c r="AP212" s="490"/>
      <c r="AQ212" s="490"/>
      <c r="AR212" s="490"/>
      <c r="AS212" s="490"/>
      <c r="AT212" s="490"/>
      <c r="AU212" s="490"/>
      <c r="AV212" s="490"/>
      <c r="AW212" s="490"/>
      <c r="AX212" s="490"/>
      <c r="AY212" s="490"/>
      <c r="AZ212" s="490"/>
      <c r="BA212" s="490"/>
      <c r="BB212" s="490"/>
      <c r="BC212" s="490"/>
      <c r="BD212" s="490"/>
      <c r="BE212" s="490"/>
      <c r="BF212" s="490"/>
      <c r="BG212" s="490"/>
      <c r="BH212" s="490"/>
      <c r="BI212" s="490"/>
      <c r="BJ212" s="490"/>
      <c r="BK212" s="490"/>
      <c r="BL212" s="490"/>
      <c r="BM212" s="490"/>
      <c r="BN212" s="490"/>
      <c r="BO212" s="490"/>
    </row>
    <row r="213" spans="3:67">
      <c r="C213" s="490"/>
      <c r="D213" s="490"/>
      <c r="E213" s="490"/>
      <c r="F213" s="490"/>
      <c r="G213" s="490"/>
      <c r="H213" s="490"/>
      <c r="I213" s="490"/>
      <c r="J213" s="490"/>
      <c r="K213" s="490"/>
      <c r="L213" s="490"/>
      <c r="M213" s="490"/>
      <c r="N213" s="490"/>
      <c r="O213" s="490"/>
      <c r="P213" s="490"/>
      <c r="Q213" s="490"/>
      <c r="R213" s="490"/>
      <c r="S213" s="490"/>
      <c r="T213" s="490"/>
      <c r="U213" s="490"/>
      <c r="V213" s="490"/>
      <c r="W213" s="490"/>
      <c r="X213" s="490"/>
      <c r="Y213" s="490"/>
      <c r="Z213" s="490"/>
      <c r="AA213" s="490"/>
      <c r="AB213" s="490"/>
      <c r="AC213" s="490"/>
      <c r="AD213" s="490"/>
      <c r="AE213" s="490"/>
      <c r="AF213" s="490"/>
      <c r="AG213" s="490"/>
      <c r="AH213" s="490"/>
      <c r="AI213" s="490"/>
      <c r="AJ213" s="490"/>
      <c r="AK213" s="490"/>
      <c r="AL213" s="490"/>
      <c r="AM213" s="490"/>
      <c r="AN213" s="490"/>
      <c r="AO213" s="490"/>
      <c r="AP213" s="490"/>
      <c r="AQ213" s="490"/>
      <c r="AR213" s="490"/>
      <c r="AS213" s="490"/>
      <c r="AT213" s="490"/>
      <c r="AU213" s="490"/>
      <c r="AV213" s="490"/>
      <c r="AW213" s="490"/>
      <c r="AX213" s="490"/>
      <c r="AY213" s="490"/>
      <c r="AZ213" s="490"/>
      <c r="BA213" s="490"/>
      <c r="BB213" s="490"/>
      <c r="BC213" s="490"/>
      <c r="BD213" s="490"/>
      <c r="BE213" s="490"/>
      <c r="BF213" s="490"/>
      <c r="BG213" s="490"/>
      <c r="BH213" s="490"/>
      <c r="BI213" s="490"/>
      <c r="BJ213" s="490"/>
      <c r="BK213" s="490"/>
      <c r="BL213" s="490"/>
      <c r="BM213" s="490"/>
      <c r="BN213" s="490"/>
      <c r="BO213" s="490"/>
    </row>
    <row r="215" spans="3:67">
      <c r="C215" s="495"/>
      <c r="D215" s="496"/>
      <c r="E215" s="496"/>
      <c r="F215" s="496"/>
      <c r="G215" s="496"/>
      <c r="H215" s="495"/>
      <c r="I215" s="496"/>
      <c r="J215" s="496"/>
      <c r="K215" s="496"/>
      <c r="L215" s="496"/>
      <c r="M215" s="495"/>
      <c r="N215" s="496"/>
      <c r="O215" s="496"/>
      <c r="P215" s="496"/>
      <c r="Q215" s="496"/>
      <c r="R215" s="495"/>
      <c r="S215" s="496"/>
      <c r="T215" s="496"/>
      <c r="U215" s="496"/>
      <c r="V215" s="496"/>
      <c r="W215" s="495"/>
      <c r="X215" s="496"/>
      <c r="Y215" s="496"/>
      <c r="Z215" s="496"/>
      <c r="AA215" s="496"/>
      <c r="AB215" s="495"/>
      <c r="AC215" s="496"/>
      <c r="AD215" s="496"/>
      <c r="AE215" s="496"/>
      <c r="AF215" s="496"/>
      <c r="AG215" s="495"/>
      <c r="AH215" s="496"/>
      <c r="AI215" s="496"/>
      <c r="AJ215" s="496"/>
      <c r="AK215" s="496"/>
      <c r="AL215" s="495"/>
      <c r="AM215" s="496"/>
      <c r="AN215" s="496"/>
      <c r="AO215" s="496"/>
      <c r="AP215" s="496"/>
      <c r="AQ215" s="495"/>
      <c r="AR215" s="496"/>
      <c r="AS215" s="496"/>
      <c r="AT215" s="496"/>
      <c r="AU215" s="496"/>
      <c r="AV215" s="495"/>
      <c r="AW215" s="496"/>
      <c r="AX215" s="496"/>
      <c r="AY215" s="496"/>
      <c r="AZ215" s="496"/>
      <c r="BA215" s="495"/>
      <c r="BB215" s="496"/>
      <c r="BC215" s="496"/>
      <c r="BD215" s="496"/>
      <c r="BE215" s="496"/>
      <c r="BF215" s="495"/>
      <c r="BG215" s="496"/>
      <c r="BH215" s="496"/>
      <c r="BI215" s="496"/>
      <c r="BJ215" s="496"/>
      <c r="BK215" s="495"/>
      <c r="BL215" s="496"/>
      <c r="BM215" s="496"/>
      <c r="BN215" s="496"/>
      <c r="BO215" s="496"/>
    </row>
    <row r="216" spans="3:67">
      <c r="C216" s="497"/>
      <c r="D216" s="498"/>
      <c r="E216" s="498"/>
      <c r="F216" s="498"/>
      <c r="G216" s="498"/>
      <c r="H216" s="497"/>
      <c r="I216" s="498"/>
      <c r="J216" s="498"/>
      <c r="K216" s="498"/>
      <c r="L216" s="498"/>
      <c r="M216" s="497"/>
      <c r="N216" s="498"/>
      <c r="O216" s="498"/>
      <c r="P216" s="498"/>
      <c r="Q216" s="498"/>
      <c r="R216" s="497"/>
      <c r="S216" s="498"/>
      <c r="T216" s="498"/>
      <c r="U216" s="498"/>
      <c r="V216" s="498"/>
      <c r="W216" s="497"/>
      <c r="X216" s="498"/>
      <c r="Y216" s="498"/>
      <c r="Z216" s="498"/>
      <c r="AA216" s="498"/>
      <c r="AB216" s="497"/>
      <c r="AC216" s="498"/>
      <c r="AD216" s="498"/>
      <c r="AE216" s="498"/>
      <c r="AF216" s="498"/>
      <c r="AG216" s="497"/>
      <c r="AH216" s="498"/>
      <c r="AI216" s="498"/>
      <c r="AJ216" s="498"/>
      <c r="AK216" s="498"/>
      <c r="AL216" s="497"/>
      <c r="AM216" s="498"/>
      <c r="AN216" s="498"/>
      <c r="AO216" s="498"/>
      <c r="AP216" s="498"/>
      <c r="AQ216" s="497"/>
      <c r="AR216" s="498"/>
      <c r="AS216" s="498"/>
      <c r="AT216" s="498"/>
      <c r="AU216" s="498"/>
      <c r="AV216" s="497"/>
      <c r="AW216" s="498"/>
      <c r="AX216" s="498"/>
      <c r="AY216" s="498"/>
      <c r="AZ216" s="498"/>
      <c r="BA216" s="497"/>
      <c r="BB216" s="498"/>
      <c r="BC216" s="498"/>
      <c r="BD216" s="498"/>
      <c r="BE216" s="498"/>
      <c r="BF216" s="497"/>
      <c r="BG216" s="498"/>
      <c r="BH216" s="498"/>
      <c r="BI216" s="498"/>
      <c r="BJ216" s="498"/>
      <c r="BK216" s="497"/>
      <c r="BL216" s="498"/>
      <c r="BM216" s="498"/>
      <c r="BN216" s="498"/>
      <c r="BO216" s="498"/>
    </row>
    <row r="217" spans="3:67">
      <c r="C217" s="463"/>
      <c r="D217" s="384"/>
      <c r="E217" s="384"/>
      <c r="F217" s="384"/>
      <c r="G217" s="384"/>
      <c r="H217" s="463"/>
      <c r="I217" s="384"/>
      <c r="J217" s="384"/>
      <c r="K217" s="384"/>
      <c r="L217" s="384"/>
      <c r="M217" s="463"/>
      <c r="N217" s="384"/>
      <c r="O217" s="384"/>
      <c r="P217" s="384"/>
      <c r="Q217" s="384"/>
      <c r="R217" s="463"/>
      <c r="S217" s="384"/>
      <c r="T217" s="384"/>
      <c r="U217" s="384"/>
      <c r="V217" s="384"/>
      <c r="W217" s="463"/>
      <c r="X217" s="384"/>
      <c r="Y217" s="384"/>
      <c r="Z217" s="384"/>
      <c r="AA217" s="384"/>
      <c r="AB217" s="463"/>
      <c r="AC217" s="384"/>
      <c r="AD217" s="384"/>
      <c r="AE217" s="384"/>
      <c r="AF217" s="384"/>
      <c r="AG217" s="463"/>
      <c r="AH217" s="384"/>
      <c r="AI217" s="384"/>
      <c r="AJ217" s="384"/>
      <c r="AK217" s="384"/>
      <c r="AL217" s="463"/>
      <c r="AM217" s="384"/>
      <c r="AN217" s="384"/>
      <c r="AO217" s="384"/>
      <c r="AP217" s="384"/>
      <c r="AQ217" s="463"/>
      <c r="AR217" s="384"/>
      <c r="AS217" s="384"/>
      <c r="AT217" s="384"/>
      <c r="AU217" s="384"/>
      <c r="AV217" s="463"/>
      <c r="AW217" s="384"/>
      <c r="AX217" s="384"/>
      <c r="AY217" s="384"/>
      <c r="AZ217" s="384"/>
      <c r="BA217" s="463"/>
      <c r="BB217" s="384"/>
      <c r="BC217" s="384"/>
      <c r="BD217" s="384"/>
      <c r="BE217" s="384"/>
      <c r="BF217" s="463"/>
      <c r="BG217" s="384"/>
      <c r="BH217" s="384"/>
      <c r="BI217" s="384"/>
      <c r="BJ217" s="384"/>
      <c r="BK217" s="463"/>
      <c r="BL217" s="384"/>
      <c r="BM217" s="384"/>
      <c r="BN217" s="384"/>
      <c r="BO217" s="384"/>
    </row>
    <row r="218" spans="3:67">
      <c r="C218" s="463"/>
      <c r="D218" s="384"/>
      <c r="E218" s="384"/>
      <c r="F218" s="384"/>
      <c r="G218" s="384"/>
      <c r="H218" s="463"/>
      <c r="I218" s="384"/>
      <c r="J218" s="384"/>
      <c r="K218" s="384"/>
      <c r="L218" s="384"/>
      <c r="M218" s="463"/>
      <c r="N218" s="384"/>
      <c r="O218" s="384"/>
      <c r="P218" s="384"/>
      <c r="Q218" s="384"/>
      <c r="R218" s="463"/>
      <c r="S218" s="384"/>
      <c r="T218" s="384"/>
      <c r="U218" s="384"/>
      <c r="V218" s="384"/>
      <c r="W218" s="463"/>
      <c r="X218" s="384"/>
      <c r="Y218" s="384"/>
      <c r="Z218" s="384"/>
      <c r="AA218" s="384"/>
      <c r="AB218" s="463"/>
      <c r="AC218" s="384"/>
      <c r="AD218" s="384"/>
      <c r="AE218" s="384"/>
      <c r="AF218" s="384"/>
      <c r="AG218" s="463"/>
      <c r="AH218" s="384"/>
      <c r="AI218" s="384"/>
      <c r="AJ218" s="384"/>
      <c r="AK218" s="384"/>
      <c r="AL218" s="463"/>
      <c r="AM218" s="384"/>
      <c r="AN218" s="384"/>
      <c r="AO218" s="384"/>
      <c r="AP218" s="384"/>
      <c r="AQ218" s="463"/>
      <c r="AR218" s="384"/>
      <c r="AS218" s="384"/>
      <c r="AT218" s="384"/>
      <c r="AU218" s="384"/>
      <c r="AV218" s="463"/>
      <c r="AW218" s="384"/>
      <c r="AX218" s="384"/>
      <c r="AY218" s="384"/>
      <c r="AZ218" s="384"/>
      <c r="BA218" s="463"/>
      <c r="BB218" s="384"/>
      <c r="BC218" s="384"/>
      <c r="BD218" s="384"/>
      <c r="BE218" s="384"/>
      <c r="BF218" s="463"/>
      <c r="BG218" s="384"/>
      <c r="BH218" s="384"/>
      <c r="BI218" s="384"/>
      <c r="BJ218" s="384"/>
      <c r="BK218" s="463"/>
      <c r="BL218" s="384"/>
      <c r="BM218" s="384"/>
      <c r="BN218" s="384"/>
      <c r="BO218" s="384"/>
    </row>
    <row r="219" spans="3:67">
      <c r="C219" s="463"/>
      <c r="D219" s="384"/>
      <c r="E219" s="384"/>
      <c r="F219" s="384"/>
      <c r="G219" s="384"/>
      <c r="H219" s="463"/>
      <c r="I219" s="384"/>
      <c r="J219" s="384"/>
      <c r="K219" s="384"/>
      <c r="L219" s="384"/>
      <c r="M219" s="463"/>
      <c r="N219" s="384"/>
      <c r="O219" s="384"/>
      <c r="P219" s="384"/>
      <c r="Q219" s="384"/>
      <c r="R219" s="463"/>
      <c r="S219" s="384"/>
      <c r="T219" s="384"/>
      <c r="U219" s="384"/>
      <c r="V219" s="384"/>
      <c r="W219" s="463"/>
      <c r="X219" s="384"/>
      <c r="Y219" s="384"/>
      <c r="Z219" s="384"/>
      <c r="AA219" s="384"/>
      <c r="AB219" s="463"/>
      <c r="AC219" s="384"/>
      <c r="AD219" s="384"/>
      <c r="AE219" s="384"/>
      <c r="AF219" s="384"/>
      <c r="AG219" s="463"/>
      <c r="AH219" s="384"/>
      <c r="AI219" s="384"/>
      <c r="AJ219" s="384"/>
      <c r="AK219" s="384"/>
      <c r="AL219" s="463"/>
      <c r="AM219" s="384"/>
      <c r="AN219" s="384"/>
      <c r="AO219" s="384"/>
      <c r="AP219" s="384"/>
      <c r="AQ219" s="463"/>
      <c r="AR219" s="384"/>
      <c r="AS219" s="384"/>
      <c r="AT219" s="384"/>
      <c r="AU219" s="384"/>
      <c r="AV219" s="463"/>
      <c r="AW219" s="384"/>
      <c r="AX219" s="384"/>
      <c r="AY219" s="384"/>
      <c r="AZ219" s="384"/>
      <c r="BA219" s="463"/>
      <c r="BB219" s="384"/>
      <c r="BC219" s="384"/>
      <c r="BD219" s="384"/>
      <c r="BE219" s="384"/>
      <c r="BF219" s="463"/>
      <c r="BG219" s="384"/>
      <c r="BH219" s="384"/>
      <c r="BI219" s="384"/>
      <c r="BJ219" s="384"/>
      <c r="BK219" s="463"/>
      <c r="BL219" s="384"/>
      <c r="BM219" s="384"/>
      <c r="BN219" s="384"/>
      <c r="BO219" s="384"/>
    </row>
    <row r="220" spans="3:67">
      <c r="C220" s="497"/>
      <c r="D220" s="498"/>
      <c r="E220" s="498"/>
      <c r="F220" s="498"/>
      <c r="G220" s="498"/>
      <c r="H220" s="497"/>
      <c r="I220" s="498"/>
      <c r="J220" s="498"/>
      <c r="K220" s="498"/>
      <c r="L220" s="498"/>
      <c r="M220" s="497"/>
      <c r="N220" s="498"/>
      <c r="O220" s="498"/>
      <c r="P220" s="498"/>
      <c r="Q220" s="498"/>
      <c r="R220" s="497"/>
      <c r="S220" s="498"/>
      <c r="T220" s="498"/>
      <c r="U220" s="498"/>
      <c r="V220" s="498"/>
      <c r="W220" s="497"/>
      <c r="X220" s="498"/>
      <c r="Y220" s="498"/>
      <c r="Z220" s="498"/>
      <c r="AA220" s="498"/>
      <c r="AB220" s="497"/>
      <c r="AC220" s="498"/>
      <c r="AD220" s="498"/>
      <c r="AE220" s="498"/>
      <c r="AF220" s="498"/>
      <c r="AG220" s="497"/>
      <c r="AH220" s="498"/>
      <c r="AI220" s="498"/>
      <c r="AJ220" s="498"/>
      <c r="AK220" s="498"/>
      <c r="AL220" s="497"/>
      <c r="AM220" s="498"/>
      <c r="AN220" s="498"/>
      <c r="AO220" s="498"/>
      <c r="AP220" s="498"/>
      <c r="AQ220" s="497"/>
      <c r="AR220" s="498"/>
      <c r="AS220" s="498"/>
      <c r="AT220" s="498"/>
      <c r="AU220" s="498"/>
      <c r="AV220" s="497"/>
      <c r="AW220" s="498"/>
      <c r="AX220" s="498"/>
      <c r="AY220" s="498"/>
      <c r="AZ220" s="498"/>
      <c r="BA220" s="497"/>
      <c r="BB220" s="498"/>
      <c r="BC220" s="498"/>
      <c r="BD220" s="498"/>
      <c r="BE220" s="498"/>
      <c r="BF220" s="497"/>
      <c r="BG220" s="498"/>
      <c r="BH220" s="498"/>
      <c r="BI220" s="498"/>
      <c r="BJ220" s="498"/>
      <c r="BK220" s="497"/>
      <c r="BL220" s="498"/>
      <c r="BM220" s="498"/>
      <c r="BN220" s="498"/>
      <c r="BO220" s="498"/>
    </row>
    <row r="221" spans="3:67">
      <c r="C221" s="394"/>
      <c r="D221" s="395"/>
      <c r="E221" s="395"/>
      <c r="F221" s="395"/>
      <c r="G221" s="395"/>
      <c r="H221" s="394"/>
      <c r="I221" s="395"/>
      <c r="J221" s="395"/>
      <c r="K221" s="395"/>
      <c r="L221" s="395"/>
      <c r="M221" s="394"/>
      <c r="N221" s="395"/>
      <c r="O221" s="395"/>
      <c r="P221" s="395"/>
      <c r="Q221" s="395"/>
      <c r="R221" s="394"/>
      <c r="S221" s="395"/>
      <c r="T221" s="395"/>
      <c r="U221" s="395"/>
      <c r="V221" s="395"/>
      <c r="W221" s="394"/>
      <c r="X221" s="395"/>
      <c r="Y221" s="395"/>
      <c r="Z221" s="395"/>
      <c r="AA221" s="395"/>
      <c r="AB221" s="394"/>
      <c r="AC221" s="395"/>
      <c r="AD221" s="395"/>
      <c r="AE221" s="395"/>
      <c r="AF221" s="395"/>
      <c r="AG221" s="394"/>
      <c r="AH221" s="395"/>
      <c r="AI221" s="395"/>
      <c r="AJ221" s="395"/>
      <c r="AK221" s="395"/>
      <c r="AL221" s="394"/>
      <c r="AM221" s="395"/>
      <c r="AN221" s="395"/>
      <c r="AO221" s="395"/>
      <c r="AP221" s="395"/>
      <c r="AQ221" s="394"/>
      <c r="AR221" s="395"/>
      <c r="AS221" s="395"/>
      <c r="AT221" s="395"/>
      <c r="AU221" s="395"/>
      <c r="AV221" s="394"/>
      <c r="AW221" s="395"/>
      <c r="AX221" s="395"/>
      <c r="AY221" s="395"/>
      <c r="AZ221" s="395"/>
      <c r="BA221" s="394"/>
      <c r="BB221" s="395"/>
      <c r="BC221" s="395"/>
      <c r="BD221" s="395"/>
      <c r="BE221" s="395"/>
      <c r="BF221" s="394"/>
      <c r="BG221" s="395"/>
      <c r="BH221" s="395"/>
      <c r="BI221" s="395"/>
      <c r="BJ221" s="395"/>
      <c r="BK221" s="394"/>
      <c r="BL221" s="395"/>
      <c r="BM221" s="395"/>
      <c r="BN221" s="395"/>
      <c r="BO221" s="395"/>
    </row>
    <row r="222" spans="3:67">
      <c r="C222" s="394"/>
      <c r="D222" s="395"/>
      <c r="E222" s="395"/>
      <c r="F222" s="395"/>
      <c r="G222" s="395"/>
      <c r="H222" s="394"/>
      <c r="I222" s="395"/>
      <c r="J222" s="395"/>
      <c r="K222" s="395"/>
      <c r="L222" s="395"/>
      <c r="M222" s="394"/>
      <c r="N222" s="395"/>
      <c r="O222" s="395"/>
      <c r="P222" s="395"/>
      <c r="Q222" s="395"/>
      <c r="R222" s="394"/>
      <c r="S222" s="395"/>
      <c r="T222" s="395"/>
      <c r="U222" s="395"/>
      <c r="V222" s="395"/>
      <c r="W222" s="394"/>
      <c r="X222" s="395"/>
      <c r="Y222" s="395"/>
      <c r="Z222" s="395"/>
      <c r="AA222" s="395"/>
      <c r="AB222" s="394"/>
      <c r="AC222" s="395"/>
      <c r="AD222" s="395"/>
      <c r="AE222" s="395"/>
      <c r="AF222" s="395"/>
      <c r="AG222" s="394"/>
      <c r="AH222" s="395"/>
      <c r="AI222" s="395"/>
      <c r="AJ222" s="395"/>
      <c r="AK222" s="395"/>
      <c r="AL222" s="394"/>
      <c r="AM222" s="395"/>
      <c r="AN222" s="395"/>
      <c r="AO222" s="395"/>
      <c r="AP222" s="395"/>
      <c r="AQ222" s="394"/>
      <c r="AR222" s="395"/>
      <c r="AS222" s="395"/>
      <c r="AT222" s="395"/>
      <c r="AU222" s="395"/>
      <c r="AV222" s="394"/>
      <c r="AW222" s="395"/>
      <c r="AX222" s="395"/>
      <c r="AY222" s="395"/>
      <c r="AZ222" s="395"/>
      <c r="BA222" s="394"/>
      <c r="BB222" s="395"/>
      <c r="BC222" s="395"/>
      <c r="BD222" s="395"/>
      <c r="BE222" s="395"/>
      <c r="BF222" s="394"/>
      <c r="BG222" s="395"/>
      <c r="BH222" s="395"/>
      <c r="BI222" s="395"/>
      <c r="BJ222" s="395"/>
      <c r="BK222" s="394"/>
      <c r="BL222" s="395"/>
      <c r="BM222" s="395"/>
      <c r="BN222" s="395"/>
      <c r="BO222" s="395"/>
    </row>
    <row r="223" spans="3:67">
      <c r="C223" s="394"/>
      <c r="D223" s="395"/>
      <c r="E223" s="395"/>
      <c r="F223" s="395"/>
      <c r="G223" s="395"/>
      <c r="H223" s="394"/>
      <c r="I223" s="395"/>
      <c r="J223" s="395"/>
      <c r="K223" s="395"/>
      <c r="L223" s="395"/>
      <c r="M223" s="394"/>
      <c r="N223" s="395"/>
      <c r="O223" s="395"/>
      <c r="P223" s="395"/>
      <c r="Q223" s="395"/>
      <c r="R223" s="394"/>
      <c r="S223" s="395"/>
      <c r="T223" s="395"/>
      <c r="U223" s="395"/>
      <c r="V223" s="395"/>
      <c r="W223" s="394"/>
      <c r="X223" s="395"/>
      <c r="Y223" s="395"/>
      <c r="Z223" s="395"/>
      <c r="AA223" s="395"/>
      <c r="AB223" s="394"/>
      <c r="AC223" s="395"/>
      <c r="AD223" s="395"/>
      <c r="AE223" s="395"/>
      <c r="AF223" s="395"/>
      <c r="AG223" s="394"/>
      <c r="AH223" s="395"/>
      <c r="AI223" s="395"/>
      <c r="AJ223" s="395"/>
      <c r="AK223" s="395"/>
      <c r="AL223" s="394"/>
      <c r="AM223" s="395"/>
      <c r="AN223" s="395"/>
      <c r="AO223" s="395"/>
      <c r="AP223" s="395"/>
      <c r="AQ223" s="394"/>
      <c r="AR223" s="395"/>
      <c r="AS223" s="395"/>
      <c r="AT223" s="395"/>
      <c r="AU223" s="395"/>
      <c r="AV223" s="394"/>
      <c r="AW223" s="395"/>
      <c r="AX223" s="395"/>
      <c r="AY223" s="395"/>
      <c r="AZ223" s="395"/>
      <c r="BA223" s="394"/>
      <c r="BB223" s="395"/>
      <c r="BC223" s="395"/>
      <c r="BD223" s="395"/>
      <c r="BE223" s="395"/>
      <c r="BF223" s="394"/>
      <c r="BG223" s="395"/>
      <c r="BH223" s="395"/>
      <c r="BI223" s="395"/>
      <c r="BJ223" s="395"/>
      <c r="BK223" s="394"/>
      <c r="BL223" s="395"/>
      <c r="BM223" s="395"/>
      <c r="BN223" s="395"/>
      <c r="BO223" s="395"/>
    </row>
    <row r="224" spans="3:67">
      <c r="C224" s="499"/>
      <c r="D224" s="500"/>
      <c r="E224" s="500"/>
      <c r="F224" s="500"/>
      <c r="G224" s="500"/>
      <c r="H224" s="499"/>
      <c r="I224" s="500"/>
      <c r="J224" s="500"/>
      <c r="K224" s="500"/>
      <c r="L224" s="500"/>
      <c r="M224" s="499"/>
      <c r="N224" s="500"/>
      <c r="O224" s="500"/>
      <c r="P224" s="500"/>
      <c r="Q224" s="500"/>
      <c r="R224" s="499"/>
      <c r="S224" s="500"/>
      <c r="T224" s="500"/>
      <c r="U224" s="500"/>
      <c r="V224" s="500"/>
      <c r="W224" s="499"/>
      <c r="X224" s="500"/>
      <c r="Y224" s="500"/>
      <c r="Z224" s="500"/>
      <c r="AA224" s="500"/>
      <c r="AB224" s="499"/>
      <c r="AC224" s="500"/>
      <c r="AD224" s="500"/>
      <c r="AE224" s="500"/>
      <c r="AF224" s="500"/>
      <c r="AG224" s="499"/>
      <c r="AH224" s="500"/>
      <c r="AI224" s="500"/>
      <c r="AJ224" s="500"/>
      <c r="AK224" s="500"/>
      <c r="AL224" s="499"/>
      <c r="AM224" s="500"/>
      <c r="AN224" s="500"/>
      <c r="AO224" s="500"/>
      <c r="AP224" s="500"/>
      <c r="AQ224" s="499"/>
      <c r="AR224" s="500"/>
      <c r="AS224" s="500"/>
      <c r="AT224" s="500"/>
      <c r="AU224" s="500"/>
      <c r="AV224" s="499"/>
      <c r="AW224" s="500"/>
      <c r="AX224" s="500"/>
      <c r="AY224" s="500"/>
      <c r="AZ224" s="500"/>
      <c r="BA224" s="499"/>
      <c r="BB224" s="500"/>
      <c r="BC224" s="500"/>
      <c r="BD224" s="500"/>
      <c r="BE224" s="500"/>
      <c r="BF224" s="499"/>
      <c r="BG224" s="500"/>
      <c r="BH224" s="500"/>
      <c r="BI224" s="500"/>
      <c r="BJ224" s="500"/>
      <c r="BK224" s="499"/>
      <c r="BL224" s="500"/>
      <c r="BM224" s="500"/>
      <c r="BN224" s="500"/>
      <c r="BO224" s="500"/>
    </row>
    <row r="225" spans="3:67">
      <c r="C225" s="394"/>
      <c r="D225" s="395"/>
      <c r="E225" s="395"/>
      <c r="F225" s="395"/>
      <c r="G225" s="395"/>
      <c r="H225" s="394"/>
      <c r="I225" s="395"/>
      <c r="J225" s="395"/>
      <c r="K225" s="395"/>
      <c r="L225" s="395"/>
      <c r="M225" s="394"/>
      <c r="N225" s="395"/>
      <c r="O225" s="395"/>
      <c r="P225" s="395"/>
      <c r="Q225" s="395"/>
      <c r="R225" s="394"/>
      <c r="S225" s="395"/>
      <c r="T225" s="395"/>
      <c r="U225" s="395"/>
      <c r="V225" s="395"/>
      <c r="W225" s="394"/>
      <c r="X225" s="395"/>
      <c r="Y225" s="395"/>
      <c r="Z225" s="395"/>
      <c r="AA225" s="395"/>
      <c r="AB225" s="394"/>
      <c r="AC225" s="395"/>
      <c r="AD225" s="395"/>
      <c r="AE225" s="395"/>
      <c r="AF225" s="395"/>
      <c r="AG225" s="394"/>
      <c r="AH225" s="395"/>
      <c r="AI225" s="395"/>
      <c r="AJ225" s="395"/>
      <c r="AK225" s="395"/>
      <c r="AL225" s="394"/>
      <c r="AM225" s="395"/>
      <c r="AN225" s="395"/>
      <c r="AO225" s="395"/>
      <c r="AP225" s="395"/>
      <c r="AQ225" s="394"/>
      <c r="AR225" s="395"/>
      <c r="AS225" s="395"/>
      <c r="AT225" s="395"/>
      <c r="AU225" s="395"/>
      <c r="AV225" s="394"/>
      <c r="AW225" s="395"/>
      <c r="AX225" s="395"/>
      <c r="AY225" s="395"/>
      <c r="AZ225" s="395"/>
      <c r="BA225" s="394"/>
      <c r="BB225" s="395"/>
      <c r="BC225" s="395"/>
      <c r="BD225" s="395"/>
      <c r="BE225" s="395"/>
      <c r="BF225" s="394"/>
      <c r="BG225" s="395"/>
      <c r="BH225" s="395"/>
      <c r="BI225" s="395"/>
      <c r="BJ225" s="395"/>
      <c r="BK225" s="394"/>
      <c r="BL225" s="395"/>
      <c r="BM225" s="395"/>
      <c r="BN225" s="395"/>
      <c r="BO225" s="395"/>
    </row>
    <row r="226" spans="3:67">
      <c r="C226" s="497"/>
      <c r="D226" s="395"/>
      <c r="E226" s="395"/>
      <c r="F226" s="395"/>
      <c r="G226" s="395"/>
      <c r="H226" s="497"/>
      <c r="I226" s="395"/>
      <c r="J226" s="395"/>
      <c r="K226" s="395"/>
      <c r="L226" s="395"/>
      <c r="M226" s="497"/>
      <c r="N226" s="395"/>
      <c r="O226" s="395"/>
      <c r="P226" s="395"/>
      <c r="Q226" s="395"/>
      <c r="R226" s="497"/>
      <c r="S226" s="395"/>
      <c r="T226" s="395"/>
      <c r="U226" s="395"/>
      <c r="V226" s="395"/>
      <c r="W226" s="497"/>
      <c r="X226" s="395"/>
      <c r="Y226" s="395"/>
      <c r="Z226" s="395"/>
      <c r="AA226" s="395"/>
      <c r="AB226" s="497"/>
      <c r="AC226" s="395"/>
      <c r="AD226" s="395"/>
      <c r="AE226" s="395"/>
      <c r="AF226" s="395"/>
      <c r="AG226" s="497"/>
      <c r="AH226" s="395"/>
      <c r="AI226" s="395"/>
      <c r="AJ226" s="395"/>
      <c r="AK226" s="395"/>
      <c r="AL226" s="497"/>
      <c r="AM226" s="395"/>
      <c r="AN226" s="395"/>
      <c r="AO226" s="395"/>
      <c r="AP226" s="395"/>
      <c r="AQ226" s="497"/>
      <c r="AR226" s="395"/>
      <c r="AS226" s="395"/>
      <c r="AT226" s="395"/>
      <c r="AU226" s="395"/>
      <c r="AV226" s="497"/>
      <c r="AW226" s="395"/>
      <c r="AX226" s="395"/>
      <c r="AY226" s="395"/>
      <c r="AZ226" s="395"/>
      <c r="BA226" s="497"/>
      <c r="BB226" s="395"/>
      <c r="BC226" s="395"/>
      <c r="BD226" s="395"/>
      <c r="BE226" s="395"/>
      <c r="BF226" s="497"/>
      <c r="BG226" s="395"/>
      <c r="BH226" s="395"/>
      <c r="BI226" s="395"/>
      <c r="BJ226" s="395"/>
      <c r="BK226" s="497"/>
      <c r="BL226" s="395"/>
      <c r="BM226" s="395"/>
      <c r="BN226" s="395"/>
      <c r="BO226" s="395"/>
    </row>
    <row r="227" spans="3:67">
      <c r="C227" s="394"/>
      <c r="D227" s="395"/>
      <c r="E227" s="395"/>
      <c r="F227" s="395"/>
      <c r="G227" s="395"/>
      <c r="H227" s="394"/>
      <c r="I227" s="395"/>
      <c r="J227" s="395"/>
      <c r="K227" s="395"/>
      <c r="L227" s="395"/>
      <c r="M227" s="394"/>
      <c r="N227" s="395"/>
      <c r="O227" s="395"/>
      <c r="P227" s="395"/>
      <c r="Q227" s="395"/>
      <c r="R227" s="394"/>
      <c r="S227" s="395"/>
      <c r="T227" s="395"/>
      <c r="U227" s="395"/>
      <c r="V227" s="395"/>
      <c r="W227" s="394"/>
      <c r="X227" s="395"/>
      <c r="Y227" s="395"/>
      <c r="Z227" s="395"/>
      <c r="AA227" s="395"/>
      <c r="AB227" s="394"/>
      <c r="AC227" s="395"/>
      <c r="AD227" s="395"/>
      <c r="AE227" s="395"/>
      <c r="AF227" s="395"/>
      <c r="AG227" s="394"/>
      <c r="AH227" s="395"/>
      <c r="AI227" s="395"/>
      <c r="AJ227" s="395"/>
      <c r="AK227" s="395"/>
      <c r="AL227" s="394"/>
      <c r="AM227" s="395"/>
      <c r="AN227" s="395"/>
      <c r="AO227" s="395"/>
      <c r="AP227" s="395"/>
      <c r="AQ227" s="394"/>
      <c r="AR227" s="395"/>
      <c r="AS227" s="395"/>
      <c r="AT227" s="395"/>
      <c r="AU227" s="395"/>
      <c r="AV227" s="394"/>
      <c r="AW227" s="395"/>
      <c r="AX227" s="395"/>
      <c r="AY227" s="395"/>
      <c r="AZ227" s="395"/>
      <c r="BA227" s="394"/>
      <c r="BB227" s="395"/>
      <c r="BC227" s="395"/>
      <c r="BD227" s="395"/>
      <c r="BE227" s="395"/>
      <c r="BF227" s="394"/>
      <c r="BG227" s="395"/>
      <c r="BH227" s="395"/>
      <c r="BI227" s="395"/>
      <c r="BJ227" s="395"/>
      <c r="BK227" s="394"/>
      <c r="BL227" s="395"/>
      <c r="BM227" s="395"/>
      <c r="BN227" s="395"/>
      <c r="BO227" s="395"/>
    </row>
    <row r="228" spans="3:67">
      <c r="C228" s="394"/>
      <c r="D228" s="501"/>
      <c r="E228" s="501"/>
      <c r="F228" s="501"/>
      <c r="G228" s="501"/>
      <c r="H228" s="394"/>
      <c r="I228" s="501"/>
      <c r="J228" s="501"/>
      <c r="K228" s="501"/>
      <c r="L228" s="501"/>
      <c r="M228" s="394"/>
      <c r="N228" s="501"/>
      <c r="O228" s="501"/>
      <c r="P228" s="501"/>
      <c r="Q228" s="501"/>
      <c r="R228" s="394"/>
      <c r="S228" s="501"/>
      <c r="T228" s="501"/>
      <c r="U228" s="501"/>
      <c r="V228" s="501"/>
      <c r="W228" s="394"/>
      <c r="X228" s="501"/>
      <c r="Y228" s="501"/>
      <c r="Z228" s="501"/>
      <c r="AA228" s="501"/>
      <c r="AB228" s="394"/>
      <c r="AC228" s="501"/>
      <c r="AD228" s="501"/>
      <c r="AE228" s="501"/>
      <c r="AF228" s="501"/>
      <c r="AG228" s="394"/>
      <c r="AH228" s="501"/>
      <c r="AI228" s="501"/>
      <c r="AJ228" s="501"/>
      <c r="AK228" s="501"/>
      <c r="AL228" s="394"/>
      <c r="AM228" s="501"/>
      <c r="AN228" s="501"/>
      <c r="AO228" s="501"/>
      <c r="AP228" s="501"/>
      <c r="AQ228" s="394"/>
      <c r="AR228" s="501"/>
      <c r="AS228" s="501"/>
      <c r="AT228" s="501"/>
      <c r="AU228" s="501"/>
      <c r="AV228" s="394"/>
      <c r="AW228" s="501"/>
      <c r="AX228" s="501"/>
      <c r="AY228" s="501"/>
      <c r="AZ228" s="501"/>
      <c r="BA228" s="394"/>
      <c r="BB228" s="501"/>
      <c r="BC228" s="501"/>
      <c r="BD228" s="501"/>
      <c r="BE228" s="501"/>
      <c r="BF228" s="394"/>
      <c r="BG228" s="501"/>
      <c r="BH228" s="501"/>
      <c r="BI228" s="501"/>
      <c r="BJ228" s="501"/>
      <c r="BK228" s="394"/>
      <c r="BL228" s="501"/>
      <c r="BM228" s="501"/>
      <c r="BN228" s="501"/>
      <c r="BO228" s="501"/>
    </row>
    <row r="229" spans="3:67">
      <c r="C229" s="502"/>
      <c r="D229" s="503"/>
      <c r="E229" s="503"/>
      <c r="F229" s="503"/>
      <c r="G229" s="503"/>
      <c r="H229" s="502"/>
      <c r="I229" s="503"/>
      <c r="J229" s="503"/>
      <c r="K229" s="503"/>
      <c r="L229" s="503"/>
      <c r="M229" s="502"/>
      <c r="N229" s="503"/>
      <c r="O229" s="503"/>
      <c r="P229" s="503"/>
      <c r="Q229" s="503"/>
      <c r="R229" s="502"/>
      <c r="S229" s="503"/>
      <c r="T229" s="503"/>
      <c r="U229" s="503"/>
      <c r="V229" s="503"/>
      <c r="W229" s="502"/>
      <c r="X229" s="503"/>
      <c r="Y229" s="503"/>
      <c r="Z229" s="503"/>
      <c r="AA229" s="503"/>
      <c r="AB229" s="502"/>
      <c r="AC229" s="503"/>
      <c r="AD229" s="503"/>
      <c r="AE229" s="503"/>
      <c r="AF229" s="503"/>
      <c r="AG229" s="502"/>
      <c r="AH229" s="503"/>
      <c r="AI229" s="503"/>
      <c r="AJ229" s="503"/>
      <c r="AK229" s="503"/>
      <c r="AL229" s="502"/>
      <c r="AM229" s="503"/>
      <c r="AN229" s="503"/>
      <c r="AO229" s="503"/>
      <c r="AP229" s="503"/>
      <c r="AQ229" s="502"/>
      <c r="AR229" s="503"/>
      <c r="AS229" s="503"/>
      <c r="AT229" s="503"/>
      <c r="AU229" s="503"/>
      <c r="AV229" s="502"/>
      <c r="AW229" s="503"/>
      <c r="AX229" s="503"/>
      <c r="AY229" s="503"/>
      <c r="AZ229" s="503"/>
      <c r="BA229" s="502"/>
      <c r="BB229" s="503"/>
      <c r="BC229" s="503"/>
      <c r="BD229" s="503"/>
      <c r="BE229" s="503"/>
      <c r="BF229" s="502"/>
      <c r="BG229" s="503"/>
      <c r="BH229" s="503"/>
      <c r="BI229" s="503"/>
      <c r="BJ229" s="503"/>
      <c r="BK229" s="502"/>
      <c r="BL229" s="503"/>
      <c r="BM229" s="503"/>
      <c r="BN229" s="503"/>
      <c r="BO229" s="503"/>
    </row>
    <row r="232" spans="3:67">
      <c r="C232" s="463"/>
      <c r="D232" s="384"/>
      <c r="E232" s="384"/>
      <c r="F232" s="384"/>
      <c r="G232" s="384"/>
      <c r="H232" s="463"/>
      <c r="I232" s="384"/>
      <c r="J232" s="384"/>
      <c r="K232" s="384"/>
      <c r="L232" s="384"/>
      <c r="M232" s="463"/>
      <c r="N232" s="384"/>
      <c r="O232" s="384"/>
      <c r="P232" s="384"/>
      <c r="Q232" s="384"/>
      <c r="R232" s="463"/>
      <c r="S232" s="384"/>
      <c r="T232" s="384"/>
      <c r="U232" s="384"/>
      <c r="V232" s="384"/>
      <c r="W232" s="463"/>
      <c r="X232" s="384"/>
      <c r="Y232" s="384"/>
      <c r="Z232" s="384"/>
      <c r="AA232" s="384"/>
      <c r="AB232" s="463"/>
      <c r="AC232" s="384"/>
      <c r="AD232" s="384"/>
      <c r="AE232" s="384"/>
      <c r="AF232" s="384"/>
      <c r="AG232" s="463"/>
      <c r="AH232" s="384"/>
      <c r="AI232" s="384"/>
      <c r="AJ232" s="384"/>
      <c r="AK232" s="384"/>
      <c r="AL232" s="463"/>
      <c r="AM232" s="384"/>
      <c r="AN232" s="384"/>
      <c r="AO232" s="384"/>
      <c r="AP232" s="384"/>
      <c r="AQ232" s="463"/>
      <c r="AR232" s="384"/>
      <c r="AS232" s="384"/>
      <c r="AT232" s="384"/>
      <c r="AU232" s="384"/>
      <c r="AV232" s="463"/>
      <c r="AW232" s="384"/>
      <c r="AX232" s="384"/>
      <c r="AY232" s="384"/>
      <c r="AZ232" s="384"/>
      <c r="BA232" s="463"/>
      <c r="BB232" s="384"/>
      <c r="BC232" s="384"/>
      <c r="BD232" s="384"/>
      <c r="BE232" s="384"/>
      <c r="BF232" s="463"/>
      <c r="BG232" s="384"/>
      <c r="BH232" s="384"/>
      <c r="BI232" s="384"/>
      <c r="BJ232" s="384"/>
      <c r="BK232" s="463"/>
      <c r="BL232" s="384"/>
      <c r="BM232" s="384"/>
      <c r="BN232" s="384"/>
      <c r="BO232" s="384"/>
    </row>
    <row r="235" spans="3:67">
      <c r="C235" s="504"/>
      <c r="D235" s="505"/>
      <c r="E235" s="505"/>
      <c r="F235" s="505"/>
      <c r="G235" s="505"/>
      <c r="H235" s="504"/>
      <c r="I235" s="505"/>
      <c r="J235" s="505"/>
      <c r="K235" s="505"/>
      <c r="L235" s="505"/>
      <c r="M235" s="504"/>
      <c r="N235" s="505"/>
      <c r="O235" s="505"/>
      <c r="P235" s="505"/>
      <c r="Q235" s="505"/>
      <c r="R235" s="504"/>
      <c r="S235" s="505"/>
      <c r="T235" s="505"/>
      <c r="U235" s="505"/>
      <c r="V235" s="505"/>
      <c r="W235" s="504"/>
      <c r="X235" s="505"/>
      <c r="Y235" s="505"/>
      <c r="Z235" s="505"/>
      <c r="AA235" s="505"/>
      <c r="AB235" s="504"/>
      <c r="AC235" s="505"/>
      <c r="AD235" s="505"/>
      <c r="AE235" s="505"/>
      <c r="AF235" s="505"/>
      <c r="AG235" s="504"/>
      <c r="AH235" s="505"/>
      <c r="AI235" s="505"/>
      <c r="AJ235" s="505"/>
      <c r="AK235" s="505"/>
      <c r="AL235" s="504"/>
      <c r="AM235" s="505"/>
      <c r="AN235" s="505"/>
      <c r="AO235" s="505"/>
      <c r="AP235" s="505"/>
      <c r="AQ235" s="504"/>
      <c r="AR235" s="505"/>
      <c r="AS235" s="505"/>
      <c r="AT235" s="505"/>
      <c r="AU235" s="505"/>
      <c r="AV235" s="504"/>
      <c r="AW235" s="505"/>
      <c r="AX235" s="505"/>
      <c r="AY235" s="505"/>
      <c r="AZ235" s="505"/>
      <c r="BA235" s="504"/>
      <c r="BB235" s="505"/>
      <c r="BC235" s="505"/>
      <c r="BD235" s="505"/>
      <c r="BE235" s="505"/>
      <c r="BF235" s="504"/>
      <c r="BG235" s="505"/>
      <c r="BH235" s="505"/>
      <c r="BI235" s="505"/>
      <c r="BJ235" s="505"/>
      <c r="BK235" s="504"/>
      <c r="BL235" s="505"/>
      <c r="BM235" s="505"/>
      <c r="BN235" s="505"/>
      <c r="BO235" s="505"/>
    </row>
    <row r="238" spans="3:67">
      <c r="C238" s="463"/>
      <c r="D238" s="384"/>
      <c r="E238" s="384"/>
      <c r="F238" s="384"/>
      <c r="G238" s="384"/>
      <c r="H238" s="463"/>
      <c r="I238" s="384"/>
      <c r="J238" s="384"/>
      <c r="K238" s="384"/>
      <c r="L238" s="384"/>
      <c r="M238" s="463"/>
      <c r="N238" s="384"/>
      <c r="O238" s="384"/>
      <c r="P238" s="384"/>
      <c r="Q238" s="384"/>
      <c r="R238" s="463"/>
      <c r="S238" s="384"/>
      <c r="T238" s="384"/>
      <c r="U238" s="384"/>
      <c r="V238" s="384"/>
      <c r="W238" s="463"/>
      <c r="X238" s="384"/>
      <c r="Y238" s="384"/>
      <c r="Z238" s="384"/>
      <c r="AA238" s="384"/>
      <c r="AB238" s="463"/>
      <c r="AC238" s="384"/>
      <c r="AD238" s="384"/>
      <c r="AE238" s="384"/>
      <c r="AF238" s="384"/>
      <c r="AG238" s="463"/>
      <c r="AH238" s="384"/>
      <c r="AI238" s="384"/>
      <c r="AJ238" s="384"/>
      <c r="AK238" s="384"/>
      <c r="AL238" s="463"/>
      <c r="AM238" s="384"/>
      <c r="AN238" s="384"/>
      <c r="AO238" s="384"/>
      <c r="AP238" s="384"/>
      <c r="AQ238" s="463"/>
      <c r="AR238" s="384"/>
      <c r="AS238" s="384"/>
      <c r="AT238" s="384"/>
      <c r="AU238" s="384"/>
      <c r="AV238" s="463"/>
      <c r="AW238" s="384"/>
      <c r="AX238" s="384"/>
      <c r="AY238" s="384"/>
      <c r="AZ238" s="384"/>
      <c r="BA238" s="463"/>
      <c r="BB238" s="384"/>
      <c r="BC238" s="384"/>
      <c r="BD238" s="384"/>
      <c r="BE238" s="384"/>
      <c r="BF238" s="463"/>
      <c r="BG238" s="384"/>
      <c r="BH238" s="384"/>
      <c r="BI238" s="384"/>
      <c r="BJ238" s="384"/>
      <c r="BK238" s="463"/>
      <c r="BL238" s="384"/>
      <c r="BM238" s="384"/>
      <c r="BN238" s="384"/>
      <c r="BO238" s="384"/>
    </row>
    <row r="239" spans="3:67">
      <c r="C239" s="506"/>
      <c r="D239" s="507"/>
      <c r="E239" s="507"/>
      <c r="F239" s="507"/>
      <c r="G239" s="507"/>
      <c r="H239" s="506"/>
      <c r="I239" s="507"/>
      <c r="J239" s="507"/>
      <c r="K239" s="507"/>
      <c r="L239" s="507"/>
      <c r="M239" s="506"/>
      <c r="N239" s="507"/>
      <c r="O239" s="507"/>
      <c r="P239" s="507"/>
      <c r="Q239" s="507"/>
      <c r="R239" s="506"/>
      <c r="S239" s="507"/>
      <c r="T239" s="507"/>
      <c r="U239" s="507"/>
      <c r="V239" s="507"/>
      <c r="W239" s="506"/>
      <c r="X239" s="507"/>
      <c r="Y239" s="507"/>
      <c r="Z239" s="507"/>
      <c r="AA239" s="507"/>
      <c r="AB239" s="506"/>
      <c r="AC239" s="507"/>
      <c r="AD239" s="507"/>
      <c r="AE239" s="507"/>
      <c r="AF239" s="507"/>
      <c r="AG239" s="506"/>
      <c r="AH239" s="507"/>
      <c r="AI239" s="507"/>
      <c r="AJ239" s="507"/>
      <c r="AK239" s="507"/>
      <c r="AL239" s="506"/>
      <c r="AM239" s="507"/>
      <c r="AN239" s="507"/>
      <c r="AO239" s="507"/>
      <c r="AP239" s="507"/>
      <c r="AQ239" s="506"/>
      <c r="AR239" s="507"/>
      <c r="AS239" s="507"/>
      <c r="AT239" s="507"/>
      <c r="AU239" s="507"/>
      <c r="AV239" s="506"/>
      <c r="AW239" s="507"/>
      <c r="AX239" s="507"/>
      <c r="AY239" s="507"/>
      <c r="AZ239" s="507"/>
      <c r="BA239" s="506"/>
      <c r="BB239" s="507"/>
      <c r="BC239" s="507"/>
      <c r="BD239" s="507"/>
      <c r="BE239" s="507"/>
      <c r="BF239" s="506"/>
      <c r="BG239" s="507"/>
      <c r="BH239" s="507"/>
      <c r="BI239" s="507"/>
      <c r="BJ239" s="507"/>
      <c r="BK239" s="506"/>
      <c r="BL239" s="507"/>
      <c r="BM239" s="507"/>
      <c r="BN239" s="507"/>
      <c r="BO239" s="507"/>
    </row>
    <row r="240" spans="3:67">
      <c r="C240" s="502"/>
      <c r="D240" s="384"/>
      <c r="E240" s="384"/>
      <c r="F240" s="384"/>
      <c r="G240" s="384"/>
      <c r="H240" s="502"/>
      <c r="I240" s="384"/>
      <c r="J240" s="384"/>
      <c r="K240" s="384"/>
      <c r="L240" s="384"/>
      <c r="M240" s="502"/>
      <c r="N240" s="384"/>
      <c r="O240" s="384"/>
      <c r="P240" s="384"/>
      <c r="Q240" s="384"/>
      <c r="R240" s="502"/>
      <c r="S240" s="384"/>
      <c r="T240" s="384"/>
      <c r="U240" s="384"/>
      <c r="V240" s="384"/>
      <c r="W240" s="502"/>
      <c r="X240" s="384"/>
      <c r="Y240" s="384"/>
      <c r="Z240" s="384"/>
      <c r="AA240" s="384"/>
      <c r="AB240" s="502"/>
      <c r="AC240" s="384"/>
      <c r="AD240" s="384"/>
      <c r="AE240" s="384"/>
      <c r="AF240" s="384"/>
      <c r="AG240" s="502"/>
      <c r="AH240" s="384"/>
      <c r="AI240" s="384"/>
      <c r="AJ240" s="384"/>
      <c r="AK240" s="384"/>
      <c r="AL240" s="502"/>
      <c r="AM240" s="384"/>
      <c r="AN240" s="384"/>
      <c r="AO240" s="384"/>
      <c r="AP240" s="384"/>
      <c r="AQ240" s="502"/>
      <c r="AR240" s="384"/>
      <c r="AS240" s="384"/>
      <c r="AT240" s="384"/>
      <c r="AU240" s="384"/>
      <c r="AV240" s="502"/>
      <c r="AW240" s="384"/>
      <c r="AX240" s="384"/>
      <c r="AY240" s="384"/>
      <c r="AZ240" s="384"/>
      <c r="BA240" s="502"/>
      <c r="BB240" s="384"/>
      <c r="BC240" s="384"/>
      <c r="BD240" s="384"/>
      <c r="BE240" s="384"/>
      <c r="BF240" s="502"/>
      <c r="BG240" s="384"/>
      <c r="BH240" s="384"/>
      <c r="BI240" s="384"/>
      <c r="BJ240" s="384"/>
      <c r="BK240" s="502"/>
      <c r="BL240" s="384"/>
      <c r="BM240" s="384"/>
      <c r="BN240" s="384"/>
      <c r="BO240" s="384"/>
    </row>
    <row r="242" spans="3:67">
      <c r="C242" s="497"/>
      <c r="D242" s="498"/>
      <c r="E242" s="498"/>
      <c r="F242" s="498"/>
      <c r="G242" s="498"/>
      <c r="H242" s="497"/>
      <c r="I242" s="498"/>
      <c r="J242" s="498"/>
      <c r="K242" s="498"/>
      <c r="L242" s="498"/>
      <c r="M242" s="497"/>
      <c r="N242" s="498"/>
      <c r="O242" s="498"/>
      <c r="P242" s="498"/>
      <c r="Q242" s="498"/>
      <c r="R242" s="497"/>
      <c r="S242" s="498"/>
      <c r="T242" s="498"/>
      <c r="U242" s="498"/>
      <c r="V242" s="498"/>
      <c r="W242" s="497"/>
      <c r="X242" s="498"/>
      <c r="Y242" s="498"/>
      <c r="Z242" s="498"/>
      <c r="AA242" s="498"/>
      <c r="AB242" s="497"/>
      <c r="AC242" s="498"/>
      <c r="AD242" s="498"/>
      <c r="AE242" s="498"/>
      <c r="AF242" s="498"/>
      <c r="AG242" s="497"/>
      <c r="AH242" s="498"/>
      <c r="AI242" s="498"/>
      <c r="AJ242" s="498"/>
      <c r="AK242" s="498"/>
      <c r="AL242" s="497"/>
      <c r="AM242" s="498"/>
      <c r="AN242" s="498"/>
      <c r="AO242" s="498"/>
      <c r="AP242" s="498"/>
      <c r="AQ242" s="497"/>
      <c r="AR242" s="498"/>
      <c r="AS242" s="498"/>
      <c r="AT242" s="498"/>
      <c r="AU242" s="498"/>
      <c r="AV242" s="497"/>
      <c r="AW242" s="498"/>
      <c r="AX242" s="498"/>
      <c r="AY242" s="498"/>
      <c r="AZ242" s="498"/>
      <c r="BA242" s="497"/>
      <c r="BB242" s="498"/>
      <c r="BC242" s="498"/>
      <c r="BD242" s="498"/>
      <c r="BE242" s="498"/>
      <c r="BF242" s="497"/>
      <c r="BG242" s="498"/>
      <c r="BH242" s="498"/>
      <c r="BI242" s="498"/>
      <c r="BJ242" s="498"/>
      <c r="BK242" s="497"/>
      <c r="BL242" s="498"/>
      <c r="BM242" s="498"/>
      <c r="BN242" s="498"/>
      <c r="BO242" s="498"/>
    </row>
    <row r="243" spans="3:67">
      <c r="C243" s="463"/>
      <c r="D243" s="384"/>
      <c r="E243" s="384"/>
      <c r="F243" s="384"/>
      <c r="G243" s="384"/>
      <c r="H243" s="463"/>
      <c r="I243" s="384"/>
      <c r="J243" s="384"/>
      <c r="K243" s="384"/>
      <c r="L243" s="384"/>
      <c r="M243" s="463"/>
      <c r="N243" s="384"/>
      <c r="O243" s="384"/>
      <c r="P243" s="384"/>
      <c r="Q243" s="384"/>
      <c r="R243" s="463"/>
      <c r="S243" s="384"/>
      <c r="T243" s="384"/>
      <c r="U243" s="384"/>
      <c r="V243" s="384"/>
      <c r="W243" s="463"/>
      <c r="X243" s="384"/>
      <c r="Y243" s="384"/>
      <c r="Z243" s="384"/>
      <c r="AA243" s="384"/>
      <c r="AB243" s="463"/>
      <c r="AC243" s="384"/>
      <c r="AD243" s="384"/>
      <c r="AE243" s="384"/>
      <c r="AF243" s="384"/>
      <c r="AG243" s="463"/>
      <c r="AH243" s="384"/>
      <c r="AI243" s="384"/>
      <c r="AJ243" s="384"/>
      <c r="AK243" s="384"/>
      <c r="AL243" s="463"/>
      <c r="AM243" s="384"/>
      <c r="AN243" s="384"/>
      <c r="AO243" s="384"/>
      <c r="AP243" s="384"/>
      <c r="AQ243" s="463"/>
      <c r="AR243" s="384"/>
      <c r="AS243" s="384"/>
      <c r="AT243" s="384"/>
      <c r="AU243" s="384"/>
      <c r="AV243" s="463"/>
      <c r="AW243" s="384"/>
      <c r="AX243" s="384"/>
      <c r="AY243" s="384"/>
      <c r="AZ243" s="384"/>
      <c r="BA243" s="463"/>
      <c r="BB243" s="384"/>
      <c r="BC243" s="384"/>
      <c r="BD243" s="384"/>
      <c r="BE243" s="384"/>
      <c r="BF243" s="463"/>
      <c r="BG243" s="384"/>
      <c r="BH243" s="384"/>
      <c r="BI243" s="384"/>
      <c r="BJ243" s="384"/>
      <c r="BK243" s="463"/>
      <c r="BL243" s="384"/>
      <c r="BM243" s="384"/>
      <c r="BN243" s="384"/>
      <c r="BO243" s="384"/>
    </row>
    <row r="245" spans="3:67">
      <c r="C245" s="508"/>
      <c r="D245" s="501"/>
      <c r="E245" s="501"/>
      <c r="F245" s="501"/>
      <c r="G245" s="501"/>
      <c r="H245" s="508"/>
      <c r="I245" s="501"/>
      <c r="J245" s="501"/>
      <c r="K245" s="501"/>
      <c r="L245" s="501"/>
      <c r="M245" s="508"/>
      <c r="N245" s="501"/>
      <c r="O245" s="501"/>
      <c r="P245" s="501"/>
      <c r="Q245" s="501"/>
      <c r="R245" s="508"/>
      <c r="S245" s="501"/>
      <c r="T245" s="501"/>
      <c r="U245" s="501"/>
      <c r="V245" s="501"/>
      <c r="W245" s="508"/>
      <c r="X245" s="501"/>
      <c r="Y245" s="501"/>
      <c r="Z245" s="501"/>
      <c r="AA245" s="501"/>
      <c r="AB245" s="508"/>
      <c r="AC245" s="501"/>
      <c r="AD245" s="501"/>
      <c r="AE245" s="501"/>
      <c r="AF245" s="501"/>
      <c r="AG245" s="508"/>
      <c r="AH245" s="501"/>
      <c r="AI245" s="501"/>
      <c r="AJ245" s="501"/>
      <c r="AK245" s="501"/>
      <c r="AL245" s="508"/>
      <c r="AM245" s="501"/>
      <c r="AN245" s="501"/>
      <c r="AO245" s="501"/>
      <c r="AP245" s="501"/>
      <c r="AQ245" s="508"/>
      <c r="AR245" s="501"/>
      <c r="AS245" s="501"/>
      <c r="AT245" s="501"/>
      <c r="AU245" s="501"/>
      <c r="AV245" s="508"/>
      <c r="AW245" s="501"/>
      <c r="AX245" s="501"/>
      <c r="AY245" s="501"/>
      <c r="AZ245" s="501"/>
      <c r="BA245" s="508"/>
      <c r="BB245" s="501"/>
      <c r="BC245" s="501"/>
      <c r="BD245" s="501"/>
      <c r="BE245" s="501"/>
      <c r="BF245" s="508"/>
      <c r="BG245" s="501"/>
      <c r="BH245" s="501"/>
      <c r="BI245" s="501"/>
      <c r="BJ245" s="501"/>
      <c r="BK245" s="508"/>
      <c r="BL245" s="501"/>
      <c r="BM245" s="501"/>
      <c r="BN245" s="501"/>
      <c r="BO245" s="501"/>
    </row>
    <row r="246" spans="3:67">
      <c r="C246" s="502"/>
      <c r="D246" s="503"/>
      <c r="E246" s="503"/>
      <c r="F246" s="503"/>
      <c r="G246" s="503"/>
      <c r="H246" s="502"/>
      <c r="I246" s="503"/>
      <c r="J246" s="503"/>
      <c r="K246" s="503"/>
      <c r="L246" s="503"/>
      <c r="M246" s="502"/>
      <c r="N246" s="503"/>
      <c r="O246" s="503"/>
      <c r="P246" s="503"/>
      <c r="Q246" s="503"/>
      <c r="R246" s="502"/>
      <c r="S246" s="503"/>
      <c r="T246" s="503"/>
      <c r="U246" s="503"/>
      <c r="V246" s="503"/>
      <c r="W246" s="502"/>
      <c r="X246" s="503"/>
      <c r="Y246" s="503"/>
      <c r="Z246" s="503"/>
      <c r="AA246" s="503"/>
      <c r="AB246" s="502"/>
      <c r="AC246" s="503"/>
      <c r="AD246" s="503"/>
      <c r="AE246" s="503"/>
      <c r="AF246" s="503"/>
      <c r="AG246" s="502"/>
      <c r="AH246" s="503"/>
      <c r="AI246" s="503"/>
      <c r="AJ246" s="503"/>
      <c r="AK246" s="503"/>
      <c r="AL246" s="502"/>
      <c r="AM246" s="503"/>
      <c r="AN246" s="503"/>
      <c r="AO246" s="503"/>
      <c r="AP246" s="503"/>
      <c r="AQ246" s="502"/>
      <c r="AR246" s="503"/>
      <c r="AS246" s="503"/>
      <c r="AT246" s="503"/>
      <c r="AU246" s="503"/>
      <c r="AV246" s="502"/>
      <c r="AW246" s="503"/>
      <c r="AX246" s="503"/>
      <c r="AY246" s="503"/>
      <c r="AZ246" s="503"/>
      <c r="BA246" s="502"/>
      <c r="BB246" s="503"/>
      <c r="BC246" s="503"/>
      <c r="BD246" s="503"/>
      <c r="BE246" s="503"/>
      <c r="BF246" s="502"/>
      <c r="BG246" s="503"/>
      <c r="BH246" s="503"/>
      <c r="BI246" s="503"/>
      <c r="BJ246" s="503"/>
      <c r="BK246" s="502"/>
      <c r="BL246" s="503"/>
      <c r="BM246" s="503"/>
      <c r="BN246" s="503"/>
      <c r="BO246" s="503"/>
    </row>
    <row r="248" spans="3:67">
      <c r="C248" s="497"/>
      <c r="D248" s="498"/>
      <c r="E248" s="498"/>
      <c r="F248" s="498"/>
      <c r="G248" s="498"/>
      <c r="H248" s="497"/>
      <c r="I248" s="498"/>
      <c r="J248" s="498"/>
      <c r="K248" s="498"/>
      <c r="L248" s="498"/>
      <c r="M248" s="497"/>
      <c r="N248" s="498"/>
      <c r="O248" s="498"/>
      <c r="P248" s="498"/>
      <c r="Q248" s="498"/>
      <c r="R248" s="497"/>
      <c r="S248" s="498"/>
      <c r="T248" s="498"/>
      <c r="U248" s="498"/>
      <c r="V248" s="498"/>
      <c r="W248" s="497"/>
      <c r="X248" s="498"/>
      <c r="Y248" s="498"/>
      <c r="Z248" s="498"/>
      <c r="AA248" s="498"/>
      <c r="AB248" s="497"/>
      <c r="AC248" s="498"/>
      <c r="AD248" s="498"/>
      <c r="AE248" s="498"/>
      <c r="AF248" s="498"/>
      <c r="AG248" s="497"/>
      <c r="AH248" s="498"/>
      <c r="AI248" s="498"/>
      <c r="AJ248" s="498"/>
      <c r="AK248" s="498"/>
      <c r="AL248" s="497"/>
      <c r="AM248" s="498"/>
      <c r="AN248" s="498"/>
      <c r="AO248" s="498"/>
      <c r="AP248" s="498"/>
      <c r="AQ248" s="497"/>
      <c r="AR248" s="498"/>
      <c r="AS248" s="498"/>
      <c r="AT248" s="498"/>
      <c r="AU248" s="498"/>
      <c r="AV248" s="497"/>
      <c r="AW248" s="498"/>
      <c r="AX248" s="498"/>
      <c r="AY248" s="498"/>
      <c r="AZ248" s="498"/>
      <c r="BA248" s="497"/>
      <c r="BB248" s="498"/>
      <c r="BC248" s="498"/>
      <c r="BD248" s="498"/>
      <c r="BE248" s="498"/>
      <c r="BF248" s="497"/>
      <c r="BG248" s="498"/>
      <c r="BH248" s="498"/>
      <c r="BI248" s="498"/>
      <c r="BJ248" s="498"/>
      <c r="BK248" s="497"/>
      <c r="BL248" s="498"/>
      <c r="BM248" s="498"/>
      <c r="BN248" s="498"/>
      <c r="BO248" s="498"/>
    </row>
    <row r="249" spans="3:67">
      <c r="C249" s="463"/>
      <c r="D249" s="384"/>
      <c r="E249" s="384"/>
      <c r="F249" s="384"/>
      <c r="G249" s="384"/>
      <c r="H249" s="463"/>
      <c r="I249" s="384"/>
      <c r="J249" s="384"/>
      <c r="K249" s="384"/>
      <c r="L249" s="384"/>
      <c r="M249" s="463"/>
      <c r="N249" s="384"/>
      <c r="O249" s="384"/>
      <c r="P249" s="384"/>
      <c r="Q249" s="384"/>
      <c r="R249" s="463"/>
      <c r="S249" s="384"/>
      <c r="T249" s="384"/>
      <c r="U249" s="384"/>
      <c r="V249" s="384"/>
      <c r="W249" s="463"/>
      <c r="X249" s="384"/>
      <c r="Y249" s="384"/>
      <c r="Z249" s="384"/>
      <c r="AA249" s="384"/>
      <c r="AB249" s="463"/>
      <c r="AC249" s="384"/>
      <c r="AD249" s="384"/>
      <c r="AE249" s="384"/>
      <c r="AF249" s="384"/>
      <c r="AG249" s="463"/>
      <c r="AH249" s="384"/>
      <c r="AI249" s="384"/>
      <c r="AJ249" s="384"/>
      <c r="AK249" s="384"/>
      <c r="AL249" s="463"/>
      <c r="AM249" s="384"/>
      <c r="AN249" s="384"/>
      <c r="AO249" s="384"/>
      <c r="AP249" s="384"/>
      <c r="AQ249" s="463"/>
      <c r="AR249" s="384"/>
      <c r="AS249" s="384"/>
      <c r="AT249" s="384"/>
      <c r="AU249" s="384"/>
      <c r="AV249" s="463"/>
      <c r="AW249" s="384"/>
      <c r="AX249" s="384"/>
      <c r="AY249" s="384"/>
      <c r="AZ249" s="384"/>
      <c r="BA249" s="463"/>
      <c r="BB249" s="384"/>
      <c r="BC249" s="384"/>
      <c r="BD249" s="384"/>
      <c r="BE249" s="384"/>
      <c r="BF249" s="463"/>
      <c r="BG249" s="384"/>
      <c r="BH249" s="384"/>
      <c r="BI249" s="384"/>
      <c r="BJ249" s="384"/>
      <c r="BK249" s="463"/>
      <c r="BL249" s="384"/>
      <c r="BM249" s="384"/>
      <c r="BN249" s="384"/>
      <c r="BO249" s="384"/>
    </row>
    <row r="251" spans="3:67">
      <c r="C251" s="463"/>
      <c r="D251" s="384"/>
      <c r="E251" s="384"/>
      <c r="F251" s="384"/>
      <c r="G251" s="384"/>
      <c r="H251" s="463"/>
      <c r="I251" s="384"/>
      <c r="J251" s="384"/>
      <c r="K251" s="384"/>
      <c r="L251" s="384"/>
      <c r="M251" s="463"/>
      <c r="N251" s="384"/>
      <c r="O251" s="384"/>
      <c r="P251" s="384"/>
      <c r="Q251" s="384"/>
      <c r="R251" s="463"/>
      <c r="S251" s="384"/>
      <c r="T251" s="384"/>
      <c r="U251" s="384"/>
      <c r="V251" s="384"/>
      <c r="W251" s="463"/>
      <c r="X251" s="384"/>
      <c r="Y251" s="384"/>
      <c r="Z251" s="384"/>
      <c r="AA251" s="384"/>
      <c r="AB251" s="463"/>
      <c r="AC251" s="384"/>
      <c r="AD251" s="384"/>
      <c r="AE251" s="384"/>
      <c r="AF251" s="384"/>
      <c r="AG251" s="463"/>
      <c r="AH251" s="384"/>
      <c r="AI251" s="384"/>
      <c r="AJ251" s="384"/>
      <c r="AK251" s="384"/>
      <c r="AL251" s="463"/>
      <c r="AM251" s="384"/>
      <c r="AN251" s="384"/>
      <c r="AO251" s="384"/>
      <c r="AP251" s="384"/>
      <c r="AQ251" s="463"/>
      <c r="AR251" s="384"/>
      <c r="AS251" s="384"/>
      <c r="AT251" s="384"/>
      <c r="AU251" s="384"/>
      <c r="AV251" s="463"/>
      <c r="AW251" s="384"/>
      <c r="AX251" s="384"/>
      <c r="AY251" s="384"/>
      <c r="AZ251" s="384"/>
      <c r="BA251" s="463"/>
      <c r="BB251" s="384"/>
      <c r="BC251" s="384"/>
      <c r="BD251" s="384"/>
      <c r="BE251" s="384"/>
      <c r="BF251" s="463"/>
      <c r="BG251" s="384"/>
      <c r="BH251" s="384"/>
      <c r="BI251" s="384"/>
      <c r="BJ251" s="384"/>
      <c r="BK251" s="463"/>
      <c r="BL251" s="384"/>
      <c r="BM251" s="384"/>
      <c r="BN251" s="384"/>
      <c r="BO251" s="384"/>
    </row>
    <row r="254" spans="3:67">
      <c r="C254" s="509"/>
      <c r="D254" s="510"/>
      <c r="E254" s="510"/>
      <c r="F254" s="510"/>
      <c r="G254" s="510"/>
      <c r="H254" s="509"/>
      <c r="I254" s="510"/>
      <c r="J254" s="510"/>
      <c r="K254" s="510"/>
      <c r="L254" s="510"/>
      <c r="M254" s="509"/>
      <c r="N254" s="510"/>
      <c r="O254" s="510"/>
      <c r="P254" s="510"/>
      <c r="Q254" s="510"/>
      <c r="R254" s="509"/>
      <c r="S254" s="510"/>
      <c r="T254" s="510"/>
      <c r="U254" s="510"/>
      <c r="V254" s="510"/>
      <c r="W254" s="509"/>
      <c r="X254" s="510"/>
      <c r="Y254" s="510"/>
      <c r="Z254" s="510"/>
      <c r="AA254" s="510"/>
      <c r="AB254" s="509"/>
      <c r="AC254" s="510"/>
      <c r="AD254" s="510"/>
      <c r="AE254" s="510"/>
      <c r="AF254" s="510"/>
      <c r="AG254" s="509"/>
      <c r="AH254" s="510"/>
      <c r="AI254" s="510"/>
      <c r="AJ254" s="510"/>
      <c r="AK254" s="510"/>
      <c r="AL254" s="509"/>
      <c r="AM254" s="510"/>
      <c r="AN254" s="510"/>
      <c r="AO254" s="510"/>
      <c r="AP254" s="510"/>
      <c r="AQ254" s="509"/>
      <c r="AR254" s="510"/>
      <c r="AS254" s="510"/>
      <c r="AT254" s="510"/>
      <c r="AU254" s="510"/>
      <c r="AV254" s="509"/>
      <c r="AW254" s="510"/>
      <c r="AX254" s="510"/>
      <c r="AY254" s="510"/>
      <c r="AZ254" s="510"/>
      <c r="BA254" s="509"/>
      <c r="BB254" s="510"/>
      <c r="BC254" s="510"/>
      <c r="BD254" s="510"/>
      <c r="BE254" s="510"/>
      <c r="BF254" s="509"/>
      <c r="BG254" s="510"/>
      <c r="BH254" s="510"/>
      <c r="BI254" s="510"/>
      <c r="BJ254" s="510"/>
      <c r="BK254" s="509"/>
      <c r="BL254" s="510"/>
      <c r="BM254" s="510"/>
      <c r="BN254" s="510"/>
      <c r="BO254" s="510"/>
    </row>
    <row r="255" spans="3:67">
      <c r="C255" s="463"/>
      <c r="D255" s="384"/>
      <c r="E255" s="384"/>
      <c r="F255" s="384"/>
      <c r="G255" s="384"/>
      <c r="H255" s="463"/>
      <c r="I255" s="384"/>
      <c r="J255" s="384"/>
      <c r="K255" s="384"/>
      <c r="L255" s="384"/>
      <c r="M255" s="463"/>
      <c r="N255" s="384"/>
      <c r="O255" s="384"/>
      <c r="P255" s="384"/>
      <c r="Q255" s="384"/>
      <c r="R255" s="463"/>
      <c r="S255" s="384"/>
      <c r="T255" s="384"/>
      <c r="U255" s="384"/>
      <c r="V255" s="384"/>
      <c r="W255" s="463"/>
      <c r="X255" s="384"/>
      <c r="Y255" s="384"/>
      <c r="Z255" s="384"/>
      <c r="AA255" s="384"/>
      <c r="AB255" s="463"/>
      <c r="AC255" s="384"/>
      <c r="AD255" s="384"/>
      <c r="AE255" s="384"/>
      <c r="AF255" s="384"/>
      <c r="AG255" s="463"/>
      <c r="AH255" s="384"/>
      <c r="AI255" s="384"/>
      <c r="AJ255" s="384"/>
      <c r="AK255" s="384"/>
      <c r="AL255" s="463"/>
      <c r="AM255" s="384"/>
      <c r="AN255" s="384"/>
      <c r="AO255" s="384"/>
      <c r="AP255" s="384"/>
      <c r="AQ255" s="463"/>
      <c r="AR255" s="384"/>
      <c r="AS255" s="384"/>
      <c r="AT255" s="384"/>
      <c r="AU255" s="384"/>
      <c r="AV255" s="463"/>
      <c r="AW255" s="384"/>
      <c r="AX255" s="384"/>
      <c r="AY255" s="384"/>
      <c r="AZ255" s="384"/>
      <c r="BA255" s="463"/>
      <c r="BB255" s="384"/>
      <c r="BC255" s="384"/>
      <c r="BD255" s="384"/>
      <c r="BE255" s="384"/>
      <c r="BF255" s="463"/>
      <c r="BG255" s="384"/>
      <c r="BH255" s="384"/>
      <c r="BI255" s="384"/>
      <c r="BJ255" s="384"/>
      <c r="BK255" s="463"/>
      <c r="BL255" s="384"/>
      <c r="BM255" s="384"/>
      <c r="BN255" s="384"/>
      <c r="BO255" s="384"/>
    </row>
    <row r="258" spans="3:67">
      <c r="C258" s="497"/>
      <c r="D258" s="498"/>
      <c r="E258" s="498"/>
      <c r="F258" s="498"/>
      <c r="G258" s="498"/>
      <c r="H258" s="497"/>
      <c r="I258" s="498"/>
      <c r="J258" s="498"/>
      <c r="K258" s="498"/>
      <c r="L258" s="498"/>
      <c r="M258" s="497"/>
      <c r="N258" s="498"/>
      <c r="O258" s="498"/>
      <c r="P258" s="498"/>
      <c r="Q258" s="498"/>
      <c r="R258" s="497"/>
      <c r="S258" s="498"/>
      <c r="T258" s="498"/>
      <c r="U258" s="498"/>
      <c r="V258" s="498"/>
      <c r="W258" s="497"/>
      <c r="X258" s="498"/>
      <c r="Y258" s="498"/>
      <c r="Z258" s="498"/>
      <c r="AA258" s="498"/>
      <c r="AB258" s="497"/>
      <c r="AC258" s="498"/>
      <c r="AD258" s="498"/>
      <c r="AE258" s="498"/>
      <c r="AF258" s="498"/>
      <c r="AG258" s="497"/>
      <c r="AH258" s="498"/>
      <c r="AI258" s="498"/>
      <c r="AJ258" s="498"/>
      <c r="AK258" s="498"/>
      <c r="AL258" s="497"/>
      <c r="AM258" s="498"/>
      <c r="AN258" s="498"/>
      <c r="AO258" s="498"/>
      <c r="AP258" s="498"/>
      <c r="AQ258" s="497"/>
      <c r="AR258" s="498"/>
      <c r="AS258" s="498"/>
      <c r="AT258" s="498"/>
      <c r="AU258" s="498"/>
      <c r="AV258" s="497"/>
      <c r="AW258" s="498"/>
      <c r="AX258" s="498"/>
      <c r="AY258" s="498"/>
      <c r="AZ258" s="498"/>
      <c r="BA258" s="497"/>
      <c r="BB258" s="498"/>
      <c r="BC258" s="498"/>
      <c r="BD258" s="498"/>
      <c r="BE258" s="498"/>
      <c r="BF258" s="497"/>
      <c r="BG258" s="498"/>
      <c r="BH258" s="498"/>
      <c r="BI258" s="498"/>
      <c r="BJ258" s="498"/>
      <c r="BK258" s="497"/>
      <c r="BL258" s="498"/>
      <c r="BM258" s="498"/>
      <c r="BN258" s="498"/>
      <c r="BO258" s="498"/>
    </row>
    <row r="259" spans="3:67">
      <c r="C259" s="394"/>
      <c r="D259" s="395"/>
      <c r="E259" s="395"/>
      <c r="F259" s="395"/>
      <c r="G259" s="395"/>
      <c r="H259" s="394"/>
      <c r="I259" s="395"/>
      <c r="J259" s="395"/>
      <c r="K259" s="395"/>
      <c r="L259" s="395"/>
      <c r="M259" s="394"/>
      <c r="N259" s="395"/>
      <c r="O259" s="395"/>
      <c r="P259" s="395"/>
      <c r="Q259" s="395"/>
      <c r="R259" s="394"/>
      <c r="S259" s="395"/>
      <c r="T259" s="395"/>
      <c r="U259" s="395"/>
      <c r="V259" s="395"/>
      <c r="W259" s="394"/>
      <c r="X259" s="395"/>
      <c r="Y259" s="395"/>
      <c r="Z259" s="395"/>
      <c r="AA259" s="395"/>
      <c r="AB259" s="394"/>
      <c r="AC259" s="395"/>
      <c r="AD259" s="395"/>
      <c r="AE259" s="395"/>
      <c r="AF259" s="395"/>
      <c r="AG259" s="394"/>
      <c r="AH259" s="395"/>
      <c r="AI259" s="395"/>
      <c r="AJ259" s="395"/>
      <c r="AK259" s="395"/>
      <c r="AL259" s="394"/>
      <c r="AM259" s="395"/>
      <c r="AN259" s="395"/>
      <c r="AO259" s="395"/>
      <c r="AP259" s="395"/>
      <c r="AQ259" s="394"/>
      <c r="AR259" s="395"/>
      <c r="AS259" s="395"/>
      <c r="AT259" s="395"/>
      <c r="AU259" s="395"/>
      <c r="AV259" s="394"/>
      <c r="AW259" s="395"/>
      <c r="AX259" s="395"/>
      <c r="AY259" s="395"/>
      <c r="AZ259" s="395"/>
      <c r="BA259" s="394"/>
      <c r="BB259" s="395"/>
      <c r="BC259" s="395"/>
      <c r="BD259" s="395"/>
      <c r="BE259" s="395"/>
      <c r="BF259" s="394"/>
      <c r="BG259" s="395"/>
      <c r="BH259" s="395"/>
      <c r="BI259" s="395"/>
      <c r="BJ259" s="395"/>
      <c r="BK259" s="394"/>
      <c r="BL259" s="395"/>
      <c r="BM259" s="395"/>
      <c r="BN259" s="395"/>
      <c r="BO259" s="395"/>
    </row>
    <row r="260" spans="3:67">
      <c r="C260" s="394"/>
      <c r="D260" s="395"/>
      <c r="E260" s="395"/>
      <c r="F260" s="395"/>
      <c r="G260" s="395"/>
      <c r="H260" s="394"/>
      <c r="I260" s="395"/>
      <c r="J260" s="395"/>
      <c r="K260" s="395"/>
      <c r="L260" s="395"/>
      <c r="M260" s="394"/>
      <c r="N260" s="395"/>
      <c r="O260" s="395"/>
      <c r="P260" s="395"/>
      <c r="Q260" s="395"/>
      <c r="R260" s="394"/>
      <c r="S260" s="395"/>
      <c r="T260" s="395"/>
      <c r="U260" s="395"/>
      <c r="V260" s="395"/>
      <c r="W260" s="394"/>
      <c r="X260" s="395"/>
      <c r="Y260" s="395"/>
      <c r="Z260" s="395"/>
      <c r="AA260" s="395"/>
      <c r="AB260" s="394"/>
      <c r="AC260" s="395"/>
      <c r="AD260" s="395"/>
      <c r="AE260" s="395"/>
      <c r="AF260" s="395"/>
      <c r="AG260" s="394"/>
      <c r="AH260" s="395"/>
      <c r="AI260" s="395"/>
      <c r="AJ260" s="395"/>
      <c r="AK260" s="395"/>
      <c r="AL260" s="394"/>
      <c r="AM260" s="395"/>
      <c r="AN260" s="395"/>
      <c r="AO260" s="395"/>
      <c r="AP260" s="395"/>
      <c r="AQ260" s="394"/>
      <c r="AR260" s="395"/>
      <c r="AS260" s="395"/>
      <c r="AT260" s="395"/>
      <c r="AU260" s="395"/>
      <c r="AV260" s="394"/>
      <c r="AW260" s="395"/>
      <c r="AX260" s="395"/>
      <c r="AY260" s="395"/>
      <c r="AZ260" s="395"/>
      <c r="BA260" s="394"/>
      <c r="BB260" s="395"/>
      <c r="BC260" s="395"/>
      <c r="BD260" s="395"/>
      <c r="BE260" s="395"/>
      <c r="BF260" s="394"/>
      <c r="BG260" s="395"/>
      <c r="BH260" s="395"/>
      <c r="BI260" s="395"/>
      <c r="BJ260" s="395"/>
      <c r="BK260" s="394"/>
      <c r="BL260" s="395"/>
      <c r="BM260" s="395"/>
      <c r="BN260" s="395"/>
      <c r="BO260" s="395"/>
    </row>
    <row r="261" spans="3:67">
      <c r="C261" s="508"/>
      <c r="D261" s="501"/>
      <c r="E261" s="501"/>
      <c r="F261" s="501"/>
      <c r="G261" s="501"/>
      <c r="H261" s="508"/>
      <c r="I261" s="501"/>
      <c r="J261" s="501"/>
      <c r="K261" s="501"/>
      <c r="L261" s="501"/>
      <c r="M261" s="508"/>
      <c r="N261" s="501"/>
      <c r="O261" s="501"/>
      <c r="P261" s="501"/>
      <c r="Q261" s="501"/>
      <c r="R261" s="508"/>
      <c r="S261" s="501"/>
      <c r="T261" s="501"/>
      <c r="U261" s="501"/>
      <c r="V261" s="501"/>
      <c r="W261" s="508"/>
      <c r="X261" s="501"/>
      <c r="Y261" s="501"/>
      <c r="Z261" s="501"/>
      <c r="AA261" s="501"/>
      <c r="AB261" s="508"/>
      <c r="AC261" s="501"/>
      <c r="AD261" s="501"/>
      <c r="AE261" s="501"/>
      <c r="AF261" s="501"/>
      <c r="AG261" s="508"/>
      <c r="AH261" s="501"/>
      <c r="AI261" s="501"/>
      <c r="AJ261" s="501"/>
      <c r="AK261" s="501"/>
      <c r="AL261" s="508"/>
      <c r="AM261" s="501"/>
      <c r="AN261" s="501"/>
      <c r="AO261" s="501"/>
      <c r="AP261" s="501"/>
      <c r="AQ261" s="508"/>
      <c r="AR261" s="501"/>
      <c r="AS261" s="501"/>
      <c r="AT261" s="501"/>
      <c r="AU261" s="501"/>
      <c r="AV261" s="508"/>
      <c r="AW261" s="501"/>
      <c r="AX261" s="501"/>
      <c r="AY261" s="501"/>
      <c r="AZ261" s="501"/>
      <c r="BA261" s="508"/>
      <c r="BB261" s="501"/>
      <c r="BC261" s="501"/>
      <c r="BD261" s="501"/>
      <c r="BE261" s="501"/>
      <c r="BF261" s="508"/>
      <c r="BG261" s="501"/>
      <c r="BH261" s="501"/>
      <c r="BI261" s="501"/>
      <c r="BJ261" s="501"/>
      <c r="BK261" s="508"/>
      <c r="BL261" s="501"/>
      <c r="BM261" s="501"/>
      <c r="BN261" s="501"/>
      <c r="BO261" s="501"/>
    </row>
    <row r="262" spans="3:67">
      <c r="C262" s="502"/>
      <c r="D262" s="503"/>
      <c r="E262" s="503"/>
      <c r="F262" s="503"/>
      <c r="G262" s="503"/>
      <c r="H262" s="502"/>
      <c r="I262" s="503"/>
      <c r="J262" s="503"/>
      <c r="K262" s="503"/>
      <c r="L262" s="503"/>
      <c r="M262" s="502"/>
      <c r="N262" s="503"/>
      <c r="O262" s="503"/>
      <c r="P262" s="503"/>
      <c r="Q262" s="503"/>
      <c r="R262" s="502"/>
      <c r="S262" s="503"/>
      <c r="T262" s="503"/>
      <c r="U262" s="503"/>
      <c r="V262" s="503"/>
      <c r="W262" s="502"/>
      <c r="X262" s="503"/>
      <c r="Y262" s="503"/>
      <c r="Z262" s="503"/>
      <c r="AA262" s="503"/>
      <c r="AB262" s="502"/>
      <c r="AC262" s="503"/>
      <c r="AD262" s="503"/>
      <c r="AE262" s="503"/>
      <c r="AF262" s="503"/>
      <c r="AG262" s="502"/>
      <c r="AH262" s="503"/>
      <c r="AI262" s="503"/>
      <c r="AJ262" s="503"/>
      <c r="AK262" s="503"/>
      <c r="AL262" s="502"/>
      <c r="AM262" s="503"/>
      <c r="AN262" s="503"/>
      <c r="AO262" s="503"/>
      <c r="AP262" s="503"/>
      <c r="AQ262" s="502"/>
      <c r="AR262" s="503"/>
      <c r="AS262" s="503"/>
      <c r="AT262" s="503"/>
      <c r="AU262" s="503"/>
      <c r="AV262" s="502"/>
      <c r="AW262" s="503"/>
      <c r="AX262" s="503"/>
      <c r="AY262" s="503"/>
      <c r="AZ262" s="503"/>
      <c r="BA262" s="502"/>
      <c r="BB262" s="503"/>
      <c r="BC262" s="503"/>
      <c r="BD262" s="503"/>
      <c r="BE262" s="503"/>
      <c r="BF262" s="502"/>
      <c r="BG262" s="503"/>
      <c r="BH262" s="503"/>
      <c r="BI262" s="503"/>
      <c r="BJ262" s="503"/>
      <c r="BK262" s="502"/>
      <c r="BL262" s="503"/>
      <c r="BM262" s="503"/>
      <c r="BN262" s="503"/>
      <c r="BO262" s="503"/>
    </row>
    <row r="263" spans="3:67">
      <c r="C263" s="394"/>
      <c r="D263" s="395"/>
      <c r="E263" s="395"/>
      <c r="F263" s="395"/>
      <c r="G263" s="395"/>
      <c r="H263" s="394"/>
      <c r="I263" s="395"/>
      <c r="J263" s="395"/>
      <c r="K263" s="395"/>
      <c r="L263" s="395"/>
      <c r="M263" s="394"/>
      <c r="N263" s="395"/>
      <c r="O263" s="395"/>
      <c r="P263" s="395"/>
      <c r="Q263" s="395"/>
      <c r="R263" s="394"/>
      <c r="S263" s="395"/>
      <c r="T263" s="395"/>
      <c r="U263" s="395"/>
      <c r="V263" s="395"/>
      <c r="W263" s="394"/>
      <c r="X263" s="395"/>
      <c r="Y263" s="395"/>
      <c r="Z263" s="395"/>
      <c r="AA263" s="395"/>
      <c r="AB263" s="394"/>
      <c r="AC263" s="395"/>
      <c r="AD263" s="395"/>
      <c r="AE263" s="395"/>
      <c r="AF263" s="395"/>
      <c r="AG263" s="394"/>
      <c r="AH263" s="395"/>
      <c r="AI263" s="395"/>
      <c r="AJ263" s="395"/>
      <c r="AK263" s="395"/>
      <c r="AL263" s="394"/>
      <c r="AM263" s="395"/>
      <c r="AN263" s="395"/>
      <c r="AO263" s="395"/>
      <c r="AP263" s="395"/>
      <c r="AQ263" s="394"/>
      <c r="AR263" s="395"/>
      <c r="AS263" s="395"/>
      <c r="AT263" s="395"/>
      <c r="AU263" s="395"/>
      <c r="AV263" s="394"/>
      <c r="AW263" s="395"/>
      <c r="AX263" s="395"/>
      <c r="AY263" s="395"/>
      <c r="AZ263" s="395"/>
      <c r="BA263" s="394"/>
      <c r="BB263" s="395"/>
      <c r="BC263" s="395"/>
      <c r="BD263" s="395"/>
      <c r="BE263" s="395"/>
      <c r="BF263" s="394"/>
      <c r="BG263" s="395"/>
      <c r="BH263" s="395"/>
      <c r="BI263" s="395"/>
      <c r="BJ263" s="395"/>
      <c r="BK263" s="394"/>
      <c r="BL263" s="395"/>
      <c r="BM263" s="395"/>
      <c r="BN263" s="395"/>
      <c r="BO263" s="395"/>
    </row>
    <row r="264" spans="3:67">
      <c r="C264" s="509"/>
      <c r="D264" s="510"/>
      <c r="E264" s="510"/>
      <c r="F264" s="510"/>
      <c r="G264" s="510"/>
      <c r="H264" s="509"/>
      <c r="I264" s="510"/>
      <c r="J264" s="510"/>
      <c r="K264" s="510"/>
      <c r="L264" s="510"/>
      <c r="M264" s="509"/>
      <c r="N264" s="510"/>
      <c r="O264" s="510"/>
      <c r="P264" s="510"/>
      <c r="Q264" s="510"/>
      <c r="R264" s="509"/>
      <c r="S264" s="510"/>
      <c r="T264" s="510"/>
      <c r="U264" s="510"/>
      <c r="V264" s="510"/>
      <c r="W264" s="509"/>
      <c r="X264" s="510"/>
      <c r="Y264" s="510"/>
      <c r="Z264" s="510"/>
      <c r="AA264" s="510"/>
      <c r="AB264" s="509"/>
      <c r="AC264" s="510"/>
      <c r="AD264" s="510"/>
      <c r="AE264" s="510"/>
      <c r="AF264" s="510"/>
      <c r="AG264" s="509"/>
      <c r="AH264" s="510"/>
      <c r="AI264" s="510"/>
      <c r="AJ264" s="510"/>
      <c r="AK264" s="510"/>
      <c r="AL264" s="509"/>
      <c r="AM264" s="510"/>
      <c r="AN264" s="510"/>
      <c r="AO264" s="510"/>
      <c r="AP264" s="510"/>
      <c r="AQ264" s="509"/>
      <c r="AR264" s="510"/>
      <c r="AS264" s="510"/>
      <c r="AT264" s="510"/>
      <c r="AU264" s="510"/>
      <c r="AV264" s="509"/>
      <c r="AW264" s="510"/>
      <c r="AX264" s="510"/>
      <c r="AY264" s="510"/>
      <c r="AZ264" s="510"/>
      <c r="BA264" s="509"/>
      <c r="BB264" s="510"/>
      <c r="BC264" s="510"/>
      <c r="BD264" s="510"/>
      <c r="BE264" s="510"/>
      <c r="BF264" s="509"/>
      <c r="BG264" s="510"/>
      <c r="BH264" s="510"/>
      <c r="BI264" s="510"/>
      <c r="BJ264" s="510"/>
      <c r="BK264" s="509"/>
      <c r="BL264" s="510"/>
      <c r="BM264" s="510"/>
      <c r="BN264" s="510"/>
      <c r="BO264" s="510"/>
    </row>
    <row r="265" spans="3:67">
      <c r="C265" s="463"/>
      <c r="D265" s="384"/>
      <c r="E265" s="384"/>
      <c r="F265" s="384"/>
      <c r="G265" s="384"/>
      <c r="H265" s="463"/>
      <c r="I265" s="384"/>
      <c r="J265" s="384"/>
      <c r="K265" s="384"/>
      <c r="L265" s="384"/>
      <c r="M265" s="463"/>
      <c r="N265" s="384"/>
      <c r="O265" s="384"/>
      <c r="P265" s="384"/>
      <c r="Q265" s="384"/>
      <c r="R265" s="463"/>
      <c r="S265" s="384"/>
      <c r="T265" s="384"/>
      <c r="U265" s="384"/>
      <c r="V265" s="384"/>
      <c r="W265" s="463"/>
      <c r="X265" s="384"/>
      <c r="Y265" s="384"/>
      <c r="Z265" s="384"/>
      <c r="AA265" s="384"/>
      <c r="AB265" s="463"/>
      <c r="AC265" s="384"/>
      <c r="AD265" s="384"/>
      <c r="AE265" s="384"/>
      <c r="AF265" s="384"/>
      <c r="AG265" s="463"/>
      <c r="AH265" s="384"/>
      <c r="AI265" s="384"/>
      <c r="AJ265" s="384"/>
      <c r="AK265" s="384"/>
      <c r="AL265" s="463"/>
      <c r="AM265" s="384"/>
      <c r="AN265" s="384"/>
      <c r="AO265" s="384"/>
      <c r="AP265" s="384"/>
      <c r="AQ265" s="463"/>
      <c r="AR265" s="384"/>
      <c r="AS265" s="384"/>
      <c r="AT265" s="384"/>
      <c r="AU265" s="384"/>
      <c r="AV265" s="463"/>
      <c r="AW265" s="384"/>
      <c r="AX265" s="384"/>
      <c r="AY265" s="384"/>
      <c r="AZ265" s="384"/>
      <c r="BA265" s="463"/>
      <c r="BB265" s="384"/>
      <c r="BC265" s="384"/>
      <c r="BD265" s="384"/>
      <c r="BE265" s="384"/>
      <c r="BF265" s="463"/>
      <c r="BG265" s="384"/>
      <c r="BH265" s="384"/>
      <c r="BI265" s="384"/>
      <c r="BJ265" s="384"/>
      <c r="BK265" s="463"/>
      <c r="BL265" s="384"/>
      <c r="BM265" s="384"/>
      <c r="BN265" s="384"/>
      <c r="BO265" s="384"/>
    </row>
    <row r="271" spans="3:67">
      <c r="C271" s="511"/>
      <c r="D271" s="512"/>
      <c r="E271" s="512"/>
      <c r="F271" s="512"/>
      <c r="G271" s="512"/>
      <c r="H271" s="511"/>
      <c r="I271" s="512"/>
      <c r="J271" s="512"/>
      <c r="K271" s="512"/>
      <c r="L271" s="512"/>
      <c r="M271" s="511"/>
      <c r="N271" s="512"/>
      <c r="O271" s="512"/>
      <c r="P271" s="512"/>
      <c r="Q271" s="512"/>
      <c r="R271" s="511"/>
      <c r="S271" s="512"/>
      <c r="T271" s="512"/>
      <c r="U271" s="512"/>
      <c r="V271" s="512"/>
      <c r="W271" s="511"/>
      <c r="X271" s="512"/>
      <c r="Y271" s="512"/>
      <c r="Z271" s="512"/>
      <c r="AA271" s="512"/>
      <c r="AB271" s="511"/>
      <c r="AC271" s="512"/>
      <c r="AD271" s="512"/>
      <c r="AE271" s="512"/>
      <c r="AF271" s="512"/>
      <c r="AG271" s="511"/>
      <c r="AH271" s="512"/>
      <c r="AI271" s="512"/>
      <c r="AJ271" s="512"/>
      <c r="AK271" s="512"/>
      <c r="AL271" s="511"/>
      <c r="AM271" s="512"/>
      <c r="AN271" s="512"/>
      <c r="AO271" s="512"/>
      <c r="AP271" s="512"/>
      <c r="AQ271" s="511"/>
      <c r="AR271" s="512"/>
      <c r="AS271" s="512"/>
      <c r="AT271" s="512"/>
      <c r="AU271" s="512"/>
      <c r="AV271" s="511"/>
      <c r="AW271" s="512"/>
      <c r="AX271" s="512"/>
      <c r="AY271" s="512"/>
      <c r="AZ271" s="512"/>
      <c r="BA271" s="511"/>
      <c r="BB271" s="512"/>
      <c r="BC271" s="512"/>
      <c r="BD271" s="512"/>
      <c r="BE271" s="512"/>
      <c r="BF271" s="511"/>
      <c r="BG271" s="512"/>
      <c r="BH271" s="512"/>
      <c r="BI271" s="512"/>
      <c r="BJ271" s="512"/>
      <c r="BK271" s="511"/>
      <c r="BL271" s="512"/>
      <c r="BM271" s="512"/>
      <c r="BN271" s="512"/>
      <c r="BO271" s="512"/>
    </row>
    <row r="272" spans="3:67">
      <c r="C272" s="513"/>
      <c r="D272" s="514"/>
      <c r="E272" s="514"/>
      <c r="F272" s="514"/>
      <c r="G272" s="514"/>
      <c r="H272" s="513"/>
      <c r="I272" s="514"/>
      <c r="J272" s="514"/>
      <c r="K272" s="514"/>
      <c r="L272" s="514"/>
      <c r="M272" s="513"/>
      <c r="N272" s="514"/>
      <c r="O272" s="514"/>
      <c r="P272" s="514"/>
      <c r="Q272" s="514"/>
      <c r="R272" s="513"/>
      <c r="S272" s="514"/>
      <c r="T272" s="514"/>
      <c r="U272" s="514"/>
      <c r="V272" s="514"/>
      <c r="W272" s="513"/>
      <c r="X272" s="514"/>
      <c r="Y272" s="514"/>
      <c r="Z272" s="514"/>
      <c r="AA272" s="514"/>
      <c r="AB272" s="513"/>
      <c r="AC272" s="514"/>
      <c r="AD272" s="514"/>
      <c r="AE272" s="514"/>
      <c r="AF272" s="514"/>
      <c r="AG272" s="513"/>
      <c r="AH272" s="514"/>
      <c r="AI272" s="514"/>
      <c r="AJ272" s="514"/>
      <c r="AK272" s="514"/>
      <c r="AL272" s="513"/>
      <c r="AM272" s="514"/>
      <c r="AN272" s="514"/>
      <c r="AO272" s="514"/>
      <c r="AP272" s="514"/>
      <c r="AQ272" s="513"/>
      <c r="AR272" s="514"/>
      <c r="AS272" s="514"/>
      <c r="AT272" s="514"/>
      <c r="AU272" s="514"/>
      <c r="AV272" s="513"/>
      <c r="AW272" s="514"/>
      <c r="AX272" s="514"/>
      <c r="AY272" s="514"/>
      <c r="AZ272" s="514"/>
      <c r="BA272" s="513"/>
      <c r="BB272" s="514"/>
      <c r="BC272" s="514"/>
      <c r="BD272" s="514"/>
      <c r="BE272" s="514"/>
      <c r="BF272" s="513"/>
      <c r="BG272" s="514"/>
      <c r="BH272" s="514"/>
      <c r="BI272" s="514"/>
      <c r="BJ272" s="514"/>
      <c r="BK272" s="513"/>
      <c r="BL272" s="514"/>
      <c r="BM272" s="514"/>
      <c r="BN272" s="514"/>
      <c r="BO272" s="514"/>
    </row>
    <row r="273" spans="3:67">
      <c r="C273" s="502"/>
      <c r="D273" s="503"/>
      <c r="E273" s="503"/>
      <c r="F273" s="503"/>
      <c r="G273" s="503"/>
      <c r="H273" s="502"/>
      <c r="I273" s="503"/>
      <c r="J273" s="503"/>
      <c r="K273" s="503"/>
      <c r="L273" s="503"/>
      <c r="M273" s="502"/>
      <c r="N273" s="503"/>
      <c r="O273" s="503"/>
      <c r="P273" s="503"/>
      <c r="Q273" s="503"/>
      <c r="R273" s="502"/>
      <c r="S273" s="503"/>
      <c r="T273" s="503"/>
      <c r="U273" s="503"/>
      <c r="V273" s="503"/>
      <c r="W273" s="502"/>
      <c r="X273" s="503"/>
      <c r="Y273" s="503"/>
      <c r="Z273" s="503"/>
      <c r="AA273" s="503"/>
      <c r="AB273" s="502"/>
      <c r="AC273" s="503"/>
      <c r="AD273" s="503"/>
      <c r="AE273" s="503"/>
      <c r="AF273" s="503"/>
      <c r="AG273" s="502"/>
      <c r="AH273" s="503"/>
      <c r="AI273" s="503"/>
      <c r="AJ273" s="503"/>
      <c r="AK273" s="503"/>
      <c r="AL273" s="502"/>
      <c r="AM273" s="503"/>
      <c r="AN273" s="503"/>
      <c r="AO273" s="503"/>
      <c r="AP273" s="503"/>
      <c r="AQ273" s="502"/>
      <c r="AR273" s="503"/>
      <c r="AS273" s="503"/>
      <c r="AT273" s="503"/>
      <c r="AU273" s="503"/>
      <c r="AV273" s="502"/>
      <c r="AW273" s="503"/>
      <c r="AX273" s="503"/>
      <c r="AY273" s="503"/>
      <c r="AZ273" s="503"/>
      <c r="BA273" s="502"/>
      <c r="BB273" s="503"/>
      <c r="BC273" s="503"/>
      <c r="BD273" s="503"/>
      <c r="BE273" s="503"/>
      <c r="BF273" s="502"/>
      <c r="BG273" s="503"/>
      <c r="BH273" s="503"/>
      <c r="BI273" s="503"/>
      <c r="BJ273" s="503"/>
      <c r="BK273" s="502"/>
      <c r="BL273" s="503"/>
      <c r="BM273" s="503"/>
      <c r="BN273" s="503"/>
      <c r="BO273" s="503"/>
    </row>
    <row r="275" spans="3:67">
      <c r="C275" s="497"/>
      <c r="D275" s="498"/>
      <c r="E275" s="498"/>
      <c r="F275" s="498"/>
      <c r="G275" s="498"/>
      <c r="H275" s="497"/>
      <c r="I275" s="498"/>
      <c r="J275" s="498"/>
      <c r="K275" s="498"/>
      <c r="L275" s="498"/>
      <c r="M275" s="497"/>
      <c r="N275" s="498"/>
      <c r="O275" s="498"/>
      <c r="P275" s="498"/>
      <c r="Q275" s="498"/>
      <c r="R275" s="497"/>
      <c r="S275" s="498"/>
      <c r="T275" s="498"/>
      <c r="U275" s="498"/>
      <c r="V275" s="498"/>
      <c r="W275" s="497"/>
      <c r="X275" s="498"/>
      <c r="Y275" s="498"/>
      <c r="Z275" s="498"/>
      <c r="AA275" s="498"/>
      <c r="AB275" s="497"/>
      <c r="AC275" s="498"/>
      <c r="AD275" s="498"/>
      <c r="AE275" s="498"/>
      <c r="AF275" s="498"/>
      <c r="AG275" s="497"/>
      <c r="AH275" s="498"/>
      <c r="AI275" s="498"/>
      <c r="AJ275" s="498"/>
      <c r="AK275" s="498"/>
      <c r="AL275" s="497"/>
      <c r="AM275" s="498"/>
      <c r="AN275" s="498"/>
      <c r="AO275" s="498"/>
      <c r="AP275" s="498"/>
      <c r="AQ275" s="497"/>
      <c r="AR275" s="498"/>
      <c r="AS275" s="498"/>
      <c r="AT275" s="498"/>
      <c r="AU275" s="498"/>
      <c r="AV275" s="497"/>
      <c r="AW275" s="498"/>
      <c r="AX275" s="498"/>
      <c r="AY275" s="498"/>
      <c r="AZ275" s="498"/>
      <c r="BA275" s="497"/>
      <c r="BB275" s="498"/>
      <c r="BC275" s="498"/>
      <c r="BD275" s="498"/>
      <c r="BE275" s="498"/>
      <c r="BF275" s="497"/>
      <c r="BG275" s="498"/>
      <c r="BH275" s="498"/>
      <c r="BI275" s="498"/>
      <c r="BJ275" s="498"/>
      <c r="BK275" s="497"/>
      <c r="BL275" s="498"/>
      <c r="BM275" s="498"/>
      <c r="BN275" s="498"/>
      <c r="BO275" s="498"/>
    </row>
    <row r="276" spans="3:67">
      <c r="C276" s="463"/>
      <c r="D276" s="384"/>
      <c r="E276" s="384"/>
      <c r="F276" s="384"/>
      <c r="G276" s="384"/>
      <c r="H276" s="463"/>
      <c r="I276" s="384"/>
      <c r="J276" s="384"/>
      <c r="K276" s="384"/>
      <c r="L276" s="384"/>
      <c r="M276" s="463"/>
      <c r="N276" s="384"/>
      <c r="O276" s="384"/>
      <c r="P276" s="384"/>
      <c r="Q276" s="384"/>
      <c r="R276" s="463"/>
      <c r="S276" s="384"/>
      <c r="T276" s="384"/>
      <c r="U276" s="384"/>
      <c r="V276" s="384"/>
      <c r="W276" s="463"/>
      <c r="X276" s="384"/>
      <c r="Y276" s="384"/>
      <c r="Z276" s="384"/>
      <c r="AA276" s="384"/>
      <c r="AB276" s="463"/>
      <c r="AC276" s="384"/>
      <c r="AD276" s="384"/>
      <c r="AE276" s="384"/>
      <c r="AF276" s="384"/>
      <c r="AG276" s="463"/>
      <c r="AH276" s="384"/>
      <c r="AI276" s="384"/>
      <c r="AJ276" s="384"/>
      <c r="AK276" s="384"/>
      <c r="AL276" s="463"/>
      <c r="AM276" s="384"/>
      <c r="AN276" s="384"/>
      <c r="AO276" s="384"/>
      <c r="AP276" s="384"/>
      <c r="AQ276" s="463"/>
      <c r="AR276" s="384"/>
      <c r="AS276" s="384"/>
      <c r="AT276" s="384"/>
      <c r="AU276" s="384"/>
      <c r="AV276" s="463"/>
      <c r="AW276" s="384"/>
      <c r="AX276" s="384"/>
      <c r="AY276" s="384"/>
      <c r="AZ276" s="384"/>
      <c r="BA276" s="463"/>
      <c r="BB276" s="384"/>
      <c r="BC276" s="384"/>
      <c r="BD276" s="384"/>
      <c r="BE276" s="384"/>
      <c r="BF276" s="463"/>
      <c r="BG276" s="384"/>
      <c r="BH276" s="384"/>
      <c r="BI276" s="384"/>
      <c r="BJ276" s="384"/>
      <c r="BK276" s="463"/>
      <c r="BL276" s="384"/>
      <c r="BM276" s="384"/>
      <c r="BN276" s="384"/>
      <c r="BO276" s="384"/>
    </row>
    <row r="278" spans="3:67">
      <c r="C278" s="508"/>
      <c r="D278" s="501"/>
      <c r="E278" s="501"/>
      <c r="F278" s="501"/>
      <c r="G278" s="501"/>
      <c r="H278" s="508"/>
      <c r="I278" s="501"/>
      <c r="J278" s="501"/>
      <c r="K278" s="501"/>
      <c r="L278" s="501"/>
      <c r="M278" s="508"/>
      <c r="N278" s="501"/>
      <c r="O278" s="501"/>
      <c r="P278" s="501"/>
      <c r="Q278" s="501"/>
      <c r="R278" s="508"/>
      <c r="S278" s="501"/>
      <c r="T278" s="501"/>
      <c r="U278" s="501"/>
      <c r="V278" s="501"/>
      <c r="W278" s="508"/>
      <c r="X278" s="501"/>
      <c r="Y278" s="501"/>
      <c r="Z278" s="501"/>
      <c r="AA278" s="501"/>
      <c r="AB278" s="508"/>
      <c r="AC278" s="501"/>
      <c r="AD278" s="501"/>
      <c r="AE278" s="501"/>
      <c r="AF278" s="501"/>
      <c r="AG278" s="508"/>
      <c r="AH278" s="501"/>
      <c r="AI278" s="501"/>
      <c r="AJ278" s="501"/>
      <c r="AK278" s="501"/>
      <c r="AL278" s="508"/>
      <c r="AM278" s="501"/>
      <c r="AN278" s="501"/>
      <c r="AO278" s="501"/>
      <c r="AP278" s="501"/>
      <c r="AQ278" s="508"/>
      <c r="AR278" s="501"/>
      <c r="AS278" s="501"/>
      <c r="AT278" s="501"/>
      <c r="AU278" s="501"/>
      <c r="AV278" s="508"/>
      <c r="AW278" s="501"/>
      <c r="AX278" s="501"/>
      <c r="AY278" s="501"/>
      <c r="AZ278" s="501"/>
      <c r="BA278" s="508"/>
      <c r="BB278" s="501"/>
      <c r="BC278" s="501"/>
      <c r="BD278" s="501"/>
      <c r="BE278" s="501"/>
      <c r="BF278" s="508"/>
      <c r="BG278" s="501"/>
      <c r="BH278" s="501"/>
      <c r="BI278" s="501"/>
      <c r="BJ278" s="501"/>
      <c r="BK278" s="508"/>
      <c r="BL278" s="501"/>
      <c r="BM278" s="501"/>
      <c r="BN278" s="501"/>
      <c r="BO278" s="501"/>
    </row>
    <row r="279" spans="3:67">
      <c r="C279" s="502"/>
      <c r="D279" s="503"/>
      <c r="E279" s="503"/>
      <c r="F279" s="503"/>
      <c r="G279" s="503"/>
      <c r="H279" s="502"/>
      <c r="I279" s="503"/>
      <c r="J279" s="503"/>
      <c r="K279" s="503"/>
      <c r="L279" s="503"/>
      <c r="M279" s="502"/>
      <c r="N279" s="503"/>
      <c r="O279" s="503"/>
      <c r="P279" s="503"/>
      <c r="Q279" s="503"/>
      <c r="R279" s="502"/>
      <c r="S279" s="503"/>
      <c r="T279" s="503"/>
      <c r="U279" s="503"/>
      <c r="V279" s="503"/>
      <c r="W279" s="502"/>
      <c r="X279" s="503"/>
      <c r="Y279" s="503"/>
      <c r="Z279" s="503"/>
      <c r="AA279" s="503"/>
      <c r="AB279" s="502"/>
      <c r="AC279" s="503"/>
      <c r="AD279" s="503"/>
      <c r="AE279" s="503"/>
      <c r="AF279" s="503"/>
      <c r="AG279" s="502"/>
      <c r="AH279" s="503"/>
      <c r="AI279" s="503"/>
      <c r="AJ279" s="503"/>
      <c r="AK279" s="503"/>
      <c r="AL279" s="502"/>
      <c r="AM279" s="503"/>
      <c r="AN279" s="503"/>
      <c r="AO279" s="503"/>
      <c r="AP279" s="503"/>
      <c r="AQ279" s="502"/>
      <c r="AR279" s="503"/>
      <c r="AS279" s="503"/>
      <c r="AT279" s="503"/>
      <c r="AU279" s="503"/>
      <c r="AV279" s="502"/>
      <c r="AW279" s="503"/>
      <c r="AX279" s="503"/>
      <c r="AY279" s="503"/>
      <c r="AZ279" s="503"/>
      <c r="BA279" s="502"/>
      <c r="BB279" s="503"/>
      <c r="BC279" s="503"/>
      <c r="BD279" s="503"/>
      <c r="BE279" s="503"/>
      <c r="BF279" s="502"/>
      <c r="BG279" s="503"/>
      <c r="BH279" s="503"/>
      <c r="BI279" s="503"/>
      <c r="BJ279" s="503"/>
      <c r="BK279" s="502"/>
      <c r="BL279" s="503"/>
      <c r="BM279" s="503"/>
      <c r="BN279" s="503"/>
      <c r="BO279" s="503"/>
    </row>
    <row r="281" spans="3:67">
      <c r="C281" s="497"/>
      <c r="D281" s="498"/>
      <c r="E281" s="498"/>
      <c r="F281" s="498"/>
      <c r="G281" s="498"/>
      <c r="H281" s="497"/>
      <c r="I281" s="498"/>
      <c r="J281" s="498"/>
      <c r="K281" s="498"/>
      <c r="L281" s="498"/>
      <c r="M281" s="497"/>
      <c r="N281" s="498"/>
      <c r="O281" s="498"/>
      <c r="P281" s="498"/>
      <c r="Q281" s="498"/>
      <c r="R281" s="497"/>
      <c r="S281" s="498"/>
      <c r="T281" s="498"/>
      <c r="U281" s="498"/>
      <c r="V281" s="498"/>
      <c r="W281" s="497"/>
      <c r="X281" s="498"/>
      <c r="Y281" s="498"/>
      <c r="Z281" s="498"/>
      <c r="AA281" s="498"/>
      <c r="AB281" s="497"/>
      <c r="AC281" s="498"/>
      <c r="AD281" s="498"/>
      <c r="AE281" s="498"/>
      <c r="AF281" s="498"/>
      <c r="AG281" s="497"/>
      <c r="AH281" s="498"/>
      <c r="AI281" s="498"/>
      <c r="AJ281" s="498"/>
      <c r="AK281" s="498"/>
      <c r="AL281" s="497"/>
      <c r="AM281" s="498"/>
      <c r="AN281" s="498"/>
      <c r="AO281" s="498"/>
      <c r="AP281" s="498"/>
      <c r="AQ281" s="497"/>
      <c r="AR281" s="498"/>
      <c r="AS281" s="498"/>
      <c r="AT281" s="498"/>
      <c r="AU281" s="498"/>
      <c r="AV281" s="497"/>
      <c r="AW281" s="498"/>
      <c r="AX281" s="498"/>
      <c r="AY281" s="498"/>
      <c r="AZ281" s="498"/>
      <c r="BA281" s="497"/>
      <c r="BB281" s="498"/>
      <c r="BC281" s="498"/>
      <c r="BD281" s="498"/>
      <c r="BE281" s="498"/>
      <c r="BF281" s="497"/>
      <c r="BG281" s="498"/>
      <c r="BH281" s="498"/>
      <c r="BI281" s="498"/>
      <c r="BJ281" s="498"/>
      <c r="BK281" s="497"/>
      <c r="BL281" s="498"/>
      <c r="BM281" s="498"/>
      <c r="BN281" s="498"/>
      <c r="BO281" s="498"/>
    </row>
    <row r="282" spans="3:67">
      <c r="C282" s="463"/>
      <c r="D282" s="384"/>
      <c r="E282" s="384"/>
      <c r="F282" s="384"/>
      <c r="G282" s="384"/>
      <c r="H282" s="463"/>
      <c r="I282" s="384"/>
      <c r="J282" s="384"/>
      <c r="K282" s="384"/>
      <c r="L282" s="384"/>
      <c r="M282" s="463"/>
      <c r="N282" s="384"/>
      <c r="O282" s="384"/>
      <c r="P282" s="384"/>
      <c r="Q282" s="384"/>
      <c r="R282" s="463"/>
      <c r="S282" s="384"/>
      <c r="T282" s="384"/>
      <c r="U282" s="384"/>
      <c r="V282" s="384"/>
      <c r="W282" s="463"/>
      <c r="X282" s="384"/>
      <c r="Y282" s="384"/>
      <c r="Z282" s="384"/>
      <c r="AA282" s="384"/>
      <c r="AB282" s="463"/>
      <c r="AC282" s="384"/>
      <c r="AD282" s="384"/>
      <c r="AE282" s="384"/>
      <c r="AF282" s="384"/>
      <c r="AG282" s="463"/>
      <c r="AH282" s="384"/>
      <c r="AI282" s="384"/>
      <c r="AJ282" s="384"/>
      <c r="AK282" s="384"/>
      <c r="AL282" s="463"/>
      <c r="AM282" s="384"/>
      <c r="AN282" s="384"/>
      <c r="AO282" s="384"/>
      <c r="AP282" s="384"/>
      <c r="AQ282" s="463"/>
      <c r="AR282" s="384"/>
      <c r="AS282" s="384"/>
      <c r="AT282" s="384"/>
      <c r="AU282" s="384"/>
      <c r="AV282" s="463"/>
      <c r="AW282" s="384"/>
      <c r="AX282" s="384"/>
      <c r="AY282" s="384"/>
      <c r="AZ282" s="384"/>
      <c r="BA282" s="463"/>
      <c r="BB282" s="384"/>
      <c r="BC282" s="384"/>
      <c r="BD282" s="384"/>
      <c r="BE282" s="384"/>
      <c r="BF282" s="463"/>
      <c r="BG282" s="384"/>
      <c r="BH282" s="384"/>
      <c r="BI282" s="384"/>
      <c r="BJ282" s="384"/>
      <c r="BK282" s="463"/>
      <c r="BL282" s="384"/>
      <c r="BM282" s="384"/>
      <c r="BN282" s="384"/>
      <c r="BO282" s="384"/>
    </row>
    <row r="286" spans="3:67">
      <c r="C286" s="504"/>
      <c r="D286" s="505"/>
      <c r="E286" s="505"/>
      <c r="F286" s="505"/>
      <c r="G286" s="505"/>
      <c r="H286" s="504"/>
      <c r="I286" s="505"/>
      <c r="J286" s="505"/>
      <c r="K286" s="505"/>
      <c r="L286" s="505"/>
      <c r="M286" s="504"/>
      <c r="N286" s="505"/>
      <c r="O286" s="505"/>
      <c r="P286" s="505"/>
      <c r="Q286" s="505"/>
      <c r="R286" s="504"/>
      <c r="S286" s="505"/>
      <c r="T286" s="505"/>
      <c r="U286" s="505"/>
      <c r="V286" s="505"/>
      <c r="W286" s="504"/>
      <c r="X286" s="505"/>
      <c r="Y286" s="505"/>
      <c r="Z286" s="505"/>
      <c r="AA286" s="505"/>
      <c r="AB286" s="504"/>
      <c r="AC286" s="505"/>
      <c r="AD286" s="505"/>
      <c r="AE286" s="505"/>
      <c r="AF286" s="505"/>
      <c r="AG286" s="504"/>
      <c r="AH286" s="505"/>
      <c r="AI286" s="505"/>
      <c r="AJ286" s="505"/>
      <c r="AK286" s="505"/>
      <c r="AL286" s="504"/>
      <c r="AM286" s="505"/>
      <c r="AN286" s="505"/>
      <c r="AO286" s="505"/>
      <c r="AP286" s="505"/>
      <c r="AQ286" s="504"/>
      <c r="AR286" s="505"/>
      <c r="AS286" s="505"/>
      <c r="AT286" s="505"/>
      <c r="AU286" s="505"/>
      <c r="AV286" s="504"/>
      <c r="AW286" s="505"/>
      <c r="AX286" s="505"/>
      <c r="AY286" s="505"/>
      <c r="AZ286" s="505"/>
      <c r="BA286" s="504"/>
      <c r="BB286" s="505"/>
      <c r="BC286" s="505"/>
      <c r="BD286" s="505"/>
      <c r="BE286" s="505"/>
      <c r="BF286" s="504"/>
      <c r="BG286" s="505"/>
      <c r="BH286" s="505"/>
      <c r="BI286" s="505"/>
      <c r="BJ286" s="505"/>
      <c r="BK286" s="504"/>
      <c r="BL286" s="505"/>
      <c r="BM286" s="505"/>
      <c r="BN286" s="505"/>
      <c r="BO286" s="505"/>
    </row>
    <row r="287" spans="3:67">
      <c r="C287" s="509"/>
      <c r="D287" s="510"/>
      <c r="E287" s="510"/>
      <c r="F287" s="510"/>
      <c r="G287" s="510"/>
      <c r="H287" s="509"/>
      <c r="I287" s="510"/>
      <c r="J287" s="510"/>
      <c r="K287" s="510"/>
      <c r="L287" s="510"/>
      <c r="M287" s="509"/>
      <c r="N287" s="510"/>
      <c r="O287" s="510"/>
      <c r="P287" s="510"/>
      <c r="Q287" s="510"/>
      <c r="R287" s="509"/>
      <c r="S287" s="510"/>
      <c r="T287" s="510"/>
      <c r="U287" s="510"/>
      <c r="V287" s="510"/>
      <c r="W287" s="509"/>
      <c r="X287" s="510"/>
      <c r="Y287" s="510"/>
      <c r="Z287" s="510"/>
      <c r="AA287" s="510"/>
      <c r="AB287" s="509"/>
      <c r="AC287" s="510"/>
      <c r="AD287" s="510"/>
      <c r="AE287" s="510"/>
      <c r="AF287" s="510"/>
      <c r="AG287" s="509"/>
      <c r="AH287" s="510"/>
      <c r="AI287" s="510"/>
      <c r="AJ287" s="510"/>
      <c r="AK287" s="510"/>
      <c r="AL287" s="509"/>
      <c r="AM287" s="510"/>
      <c r="AN287" s="510"/>
      <c r="AO287" s="510"/>
      <c r="AP287" s="510"/>
      <c r="AQ287" s="509"/>
      <c r="AR287" s="510"/>
      <c r="AS287" s="510"/>
      <c r="AT287" s="510"/>
      <c r="AU287" s="510"/>
      <c r="AV287" s="509"/>
      <c r="AW287" s="510"/>
      <c r="AX287" s="510"/>
      <c r="AY287" s="510"/>
      <c r="AZ287" s="510"/>
      <c r="BA287" s="509"/>
      <c r="BB287" s="510"/>
      <c r="BC287" s="510"/>
      <c r="BD287" s="510"/>
      <c r="BE287" s="510"/>
      <c r="BF287" s="509"/>
      <c r="BG287" s="510"/>
      <c r="BH287" s="510"/>
      <c r="BI287" s="510"/>
      <c r="BJ287" s="510"/>
      <c r="BK287" s="509"/>
      <c r="BL287" s="510"/>
      <c r="BM287" s="510"/>
      <c r="BN287" s="510"/>
      <c r="BO287" s="510"/>
    </row>
    <row r="288" spans="3:67">
      <c r="C288" s="463"/>
      <c r="D288" s="384"/>
      <c r="E288" s="384"/>
      <c r="F288" s="384"/>
      <c r="G288" s="384"/>
      <c r="H288" s="463"/>
      <c r="I288" s="384"/>
      <c r="J288" s="384"/>
      <c r="K288" s="384"/>
      <c r="L288" s="384"/>
      <c r="M288" s="463"/>
      <c r="N288" s="384"/>
      <c r="O288" s="384"/>
      <c r="P288" s="384"/>
      <c r="Q288" s="384"/>
      <c r="R288" s="463"/>
      <c r="S288" s="384"/>
      <c r="T288" s="384"/>
      <c r="U288" s="384"/>
      <c r="V288" s="384"/>
      <c r="W288" s="463"/>
      <c r="X288" s="384"/>
      <c r="Y288" s="384"/>
      <c r="Z288" s="384"/>
      <c r="AA288" s="384"/>
      <c r="AB288" s="463"/>
      <c r="AC288" s="384"/>
      <c r="AD288" s="384"/>
      <c r="AE288" s="384"/>
      <c r="AF288" s="384"/>
      <c r="AG288" s="463"/>
      <c r="AH288" s="384"/>
      <c r="AI288" s="384"/>
      <c r="AJ288" s="384"/>
      <c r="AK288" s="384"/>
      <c r="AL288" s="463"/>
      <c r="AM288" s="384"/>
      <c r="AN288" s="384"/>
      <c r="AO288" s="384"/>
      <c r="AP288" s="384"/>
      <c r="AQ288" s="463"/>
      <c r="AR288" s="384"/>
      <c r="AS288" s="384"/>
      <c r="AT288" s="384"/>
      <c r="AU288" s="384"/>
      <c r="AV288" s="463"/>
      <c r="AW288" s="384"/>
      <c r="AX288" s="384"/>
      <c r="AY288" s="384"/>
      <c r="AZ288" s="384"/>
      <c r="BA288" s="463"/>
      <c r="BB288" s="384"/>
      <c r="BC288" s="384"/>
      <c r="BD288" s="384"/>
      <c r="BE288" s="384"/>
      <c r="BF288" s="463"/>
      <c r="BG288" s="384"/>
      <c r="BH288" s="384"/>
      <c r="BI288" s="384"/>
      <c r="BJ288" s="384"/>
      <c r="BK288" s="463"/>
      <c r="BL288" s="384"/>
      <c r="BM288" s="384"/>
      <c r="BN288" s="384"/>
      <c r="BO288" s="384"/>
    </row>
    <row r="291" spans="3:67">
      <c r="C291" s="497"/>
      <c r="D291" s="498"/>
      <c r="E291" s="498"/>
      <c r="F291" s="498"/>
      <c r="G291" s="498"/>
      <c r="H291" s="497"/>
      <c r="I291" s="498"/>
      <c r="J291" s="498"/>
      <c r="K291" s="498"/>
      <c r="L291" s="498"/>
      <c r="M291" s="497"/>
      <c r="N291" s="498"/>
      <c r="O291" s="498"/>
      <c r="P291" s="498"/>
      <c r="Q291" s="498"/>
      <c r="R291" s="497"/>
      <c r="S291" s="498"/>
      <c r="T291" s="498"/>
      <c r="U291" s="498"/>
      <c r="V291" s="498"/>
      <c r="W291" s="497"/>
      <c r="X291" s="498"/>
      <c r="Y291" s="498"/>
      <c r="Z291" s="498"/>
      <c r="AA291" s="498"/>
      <c r="AB291" s="497"/>
      <c r="AC291" s="498"/>
      <c r="AD291" s="498"/>
      <c r="AE291" s="498"/>
      <c r="AF291" s="498"/>
      <c r="AG291" s="497"/>
      <c r="AH291" s="498"/>
      <c r="AI291" s="498"/>
      <c r="AJ291" s="498"/>
      <c r="AK291" s="498"/>
      <c r="AL291" s="497"/>
      <c r="AM291" s="498"/>
      <c r="AN291" s="498"/>
      <c r="AO291" s="498"/>
      <c r="AP291" s="498"/>
      <c r="AQ291" s="497"/>
      <c r="AR291" s="498"/>
      <c r="AS291" s="498"/>
      <c r="AT291" s="498"/>
      <c r="AU291" s="498"/>
      <c r="AV291" s="497"/>
      <c r="AW291" s="498"/>
      <c r="AX291" s="498"/>
      <c r="AY291" s="498"/>
      <c r="AZ291" s="498"/>
      <c r="BA291" s="497"/>
      <c r="BB291" s="498"/>
      <c r="BC291" s="498"/>
      <c r="BD291" s="498"/>
      <c r="BE291" s="498"/>
      <c r="BF291" s="497"/>
      <c r="BG291" s="498"/>
      <c r="BH291" s="498"/>
      <c r="BI291" s="498"/>
      <c r="BJ291" s="498"/>
      <c r="BK291" s="497"/>
      <c r="BL291" s="498"/>
      <c r="BM291" s="498"/>
      <c r="BN291" s="498"/>
      <c r="BO291" s="498"/>
    </row>
    <row r="292" spans="3:67">
      <c r="C292" s="394"/>
      <c r="D292" s="395"/>
      <c r="E292" s="395"/>
      <c r="F292" s="395"/>
      <c r="G292" s="395"/>
      <c r="H292" s="394"/>
      <c r="I292" s="395"/>
      <c r="J292" s="395"/>
      <c r="K292" s="395"/>
      <c r="L292" s="395"/>
      <c r="M292" s="394"/>
      <c r="N292" s="395"/>
      <c r="O292" s="395"/>
      <c r="P292" s="395"/>
      <c r="Q292" s="395"/>
      <c r="R292" s="394"/>
      <c r="S292" s="395"/>
      <c r="T292" s="395"/>
      <c r="U292" s="395"/>
      <c r="V292" s="395"/>
      <c r="W292" s="394"/>
      <c r="X292" s="395"/>
      <c r="Y292" s="395"/>
      <c r="Z292" s="395"/>
      <c r="AA292" s="395"/>
      <c r="AB292" s="394"/>
      <c r="AC292" s="395"/>
      <c r="AD292" s="395"/>
      <c r="AE292" s="395"/>
      <c r="AF292" s="395"/>
      <c r="AG292" s="394"/>
      <c r="AH292" s="395"/>
      <c r="AI292" s="395"/>
      <c r="AJ292" s="395"/>
      <c r="AK292" s="395"/>
      <c r="AL292" s="394"/>
      <c r="AM292" s="395"/>
      <c r="AN292" s="395"/>
      <c r="AO292" s="395"/>
      <c r="AP292" s="395"/>
      <c r="AQ292" s="394"/>
      <c r="AR292" s="395"/>
      <c r="AS292" s="395"/>
      <c r="AT292" s="395"/>
      <c r="AU292" s="395"/>
      <c r="AV292" s="394"/>
      <c r="AW292" s="395"/>
      <c r="AX292" s="395"/>
      <c r="AY292" s="395"/>
      <c r="AZ292" s="395"/>
      <c r="BA292" s="394"/>
      <c r="BB292" s="395"/>
      <c r="BC292" s="395"/>
      <c r="BD292" s="395"/>
      <c r="BE292" s="395"/>
      <c r="BF292" s="394"/>
      <c r="BG292" s="395"/>
      <c r="BH292" s="395"/>
      <c r="BI292" s="395"/>
      <c r="BJ292" s="395"/>
      <c r="BK292" s="394"/>
      <c r="BL292" s="395"/>
      <c r="BM292" s="395"/>
      <c r="BN292" s="395"/>
      <c r="BO292" s="395"/>
    </row>
    <row r="293" spans="3:67">
      <c r="C293" s="394"/>
      <c r="D293" s="395"/>
      <c r="E293" s="395"/>
      <c r="F293" s="395"/>
      <c r="G293" s="395"/>
      <c r="H293" s="394"/>
      <c r="I293" s="395"/>
      <c r="J293" s="395"/>
      <c r="K293" s="395"/>
      <c r="L293" s="395"/>
      <c r="M293" s="394"/>
      <c r="N293" s="395"/>
      <c r="O293" s="395"/>
      <c r="P293" s="395"/>
      <c r="Q293" s="395"/>
      <c r="R293" s="394"/>
      <c r="S293" s="395"/>
      <c r="T293" s="395"/>
      <c r="U293" s="395"/>
      <c r="V293" s="395"/>
      <c r="W293" s="394"/>
      <c r="X293" s="395"/>
      <c r="Y293" s="395"/>
      <c r="Z293" s="395"/>
      <c r="AA293" s="395"/>
      <c r="AB293" s="394"/>
      <c r="AC293" s="395"/>
      <c r="AD293" s="395"/>
      <c r="AE293" s="395"/>
      <c r="AF293" s="395"/>
      <c r="AG293" s="394"/>
      <c r="AH293" s="395"/>
      <c r="AI293" s="395"/>
      <c r="AJ293" s="395"/>
      <c r="AK293" s="395"/>
      <c r="AL293" s="394"/>
      <c r="AM293" s="395"/>
      <c r="AN293" s="395"/>
      <c r="AO293" s="395"/>
      <c r="AP293" s="395"/>
      <c r="AQ293" s="394"/>
      <c r="AR293" s="395"/>
      <c r="AS293" s="395"/>
      <c r="AT293" s="395"/>
      <c r="AU293" s="395"/>
      <c r="AV293" s="394"/>
      <c r="AW293" s="395"/>
      <c r="AX293" s="395"/>
      <c r="AY293" s="395"/>
      <c r="AZ293" s="395"/>
      <c r="BA293" s="394"/>
      <c r="BB293" s="395"/>
      <c r="BC293" s="395"/>
      <c r="BD293" s="395"/>
      <c r="BE293" s="395"/>
      <c r="BF293" s="394"/>
      <c r="BG293" s="395"/>
      <c r="BH293" s="395"/>
      <c r="BI293" s="395"/>
      <c r="BJ293" s="395"/>
      <c r="BK293" s="394"/>
      <c r="BL293" s="395"/>
      <c r="BM293" s="395"/>
      <c r="BN293" s="395"/>
      <c r="BO293" s="395"/>
    </row>
    <row r="294" spans="3:67">
      <c r="C294" s="394"/>
      <c r="D294" s="395"/>
      <c r="E294" s="395"/>
      <c r="F294" s="395"/>
      <c r="G294" s="395"/>
      <c r="H294" s="394"/>
      <c r="I294" s="395"/>
      <c r="J294" s="395"/>
      <c r="K294" s="395"/>
      <c r="L294" s="395"/>
      <c r="M294" s="394"/>
      <c r="N294" s="395"/>
      <c r="O294" s="395"/>
      <c r="P294" s="395"/>
      <c r="Q294" s="395"/>
      <c r="R294" s="394"/>
      <c r="S294" s="395"/>
      <c r="T294" s="395"/>
      <c r="U294" s="395"/>
      <c r="V294" s="395"/>
      <c r="W294" s="394"/>
      <c r="X294" s="395"/>
      <c r="Y294" s="395"/>
      <c r="Z294" s="395"/>
      <c r="AA294" s="395"/>
      <c r="AB294" s="394"/>
      <c r="AC294" s="395"/>
      <c r="AD294" s="395"/>
      <c r="AE294" s="395"/>
      <c r="AF294" s="395"/>
      <c r="AG294" s="394"/>
      <c r="AH294" s="395"/>
      <c r="AI294" s="395"/>
      <c r="AJ294" s="395"/>
      <c r="AK294" s="395"/>
      <c r="AL294" s="394"/>
      <c r="AM294" s="395"/>
      <c r="AN294" s="395"/>
      <c r="AO294" s="395"/>
      <c r="AP294" s="395"/>
      <c r="AQ294" s="394"/>
      <c r="AR294" s="395"/>
      <c r="AS294" s="395"/>
      <c r="AT294" s="395"/>
      <c r="AU294" s="395"/>
      <c r="AV294" s="394"/>
      <c r="AW294" s="395"/>
      <c r="AX294" s="395"/>
      <c r="AY294" s="395"/>
      <c r="AZ294" s="395"/>
      <c r="BA294" s="394"/>
      <c r="BB294" s="395"/>
      <c r="BC294" s="395"/>
      <c r="BD294" s="395"/>
      <c r="BE294" s="395"/>
      <c r="BF294" s="394"/>
      <c r="BG294" s="395"/>
      <c r="BH294" s="395"/>
      <c r="BI294" s="395"/>
      <c r="BJ294" s="395"/>
      <c r="BK294" s="394"/>
      <c r="BL294" s="395"/>
      <c r="BM294" s="395"/>
      <c r="BN294" s="395"/>
      <c r="BO294" s="395"/>
    </row>
    <row r="295" spans="3:67">
      <c r="C295" s="499"/>
      <c r="D295" s="395"/>
      <c r="E295" s="395"/>
      <c r="F295" s="395"/>
      <c r="G295" s="395"/>
      <c r="H295" s="499"/>
      <c r="I295" s="395"/>
      <c r="J295" s="395"/>
      <c r="K295" s="395"/>
      <c r="L295" s="395"/>
      <c r="M295" s="499"/>
      <c r="N295" s="395"/>
      <c r="O295" s="395"/>
      <c r="P295" s="395"/>
      <c r="Q295" s="395"/>
      <c r="R295" s="499"/>
      <c r="S295" s="395"/>
      <c r="T295" s="395"/>
      <c r="U295" s="395"/>
      <c r="V295" s="395"/>
      <c r="W295" s="499"/>
      <c r="X295" s="395"/>
      <c r="Y295" s="395"/>
      <c r="Z295" s="395"/>
      <c r="AA295" s="395"/>
      <c r="AB295" s="499"/>
      <c r="AC295" s="395"/>
      <c r="AD295" s="395"/>
      <c r="AE295" s="395"/>
      <c r="AF295" s="395"/>
      <c r="AG295" s="499"/>
      <c r="AH295" s="395"/>
      <c r="AI295" s="395"/>
      <c r="AJ295" s="395"/>
      <c r="AK295" s="395"/>
      <c r="AL295" s="499"/>
      <c r="AM295" s="395"/>
      <c r="AN295" s="395"/>
      <c r="AO295" s="395"/>
      <c r="AP295" s="395"/>
      <c r="AQ295" s="499"/>
      <c r="AR295" s="395"/>
      <c r="AS295" s="395"/>
      <c r="AT295" s="395"/>
      <c r="AU295" s="395"/>
      <c r="AV295" s="499"/>
      <c r="AW295" s="395"/>
      <c r="AX295" s="395"/>
      <c r="AY295" s="395"/>
      <c r="AZ295" s="395"/>
      <c r="BA295" s="499"/>
      <c r="BB295" s="395"/>
      <c r="BC295" s="395"/>
      <c r="BD295" s="395"/>
      <c r="BE295" s="395"/>
      <c r="BF295" s="499"/>
      <c r="BG295" s="395"/>
      <c r="BH295" s="395"/>
      <c r="BI295" s="395"/>
      <c r="BJ295" s="395"/>
      <c r="BK295" s="499"/>
      <c r="BL295" s="395"/>
      <c r="BM295" s="395"/>
      <c r="BN295" s="395"/>
      <c r="BO295" s="395"/>
    </row>
    <row r="296" spans="3:67">
      <c r="C296" s="394"/>
      <c r="D296" s="395"/>
      <c r="E296" s="395"/>
      <c r="F296" s="395"/>
      <c r="G296" s="395"/>
      <c r="H296" s="394"/>
      <c r="I296" s="395"/>
      <c r="J296" s="395"/>
      <c r="K296" s="395"/>
      <c r="L296" s="395"/>
      <c r="M296" s="394"/>
      <c r="N296" s="395"/>
      <c r="O296" s="395"/>
      <c r="P296" s="395"/>
      <c r="Q296" s="395"/>
      <c r="R296" s="394"/>
      <c r="S296" s="395"/>
      <c r="T296" s="395"/>
      <c r="U296" s="395"/>
      <c r="V296" s="395"/>
      <c r="W296" s="394"/>
      <c r="X296" s="395"/>
      <c r="Y296" s="395"/>
      <c r="Z296" s="395"/>
      <c r="AA296" s="395"/>
      <c r="AB296" s="394"/>
      <c r="AC296" s="395"/>
      <c r="AD296" s="395"/>
      <c r="AE296" s="395"/>
      <c r="AF296" s="395"/>
      <c r="AG296" s="394"/>
      <c r="AH296" s="395"/>
      <c r="AI296" s="395"/>
      <c r="AJ296" s="395"/>
      <c r="AK296" s="395"/>
      <c r="AL296" s="394"/>
      <c r="AM296" s="395"/>
      <c r="AN296" s="395"/>
      <c r="AO296" s="395"/>
      <c r="AP296" s="395"/>
      <c r="AQ296" s="394"/>
      <c r="AR296" s="395"/>
      <c r="AS296" s="395"/>
      <c r="AT296" s="395"/>
      <c r="AU296" s="395"/>
      <c r="AV296" s="394"/>
      <c r="AW296" s="395"/>
      <c r="AX296" s="395"/>
      <c r="AY296" s="395"/>
      <c r="AZ296" s="395"/>
      <c r="BA296" s="394"/>
      <c r="BB296" s="395"/>
      <c r="BC296" s="395"/>
      <c r="BD296" s="395"/>
      <c r="BE296" s="395"/>
      <c r="BF296" s="394"/>
      <c r="BG296" s="395"/>
      <c r="BH296" s="395"/>
      <c r="BI296" s="395"/>
      <c r="BJ296" s="395"/>
      <c r="BK296" s="394"/>
      <c r="BL296" s="395"/>
      <c r="BM296" s="395"/>
      <c r="BN296" s="395"/>
      <c r="BO296" s="395"/>
    </row>
    <row r="297" spans="3:67">
      <c r="C297" s="497"/>
      <c r="D297" s="395"/>
      <c r="E297" s="395"/>
      <c r="F297" s="395"/>
      <c r="G297" s="395"/>
      <c r="H297" s="497"/>
      <c r="I297" s="395"/>
      <c r="J297" s="395"/>
      <c r="K297" s="395"/>
      <c r="L297" s="395"/>
      <c r="M297" s="497"/>
      <c r="N297" s="395"/>
      <c r="O297" s="395"/>
      <c r="P297" s="395"/>
      <c r="Q297" s="395"/>
      <c r="R297" s="497"/>
      <c r="S297" s="395"/>
      <c r="T297" s="395"/>
      <c r="U297" s="395"/>
      <c r="V297" s="395"/>
      <c r="W297" s="497"/>
      <c r="X297" s="395"/>
      <c r="Y297" s="395"/>
      <c r="Z297" s="395"/>
      <c r="AA297" s="395"/>
      <c r="AB297" s="497"/>
      <c r="AC297" s="395"/>
      <c r="AD297" s="395"/>
      <c r="AE297" s="395"/>
      <c r="AF297" s="395"/>
      <c r="AG297" s="497"/>
      <c r="AH297" s="395"/>
      <c r="AI297" s="395"/>
      <c r="AJ297" s="395"/>
      <c r="AK297" s="395"/>
      <c r="AL297" s="497"/>
      <c r="AM297" s="395"/>
      <c r="AN297" s="395"/>
      <c r="AO297" s="395"/>
      <c r="AP297" s="395"/>
      <c r="AQ297" s="497"/>
      <c r="AR297" s="395"/>
      <c r="AS297" s="395"/>
      <c r="AT297" s="395"/>
      <c r="AU297" s="395"/>
      <c r="AV297" s="497"/>
      <c r="AW297" s="395"/>
      <c r="AX297" s="395"/>
      <c r="AY297" s="395"/>
      <c r="AZ297" s="395"/>
      <c r="BA297" s="497"/>
      <c r="BB297" s="395"/>
      <c r="BC297" s="395"/>
      <c r="BD297" s="395"/>
      <c r="BE297" s="395"/>
      <c r="BF297" s="497"/>
      <c r="BG297" s="395"/>
      <c r="BH297" s="395"/>
      <c r="BI297" s="395"/>
      <c r="BJ297" s="395"/>
      <c r="BK297" s="497"/>
      <c r="BL297" s="395"/>
      <c r="BM297" s="395"/>
      <c r="BN297" s="395"/>
      <c r="BO297" s="395"/>
    </row>
    <row r="298" spans="3:67">
      <c r="C298" s="394"/>
      <c r="D298" s="395"/>
      <c r="E298" s="395"/>
      <c r="F298" s="395"/>
      <c r="G298" s="395"/>
      <c r="H298" s="394"/>
      <c r="I298" s="395"/>
      <c r="J298" s="395"/>
      <c r="K298" s="395"/>
      <c r="L298" s="395"/>
      <c r="M298" s="394"/>
      <c r="N298" s="395"/>
      <c r="O298" s="395"/>
      <c r="P298" s="395"/>
      <c r="Q298" s="395"/>
      <c r="R298" s="394"/>
      <c r="S298" s="395"/>
      <c r="T298" s="395"/>
      <c r="U298" s="395"/>
      <c r="V298" s="395"/>
      <c r="W298" s="394"/>
      <c r="X298" s="395"/>
      <c r="Y298" s="395"/>
      <c r="Z298" s="395"/>
      <c r="AA298" s="395"/>
      <c r="AB298" s="394"/>
      <c r="AC298" s="395"/>
      <c r="AD298" s="395"/>
      <c r="AE298" s="395"/>
      <c r="AF298" s="395"/>
      <c r="AG298" s="394"/>
      <c r="AH298" s="395"/>
      <c r="AI298" s="395"/>
      <c r="AJ298" s="395"/>
      <c r="AK298" s="395"/>
      <c r="AL298" s="394"/>
      <c r="AM298" s="395"/>
      <c r="AN298" s="395"/>
      <c r="AO298" s="395"/>
      <c r="AP298" s="395"/>
      <c r="AQ298" s="394"/>
      <c r="AR298" s="395"/>
      <c r="AS298" s="395"/>
      <c r="AT298" s="395"/>
      <c r="AU298" s="395"/>
      <c r="AV298" s="394"/>
      <c r="AW298" s="395"/>
      <c r="AX298" s="395"/>
      <c r="AY298" s="395"/>
      <c r="AZ298" s="395"/>
      <c r="BA298" s="394"/>
      <c r="BB298" s="395"/>
      <c r="BC298" s="395"/>
      <c r="BD298" s="395"/>
      <c r="BE298" s="395"/>
      <c r="BF298" s="394"/>
      <c r="BG298" s="395"/>
      <c r="BH298" s="395"/>
      <c r="BI298" s="395"/>
      <c r="BJ298" s="395"/>
      <c r="BK298" s="394"/>
      <c r="BL298" s="395"/>
      <c r="BM298" s="395"/>
      <c r="BN298" s="395"/>
      <c r="BO298" s="395"/>
    </row>
    <row r="299" spans="3:67">
      <c r="C299" s="394"/>
      <c r="D299" s="395"/>
      <c r="E299" s="395"/>
      <c r="F299" s="395"/>
      <c r="G299" s="395"/>
      <c r="H299" s="394"/>
      <c r="I299" s="395"/>
      <c r="J299" s="395"/>
      <c r="K299" s="395"/>
      <c r="L299" s="395"/>
      <c r="M299" s="394"/>
      <c r="N299" s="395"/>
      <c r="O299" s="395"/>
      <c r="P299" s="395"/>
      <c r="Q299" s="395"/>
      <c r="R299" s="394"/>
      <c r="S299" s="395"/>
      <c r="T299" s="395"/>
      <c r="U299" s="395"/>
      <c r="V299" s="395"/>
      <c r="W299" s="394"/>
      <c r="X299" s="395"/>
      <c r="Y299" s="395"/>
      <c r="Z299" s="395"/>
      <c r="AA299" s="395"/>
      <c r="AB299" s="394"/>
      <c r="AC299" s="395"/>
      <c r="AD299" s="395"/>
      <c r="AE299" s="395"/>
      <c r="AF299" s="395"/>
      <c r="AG299" s="394"/>
      <c r="AH299" s="395"/>
      <c r="AI299" s="395"/>
      <c r="AJ299" s="395"/>
      <c r="AK299" s="395"/>
      <c r="AL299" s="394"/>
      <c r="AM299" s="395"/>
      <c r="AN299" s="395"/>
      <c r="AO299" s="395"/>
      <c r="AP299" s="395"/>
      <c r="AQ299" s="394"/>
      <c r="AR299" s="395"/>
      <c r="AS299" s="395"/>
      <c r="AT299" s="395"/>
      <c r="AU299" s="395"/>
      <c r="AV299" s="394"/>
      <c r="AW299" s="395"/>
      <c r="AX299" s="395"/>
      <c r="AY299" s="395"/>
      <c r="AZ299" s="395"/>
      <c r="BA299" s="394"/>
      <c r="BB299" s="395"/>
      <c r="BC299" s="395"/>
      <c r="BD299" s="395"/>
      <c r="BE299" s="395"/>
      <c r="BF299" s="394"/>
      <c r="BG299" s="395"/>
      <c r="BH299" s="395"/>
      <c r="BI299" s="395"/>
      <c r="BJ299" s="395"/>
      <c r="BK299" s="394"/>
      <c r="BL299" s="395"/>
      <c r="BM299" s="395"/>
      <c r="BN299" s="395"/>
      <c r="BO299" s="395"/>
    </row>
    <row r="300" spans="3:67">
      <c r="C300" s="513"/>
      <c r="D300" s="514"/>
      <c r="E300" s="514"/>
      <c r="F300" s="514"/>
      <c r="G300" s="514"/>
      <c r="H300" s="513"/>
      <c r="I300" s="514"/>
      <c r="J300" s="514"/>
      <c r="K300" s="514"/>
      <c r="L300" s="514"/>
      <c r="M300" s="513"/>
      <c r="N300" s="514"/>
      <c r="O300" s="514"/>
      <c r="P300" s="514"/>
      <c r="Q300" s="514"/>
      <c r="R300" s="513"/>
      <c r="S300" s="514"/>
      <c r="T300" s="514"/>
      <c r="U300" s="514"/>
      <c r="V300" s="514"/>
      <c r="W300" s="513"/>
      <c r="X300" s="514"/>
      <c r="Y300" s="514"/>
      <c r="Z300" s="514"/>
      <c r="AA300" s="514"/>
      <c r="AB300" s="513"/>
      <c r="AC300" s="514"/>
      <c r="AD300" s="514"/>
      <c r="AE300" s="514"/>
      <c r="AF300" s="514"/>
      <c r="AG300" s="513"/>
      <c r="AH300" s="514"/>
      <c r="AI300" s="514"/>
      <c r="AJ300" s="514"/>
      <c r="AK300" s="514"/>
      <c r="AL300" s="513"/>
      <c r="AM300" s="514"/>
      <c r="AN300" s="514"/>
      <c r="AO300" s="514"/>
      <c r="AP300" s="514"/>
      <c r="AQ300" s="513"/>
      <c r="AR300" s="514"/>
      <c r="AS300" s="514"/>
      <c r="AT300" s="514"/>
      <c r="AU300" s="514"/>
      <c r="AV300" s="513"/>
      <c r="AW300" s="514"/>
      <c r="AX300" s="514"/>
      <c r="AY300" s="514"/>
      <c r="AZ300" s="514"/>
      <c r="BA300" s="513"/>
      <c r="BB300" s="514"/>
      <c r="BC300" s="514"/>
      <c r="BD300" s="514"/>
      <c r="BE300" s="514"/>
      <c r="BF300" s="513"/>
      <c r="BG300" s="514"/>
      <c r="BH300" s="514"/>
      <c r="BI300" s="514"/>
      <c r="BJ300" s="514"/>
      <c r="BK300" s="513"/>
      <c r="BL300" s="514"/>
      <c r="BM300" s="514"/>
      <c r="BN300" s="514"/>
      <c r="BO300" s="514"/>
    </row>
    <row r="301" spans="3:67">
      <c r="C301" s="502"/>
      <c r="D301" s="503"/>
      <c r="E301" s="503"/>
      <c r="F301" s="503"/>
      <c r="G301" s="503"/>
      <c r="H301" s="502"/>
      <c r="I301" s="503"/>
      <c r="J301" s="503"/>
      <c r="K301" s="503"/>
      <c r="L301" s="503"/>
      <c r="M301" s="502"/>
      <c r="N301" s="503"/>
      <c r="O301" s="503"/>
      <c r="P301" s="503"/>
      <c r="Q301" s="503"/>
      <c r="R301" s="502"/>
      <c r="S301" s="503"/>
      <c r="T301" s="503"/>
      <c r="U301" s="503"/>
      <c r="V301" s="503"/>
      <c r="W301" s="502"/>
      <c r="X301" s="503"/>
      <c r="Y301" s="503"/>
      <c r="Z301" s="503"/>
      <c r="AA301" s="503"/>
      <c r="AB301" s="502"/>
      <c r="AC301" s="503"/>
      <c r="AD301" s="503"/>
      <c r="AE301" s="503"/>
      <c r="AF301" s="503"/>
      <c r="AG301" s="502"/>
      <c r="AH301" s="503"/>
      <c r="AI301" s="503"/>
      <c r="AJ301" s="503"/>
      <c r="AK301" s="503"/>
      <c r="AL301" s="502"/>
      <c r="AM301" s="503"/>
      <c r="AN301" s="503"/>
      <c r="AO301" s="503"/>
      <c r="AP301" s="503"/>
      <c r="AQ301" s="502"/>
      <c r="AR301" s="503"/>
      <c r="AS301" s="503"/>
      <c r="AT301" s="503"/>
      <c r="AU301" s="503"/>
      <c r="AV301" s="502"/>
      <c r="AW301" s="503"/>
      <c r="AX301" s="503"/>
      <c r="AY301" s="503"/>
      <c r="AZ301" s="503"/>
      <c r="BA301" s="502"/>
      <c r="BB301" s="503"/>
      <c r="BC301" s="503"/>
      <c r="BD301" s="503"/>
      <c r="BE301" s="503"/>
      <c r="BF301" s="502"/>
      <c r="BG301" s="503"/>
      <c r="BH301" s="503"/>
      <c r="BI301" s="503"/>
      <c r="BJ301" s="503"/>
      <c r="BK301" s="502"/>
      <c r="BL301" s="503"/>
      <c r="BM301" s="503"/>
      <c r="BN301" s="503"/>
      <c r="BO301" s="503"/>
    </row>
    <row r="302" spans="3:67">
      <c r="C302" s="394"/>
      <c r="D302" s="395"/>
      <c r="E302" s="395"/>
      <c r="F302" s="395"/>
      <c r="G302" s="395"/>
      <c r="H302" s="394"/>
      <c r="I302" s="395"/>
      <c r="J302" s="395"/>
      <c r="K302" s="395"/>
      <c r="L302" s="395"/>
      <c r="M302" s="394"/>
      <c r="N302" s="395"/>
      <c r="O302" s="395"/>
      <c r="P302" s="395"/>
      <c r="Q302" s="395"/>
      <c r="R302" s="394"/>
      <c r="S302" s="395"/>
      <c r="T302" s="395"/>
      <c r="U302" s="395"/>
      <c r="V302" s="395"/>
      <c r="W302" s="394"/>
      <c r="X302" s="395"/>
      <c r="Y302" s="395"/>
      <c r="Z302" s="395"/>
      <c r="AA302" s="395"/>
      <c r="AB302" s="394"/>
      <c r="AC302" s="395"/>
      <c r="AD302" s="395"/>
      <c r="AE302" s="395"/>
      <c r="AF302" s="395"/>
      <c r="AG302" s="394"/>
      <c r="AH302" s="395"/>
      <c r="AI302" s="395"/>
      <c r="AJ302" s="395"/>
      <c r="AK302" s="395"/>
      <c r="AL302" s="394"/>
      <c r="AM302" s="395"/>
      <c r="AN302" s="395"/>
      <c r="AO302" s="395"/>
      <c r="AP302" s="395"/>
      <c r="AQ302" s="394"/>
      <c r="AR302" s="395"/>
      <c r="AS302" s="395"/>
      <c r="AT302" s="395"/>
      <c r="AU302" s="395"/>
      <c r="AV302" s="394"/>
      <c r="AW302" s="395"/>
      <c r="AX302" s="395"/>
      <c r="AY302" s="395"/>
      <c r="AZ302" s="395"/>
      <c r="BA302" s="394"/>
      <c r="BB302" s="395"/>
      <c r="BC302" s="395"/>
      <c r="BD302" s="395"/>
      <c r="BE302" s="395"/>
      <c r="BF302" s="394"/>
      <c r="BG302" s="395"/>
      <c r="BH302" s="395"/>
      <c r="BI302" s="395"/>
      <c r="BJ302" s="395"/>
      <c r="BK302" s="394"/>
      <c r="BL302" s="395"/>
      <c r="BM302" s="395"/>
      <c r="BN302" s="395"/>
      <c r="BO302" s="395"/>
    </row>
    <row r="303" spans="3:67">
      <c r="C303" s="463"/>
      <c r="D303" s="384"/>
      <c r="E303" s="384"/>
      <c r="F303" s="384"/>
      <c r="G303" s="384"/>
      <c r="H303" s="463"/>
      <c r="I303" s="384"/>
      <c r="J303" s="384"/>
      <c r="K303" s="384"/>
      <c r="L303" s="384"/>
      <c r="M303" s="463"/>
      <c r="N303" s="384"/>
      <c r="O303" s="384"/>
      <c r="P303" s="384"/>
      <c r="Q303" s="384"/>
      <c r="R303" s="463"/>
      <c r="S303" s="384"/>
      <c r="T303" s="384"/>
      <c r="U303" s="384"/>
      <c r="V303" s="384"/>
      <c r="W303" s="463"/>
      <c r="X303" s="384"/>
      <c r="Y303" s="384"/>
      <c r="Z303" s="384"/>
      <c r="AA303" s="384"/>
      <c r="AB303" s="463"/>
      <c r="AC303" s="384"/>
      <c r="AD303" s="384"/>
      <c r="AE303" s="384"/>
      <c r="AF303" s="384"/>
      <c r="AG303" s="463"/>
      <c r="AH303" s="384"/>
      <c r="AI303" s="384"/>
      <c r="AJ303" s="384"/>
      <c r="AK303" s="384"/>
      <c r="AL303" s="463"/>
      <c r="AM303" s="384"/>
      <c r="AN303" s="384"/>
      <c r="AO303" s="384"/>
      <c r="AP303" s="384"/>
      <c r="AQ303" s="463"/>
      <c r="AR303" s="384"/>
      <c r="AS303" s="384"/>
      <c r="AT303" s="384"/>
      <c r="AU303" s="384"/>
      <c r="AV303" s="463"/>
      <c r="AW303" s="384"/>
      <c r="AX303" s="384"/>
      <c r="AY303" s="384"/>
      <c r="AZ303" s="384"/>
      <c r="BA303" s="463"/>
      <c r="BB303" s="384"/>
      <c r="BC303" s="384"/>
      <c r="BD303" s="384"/>
      <c r="BE303" s="384"/>
      <c r="BF303" s="463"/>
      <c r="BG303" s="384"/>
      <c r="BH303" s="384"/>
      <c r="BI303" s="384"/>
      <c r="BJ303" s="384"/>
      <c r="BK303" s="463"/>
      <c r="BL303" s="384"/>
      <c r="BM303" s="384"/>
      <c r="BN303" s="384"/>
      <c r="BO303" s="384"/>
    </row>
    <row r="305" spans="3:67">
      <c r="C305" s="509"/>
      <c r="D305" s="510"/>
      <c r="E305" s="510"/>
      <c r="F305" s="510"/>
      <c r="G305" s="510"/>
      <c r="H305" s="509"/>
      <c r="I305" s="510"/>
      <c r="J305" s="510"/>
      <c r="K305" s="510"/>
      <c r="L305" s="510"/>
      <c r="M305" s="509"/>
      <c r="N305" s="510"/>
      <c r="O305" s="510"/>
      <c r="P305" s="510"/>
      <c r="Q305" s="510"/>
      <c r="R305" s="509"/>
      <c r="S305" s="510"/>
      <c r="T305" s="510"/>
      <c r="U305" s="510"/>
      <c r="V305" s="510"/>
      <c r="W305" s="509"/>
      <c r="X305" s="510"/>
      <c r="Y305" s="510"/>
      <c r="Z305" s="510"/>
      <c r="AA305" s="510"/>
      <c r="AB305" s="509"/>
      <c r="AC305" s="510"/>
      <c r="AD305" s="510"/>
      <c r="AE305" s="510"/>
      <c r="AF305" s="510"/>
      <c r="AG305" s="509"/>
      <c r="AH305" s="510"/>
      <c r="AI305" s="510"/>
      <c r="AJ305" s="510"/>
      <c r="AK305" s="510"/>
      <c r="AL305" s="509"/>
      <c r="AM305" s="510"/>
      <c r="AN305" s="510"/>
      <c r="AO305" s="510"/>
      <c r="AP305" s="510"/>
      <c r="AQ305" s="509"/>
      <c r="AR305" s="510"/>
      <c r="AS305" s="510"/>
      <c r="AT305" s="510"/>
      <c r="AU305" s="510"/>
      <c r="AV305" s="509"/>
      <c r="AW305" s="510"/>
      <c r="AX305" s="510"/>
      <c r="AY305" s="510"/>
      <c r="AZ305" s="510"/>
      <c r="BA305" s="509"/>
      <c r="BB305" s="510"/>
      <c r="BC305" s="510"/>
      <c r="BD305" s="510"/>
      <c r="BE305" s="510"/>
      <c r="BF305" s="509"/>
      <c r="BG305" s="510"/>
      <c r="BH305" s="510"/>
      <c r="BI305" s="510"/>
      <c r="BJ305" s="510"/>
      <c r="BK305" s="509"/>
      <c r="BL305" s="510"/>
      <c r="BM305" s="510"/>
      <c r="BN305" s="510"/>
      <c r="BO305" s="510"/>
    </row>
    <row r="306" spans="3:67">
      <c r="C306" s="463"/>
      <c r="D306" s="384"/>
      <c r="E306" s="384"/>
      <c r="F306" s="384"/>
      <c r="G306" s="384"/>
      <c r="H306" s="463"/>
      <c r="I306" s="384"/>
      <c r="J306" s="384"/>
      <c r="K306" s="384"/>
      <c r="L306" s="384"/>
      <c r="M306" s="463"/>
      <c r="N306" s="384"/>
      <c r="O306" s="384"/>
      <c r="P306" s="384"/>
      <c r="Q306" s="384"/>
      <c r="R306" s="463"/>
      <c r="S306" s="384"/>
      <c r="T306" s="384"/>
      <c r="U306" s="384"/>
      <c r="V306" s="384"/>
      <c r="W306" s="463"/>
      <c r="X306" s="384"/>
      <c r="Y306" s="384"/>
      <c r="Z306" s="384"/>
      <c r="AA306" s="384"/>
      <c r="AB306" s="463"/>
      <c r="AC306" s="384"/>
      <c r="AD306" s="384"/>
      <c r="AE306" s="384"/>
      <c r="AF306" s="384"/>
      <c r="AG306" s="463"/>
      <c r="AH306" s="384"/>
      <c r="AI306" s="384"/>
      <c r="AJ306" s="384"/>
      <c r="AK306" s="384"/>
      <c r="AL306" s="463"/>
      <c r="AM306" s="384"/>
      <c r="AN306" s="384"/>
      <c r="AO306" s="384"/>
      <c r="AP306" s="384"/>
      <c r="AQ306" s="463"/>
      <c r="AR306" s="384"/>
      <c r="AS306" s="384"/>
      <c r="AT306" s="384"/>
      <c r="AU306" s="384"/>
      <c r="AV306" s="463"/>
      <c r="AW306" s="384"/>
      <c r="AX306" s="384"/>
      <c r="AY306" s="384"/>
      <c r="AZ306" s="384"/>
      <c r="BA306" s="463"/>
      <c r="BB306" s="384"/>
      <c r="BC306" s="384"/>
      <c r="BD306" s="384"/>
      <c r="BE306" s="384"/>
      <c r="BF306" s="463"/>
      <c r="BG306" s="384"/>
      <c r="BH306" s="384"/>
      <c r="BI306" s="384"/>
      <c r="BJ306" s="384"/>
      <c r="BK306" s="463"/>
      <c r="BL306" s="384"/>
      <c r="BM306" s="384"/>
      <c r="BN306" s="384"/>
      <c r="BO306" s="384"/>
    </row>
    <row r="309" spans="3:67">
      <c r="C309" s="504"/>
      <c r="D309" s="505"/>
      <c r="E309" s="505"/>
      <c r="F309" s="505"/>
      <c r="G309" s="505"/>
      <c r="H309" s="504"/>
      <c r="I309" s="505"/>
      <c r="J309" s="505"/>
      <c r="K309" s="505"/>
      <c r="L309" s="505"/>
      <c r="M309" s="504"/>
      <c r="N309" s="505"/>
      <c r="O309" s="505"/>
      <c r="P309" s="505"/>
      <c r="Q309" s="505"/>
      <c r="R309" s="504"/>
      <c r="S309" s="505"/>
      <c r="T309" s="505"/>
      <c r="U309" s="505"/>
      <c r="V309" s="505"/>
      <c r="W309" s="504"/>
      <c r="X309" s="505"/>
      <c r="Y309" s="505"/>
      <c r="Z309" s="505"/>
      <c r="AA309" s="505"/>
      <c r="AB309" s="504"/>
      <c r="AC309" s="505"/>
      <c r="AD309" s="505"/>
      <c r="AE309" s="505"/>
      <c r="AF309" s="505"/>
      <c r="AG309" s="504"/>
      <c r="AH309" s="505"/>
      <c r="AI309" s="505"/>
      <c r="AJ309" s="505"/>
      <c r="AK309" s="505"/>
      <c r="AL309" s="504"/>
      <c r="AM309" s="505"/>
      <c r="AN309" s="505"/>
      <c r="AO309" s="505"/>
      <c r="AP309" s="505"/>
      <c r="AQ309" s="504"/>
      <c r="AR309" s="505"/>
      <c r="AS309" s="505"/>
      <c r="AT309" s="505"/>
      <c r="AU309" s="505"/>
      <c r="AV309" s="504"/>
      <c r="AW309" s="505"/>
      <c r="AX309" s="505"/>
      <c r="AY309" s="505"/>
      <c r="AZ309" s="505"/>
      <c r="BA309" s="504"/>
      <c r="BB309" s="505"/>
      <c r="BC309" s="505"/>
      <c r="BD309" s="505"/>
      <c r="BE309" s="505"/>
      <c r="BF309" s="504"/>
      <c r="BG309" s="505"/>
      <c r="BH309" s="505"/>
      <c r="BI309" s="505"/>
      <c r="BJ309" s="505"/>
      <c r="BK309" s="504"/>
      <c r="BL309" s="505"/>
      <c r="BM309" s="505"/>
      <c r="BN309" s="505"/>
      <c r="BO309" s="505"/>
    </row>
    <row r="312" spans="3:67">
      <c r="C312" s="513"/>
      <c r="D312" s="514"/>
      <c r="E312" s="514"/>
      <c r="F312" s="514"/>
      <c r="G312" s="514"/>
      <c r="H312" s="513"/>
      <c r="I312" s="514"/>
      <c r="J312" s="514"/>
      <c r="K312" s="514"/>
      <c r="L312" s="514"/>
      <c r="M312" s="513"/>
      <c r="N312" s="514"/>
      <c r="O312" s="514"/>
      <c r="P312" s="514"/>
      <c r="Q312" s="514"/>
      <c r="R312" s="513"/>
      <c r="S312" s="514"/>
      <c r="T312" s="514"/>
      <c r="U312" s="514"/>
      <c r="V312" s="514"/>
      <c r="W312" s="513"/>
      <c r="X312" s="514"/>
      <c r="Y312" s="514"/>
      <c r="Z312" s="514"/>
      <c r="AA312" s="514"/>
      <c r="AB312" s="513"/>
      <c r="AC312" s="514"/>
      <c r="AD312" s="514"/>
      <c r="AE312" s="514"/>
      <c r="AF312" s="514"/>
      <c r="AG312" s="513"/>
      <c r="AH312" s="514"/>
      <c r="AI312" s="514"/>
      <c r="AJ312" s="514"/>
      <c r="AK312" s="514"/>
      <c r="AL312" s="513"/>
      <c r="AM312" s="514"/>
      <c r="AN312" s="514"/>
      <c r="AO312" s="514"/>
      <c r="AP312" s="514"/>
      <c r="AQ312" s="513"/>
      <c r="AR312" s="514"/>
      <c r="AS312" s="514"/>
      <c r="AT312" s="514"/>
      <c r="AU312" s="514"/>
      <c r="AV312" s="513"/>
      <c r="AW312" s="514"/>
      <c r="AX312" s="514"/>
      <c r="AY312" s="514"/>
      <c r="AZ312" s="514"/>
      <c r="BA312" s="513"/>
      <c r="BB312" s="514"/>
      <c r="BC312" s="514"/>
      <c r="BD312" s="514"/>
      <c r="BE312" s="514"/>
      <c r="BF312" s="513"/>
      <c r="BG312" s="514"/>
      <c r="BH312" s="514"/>
      <c r="BI312" s="514"/>
      <c r="BJ312" s="514"/>
      <c r="BK312" s="513"/>
      <c r="BL312" s="514"/>
      <c r="BM312" s="514"/>
      <c r="BN312" s="514"/>
      <c r="BO312" s="514"/>
    </row>
    <row r="313" spans="3:67">
      <c r="C313" s="502"/>
      <c r="D313" s="503"/>
      <c r="E313" s="503"/>
      <c r="F313" s="503"/>
      <c r="G313" s="503"/>
      <c r="H313" s="502"/>
      <c r="I313" s="503"/>
      <c r="J313" s="503"/>
      <c r="K313" s="503"/>
      <c r="L313" s="503"/>
      <c r="M313" s="502"/>
      <c r="N313" s="503"/>
      <c r="O313" s="503"/>
      <c r="P313" s="503"/>
      <c r="Q313" s="503"/>
      <c r="R313" s="502"/>
      <c r="S313" s="503"/>
      <c r="T313" s="503"/>
      <c r="U313" s="503"/>
      <c r="V313" s="503"/>
      <c r="W313" s="502"/>
      <c r="X313" s="503"/>
      <c r="Y313" s="503"/>
      <c r="Z313" s="503"/>
      <c r="AA313" s="503"/>
      <c r="AB313" s="502"/>
      <c r="AC313" s="503"/>
      <c r="AD313" s="503"/>
      <c r="AE313" s="503"/>
      <c r="AF313" s="503"/>
      <c r="AG313" s="502"/>
      <c r="AH313" s="503"/>
      <c r="AI313" s="503"/>
      <c r="AJ313" s="503"/>
      <c r="AK313" s="503"/>
      <c r="AL313" s="502"/>
      <c r="AM313" s="503"/>
      <c r="AN313" s="503"/>
      <c r="AO313" s="503"/>
      <c r="AP313" s="503"/>
      <c r="AQ313" s="502"/>
      <c r="AR313" s="503"/>
      <c r="AS313" s="503"/>
      <c r="AT313" s="503"/>
      <c r="AU313" s="503"/>
      <c r="AV313" s="502"/>
      <c r="AW313" s="503"/>
      <c r="AX313" s="503"/>
      <c r="AY313" s="503"/>
      <c r="AZ313" s="503"/>
      <c r="BA313" s="502"/>
      <c r="BB313" s="503"/>
      <c r="BC313" s="503"/>
      <c r="BD313" s="503"/>
      <c r="BE313" s="503"/>
      <c r="BF313" s="502"/>
      <c r="BG313" s="503"/>
      <c r="BH313" s="503"/>
      <c r="BI313" s="503"/>
      <c r="BJ313" s="503"/>
      <c r="BK313" s="502"/>
      <c r="BL313" s="503"/>
      <c r="BM313" s="503"/>
      <c r="BN313" s="503"/>
      <c r="BO313" s="503"/>
    </row>
    <row r="315" spans="3:67">
      <c r="C315" s="463"/>
      <c r="D315" s="384"/>
      <c r="E315" s="384"/>
      <c r="F315" s="384"/>
      <c r="G315" s="384"/>
      <c r="H315" s="463"/>
      <c r="I315" s="384"/>
      <c r="J315" s="384"/>
      <c r="K315" s="384"/>
      <c r="L315" s="384"/>
      <c r="M315" s="463"/>
      <c r="N315" s="384"/>
      <c r="O315" s="384"/>
      <c r="P315" s="384"/>
      <c r="Q315" s="384"/>
      <c r="R315" s="463"/>
      <c r="S315" s="384"/>
      <c r="T315" s="384"/>
      <c r="U315" s="384"/>
      <c r="V315" s="384"/>
      <c r="W315" s="463"/>
      <c r="X315" s="384"/>
      <c r="Y315" s="384"/>
      <c r="Z315" s="384"/>
      <c r="AA315" s="384"/>
      <c r="AB315" s="463"/>
      <c r="AC315" s="384"/>
      <c r="AD315" s="384"/>
      <c r="AE315" s="384"/>
      <c r="AF315" s="384"/>
      <c r="AG315" s="463"/>
      <c r="AH315" s="384"/>
      <c r="AI315" s="384"/>
      <c r="AJ315" s="384"/>
      <c r="AK315" s="384"/>
      <c r="AL315" s="463"/>
      <c r="AM315" s="384"/>
      <c r="AN315" s="384"/>
      <c r="AO315" s="384"/>
      <c r="AP315" s="384"/>
      <c r="AQ315" s="463"/>
      <c r="AR315" s="384"/>
      <c r="AS315" s="384"/>
      <c r="AT315" s="384"/>
      <c r="AU315" s="384"/>
      <c r="AV315" s="463"/>
      <c r="AW315" s="384"/>
      <c r="AX315" s="384"/>
      <c r="AY315" s="384"/>
      <c r="AZ315" s="384"/>
      <c r="BA315" s="463"/>
      <c r="BB315" s="384"/>
      <c r="BC315" s="384"/>
      <c r="BD315" s="384"/>
      <c r="BE315" s="384"/>
      <c r="BF315" s="463"/>
      <c r="BG315" s="384"/>
      <c r="BH315" s="384"/>
      <c r="BI315" s="384"/>
      <c r="BJ315" s="384"/>
      <c r="BK315" s="463"/>
      <c r="BL315" s="384"/>
      <c r="BM315" s="384"/>
      <c r="BN315" s="384"/>
      <c r="BO315" s="384"/>
    </row>
    <row r="318" spans="3:67">
      <c r="C318" s="463"/>
      <c r="D318" s="384"/>
      <c r="E318" s="384"/>
      <c r="F318" s="384"/>
      <c r="G318" s="384"/>
      <c r="H318" s="463"/>
      <c r="I318" s="384"/>
      <c r="J318" s="384"/>
      <c r="K318" s="384"/>
      <c r="L318" s="384"/>
      <c r="M318" s="463"/>
      <c r="N318" s="384"/>
      <c r="O318" s="384"/>
      <c r="P318" s="384"/>
      <c r="Q318" s="384"/>
      <c r="R318" s="463"/>
      <c r="S318" s="384"/>
      <c r="T318" s="384"/>
      <c r="U318" s="384"/>
      <c r="V318" s="384"/>
      <c r="W318" s="463"/>
      <c r="X318" s="384"/>
      <c r="Y318" s="384"/>
      <c r="Z318" s="384"/>
      <c r="AA318" s="384"/>
      <c r="AB318" s="463"/>
      <c r="AC318" s="384"/>
      <c r="AD318" s="384"/>
      <c r="AE318" s="384"/>
      <c r="AF318" s="384"/>
      <c r="AG318" s="463"/>
      <c r="AH318" s="384"/>
      <c r="AI318" s="384"/>
      <c r="AJ318" s="384"/>
      <c r="AK318" s="384"/>
      <c r="AL318" s="463"/>
      <c r="AM318" s="384"/>
      <c r="AN318" s="384"/>
      <c r="AO318" s="384"/>
      <c r="AP318" s="384"/>
      <c r="AQ318" s="463"/>
      <c r="AR318" s="384"/>
      <c r="AS318" s="384"/>
      <c r="AT318" s="384"/>
      <c r="AU318" s="384"/>
      <c r="AV318" s="463"/>
      <c r="AW318" s="384"/>
      <c r="AX318" s="384"/>
      <c r="AY318" s="384"/>
      <c r="AZ318" s="384"/>
      <c r="BA318" s="463"/>
      <c r="BB318" s="384"/>
      <c r="BC318" s="384"/>
      <c r="BD318" s="384"/>
      <c r="BE318" s="384"/>
      <c r="BF318" s="463"/>
      <c r="BG318" s="384"/>
      <c r="BH318" s="384"/>
      <c r="BI318" s="384"/>
      <c r="BJ318" s="384"/>
      <c r="BK318" s="463"/>
      <c r="BL318" s="384"/>
      <c r="BM318" s="384"/>
      <c r="BN318" s="384"/>
      <c r="BO318" s="384"/>
    </row>
    <row r="320" spans="3:67">
      <c r="C320" s="508"/>
      <c r="D320" s="501"/>
      <c r="E320" s="501"/>
      <c r="F320" s="501"/>
      <c r="G320" s="501"/>
      <c r="H320" s="508"/>
      <c r="I320" s="501"/>
      <c r="J320" s="501"/>
      <c r="K320" s="501"/>
      <c r="L320" s="501"/>
      <c r="M320" s="508"/>
      <c r="N320" s="501"/>
      <c r="O320" s="501"/>
      <c r="P320" s="501"/>
      <c r="Q320" s="501"/>
      <c r="R320" s="508"/>
      <c r="S320" s="501"/>
      <c r="T320" s="501"/>
      <c r="U320" s="501"/>
      <c r="V320" s="501"/>
      <c r="W320" s="508"/>
      <c r="X320" s="501"/>
      <c r="Y320" s="501"/>
      <c r="Z320" s="501"/>
      <c r="AA320" s="501"/>
      <c r="AB320" s="508"/>
      <c r="AC320" s="501"/>
      <c r="AD320" s="501"/>
      <c r="AE320" s="501"/>
      <c r="AF320" s="501"/>
      <c r="AG320" s="508"/>
      <c r="AH320" s="501"/>
      <c r="AI320" s="501"/>
      <c r="AJ320" s="501"/>
      <c r="AK320" s="501"/>
      <c r="AL320" s="508"/>
      <c r="AM320" s="501"/>
      <c r="AN320" s="501"/>
      <c r="AO320" s="501"/>
      <c r="AP320" s="501"/>
      <c r="AQ320" s="508"/>
      <c r="AR320" s="501"/>
      <c r="AS320" s="501"/>
      <c r="AT320" s="501"/>
      <c r="AU320" s="501"/>
      <c r="AV320" s="508"/>
      <c r="AW320" s="501"/>
      <c r="AX320" s="501"/>
      <c r="AY320" s="501"/>
      <c r="AZ320" s="501"/>
      <c r="BA320" s="508"/>
      <c r="BB320" s="501"/>
      <c r="BC320" s="501"/>
      <c r="BD320" s="501"/>
      <c r="BE320" s="501"/>
      <c r="BF320" s="508"/>
      <c r="BG320" s="501"/>
      <c r="BH320" s="501"/>
      <c r="BI320" s="501"/>
      <c r="BJ320" s="501"/>
      <c r="BK320" s="508"/>
      <c r="BL320" s="501"/>
      <c r="BM320" s="501"/>
      <c r="BN320" s="501"/>
      <c r="BO320" s="501"/>
    </row>
    <row r="321" spans="3:67">
      <c r="C321" s="502"/>
      <c r="D321" s="503"/>
      <c r="E321" s="503"/>
      <c r="F321" s="503"/>
      <c r="G321" s="503"/>
      <c r="H321" s="502"/>
      <c r="I321" s="503"/>
      <c r="J321" s="503"/>
      <c r="K321" s="503"/>
      <c r="L321" s="503"/>
      <c r="M321" s="502"/>
      <c r="N321" s="503"/>
      <c r="O321" s="503"/>
      <c r="P321" s="503"/>
      <c r="Q321" s="503"/>
      <c r="R321" s="502"/>
      <c r="S321" s="503"/>
      <c r="T321" s="503"/>
      <c r="U321" s="503"/>
      <c r="V321" s="503"/>
      <c r="W321" s="502"/>
      <c r="X321" s="503"/>
      <c r="Y321" s="503"/>
      <c r="Z321" s="503"/>
      <c r="AA321" s="503"/>
      <c r="AB321" s="502"/>
      <c r="AC321" s="503"/>
      <c r="AD321" s="503"/>
      <c r="AE321" s="503"/>
      <c r="AF321" s="503"/>
      <c r="AG321" s="502"/>
      <c r="AH321" s="503"/>
      <c r="AI321" s="503"/>
      <c r="AJ321" s="503"/>
      <c r="AK321" s="503"/>
      <c r="AL321" s="502"/>
      <c r="AM321" s="503"/>
      <c r="AN321" s="503"/>
      <c r="AO321" s="503"/>
      <c r="AP321" s="503"/>
      <c r="AQ321" s="502"/>
      <c r="AR321" s="503"/>
      <c r="AS321" s="503"/>
      <c r="AT321" s="503"/>
      <c r="AU321" s="503"/>
      <c r="AV321" s="502"/>
      <c r="AW321" s="503"/>
      <c r="AX321" s="503"/>
      <c r="AY321" s="503"/>
      <c r="AZ321" s="503"/>
      <c r="BA321" s="502"/>
      <c r="BB321" s="503"/>
      <c r="BC321" s="503"/>
      <c r="BD321" s="503"/>
      <c r="BE321" s="503"/>
      <c r="BF321" s="502"/>
      <c r="BG321" s="503"/>
      <c r="BH321" s="503"/>
      <c r="BI321" s="503"/>
      <c r="BJ321" s="503"/>
      <c r="BK321" s="502"/>
      <c r="BL321" s="503"/>
      <c r="BM321" s="503"/>
      <c r="BN321" s="503"/>
      <c r="BO321" s="503"/>
    </row>
    <row r="323" spans="3:67">
      <c r="C323" s="463"/>
      <c r="D323" s="384"/>
      <c r="E323" s="384"/>
      <c r="F323" s="384"/>
      <c r="G323" s="384"/>
      <c r="H323" s="463"/>
      <c r="I323" s="384"/>
      <c r="J323" s="384"/>
      <c r="K323" s="384"/>
      <c r="L323" s="384"/>
      <c r="M323" s="463"/>
      <c r="N323" s="384"/>
      <c r="O323" s="384"/>
      <c r="P323" s="384"/>
      <c r="Q323" s="384"/>
      <c r="R323" s="463"/>
      <c r="S323" s="384"/>
      <c r="T323" s="384"/>
      <c r="U323" s="384"/>
      <c r="V323" s="384"/>
      <c r="W323" s="463"/>
      <c r="X323" s="384"/>
      <c r="Y323" s="384"/>
      <c r="Z323" s="384"/>
      <c r="AA323" s="384"/>
      <c r="AB323" s="463"/>
      <c r="AC323" s="384"/>
      <c r="AD323" s="384"/>
      <c r="AE323" s="384"/>
      <c r="AF323" s="384"/>
      <c r="AG323" s="463"/>
      <c r="AH323" s="384"/>
      <c r="AI323" s="384"/>
      <c r="AJ323" s="384"/>
      <c r="AK323" s="384"/>
      <c r="AL323" s="463"/>
      <c r="AM323" s="384"/>
      <c r="AN323" s="384"/>
      <c r="AO323" s="384"/>
      <c r="AP323" s="384"/>
      <c r="AQ323" s="463"/>
      <c r="AR323" s="384"/>
      <c r="AS323" s="384"/>
      <c r="AT323" s="384"/>
      <c r="AU323" s="384"/>
      <c r="AV323" s="463"/>
      <c r="AW323" s="384"/>
      <c r="AX323" s="384"/>
      <c r="AY323" s="384"/>
      <c r="AZ323" s="384"/>
      <c r="BA323" s="463"/>
      <c r="BB323" s="384"/>
      <c r="BC323" s="384"/>
      <c r="BD323" s="384"/>
      <c r="BE323" s="384"/>
      <c r="BF323" s="463"/>
      <c r="BG323" s="384"/>
      <c r="BH323" s="384"/>
      <c r="BI323" s="384"/>
      <c r="BJ323" s="384"/>
      <c r="BK323" s="463"/>
      <c r="BL323" s="384"/>
      <c r="BM323" s="384"/>
      <c r="BN323" s="384"/>
      <c r="BO323" s="384"/>
    </row>
    <row r="325" spans="3:67">
      <c r="C325" s="497"/>
      <c r="D325" s="498"/>
      <c r="E325" s="498"/>
      <c r="F325" s="498"/>
      <c r="G325" s="498"/>
      <c r="H325" s="497"/>
      <c r="I325" s="498"/>
      <c r="J325" s="498"/>
      <c r="K325" s="498"/>
      <c r="L325" s="498"/>
      <c r="M325" s="497"/>
      <c r="N325" s="498"/>
      <c r="O325" s="498"/>
      <c r="P325" s="498"/>
      <c r="Q325" s="498"/>
      <c r="R325" s="497"/>
      <c r="S325" s="498"/>
      <c r="T325" s="498"/>
      <c r="U325" s="498"/>
      <c r="V325" s="498"/>
      <c r="W325" s="497"/>
      <c r="X325" s="498"/>
      <c r="Y325" s="498"/>
      <c r="Z325" s="498"/>
      <c r="AA325" s="498"/>
      <c r="AB325" s="497"/>
      <c r="AC325" s="498"/>
      <c r="AD325" s="498"/>
      <c r="AE325" s="498"/>
      <c r="AF325" s="498"/>
      <c r="AG325" s="497"/>
      <c r="AH325" s="498"/>
      <c r="AI325" s="498"/>
      <c r="AJ325" s="498"/>
      <c r="AK325" s="498"/>
      <c r="AL325" s="497"/>
      <c r="AM325" s="498"/>
      <c r="AN325" s="498"/>
      <c r="AO325" s="498"/>
      <c r="AP325" s="498"/>
      <c r="AQ325" s="497"/>
      <c r="AR325" s="498"/>
      <c r="AS325" s="498"/>
      <c r="AT325" s="498"/>
      <c r="AU325" s="498"/>
      <c r="AV325" s="497"/>
      <c r="AW325" s="498"/>
      <c r="AX325" s="498"/>
      <c r="AY325" s="498"/>
      <c r="AZ325" s="498"/>
      <c r="BA325" s="497"/>
      <c r="BB325" s="498"/>
      <c r="BC325" s="498"/>
      <c r="BD325" s="498"/>
      <c r="BE325" s="498"/>
      <c r="BF325" s="497"/>
      <c r="BG325" s="498"/>
      <c r="BH325" s="498"/>
      <c r="BI325" s="498"/>
      <c r="BJ325" s="498"/>
      <c r="BK325" s="497"/>
      <c r="BL325" s="498"/>
      <c r="BM325" s="498"/>
      <c r="BN325" s="498"/>
      <c r="BO325" s="498"/>
    </row>
    <row r="326" spans="3:67">
      <c r="C326" s="463"/>
      <c r="D326" s="384"/>
      <c r="E326" s="384"/>
      <c r="F326" s="384"/>
      <c r="G326" s="384"/>
      <c r="H326" s="463"/>
      <c r="I326" s="384"/>
      <c r="J326" s="384"/>
      <c r="K326" s="384"/>
      <c r="L326" s="384"/>
      <c r="M326" s="463"/>
      <c r="N326" s="384"/>
      <c r="O326" s="384"/>
      <c r="P326" s="384"/>
      <c r="Q326" s="384"/>
      <c r="R326" s="463"/>
      <c r="S326" s="384"/>
      <c r="T326" s="384"/>
      <c r="U326" s="384"/>
      <c r="V326" s="384"/>
      <c r="W326" s="463"/>
      <c r="X326" s="384"/>
      <c r="Y326" s="384"/>
      <c r="Z326" s="384"/>
      <c r="AA326" s="384"/>
      <c r="AB326" s="463"/>
      <c r="AC326" s="384"/>
      <c r="AD326" s="384"/>
      <c r="AE326" s="384"/>
      <c r="AF326" s="384"/>
      <c r="AG326" s="463"/>
      <c r="AH326" s="384"/>
      <c r="AI326" s="384"/>
      <c r="AJ326" s="384"/>
      <c r="AK326" s="384"/>
      <c r="AL326" s="463"/>
      <c r="AM326" s="384"/>
      <c r="AN326" s="384"/>
      <c r="AO326" s="384"/>
      <c r="AP326" s="384"/>
      <c r="AQ326" s="463"/>
      <c r="AR326" s="384"/>
      <c r="AS326" s="384"/>
      <c r="AT326" s="384"/>
      <c r="AU326" s="384"/>
      <c r="AV326" s="463"/>
      <c r="AW326" s="384"/>
      <c r="AX326" s="384"/>
      <c r="AY326" s="384"/>
      <c r="AZ326" s="384"/>
      <c r="BA326" s="463"/>
      <c r="BB326" s="384"/>
      <c r="BC326" s="384"/>
      <c r="BD326" s="384"/>
      <c r="BE326" s="384"/>
      <c r="BF326" s="463"/>
      <c r="BG326" s="384"/>
      <c r="BH326" s="384"/>
      <c r="BI326" s="384"/>
      <c r="BJ326" s="384"/>
      <c r="BK326" s="463"/>
      <c r="BL326" s="384"/>
      <c r="BM326" s="384"/>
      <c r="BN326" s="384"/>
      <c r="BO326" s="384"/>
    </row>
    <row r="330" spans="3:67">
      <c r="C330" s="463"/>
      <c r="D330" s="384"/>
      <c r="E330" s="384"/>
      <c r="F330" s="384"/>
      <c r="G330" s="384"/>
      <c r="H330" s="463"/>
      <c r="I330" s="384"/>
      <c r="J330" s="384"/>
      <c r="K330" s="384"/>
      <c r="L330" s="384"/>
      <c r="M330" s="463"/>
      <c r="N330" s="384"/>
      <c r="O330" s="384"/>
      <c r="P330" s="384"/>
      <c r="Q330" s="384"/>
      <c r="R330" s="463"/>
      <c r="S330" s="384"/>
      <c r="T330" s="384"/>
      <c r="U330" s="384"/>
      <c r="V330" s="384"/>
      <c r="W330" s="463"/>
      <c r="X330" s="384"/>
      <c r="Y330" s="384"/>
      <c r="Z330" s="384"/>
      <c r="AA330" s="384"/>
      <c r="AB330" s="463"/>
      <c r="AC330" s="384"/>
      <c r="AD330" s="384"/>
      <c r="AE330" s="384"/>
      <c r="AF330" s="384"/>
      <c r="AG330" s="463"/>
      <c r="AH330" s="384"/>
      <c r="AI330" s="384"/>
      <c r="AJ330" s="384"/>
      <c r="AK330" s="384"/>
      <c r="AL330" s="463"/>
      <c r="AM330" s="384"/>
      <c r="AN330" s="384"/>
      <c r="AO330" s="384"/>
      <c r="AP330" s="384"/>
      <c r="AQ330" s="463"/>
      <c r="AR330" s="384"/>
      <c r="AS330" s="384"/>
      <c r="AT330" s="384"/>
      <c r="AU330" s="384"/>
      <c r="AV330" s="463"/>
      <c r="AW330" s="384"/>
      <c r="AX330" s="384"/>
      <c r="AY330" s="384"/>
      <c r="AZ330" s="384"/>
      <c r="BA330" s="463"/>
      <c r="BB330" s="384"/>
      <c r="BC330" s="384"/>
      <c r="BD330" s="384"/>
      <c r="BE330" s="384"/>
      <c r="BF330" s="463"/>
      <c r="BG330" s="384"/>
      <c r="BH330" s="384"/>
      <c r="BI330" s="384"/>
      <c r="BJ330" s="384"/>
      <c r="BK330" s="463"/>
      <c r="BL330" s="384"/>
      <c r="BM330" s="384"/>
      <c r="BN330" s="384"/>
      <c r="BO330" s="384"/>
    </row>
    <row r="331" spans="3:67">
      <c r="C331" s="463"/>
      <c r="D331" s="384"/>
      <c r="E331" s="384"/>
      <c r="F331" s="384"/>
      <c r="G331" s="384"/>
      <c r="H331" s="463"/>
      <c r="I331" s="384"/>
      <c r="J331" s="384"/>
      <c r="K331" s="384"/>
      <c r="L331" s="384"/>
      <c r="M331" s="463"/>
      <c r="N331" s="384"/>
      <c r="O331" s="384"/>
      <c r="P331" s="384"/>
      <c r="Q331" s="384"/>
      <c r="R331" s="463"/>
      <c r="S331" s="384"/>
      <c r="T331" s="384"/>
      <c r="U331" s="384"/>
      <c r="V331" s="384"/>
      <c r="W331" s="463"/>
      <c r="X331" s="384"/>
      <c r="Y331" s="384"/>
      <c r="Z331" s="384"/>
      <c r="AA331" s="384"/>
      <c r="AB331" s="463"/>
      <c r="AC331" s="384"/>
      <c r="AD331" s="384"/>
      <c r="AE331" s="384"/>
      <c r="AF331" s="384"/>
      <c r="AG331" s="463"/>
      <c r="AH331" s="384"/>
      <c r="AI331" s="384"/>
      <c r="AJ331" s="384"/>
      <c r="AK331" s="384"/>
      <c r="AL331" s="463"/>
      <c r="AM331" s="384"/>
      <c r="AN331" s="384"/>
      <c r="AO331" s="384"/>
      <c r="AP331" s="384"/>
      <c r="AQ331" s="463"/>
      <c r="AR331" s="384"/>
      <c r="AS331" s="384"/>
      <c r="AT331" s="384"/>
      <c r="AU331" s="384"/>
      <c r="AV331" s="463"/>
      <c r="AW331" s="384"/>
      <c r="AX331" s="384"/>
      <c r="AY331" s="384"/>
      <c r="AZ331" s="384"/>
      <c r="BA331" s="463"/>
      <c r="BB331" s="384"/>
      <c r="BC331" s="384"/>
      <c r="BD331" s="384"/>
      <c r="BE331" s="384"/>
      <c r="BF331" s="463"/>
      <c r="BG331" s="384"/>
      <c r="BH331" s="384"/>
      <c r="BI331" s="384"/>
      <c r="BJ331" s="384"/>
      <c r="BK331" s="463"/>
      <c r="BL331" s="384"/>
      <c r="BM331" s="384"/>
      <c r="BN331" s="384"/>
      <c r="BO331" s="384"/>
    </row>
    <row r="332" spans="3:67">
      <c r="C332" s="504"/>
      <c r="D332" s="505"/>
      <c r="E332" s="505"/>
      <c r="F332" s="505"/>
      <c r="G332" s="505"/>
      <c r="H332" s="504"/>
      <c r="I332" s="505"/>
      <c r="J332" s="505"/>
      <c r="K332" s="505"/>
      <c r="L332" s="505"/>
      <c r="M332" s="504"/>
      <c r="N332" s="505"/>
      <c r="O332" s="505"/>
      <c r="P332" s="505"/>
      <c r="Q332" s="505"/>
      <c r="R332" s="504"/>
      <c r="S332" s="505"/>
      <c r="T332" s="505"/>
      <c r="U332" s="505"/>
      <c r="V332" s="505"/>
      <c r="W332" s="504"/>
      <c r="X332" s="505"/>
      <c r="Y332" s="505"/>
      <c r="Z332" s="505"/>
      <c r="AA332" s="505"/>
      <c r="AB332" s="504"/>
      <c r="AC332" s="505"/>
      <c r="AD332" s="505"/>
      <c r="AE332" s="505"/>
      <c r="AF332" s="505"/>
      <c r="AG332" s="504"/>
      <c r="AH332" s="505"/>
      <c r="AI332" s="505"/>
      <c r="AJ332" s="505"/>
      <c r="AK332" s="505"/>
      <c r="AL332" s="504"/>
      <c r="AM332" s="505"/>
      <c r="AN332" s="505"/>
      <c r="AO332" s="505"/>
      <c r="AP332" s="505"/>
      <c r="AQ332" s="504"/>
      <c r="AR332" s="505"/>
      <c r="AS332" s="505"/>
      <c r="AT332" s="505"/>
      <c r="AU332" s="505"/>
      <c r="AV332" s="504"/>
      <c r="AW332" s="505"/>
      <c r="AX332" s="505"/>
      <c r="AY332" s="505"/>
      <c r="AZ332" s="505"/>
      <c r="BA332" s="504"/>
      <c r="BB332" s="505"/>
      <c r="BC332" s="505"/>
      <c r="BD332" s="505"/>
      <c r="BE332" s="505"/>
      <c r="BF332" s="504"/>
      <c r="BG332" s="505"/>
      <c r="BH332" s="505"/>
      <c r="BI332" s="505"/>
      <c r="BJ332" s="505"/>
      <c r="BK332" s="504"/>
      <c r="BL332" s="505"/>
      <c r="BM332" s="505"/>
      <c r="BN332" s="505"/>
      <c r="BO332" s="505"/>
    </row>
    <row r="333" spans="3:67">
      <c r="C333" s="463"/>
      <c r="D333" s="384"/>
      <c r="E333" s="384"/>
      <c r="F333" s="384"/>
      <c r="G333" s="384"/>
      <c r="H333" s="463"/>
      <c r="I333" s="384"/>
      <c r="J333" s="384"/>
      <c r="K333" s="384"/>
      <c r="L333" s="384"/>
      <c r="M333" s="463"/>
      <c r="N333" s="384"/>
      <c r="O333" s="384"/>
      <c r="P333" s="384"/>
      <c r="Q333" s="384"/>
      <c r="R333" s="463"/>
      <c r="S333" s="384"/>
      <c r="T333" s="384"/>
      <c r="U333" s="384"/>
      <c r="V333" s="384"/>
      <c r="W333" s="463"/>
      <c r="X333" s="384"/>
      <c r="Y333" s="384"/>
      <c r="Z333" s="384"/>
      <c r="AA333" s="384"/>
      <c r="AB333" s="463"/>
      <c r="AC333" s="384"/>
      <c r="AD333" s="384"/>
      <c r="AE333" s="384"/>
      <c r="AF333" s="384"/>
      <c r="AG333" s="463"/>
      <c r="AH333" s="384"/>
      <c r="AI333" s="384"/>
      <c r="AJ333" s="384"/>
      <c r="AK333" s="384"/>
      <c r="AL333" s="463"/>
      <c r="AM333" s="384"/>
      <c r="AN333" s="384"/>
      <c r="AO333" s="384"/>
      <c r="AP333" s="384"/>
      <c r="AQ333" s="463"/>
      <c r="AR333" s="384"/>
      <c r="AS333" s="384"/>
      <c r="AT333" s="384"/>
      <c r="AU333" s="384"/>
      <c r="AV333" s="463"/>
      <c r="AW333" s="384"/>
      <c r="AX333" s="384"/>
      <c r="AY333" s="384"/>
      <c r="AZ333" s="384"/>
      <c r="BA333" s="463"/>
      <c r="BB333" s="384"/>
      <c r="BC333" s="384"/>
      <c r="BD333" s="384"/>
      <c r="BE333" s="384"/>
      <c r="BF333" s="463"/>
      <c r="BG333" s="384"/>
      <c r="BH333" s="384"/>
      <c r="BI333" s="384"/>
      <c r="BJ333" s="384"/>
      <c r="BK333" s="463"/>
      <c r="BL333" s="384"/>
      <c r="BM333" s="384"/>
      <c r="BN333" s="384"/>
      <c r="BO333" s="384"/>
    </row>
    <row r="334" spans="3:67">
      <c r="C334" s="511"/>
      <c r="D334" s="512"/>
      <c r="E334" s="512"/>
      <c r="F334" s="512"/>
      <c r="G334" s="512"/>
      <c r="H334" s="511"/>
      <c r="I334" s="512"/>
      <c r="J334" s="512"/>
      <c r="K334" s="512"/>
      <c r="L334" s="512"/>
      <c r="M334" s="511"/>
      <c r="N334" s="512"/>
      <c r="O334" s="512"/>
      <c r="P334" s="512"/>
      <c r="Q334" s="512"/>
      <c r="R334" s="511"/>
      <c r="S334" s="512"/>
      <c r="T334" s="512"/>
      <c r="U334" s="512"/>
      <c r="V334" s="512"/>
      <c r="W334" s="511"/>
      <c r="X334" s="512"/>
      <c r="Y334" s="512"/>
      <c r="Z334" s="512"/>
      <c r="AA334" s="512"/>
      <c r="AB334" s="511"/>
      <c r="AC334" s="512"/>
      <c r="AD334" s="512"/>
      <c r="AE334" s="512"/>
      <c r="AF334" s="512"/>
      <c r="AG334" s="511"/>
      <c r="AH334" s="512"/>
      <c r="AI334" s="512"/>
      <c r="AJ334" s="512"/>
      <c r="AK334" s="512"/>
      <c r="AL334" s="511"/>
      <c r="AM334" s="512"/>
      <c r="AN334" s="512"/>
      <c r="AO334" s="512"/>
      <c r="AP334" s="512"/>
      <c r="AQ334" s="511"/>
      <c r="AR334" s="512"/>
      <c r="AS334" s="512"/>
      <c r="AT334" s="512"/>
      <c r="AU334" s="512"/>
      <c r="AV334" s="511"/>
      <c r="AW334" s="512"/>
      <c r="AX334" s="512"/>
      <c r="AY334" s="512"/>
      <c r="AZ334" s="512"/>
      <c r="BA334" s="511"/>
      <c r="BB334" s="512"/>
      <c r="BC334" s="512"/>
      <c r="BD334" s="512"/>
      <c r="BE334" s="512"/>
      <c r="BF334" s="511"/>
      <c r="BG334" s="512"/>
      <c r="BH334" s="512"/>
      <c r="BI334" s="512"/>
      <c r="BJ334" s="512"/>
      <c r="BK334" s="511"/>
      <c r="BL334" s="512"/>
      <c r="BM334" s="512"/>
      <c r="BN334" s="512"/>
      <c r="BO334" s="512"/>
    </row>
    <row r="337" spans="3:67">
      <c r="C337" s="504"/>
      <c r="D337" s="505"/>
      <c r="E337" s="505"/>
      <c r="F337" s="505"/>
      <c r="G337" s="505"/>
      <c r="H337" s="504"/>
      <c r="I337" s="505"/>
      <c r="J337" s="505"/>
      <c r="K337" s="505"/>
      <c r="L337" s="505"/>
      <c r="M337" s="504"/>
      <c r="N337" s="505"/>
      <c r="O337" s="505"/>
      <c r="P337" s="505"/>
      <c r="Q337" s="505"/>
      <c r="R337" s="504"/>
      <c r="S337" s="505"/>
      <c r="T337" s="505"/>
      <c r="U337" s="505"/>
      <c r="V337" s="505"/>
      <c r="W337" s="504"/>
      <c r="X337" s="505"/>
      <c r="Y337" s="505"/>
      <c r="Z337" s="505"/>
      <c r="AA337" s="505"/>
      <c r="AB337" s="504"/>
      <c r="AC337" s="505"/>
      <c r="AD337" s="505"/>
      <c r="AE337" s="505"/>
      <c r="AF337" s="505"/>
      <c r="AG337" s="504"/>
      <c r="AH337" s="505"/>
      <c r="AI337" s="505"/>
      <c r="AJ337" s="505"/>
      <c r="AK337" s="505"/>
      <c r="AL337" s="504"/>
      <c r="AM337" s="505"/>
      <c r="AN337" s="505"/>
      <c r="AO337" s="505"/>
      <c r="AP337" s="505"/>
      <c r="AQ337" s="504"/>
      <c r="AR337" s="505"/>
      <c r="AS337" s="505"/>
      <c r="AT337" s="505"/>
      <c r="AU337" s="505"/>
      <c r="AV337" s="504"/>
      <c r="AW337" s="505"/>
      <c r="AX337" s="505"/>
      <c r="AY337" s="505"/>
      <c r="AZ337" s="505"/>
      <c r="BA337" s="504"/>
      <c r="BB337" s="505"/>
      <c r="BC337" s="505"/>
      <c r="BD337" s="505"/>
      <c r="BE337" s="505"/>
      <c r="BF337" s="504"/>
      <c r="BG337" s="505"/>
      <c r="BH337" s="505"/>
      <c r="BI337" s="505"/>
      <c r="BJ337" s="505"/>
      <c r="BK337" s="504"/>
      <c r="BL337" s="505"/>
      <c r="BM337" s="505"/>
      <c r="BN337" s="505"/>
      <c r="BO337" s="505"/>
    </row>
    <row r="338" spans="3:67">
      <c r="C338" s="463"/>
      <c r="D338" s="384"/>
      <c r="E338" s="384"/>
      <c r="F338" s="384"/>
      <c r="G338" s="384"/>
      <c r="H338" s="463"/>
      <c r="I338" s="384"/>
      <c r="J338" s="384"/>
      <c r="K338" s="384"/>
      <c r="L338" s="384"/>
      <c r="M338" s="463"/>
      <c r="N338" s="384"/>
      <c r="O338" s="384"/>
      <c r="P338" s="384"/>
      <c r="Q338" s="384"/>
      <c r="R338" s="463"/>
      <c r="S338" s="384"/>
      <c r="T338" s="384"/>
      <c r="U338" s="384"/>
      <c r="V338" s="384"/>
      <c r="W338" s="463"/>
      <c r="X338" s="384"/>
      <c r="Y338" s="384"/>
      <c r="Z338" s="384"/>
      <c r="AA338" s="384"/>
      <c r="AB338" s="463"/>
      <c r="AC338" s="384"/>
      <c r="AD338" s="384"/>
      <c r="AE338" s="384"/>
      <c r="AF338" s="384"/>
      <c r="AG338" s="463"/>
      <c r="AH338" s="384"/>
      <c r="AI338" s="384"/>
      <c r="AJ338" s="384"/>
      <c r="AK338" s="384"/>
      <c r="AL338" s="463"/>
      <c r="AM338" s="384"/>
      <c r="AN338" s="384"/>
      <c r="AO338" s="384"/>
      <c r="AP338" s="384"/>
      <c r="AQ338" s="463"/>
      <c r="AR338" s="384"/>
      <c r="AS338" s="384"/>
      <c r="AT338" s="384"/>
      <c r="AU338" s="384"/>
      <c r="AV338" s="463"/>
      <c r="AW338" s="384"/>
      <c r="AX338" s="384"/>
      <c r="AY338" s="384"/>
      <c r="AZ338" s="384"/>
      <c r="BA338" s="463"/>
      <c r="BB338" s="384"/>
      <c r="BC338" s="384"/>
      <c r="BD338" s="384"/>
      <c r="BE338" s="384"/>
      <c r="BF338" s="463"/>
      <c r="BG338" s="384"/>
      <c r="BH338" s="384"/>
      <c r="BI338" s="384"/>
      <c r="BJ338" s="384"/>
      <c r="BK338" s="463"/>
      <c r="BL338" s="384"/>
      <c r="BM338" s="384"/>
      <c r="BN338" s="384"/>
      <c r="BO338" s="384"/>
    </row>
    <row r="339" spans="3:67">
      <c r="C339" s="511"/>
      <c r="D339" s="512"/>
      <c r="E339" s="512"/>
      <c r="F339" s="512"/>
      <c r="G339" s="512"/>
      <c r="H339" s="511"/>
      <c r="I339" s="512"/>
      <c r="J339" s="512"/>
      <c r="K339" s="512"/>
      <c r="L339" s="512"/>
      <c r="M339" s="511"/>
      <c r="N339" s="512"/>
      <c r="O339" s="512"/>
      <c r="P339" s="512"/>
      <c r="Q339" s="512"/>
      <c r="R339" s="511"/>
      <c r="S339" s="512"/>
      <c r="T339" s="512"/>
      <c r="U339" s="512"/>
      <c r="V339" s="512"/>
      <c r="W339" s="511"/>
      <c r="X339" s="512"/>
      <c r="Y339" s="512"/>
      <c r="Z339" s="512"/>
      <c r="AA339" s="512"/>
      <c r="AB339" s="511"/>
      <c r="AC339" s="512"/>
      <c r="AD339" s="512"/>
      <c r="AE339" s="512"/>
      <c r="AF339" s="512"/>
      <c r="AG339" s="511"/>
      <c r="AH339" s="512"/>
      <c r="AI339" s="512"/>
      <c r="AJ339" s="512"/>
      <c r="AK339" s="512"/>
      <c r="AL339" s="511"/>
      <c r="AM339" s="512"/>
      <c r="AN339" s="512"/>
      <c r="AO339" s="512"/>
      <c r="AP339" s="512"/>
      <c r="AQ339" s="511"/>
      <c r="AR339" s="512"/>
      <c r="AS339" s="512"/>
      <c r="AT339" s="512"/>
      <c r="AU339" s="512"/>
      <c r="AV339" s="511"/>
      <c r="AW339" s="512"/>
      <c r="AX339" s="512"/>
      <c r="AY339" s="512"/>
      <c r="AZ339" s="512"/>
      <c r="BA339" s="511"/>
      <c r="BB339" s="512"/>
      <c r="BC339" s="512"/>
      <c r="BD339" s="512"/>
      <c r="BE339" s="512"/>
      <c r="BF339" s="511"/>
      <c r="BG339" s="512"/>
      <c r="BH339" s="512"/>
      <c r="BI339" s="512"/>
      <c r="BJ339" s="512"/>
      <c r="BK339" s="511"/>
      <c r="BL339" s="512"/>
      <c r="BM339" s="512"/>
      <c r="BN339" s="512"/>
      <c r="BO339" s="512"/>
    </row>
    <row r="341" spans="3:67">
      <c r="C341" s="515"/>
      <c r="D341" s="516"/>
      <c r="E341" s="516"/>
      <c r="F341" s="516"/>
      <c r="G341" s="516"/>
      <c r="H341" s="515"/>
      <c r="I341" s="516"/>
      <c r="J341" s="516"/>
      <c r="K341" s="516"/>
      <c r="L341" s="516"/>
      <c r="M341" s="515"/>
      <c r="N341" s="516"/>
      <c r="O341" s="516"/>
      <c r="P341" s="516"/>
      <c r="Q341" s="516"/>
      <c r="R341" s="515"/>
      <c r="S341" s="516"/>
      <c r="T341" s="516"/>
      <c r="U341" s="516"/>
      <c r="V341" s="516"/>
      <c r="W341" s="515"/>
      <c r="X341" s="516"/>
      <c r="Y341" s="516"/>
      <c r="Z341" s="516"/>
      <c r="AA341" s="516"/>
      <c r="AB341" s="515"/>
      <c r="AC341" s="516"/>
      <c r="AD341" s="516"/>
      <c r="AE341" s="516"/>
      <c r="AF341" s="516"/>
      <c r="AG341" s="515"/>
      <c r="AH341" s="516"/>
      <c r="AI341" s="516"/>
      <c r="AJ341" s="516"/>
      <c r="AK341" s="516"/>
      <c r="AL341" s="515"/>
      <c r="AM341" s="516"/>
      <c r="AN341" s="516"/>
      <c r="AO341" s="516"/>
      <c r="AP341" s="516"/>
      <c r="AQ341" s="515"/>
      <c r="AR341" s="516"/>
      <c r="AS341" s="516"/>
      <c r="AT341" s="516"/>
      <c r="AU341" s="516"/>
      <c r="AV341" s="515"/>
      <c r="AW341" s="516"/>
      <c r="AX341" s="516"/>
      <c r="AY341" s="516"/>
      <c r="AZ341" s="516"/>
      <c r="BA341" s="515"/>
      <c r="BB341" s="516"/>
      <c r="BC341" s="516"/>
      <c r="BD341" s="516"/>
      <c r="BE341" s="516"/>
      <c r="BF341" s="515"/>
      <c r="BG341" s="516"/>
      <c r="BH341" s="516"/>
      <c r="BI341" s="516"/>
      <c r="BJ341" s="516"/>
      <c r="BK341" s="515"/>
      <c r="BL341" s="516"/>
      <c r="BM341" s="516"/>
      <c r="BN341" s="516"/>
      <c r="BO341" s="516"/>
    </row>
    <row r="342" spans="3:67">
      <c r="C342" s="509"/>
      <c r="D342" s="510"/>
      <c r="E342" s="510"/>
      <c r="F342" s="510"/>
      <c r="G342" s="510"/>
      <c r="H342" s="509"/>
      <c r="I342" s="510"/>
      <c r="J342" s="510"/>
      <c r="K342" s="510"/>
      <c r="L342" s="510"/>
      <c r="M342" s="509"/>
      <c r="N342" s="510"/>
      <c r="O342" s="510"/>
      <c r="P342" s="510"/>
      <c r="Q342" s="510"/>
      <c r="R342" s="509"/>
      <c r="S342" s="510"/>
      <c r="T342" s="510"/>
      <c r="U342" s="510"/>
      <c r="V342" s="510"/>
      <c r="W342" s="509"/>
      <c r="X342" s="510"/>
      <c r="Y342" s="510"/>
      <c r="Z342" s="510"/>
      <c r="AA342" s="510"/>
      <c r="AB342" s="509"/>
      <c r="AC342" s="510"/>
      <c r="AD342" s="510"/>
      <c r="AE342" s="510"/>
      <c r="AF342" s="510"/>
      <c r="AG342" s="509"/>
      <c r="AH342" s="510"/>
      <c r="AI342" s="510"/>
      <c r="AJ342" s="510"/>
      <c r="AK342" s="510"/>
      <c r="AL342" s="509"/>
      <c r="AM342" s="510"/>
      <c r="AN342" s="510"/>
      <c r="AO342" s="510"/>
      <c r="AP342" s="510"/>
      <c r="AQ342" s="509"/>
      <c r="AR342" s="510"/>
      <c r="AS342" s="510"/>
      <c r="AT342" s="510"/>
      <c r="AU342" s="510"/>
      <c r="AV342" s="509"/>
      <c r="AW342" s="510"/>
      <c r="AX342" s="510"/>
      <c r="AY342" s="510"/>
      <c r="AZ342" s="510"/>
      <c r="BA342" s="509"/>
      <c r="BB342" s="510"/>
      <c r="BC342" s="510"/>
      <c r="BD342" s="510"/>
      <c r="BE342" s="510"/>
      <c r="BF342" s="509"/>
      <c r="BG342" s="510"/>
      <c r="BH342" s="510"/>
      <c r="BI342" s="510"/>
      <c r="BJ342" s="510"/>
      <c r="BK342" s="509"/>
      <c r="BL342" s="510"/>
      <c r="BM342" s="510"/>
      <c r="BN342" s="510"/>
      <c r="BO342" s="510"/>
    </row>
    <row r="343" spans="3:67">
      <c r="C343" s="463"/>
      <c r="D343" s="384"/>
      <c r="E343" s="384"/>
      <c r="F343" s="384"/>
      <c r="G343" s="384"/>
      <c r="H343" s="463"/>
      <c r="I343" s="384"/>
      <c r="J343" s="384"/>
      <c r="K343" s="384"/>
      <c r="L343" s="384"/>
      <c r="M343" s="463"/>
      <c r="N343" s="384"/>
      <c r="O343" s="384"/>
      <c r="P343" s="384"/>
      <c r="Q343" s="384"/>
      <c r="R343" s="463"/>
      <c r="S343" s="384"/>
      <c r="T343" s="384"/>
      <c r="U343" s="384"/>
      <c r="V343" s="384"/>
      <c r="W343" s="463"/>
      <c r="X343" s="384"/>
      <c r="Y343" s="384"/>
      <c r="Z343" s="384"/>
      <c r="AA343" s="384"/>
      <c r="AB343" s="463"/>
      <c r="AC343" s="384"/>
      <c r="AD343" s="384"/>
      <c r="AE343" s="384"/>
      <c r="AF343" s="384"/>
      <c r="AG343" s="463"/>
      <c r="AH343" s="384"/>
      <c r="AI343" s="384"/>
      <c r="AJ343" s="384"/>
      <c r="AK343" s="384"/>
      <c r="AL343" s="463"/>
      <c r="AM343" s="384"/>
      <c r="AN343" s="384"/>
      <c r="AO343" s="384"/>
      <c r="AP343" s="384"/>
      <c r="AQ343" s="463"/>
      <c r="AR343" s="384"/>
      <c r="AS343" s="384"/>
      <c r="AT343" s="384"/>
      <c r="AU343" s="384"/>
      <c r="AV343" s="463"/>
      <c r="AW343" s="384"/>
      <c r="AX343" s="384"/>
      <c r="AY343" s="384"/>
      <c r="AZ343" s="384"/>
      <c r="BA343" s="463"/>
      <c r="BB343" s="384"/>
      <c r="BC343" s="384"/>
      <c r="BD343" s="384"/>
      <c r="BE343" s="384"/>
      <c r="BF343" s="463"/>
      <c r="BG343" s="384"/>
      <c r="BH343" s="384"/>
      <c r="BI343" s="384"/>
      <c r="BJ343" s="384"/>
      <c r="BK343" s="463"/>
      <c r="BL343" s="384"/>
      <c r="BM343" s="384"/>
      <c r="BN343" s="384"/>
      <c r="BO343" s="384"/>
    </row>
    <row r="344" spans="3:67">
      <c r="C344" s="511"/>
      <c r="D344" s="512"/>
      <c r="E344" s="512"/>
      <c r="F344" s="512"/>
      <c r="G344" s="512"/>
      <c r="H344" s="511"/>
      <c r="I344" s="512"/>
      <c r="J344" s="512"/>
      <c r="K344" s="512"/>
      <c r="L344" s="512"/>
      <c r="M344" s="511"/>
      <c r="N344" s="512"/>
      <c r="O344" s="512"/>
      <c r="P344" s="512"/>
      <c r="Q344" s="512"/>
      <c r="R344" s="511"/>
      <c r="S344" s="512"/>
      <c r="T344" s="512"/>
      <c r="U344" s="512"/>
      <c r="V344" s="512"/>
      <c r="W344" s="511"/>
      <c r="X344" s="512"/>
      <c r="Y344" s="512"/>
      <c r="Z344" s="512"/>
      <c r="AA344" s="512"/>
      <c r="AB344" s="511"/>
      <c r="AC344" s="512"/>
      <c r="AD344" s="512"/>
      <c r="AE344" s="512"/>
      <c r="AF344" s="512"/>
      <c r="AG344" s="511"/>
      <c r="AH344" s="512"/>
      <c r="AI344" s="512"/>
      <c r="AJ344" s="512"/>
      <c r="AK344" s="512"/>
      <c r="AL344" s="511"/>
      <c r="AM344" s="512"/>
      <c r="AN344" s="512"/>
      <c r="AO344" s="512"/>
      <c r="AP344" s="512"/>
      <c r="AQ344" s="511"/>
      <c r="AR344" s="512"/>
      <c r="AS344" s="512"/>
      <c r="AT344" s="512"/>
      <c r="AU344" s="512"/>
      <c r="AV344" s="511"/>
      <c r="AW344" s="512"/>
      <c r="AX344" s="512"/>
      <c r="AY344" s="512"/>
      <c r="AZ344" s="512"/>
      <c r="BA344" s="511"/>
      <c r="BB344" s="512"/>
      <c r="BC344" s="512"/>
      <c r="BD344" s="512"/>
      <c r="BE344" s="512"/>
      <c r="BF344" s="511"/>
      <c r="BG344" s="512"/>
      <c r="BH344" s="512"/>
      <c r="BI344" s="512"/>
      <c r="BJ344" s="512"/>
      <c r="BK344" s="511"/>
      <c r="BL344" s="512"/>
      <c r="BM344" s="512"/>
      <c r="BN344" s="512"/>
      <c r="BO344" s="512"/>
    </row>
    <row r="346" spans="3:67">
      <c r="C346" s="517"/>
      <c r="D346" s="518"/>
      <c r="E346" s="518"/>
      <c r="F346" s="518"/>
      <c r="G346" s="518"/>
      <c r="H346" s="517"/>
      <c r="I346" s="518"/>
      <c r="J346" s="518"/>
      <c r="K346" s="518"/>
      <c r="L346" s="518"/>
      <c r="M346" s="517"/>
      <c r="N346" s="518"/>
      <c r="O346" s="518"/>
      <c r="P346" s="518"/>
      <c r="Q346" s="518"/>
      <c r="R346" s="517"/>
      <c r="S346" s="518"/>
      <c r="T346" s="518"/>
      <c r="U346" s="518"/>
      <c r="V346" s="518"/>
      <c r="W346" s="517"/>
      <c r="X346" s="518"/>
      <c r="Y346" s="518"/>
      <c r="Z346" s="518"/>
      <c r="AA346" s="518"/>
      <c r="AB346" s="517"/>
      <c r="AC346" s="518"/>
      <c r="AD346" s="518"/>
      <c r="AE346" s="518"/>
      <c r="AF346" s="518"/>
      <c r="AG346" s="517"/>
      <c r="AH346" s="518"/>
      <c r="AI346" s="518"/>
      <c r="AJ346" s="518"/>
      <c r="AK346" s="518"/>
      <c r="AL346" s="517"/>
      <c r="AM346" s="518"/>
      <c r="AN346" s="518"/>
      <c r="AO346" s="518"/>
      <c r="AP346" s="518"/>
      <c r="AQ346" s="517"/>
      <c r="AR346" s="518"/>
      <c r="AS346" s="518"/>
      <c r="AT346" s="518"/>
      <c r="AU346" s="518"/>
      <c r="AV346" s="517"/>
      <c r="AW346" s="518"/>
      <c r="AX346" s="518"/>
      <c r="AY346" s="518"/>
      <c r="AZ346" s="518"/>
      <c r="BA346" s="517"/>
      <c r="BB346" s="518"/>
      <c r="BC346" s="518"/>
      <c r="BD346" s="518"/>
      <c r="BE346" s="518"/>
      <c r="BF346" s="517"/>
      <c r="BG346" s="518"/>
      <c r="BH346" s="518"/>
      <c r="BI346" s="518"/>
      <c r="BJ346" s="518"/>
      <c r="BK346" s="517"/>
      <c r="BL346" s="518"/>
      <c r="BM346" s="518"/>
      <c r="BN346" s="518"/>
      <c r="BO346" s="518"/>
    </row>
    <row r="347" spans="3:67">
      <c r="C347" s="519"/>
      <c r="D347" s="520"/>
      <c r="E347" s="520"/>
      <c r="F347" s="520"/>
      <c r="G347" s="520"/>
      <c r="H347" s="519"/>
      <c r="I347" s="520"/>
      <c r="J347" s="520"/>
      <c r="K347" s="520"/>
      <c r="L347" s="520"/>
      <c r="M347" s="519"/>
      <c r="N347" s="520"/>
      <c r="O347" s="520"/>
      <c r="P347" s="520"/>
      <c r="Q347" s="520"/>
      <c r="R347" s="519"/>
      <c r="S347" s="520"/>
      <c r="T347" s="520"/>
      <c r="U347" s="520"/>
      <c r="V347" s="520"/>
      <c r="W347" s="519"/>
      <c r="X347" s="520"/>
      <c r="Y347" s="520"/>
      <c r="Z347" s="520"/>
      <c r="AA347" s="520"/>
      <c r="AB347" s="519"/>
      <c r="AC347" s="520"/>
      <c r="AD347" s="520"/>
      <c r="AE347" s="520"/>
      <c r="AF347" s="520"/>
      <c r="AG347" s="519"/>
      <c r="AH347" s="520"/>
      <c r="AI347" s="520"/>
      <c r="AJ347" s="520"/>
      <c r="AK347" s="520"/>
      <c r="AL347" s="519"/>
      <c r="AM347" s="520"/>
      <c r="AN347" s="520"/>
      <c r="AO347" s="520"/>
      <c r="AP347" s="520"/>
      <c r="AQ347" s="519"/>
      <c r="AR347" s="520"/>
      <c r="AS347" s="520"/>
      <c r="AT347" s="520"/>
      <c r="AU347" s="520"/>
      <c r="AV347" s="519"/>
      <c r="AW347" s="520"/>
      <c r="AX347" s="520"/>
      <c r="AY347" s="520"/>
      <c r="AZ347" s="520"/>
      <c r="BA347" s="519"/>
      <c r="BB347" s="520"/>
      <c r="BC347" s="520"/>
      <c r="BD347" s="520"/>
      <c r="BE347" s="520"/>
      <c r="BF347" s="519"/>
      <c r="BG347" s="520"/>
      <c r="BH347" s="520"/>
      <c r="BI347" s="520"/>
      <c r="BJ347" s="520"/>
      <c r="BK347" s="519"/>
      <c r="BL347" s="520"/>
      <c r="BM347" s="520"/>
      <c r="BN347" s="520"/>
      <c r="BO347" s="520"/>
    </row>
    <row r="348" spans="3:67">
      <c r="C348" s="463"/>
      <c r="D348" s="384"/>
      <c r="E348" s="384"/>
      <c r="F348" s="384"/>
      <c r="G348" s="384"/>
      <c r="H348" s="463"/>
      <c r="I348" s="384"/>
      <c r="J348" s="384"/>
      <c r="K348" s="384"/>
      <c r="L348" s="384"/>
      <c r="M348" s="463"/>
      <c r="N348" s="384"/>
      <c r="O348" s="384"/>
      <c r="P348" s="384"/>
      <c r="Q348" s="384"/>
      <c r="R348" s="463"/>
      <c r="S348" s="384"/>
      <c r="T348" s="384"/>
      <c r="U348" s="384"/>
      <c r="V348" s="384"/>
      <c r="W348" s="463"/>
      <c r="X348" s="384"/>
      <c r="Y348" s="384"/>
      <c r="Z348" s="384"/>
      <c r="AA348" s="384"/>
      <c r="AB348" s="463"/>
      <c r="AC348" s="384"/>
      <c r="AD348" s="384"/>
      <c r="AE348" s="384"/>
      <c r="AF348" s="384"/>
      <c r="AG348" s="463"/>
      <c r="AH348" s="384"/>
      <c r="AI348" s="384"/>
      <c r="AJ348" s="384"/>
      <c r="AK348" s="384"/>
      <c r="AL348" s="463"/>
      <c r="AM348" s="384"/>
      <c r="AN348" s="384"/>
      <c r="AO348" s="384"/>
      <c r="AP348" s="384"/>
      <c r="AQ348" s="463"/>
      <c r="AR348" s="384"/>
      <c r="AS348" s="384"/>
      <c r="AT348" s="384"/>
      <c r="AU348" s="384"/>
      <c r="AV348" s="463"/>
      <c r="AW348" s="384"/>
      <c r="AX348" s="384"/>
      <c r="AY348" s="384"/>
      <c r="AZ348" s="384"/>
      <c r="BA348" s="463"/>
      <c r="BB348" s="384"/>
      <c r="BC348" s="384"/>
      <c r="BD348" s="384"/>
      <c r="BE348" s="384"/>
      <c r="BF348" s="463"/>
      <c r="BG348" s="384"/>
      <c r="BH348" s="384"/>
      <c r="BI348" s="384"/>
      <c r="BJ348" s="384"/>
      <c r="BK348" s="463"/>
      <c r="BL348" s="384"/>
      <c r="BM348" s="384"/>
      <c r="BN348" s="384"/>
      <c r="BO348" s="384"/>
    </row>
    <row r="349" spans="3:67">
      <c r="C349" s="463"/>
      <c r="D349" s="384"/>
      <c r="E349" s="384"/>
      <c r="F349" s="384"/>
      <c r="G349" s="384"/>
      <c r="H349" s="463"/>
      <c r="I349" s="384"/>
      <c r="J349" s="384"/>
      <c r="K349" s="384"/>
      <c r="L349" s="384"/>
      <c r="M349" s="463"/>
      <c r="N349" s="384"/>
      <c r="O349" s="384"/>
      <c r="P349" s="384"/>
      <c r="Q349" s="384"/>
      <c r="R349" s="463"/>
      <c r="S349" s="384"/>
      <c r="T349" s="384"/>
      <c r="U349" s="384"/>
      <c r="V349" s="384"/>
      <c r="W349" s="463"/>
      <c r="X349" s="384"/>
      <c r="Y349" s="384"/>
      <c r="Z349" s="384"/>
      <c r="AA349" s="384"/>
      <c r="AB349" s="463"/>
      <c r="AC349" s="384"/>
      <c r="AD349" s="384"/>
      <c r="AE349" s="384"/>
      <c r="AF349" s="384"/>
      <c r="AG349" s="463"/>
      <c r="AH349" s="384"/>
      <c r="AI349" s="384"/>
      <c r="AJ349" s="384"/>
      <c r="AK349" s="384"/>
      <c r="AL349" s="463"/>
      <c r="AM349" s="384"/>
      <c r="AN349" s="384"/>
      <c r="AO349" s="384"/>
      <c r="AP349" s="384"/>
      <c r="AQ349" s="463"/>
      <c r="AR349" s="384"/>
      <c r="AS349" s="384"/>
      <c r="AT349" s="384"/>
      <c r="AU349" s="384"/>
      <c r="AV349" s="463"/>
      <c r="AW349" s="384"/>
      <c r="AX349" s="384"/>
      <c r="AY349" s="384"/>
      <c r="AZ349" s="384"/>
      <c r="BA349" s="463"/>
      <c r="BB349" s="384"/>
      <c r="BC349" s="384"/>
      <c r="BD349" s="384"/>
      <c r="BE349" s="384"/>
      <c r="BF349" s="463"/>
      <c r="BG349" s="384"/>
      <c r="BH349" s="384"/>
      <c r="BI349" s="384"/>
      <c r="BJ349" s="384"/>
      <c r="BK349" s="463"/>
      <c r="BL349" s="384"/>
      <c r="BM349" s="384"/>
      <c r="BN349" s="384"/>
      <c r="BO349" s="384"/>
    </row>
    <row r="350" spans="3:67">
      <c r="C350" s="463"/>
      <c r="D350" s="384"/>
      <c r="E350" s="384"/>
      <c r="F350" s="384"/>
      <c r="G350" s="384"/>
      <c r="H350" s="463"/>
      <c r="I350" s="384"/>
      <c r="J350" s="384"/>
      <c r="K350" s="384"/>
      <c r="L350" s="384"/>
      <c r="M350" s="463"/>
      <c r="N350" s="384"/>
      <c r="O350" s="384"/>
      <c r="P350" s="384"/>
      <c r="Q350" s="384"/>
      <c r="R350" s="463"/>
      <c r="S350" s="384"/>
      <c r="T350" s="384"/>
      <c r="U350" s="384"/>
      <c r="V350" s="384"/>
      <c r="W350" s="463"/>
      <c r="X350" s="384"/>
      <c r="Y350" s="384"/>
      <c r="Z350" s="384"/>
      <c r="AA350" s="384"/>
      <c r="AB350" s="463"/>
      <c r="AC350" s="384"/>
      <c r="AD350" s="384"/>
      <c r="AE350" s="384"/>
      <c r="AF350" s="384"/>
      <c r="AG350" s="463"/>
      <c r="AH350" s="384"/>
      <c r="AI350" s="384"/>
      <c r="AJ350" s="384"/>
      <c r="AK350" s="384"/>
      <c r="AL350" s="463"/>
      <c r="AM350" s="384"/>
      <c r="AN350" s="384"/>
      <c r="AO350" s="384"/>
      <c r="AP350" s="384"/>
      <c r="AQ350" s="463"/>
      <c r="AR350" s="384"/>
      <c r="AS350" s="384"/>
      <c r="AT350" s="384"/>
      <c r="AU350" s="384"/>
      <c r="AV350" s="463"/>
      <c r="AW350" s="384"/>
      <c r="AX350" s="384"/>
      <c r="AY350" s="384"/>
      <c r="AZ350" s="384"/>
      <c r="BA350" s="463"/>
      <c r="BB350" s="384"/>
      <c r="BC350" s="384"/>
      <c r="BD350" s="384"/>
      <c r="BE350" s="384"/>
      <c r="BF350" s="463"/>
      <c r="BG350" s="384"/>
      <c r="BH350" s="384"/>
      <c r="BI350" s="384"/>
      <c r="BJ350" s="384"/>
      <c r="BK350" s="463"/>
      <c r="BL350" s="384"/>
      <c r="BM350" s="384"/>
      <c r="BN350" s="384"/>
      <c r="BO350" s="384"/>
    </row>
    <row r="351" spans="3:67">
      <c r="C351" s="463"/>
      <c r="D351" s="384"/>
      <c r="E351" s="384"/>
      <c r="F351" s="384"/>
      <c r="G351" s="384"/>
      <c r="H351" s="463"/>
      <c r="I351" s="384"/>
      <c r="J351" s="384"/>
      <c r="K351" s="384"/>
      <c r="L351" s="384"/>
      <c r="M351" s="463"/>
      <c r="N351" s="384"/>
      <c r="O351" s="384"/>
      <c r="P351" s="384"/>
      <c r="Q351" s="384"/>
      <c r="R351" s="463"/>
      <c r="S351" s="384"/>
      <c r="T351" s="384"/>
      <c r="U351" s="384"/>
      <c r="V351" s="384"/>
      <c r="W351" s="463"/>
      <c r="X351" s="384"/>
      <c r="Y351" s="384"/>
      <c r="Z351" s="384"/>
      <c r="AA351" s="384"/>
      <c r="AB351" s="463"/>
      <c r="AC351" s="384"/>
      <c r="AD351" s="384"/>
      <c r="AE351" s="384"/>
      <c r="AF351" s="384"/>
      <c r="AG351" s="463"/>
      <c r="AH351" s="384"/>
      <c r="AI351" s="384"/>
      <c r="AJ351" s="384"/>
      <c r="AK351" s="384"/>
      <c r="AL351" s="463"/>
      <c r="AM351" s="384"/>
      <c r="AN351" s="384"/>
      <c r="AO351" s="384"/>
      <c r="AP351" s="384"/>
      <c r="AQ351" s="463"/>
      <c r="AR351" s="384"/>
      <c r="AS351" s="384"/>
      <c r="AT351" s="384"/>
      <c r="AU351" s="384"/>
      <c r="AV351" s="463"/>
      <c r="AW351" s="384"/>
      <c r="AX351" s="384"/>
      <c r="AY351" s="384"/>
      <c r="AZ351" s="384"/>
      <c r="BA351" s="463"/>
      <c r="BB351" s="384"/>
      <c r="BC351" s="384"/>
      <c r="BD351" s="384"/>
      <c r="BE351" s="384"/>
      <c r="BF351" s="463"/>
      <c r="BG351" s="384"/>
      <c r="BH351" s="384"/>
      <c r="BI351" s="384"/>
      <c r="BJ351" s="384"/>
      <c r="BK351" s="463"/>
      <c r="BL351" s="384"/>
      <c r="BM351" s="384"/>
      <c r="BN351" s="384"/>
      <c r="BO351" s="384"/>
    </row>
    <row r="352" spans="3:67">
      <c r="C352" s="521"/>
      <c r="D352" s="522"/>
      <c r="E352" s="522"/>
      <c r="F352" s="522"/>
      <c r="G352" s="522"/>
      <c r="H352" s="521"/>
      <c r="I352" s="522"/>
      <c r="J352" s="522"/>
      <c r="K352" s="522"/>
      <c r="L352" s="522"/>
      <c r="M352" s="521"/>
      <c r="N352" s="522"/>
      <c r="O352" s="522"/>
      <c r="P352" s="522"/>
      <c r="Q352" s="522"/>
      <c r="R352" s="521"/>
      <c r="S352" s="522"/>
      <c r="T352" s="522"/>
      <c r="U352" s="522"/>
      <c r="V352" s="522"/>
      <c r="W352" s="521"/>
      <c r="X352" s="522"/>
      <c r="Y352" s="522"/>
      <c r="Z352" s="522"/>
      <c r="AA352" s="522"/>
      <c r="AB352" s="521"/>
      <c r="AC352" s="522"/>
      <c r="AD352" s="522"/>
      <c r="AE352" s="522"/>
      <c r="AF352" s="522"/>
      <c r="AG352" s="521"/>
      <c r="AH352" s="522"/>
      <c r="AI352" s="522"/>
      <c r="AJ352" s="522"/>
      <c r="AK352" s="522"/>
      <c r="AL352" s="521"/>
      <c r="AM352" s="522"/>
      <c r="AN352" s="522"/>
      <c r="AO352" s="522"/>
      <c r="AP352" s="522"/>
      <c r="AQ352" s="521"/>
      <c r="AR352" s="522"/>
      <c r="AS352" s="522"/>
      <c r="AT352" s="522"/>
      <c r="AU352" s="522"/>
      <c r="AV352" s="521"/>
      <c r="AW352" s="522"/>
      <c r="AX352" s="522"/>
      <c r="AY352" s="522"/>
      <c r="AZ352" s="522"/>
      <c r="BA352" s="521"/>
      <c r="BB352" s="522"/>
      <c r="BC352" s="522"/>
      <c r="BD352" s="522"/>
      <c r="BE352" s="522"/>
      <c r="BF352" s="521"/>
      <c r="BG352" s="522"/>
      <c r="BH352" s="522"/>
      <c r="BI352" s="522"/>
      <c r="BJ352" s="522"/>
      <c r="BK352" s="521"/>
      <c r="BL352" s="522"/>
      <c r="BM352" s="522"/>
      <c r="BN352" s="522"/>
      <c r="BO352" s="522"/>
    </row>
    <row r="353" spans="3:67">
      <c r="C353" s="523"/>
      <c r="H353" s="523"/>
      <c r="M353" s="523"/>
      <c r="R353" s="523"/>
      <c r="W353" s="523"/>
      <c r="AB353" s="523"/>
      <c r="AG353" s="523"/>
      <c r="AL353" s="523"/>
      <c r="AQ353" s="523"/>
      <c r="AV353" s="523"/>
      <c r="BA353" s="523"/>
      <c r="BF353" s="523"/>
      <c r="BK353" s="523"/>
    </row>
    <row r="354" spans="3:67">
      <c r="C354" s="523"/>
      <c r="H354" s="523"/>
      <c r="M354" s="523"/>
      <c r="R354" s="523"/>
      <c r="W354" s="523"/>
      <c r="AB354" s="523"/>
      <c r="AG354" s="523"/>
      <c r="AL354" s="523"/>
      <c r="AQ354" s="523"/>
      <c r="AV354" s="523"/>
      <c r="BA354" s="523"/>
      <c r="BF354" s="523"/>
      <c r="BK354" s="523"/>
    </row>
    <row r="355" spans="3:67">
      <c r="C355" s="524"/>
      <c r="D355" s="384"/>
      <c r="E355" s="384"/>
      <c r="F355" s="384"/>
      <c r="G355" s="384"/>
      <c r="H355" s="524"/>
      <c r="I355" s="384"/>
      <c r="J355" s="384"/>
      <c r="K355" s="384"/>
      <c r="L355" s="384"/>
      <c r="M355" s="524"/>
      <c r="N355" s="384"/>
      <c r="O355" s="384"/>
      <c r="P355" s="384"/>
      <c r="Q355" s="384"/>
      <c r="R355" s="524"/>
      <c r="S355" s="384"/>
      <c r="T355" s="384"/>
      <c r="U355" s="384"/>
      <c r="V355" s="384"/>
      <c r="W355" s="524"/>
      <c r="X355" s="384"/>
      <c r="Y355" s="384"/>
      <c r="Z355" s="384"/>
      <c r="AA355" s="384"/>
      <c r="AB355" s="524"/>
      <c r="AC355" s="384"/>
      <c r="AD355" s="384"/>
      <c r="AE355" s="384"/>
      <c r="AF355" s="384"/>
      <c r="AG355" s="524"/>
      <c r="AH355" s="384"/>
      <c r="AI355" s="384"/>
      <c r="AJ355" s="384"/>
      <c r="AK355" s="384"/>
      <c r="AL355" s="524"/>
      <c r="AM355" s="384"/>
      <c r="AN355" s="384"/>
      <c r="AO355" s="384"/>
      <c r="AP355" s="384"/>
      <c r="AQ355" s="524"/>
      <c r="AR355" s="384"/>
      <c r="AS355" s="384"/>
      <c r="AT355" s="384"/>
      <c r="AU355" s="384"/>
      <c r="AV355" s="524"/>
      <c r="AW355" s="384"/>
      <c r="AX355" s="384"/>
      <c r="AY355" s="384"/>
      <c r="AZ355" s="384"/>
      <c r="BA355" s="524"/>
      <c r="BB355" s="384"/>
      <c r="BC355" s="384"/>
      <c r="BD355" s="384"/>
      <c r="BE355" s="384"/>
      <c r="BF355" s="524"/>
      <c r="BG355" s="384"/>
      <c r="BH355" s="384"/>
      <c r="BI355" s="384"/>
      <c r="BJ355" s="384"/>
      <c r="BK355" s="524"/>
      <c r="BL355" s="384"/>
      <c r="BM355" s="384"/>
      <c r="BN355" s="384"/>
      <c r="BO355" s="384"/>
    </row>
    <row r="357" spans="3:67">
      <c r="C357" s="525"/>
      <c r="D357" s="522"/>
      <c r="E357" s="522"/>
      <c r="F357" s="522"/>
      <c r="G357" s="522"/>
      <c r="H357" s="525"/>
      <c r="I357" s="522"/>
      <c r="J357" s="522"/>
      <c r="K357" s="522"/>
      <c r="L357" s="522"/>
      <c r="M357" s="525"/>
      <c r="N357" s="522"/>
      <c r="O357" s="522"/>
      <c r="P357" s="522"/>
      <c r="Q357" s="522"/>
      <c r="R357" s="525"/>
      <c r="S357" s="522"/>
      <c r="T357" s="522"/>
      <c r="U357" s="522"/>
      <c r="V357" s="522"/>
      <c r="W357" s="525"/>
      <c r="X357" s="522"/>
      <c r="Y357" s="522"/>
      <c r="Z357" s="522"/>
      <c r="AA357" s="522"/>
      <c r="AB357" s="525"/>
      <c r="AC357" s="522"/>
      <c r="AD357" s="522"/>
      <c r="AE357" s="522"/>
      <c r="AF357" s="522"/>
      <c r="AG357" s="525"/>
      <c r="AH357" s="522"/>
      <c r="AI357" s="522"/>
      <c r="AJ357" s="522"/>
      <c r="AK357" s="522"/>
      <c r="AL357" s="525"/>
      <c r="AM357" s="522"/>
      <c r="AN357" s="522"/>
      <c r="AO357" s="522"/>
      <c r="AP357" s="522"/>
      <c r="AQ357" s="525"/>
      <c r="AR357" s="522"/>
      <c r="AS357" s="522"/>
      <c r="AT357" s="522"/>
      <c r="AU357" s="522"/>
      <c r="AV357" s="525"/>
      <c r="AW357" s="522"/>
      <c r="AX357" s="522"/>
      <c r="AY357" s="522"/>
      <c r="AZ357" s="522"/>
      <c r="BA357" s="525"/>
      <c r="BB357" s="522"/>
      <c r="BC357" s="522"/>
      <c r="BD357" s="522"/>
      <c r="BE357" s="522"/>
      <c r="BF357" s="525"/>
      <c r="BG357" s="522"/>
      <c r="BH357" s="522"/>
      <c r="BI357" s="522"/>
      <c r="BJ357" s="522"/>
      <c r="BK357" s="525"/>
      <c r="BL357" s="522"/>
      <c r="BM357" s="522"/>
      <c r="BN357" s="522"/>
      <c r="BO357" s="522"/>
    </row>
    <row r="362" spans="3:67">
      <c r="C362" s="525"/>
      <c r="D362" s="522"/>
      <c r="E362" s="522"/>
      <c r="F362" s="522"/>
      <c r="G362" s="522"/>
      <c r="H362" s="525"/>
      <c r="I362" s="522"/>
      <c r="J362" s="522"/>
      <c r="K362" s="522"/>
      <c r="L362" s="522"/>
      <c r="M362" s="525"/>
      <c r="N362" s="522"/>
      <c r="O362" s="522"/>
      <c r="P362" s="522"/>
      <c r="Q362" s="522"/>
      <c r="R362" s="525"/>
      <c r="S362" s="522"/>
      <c r="T362" s="522"/>
      <c r="U362" s="522"/>
      <c r="V362" s="522"/>
      <c r="W362" s="525"/>
      <c r="X362" s="522"/>
      <c r="Y362" s="522"/>
      <c r="Z362" s="522"/>
      <c r="AA362" s="522"/>
      <c r="AB362" s="525"/>
      <c r="AC362" s="522"/>
      <c r="AD362" s="522"/>
      <c r="AE362" s="522"/>
      <c r="AF362" s="522"/>
      <c r="AG362" s="525"/>
      <c r="AH362" s="522"/>
      <c r="AI362" s="522"/>
      <c r="AJ362" s="522"/>
      <c r="AK362" s="522"/>
      <c r="AL362" s="525"/>
      <c r="AM362" s="522"/>
      <c r="AN362" s="522"/>
      <c r="AO362" s="522"/>
      <c r="AP362" s="522"/>
      <c r="AQ362" s="525"/>
      <c r="AR362" s="522"/>
      <c r="AS362" s="522"/>
      <c r="AT362" s="522"/>
      <c r="AU362" s="522"/>
      <c r="AV362" s="525"/>
      <c r="AW362" s="522"/>
      <c r="AX362" s="522"/>
      <c r="AY362" s="522"/>
      <c r="AZ362" s="522"/>
      <c r="BA362" s="525"/>
      <c r="BB362" s="522"/>
      <c r="BC362" s="522"/>
      <c r="BD362" s="522"/>
      <c r="BE362" s="522"/>
      <c r="BF362" s="525"/>
      <c r="BG362" s="522"/>
      <c r="BH362" s="522"/>
      <c r="BI362" s="522"/>
      <c r="BJ362" s="522"/>
      <c r="BK362" s="525"/>
      <c r="BL362" s="522"/>
      <c r="BM362" s="522"/>
      <c r="BN362" s="522"/>
      <c r="BO362" s="522"/>
    </row>
    <row r="363" spans="3:67">
      <c r="C363" s="463"/>
      <c r="D363" s="384"/>
      <c r="E363" s="384"/>
      <c r="F363" s="384"/>
      <c r="G363" s="384"/>
      <c r="H363" s="463"/>
      <c r="I363" s="384"/>
      <c r="J363" s="384"/>
      <c r="K363" s="384"/>
      <c r="L363" s="384"/>
      <c r="M363" s="463"/>
      <c r="N363" s="384"/>
      <c r="O363" s="384"/>
      <c r="P363" s="384"/>
      <c r="Q363" s="384"/>
      <c r="R363" s="463"/>
      <c r="S363" s="384"/>
      <c r="T363" s="384"/>
      <c r="U363" s="384"/>
      <c r="V363" s="384"/>
      <c r="W363" s="463"/>
      <c r="X363" s="384"/>
      <c r="Y363" s="384"/>
      <c r="Z363" s="384"/>
      <c r="AA363" s="384"/>
      <c r="AB363" s="463"/>
      <c r="AC363" s="384"/>
      <c r="AD363" s="384"/>
      <c r="AE363" s="384"/>
      <c r="AF363" s="384"/>
      <c r="AG363" s="463"/>
      <c r="AH363" s="384"/>
      <c r="AI363" s="384"/>
      <c r="AJ363" s="384"/>
      <c r="AK363" s="384"/>
      <c r="AL363" s="463"/>
      <c r="AM363" s="384"/>
      <c r="AN363" s="384"/>
      <c r="AO363" s="384"/>
      <c r="AP363" s="384"/>
      <c r="AQ363" s="463"/>
      <c r="AR363" s="384"/>
      <c r="AS363" s="384"/>
      <c r="AT363" s="384"/>
      <c r="AU363" s="384"/>
      <c r="AV363" s="463"/>
      <c r="AW363" s="384"/>
      <c r="AX363" s="384"/>
      <c r="AY363" s="384"/>
      <c r="AZ363" s="384"/>
      <c r="BA363" s="463"/>
      <c r="BB363" s="384"/>
      <c r="BC363" s="384"/>
      <c r="BD363" s="384"/>
      <c r="BE363" s="384"/>
      <c r="BF363" s="463"/>
      <c r="BG363" s="384"/>
      <c r="BH363" s="384"/>
      <c r="BI363" s="384"/>
      <c r="BJ363" s="384"/>
      <c r="BK363" s="463"/>
      <c r="BL363" s="384"/>
      <c r="BM363" s="384"/>
      <c r="BN363" s="384"/>
      <c r="BO363" s="384"/>
    </row>
    <row r="364" spans="3:67">
      <c r="C364" s="463"/>
      <c r="D364" s="384"/>
      <c r="E364" s="384"/>
      <c r="F364" s="384"/>
      <c r="G364" s="384"/>
      <c r="H364" s="463"/>
      <c r="I364" s="384"/>
      <c r="J364" s="384"/>
      <c r="K364" s="384"/>
      <c r="L364" s="384"/>
      <c r="M364" s="463"/>
      <c r="N364" s="384"/>
      <c r="O364" s="384"/>
      <c r="P364" s="384"/>
      <c r="Q364" s="384"/>
      <c r="R364" s="463"/>
      <c r="S364" s="384"/>
      <c r="T364" s="384"/>
      <c r="U364" s="384"/>
      <c r="V364" s="384"/>
      <c r="W364" s="463"/>
      <c r="X364" s="384"/>
      <c r="Y364" s="384"/>
      <c r="Z364" s="384"/>
      <c r="AA364" s="384"/>
      <c r="AB364" s="463"/>
      <c r="AC364" s="384"/>
      <c r="AD364" s="384"/>
      <c r="AE364" s="384"/>
      <c r="AF364" s="384"/>
      <c r="AG364" s="463"/>
      <c r="AH364" s="384"/>
      <c r="AI364" s="384"/>
      <c r="AJ364" s="384"/>
      <c r="AK364" s="384"/>
      <c r="AL364" s="463"/>
      <c r="AM364" s="384"/>
      <c r="AN364" s="384"/>
      <c r="AO364" s="384"/>
      <c r="AP364" s="384"/>
      <c r="AQ364" s="463"/>
      <c r="AR364" s="384"/>
      <c r="AS364" s="384"/>
      <c r="AT364" s="384"/>
      <c r="AU364" s="384"/>
      <c r="AV364" s="463"/>
      <c r="AW364" s="384"/>
      <c r="AX364" s="384"/>
      <c r="AY364" s="384"/>
      <c r="AZ364" s="384"/>
      <c r="BA364" s="463"/>
      <c r="BB364" s="384"/>
      <c r="BC364" s="384"/>
      <c r="BD364" s="384"/>
      <c r="BE364" s="384"/>
      <c r="BF364" s="463"/>
      <c r="BG364" s="384"/>
      <c r="BH364" s="384"/>
      <c r="BI364" s="384"/>
      <c r="BJ364" s="384"/>
      <c r="BK364" s="463"/>
      <c r="BL364" s="384"/>
      <c r="BM364" s="384"/>
      <c r="BN364" s="384"/>
      <c r="BO364" s="384"/>
    </row>
    <row r="365" spans="3:67">
      <c r="C365" s="463"/>
      <c r="D365" s="384"/>
      <c r="E365" s="384"/>
      <c r="F365" s="384"/>
      <c r="G365" s="384"/>
      <c r="H365" s="463"/>
      <c r="I365" s="384"/>
      <c r="J365" s="384"/>
      <c r="K365" s="384"/>
      <c r="L365" s="384"/>
      <c r="M365" s="463"/>
      <c r="N365" s="384"/>
      <c r="O365" s="384"/>
      <c r="P365" s="384"/>
      <c r="Q365" s="384"/>
      <c r="R365" s="463"/>
      <c r="S365" s="384"/>
      <c r="T365" s="384"/>
      <c r="U365" s="384"/>
      <c r="V365" s="384"/>
      <c r="W365" s="463"/>
      <c r="X365" s="384"/>
      <c r="Y365" s="384"/>
      <c r="Z365" s="384"/>
      <c r="AA365" s="384"/>
      <c r="AB365" s="463"/>
      <c r="AC365" s="384"/>
      <c r="AD365" s="384"/>
      <c r="AE365" s="384"/>
      <c r="AF365" s="384"/>
      <c r="AG365" s="463"/>
      <c r="AH365" s="384"/>
      <c r="AI365" s="384"/>
      <c r="AJ365" s="384"/>
      <c r="AK365" s="384"/>
      <c r="AL365" s="463"/>
      <c r="AM365" s="384"/>
      <c r="AN365" s="384"/>
      <c r="AO365" s="384"/>
      <c r="AP365" s="384"/>
      <c r="AQ365" s="463"/>
      <c r="AR365" s="384"/>
      <c r="AS365" s="384"/>
      <c r="AT365" s="384"/>
      <c r="AU365" s="384"/>
      <c r="AV365" s="463"/>
      <c r="AW365" s="384"/>
      <c r="AX365" s="384"/>
      <c r="AY365" s="384"/>
      <c r="AZ365" s="384"/>
      <c r="BA365" s="463"/>
      <c r="BB365" s="384"/>
      <c r="BC365" s="384"/>
      <c r="BD365" s="384"/>
      <c r="BE365" s="384"/>
      <c r="BF365" s="463"/>
      <c r="BG365" s="384"/>
      <c r="BH365" s="384"/>
      <c r="BI365" s="384"/>
      <c r="BJ365" s="384"/>
      <c r="BK365" s="463"/>
      <c r="BL365" s="384"/>
      <c r="BM365" s="384"/>
      <c r="BN365" s="384"/>
      <c r="BO365" s="384"/>
    </row>
    <row r="367" spans="3:67">
      <c r="C367" s="526"/>
      <c r="D367" s="527"/>
      <c r="E367" s="527"/>
      <c r="F367" s="527"/>
      <c r="G367" s="527"/>
      <c r="H367" s="526"/>
      <c r="I367" s="527"/>
      <c r="J367" s="527"/>
      <c r="K367" s="527"/>
      <c r="L367" s="527"/>
      <c r="M367" s="526"/>
      <c r="N367" s="527"/>
      <c r="O367" s="527"/>
      <c r="P367" s="527"/>
      <c r="Q367" s="527"/>
      <c r="R367" s="526"/>
      <c r="S367" s="527"/>
      <c r="T367" s="527"/>
      <c r="U367" s="527"/>
      <c r="V367" s="527"/>
      <c r="W367" s="526"/>
      <c r="X367" s="527"/>
      <c r="Y367" s="527"/>
      <c r="Z367" s="527"/>
      <c r="AA367" s="527"/>
      <c r="AB367" s="526"/>
      <c r="AC367" s="527"/>
      <c r="AD367" s="527"/>
      <c r="AE367" s="527"/>
      <c r="AF367" s="527"/>
      <c r="AG367" s="526"/>
      <c r="AH367" s="527"/>
      <c r="AI367" s="527"/>
      <c r="AJ367" s="527"/>
      <c r="AK367" s="527"/>
      <c r="AL367" s="526"/>
      <c r="AM367" s="527"/>
      <c r="AN367" s="527"/>
      <c r="AO367" s="527"/>
      <c r="AP367" s="527"/>
      <c r="AQ367" s="526"/>
      <c r="AR367" s="527"/>
      <c r="AS367" s="527"/>
      <c r="AT367" s="527"/>
      <c r="AU367" s="527"/>
      <c r="AV367" s="526"/>
      <c r="AW367" s="527"/>
      <c r="AX367" s="527"/>
      <c r="AY367" s="527"/>
      <c r="AZ367" s="527"/>
      <c r="BA367" s="526"/>
      <c r="BB367" s="527"/>
      <c r="BC367" s="527"/>
      <c r="BD367" s="527"/>
      <c r="BE367" s="527"/>
      <c r="BF367" s="526"/>
      <c r="BG367" s="527"/>
      <c r="BH367" s="527"/>
      <c r="BI367" s="527"/>
      <c r="BJ367" s="527"/>
      <c r="BK367" s="526"/>
      <c r="BL367" s="527"/>
      <c r="BM367" s="527"/>
      <c r="BN367" s="527"/>
      <c r="BO367" s="527"/>
    </row>
    <row r="368" spans="3:67">
      <c r="C368" s="524"/>
      <c r="D368" s="384"/>
      <c r="E368" s="384"/>
      <c r="F368" s="384"/>
      <c r="G368" s="384"/>
      <c r="H368" s="524"/>
      <c r="I368" s="384"/>
      <c r="J368" s="384"/>
      <c r="K368" s="384"/>
      <c r="L368" s="384"/>
      <c r="M368" s="524"/>
      <c r="N368" s="384"/>
      <c r="O368" s="384"/>
      <c r="P368" s="384"/>
      <c r="Q368" s="384"/>
      <c r="R368" s="524"/>
      <c r="S368" s="384"/>
      <c r="T368" s="384"/>
      <c r="U368" s="384"/>
      <c r="V368" s="384"/>
      <c r="W368" s="524"/>
      <c r="X368" s="384"/>
      <c r="Y368" s="384"/>
      <c r="Z368" s="384"/>
      <c r="AA368" s="384"/>
      <c r="AB368" s="524"/>
      <c r="AC368" s="384"/>
      <c r="AD368" s="384"/>
      <c r="AE368" s="384"/>
      <c r="AF368" s="384"/>
      <c r="AG368" s="524"/>
      <c r="AH368" s="384"/>
      <c r="AI368" s="384"/>
      <c r="AJ368" s="384"/>
      <c r="AK368" s="384"/>
      <c r="AL368" s="524"/>
      <c r="AM368" s="384"/>
      <c r="AN368" s="384"/>
      <c r="AO368" s="384"/>
      <c r="AP368" s="384"/>
      <c r="AQ368" s="524"/>
      <c r="AR368" s="384"/>
      <c r="AS368" s="384"/>
      <c r="AT368" s="384"/>
      <c r="AU368" s="384"/>
      <c r="AV368" s="524"/>
      <c r="AW368" s="384"/>
      <c r="AX368" s="384"/>
      <c r="AY368" s="384"/>
      <c r="AZ368" s="384"/>
      <c r="BA368" s="524"/>
      <c r="BB368" s="384"/>
      <c r="BC368" s="384"/>
      <c r="BD368" s="384"/>
      <c r="BE368" s="384"/>
      <c r="BF368" s="524"/>
      <c r="BG368" s="384"/>
      <c r="BH368" s="384"/>
      <c r="BI368" s="384"/>
      <c r="BJ368" s="384"/>
      <c r="BK368" s="524"/>
      <c r="BL368" s="384"/>
      <c r="BM368" s="384"/>
      <c r="BN368" s="384"/>
      <c r="BO368" s="384"/>
    </row>
    <row r="369" spans="3:67">
      <c r="C369" s="524"/>
      <c r="D369" s="384"/>
      <c r="E369" s="384"/>
      <c r="F369" s="384"/>
      <c r="G369" s="384"/>
      <c r="H369" s="524"/>
      <c r="I369" s="384"/>
      <c r="J369" s="384"/>
      <c r="K369" s="384"/>
      <c r="L369" s="384"/>
      <c r="M369" s="524"/>
      <c r="N369" s="384"/>
      <c r="O369" s="384"/>
      <c r="P369" s="384"/>
      <c r="Q369" s="384"/>
      <c r="R369" s="524"/>
      <c r="S369" s="384"/>
      <c r="T369" s="384"/>
      <c r="U369" s="384"/>
      <c r="V369" s="384"/>
      <c r="W369" s="524"/>
      <c r="X369" s="384"/>
      <c r="Y369" s="384"/>
      <c r="Z369" s="384"/>
      <c r="AA369" s="384"/>
      <c r="AB369" s="524"/>
      <c r="AC369" s="384"/>
      <c r="AD369" s="384"/>
      <c r="AE369" s="384"/>
      <c r="AF369" s="384"/>
      <c r="AG369" s="524"/>
      <c r="AH369" s="384"/>
      <c r="AI369" s="384"/>
      <c r="AJ369" s="384"/>
      <c r="AK369" s="384"/>
      <c r="AL369" s="524"/>
      <c r="AM369" s="384"/>
      <c r="AN369" s="384"/>
      <c r="AO369" s="384"/>
      <c r="AP369" s="384"/>
      <c r="AQ369" s="524"/>
      <c r="AR369" s="384"/>
      <c r="AS369" s="384"/>
      <c r="AT369" s="384"/>
      <c r="AU369" s="384"/>
      <c r="AV369" s="524"/>
      <c r="AW369" s="384"/>
      <c r="AX369" s="384"/>
      <c r="AY369" s="384"/>
      <c r="AZ369" s="384"/>
      <c r="BA369" s="524"/>
      <c r="BB369" s="384"/>
      <c r="BC369" s="384"/>
      <c r="BD369" s="384"/>
      <c r="BE369" s="384"/>
      <c r="BF369" s="524"/>
      <c r="BG369" s="384"/>
      <c r="BH369" s="384"/>
      <c r="BI369" s="384"/>
      <c r="BJ369" s="384"/>
      <c r="BK369" s="524"/>
      <c r="BL369" s="384"/>
      <c r="BM369" s="384"/>
      <c r="BN369" s="384"/>
      <c r="BO369" s="384"/>
    </row>
    <row r="370" spans="3:67">
      <c r="C370" s="524"/>
      <c r="D370" s="384"/>
      <c r="E370" s="384"/>
      <c r="F370" s="384"/>
      <c r="G370" s="384"/>
      <c r="H370" s="524"/>
      <c r="I370" s="384"/>
      <c r="J370" s="384"/>
      <c r="K370" s="384"/>
      <c r="L370" s="384"/>
      <c r="M370" s="524"/>
      <c r="N370" s="384"/>
      <c r="O370" s="384"/>
      <c r="P370" s="384"/>
      <c r="Q370" s="384"/>
      <c r="R370" s="524"/>
      <c r="S370" s="384"/>
      <c r="T370" s="384"/>
      <c r="U370" s="384"/>
      <c r="V370" s="384"/>
      <c r="W370" s="524"/>
      <c r="X370" s="384"/>
      <c r="Y370" s="384"/>
      <c r="Z370" s="384"/>
      <c r="AA370" s="384"/>
      <c r="AB370" s="524"/>
      <c r="AC370" s="384"/>
      <c r="AD370" s="384"/>
      <c r="AE370" s="384"/>
      <c r="AF370" s="384"/>
      <c r="AG370" s="524"/>
      <c r="AH370" s="384"/>
      <c r="AI370" s="384"/>
      <c r="AJ370" s="384"/>
      <c r="AK370" s="384"/>
      <c r="AL370" s="524"/>
      <c r="AM370" s="384"/>
      <c r="AN370" s="384"/>
      <c r="AO370" s="384"/>
      <c r="AP370" s="384"/>
      <c r="AQ370" s="524"/>
      <c r="AR370" s="384"/>
      <c r="AS370" s="384"/>
      <c r="AT370" s="384"/>
      <c r="AU370" s="384"/>
      <c r="AV370" s="524"/>
      <c r="AW370" s="384"/>
      <c r="AX370" s="384"/>
      <c r="AY370" s="384"/>
      <c r="AZ370" s="384"/>
      <c r="BA370" s="524"/>
      <c r="BB370" s="384"/>
      <c r="BC370" s="384"/>
      <c r="BD370" s="384"/>
      <c r="BE370" s="384"/>
      <c r="BF370" s="524"/>
      <c r="BG370" s="384"/>
      <c r="BH370" s="384"/>
      <c r="BI370" s="384"/>
      <c r="BJ370" s="384"/>
      <c r="BK370" s="524"/>
      <c r="BL370" s="384"/>
      <c r="BM370" s="384"/>
      <c r="BN370" s="384"/>
      <c r="BO370" s="384"/>
    </row>
    <row r="372" spans="3:67">
      <c r="C372" s="528"/>
      <c r="D372" s="498"/>
      <c r="E372" s="498"/>
      <c r="F372" s="498"/>
      <c r="G372" s="498"/>
      <c r="H372" s="528"/>
      <c r="I372" s="498"/>
      <c r="J372" s="498"/>
      <c r="K372" s="498"/>
      <c r="L372" s="498"/>
      <c r="M372" s="528"/>
      <c r="N372" s="498"/>
      <c r="O372" s="498"/>
      <c r="P372" s="498"/>
      <c r="Q372" s="498"/>
      <c r="R372" s="528"/>
      <c r="S372" s="498"/>
      <c r="T372" s="498"/>
      <c r="U372" s="498"/>
      <c r="V372" s="498"/>
      <c r="W372" s="528"/>
      <c r="X372" s="498"/>
      <c r="Y372" s="498"/>
      <c r="Z372" s="498"/>
      <c r="AA372" s="498"/>
      <c r="AB372" s="528"/>
      <c r="AC372" s="498"/>
      <c r="AD372" s="498"/>
      <c r="AE372" s="498"/>
      <c r="AF372" s="498"/>
      <c r="AG372" s="528"/>
      <c r="AH372" s="498"/>
      <c r="AI372" s="498"/>
      <c r="AJ372" s="498"/>
      <c r="AK372" s="498"/>
      <c r="AL372" s="528"/>
      <c r="AM372" s="498"/>
      <c r="AN372" s="498"/>
      <c r="AO372" s="498"/>
      <c r="AP372" s="498"/>
      <c r="AQ372" s="528"/>
      <c r="AR372" s="498"/>
      <c r="AS372" s="498"/>
      <c r="AT372" s="498"/>
      <c r="AU372" s="498"/>
      <c r="AV372" s="528"/>
      <c r="AW372" s="498"/>
      <c r="AX372" s="498"/>
      <c r="AY372" s="498"/>
      <c r="AZ372" s="498"/>
      <c r="BA372" s="528"/>
      <c r="BB372" s="498"/>
      <c r="BC372" s="498"/>
      <c r="BD372" s="498"/>
      <c r="BE372" s="498"/>
      <c r="BF372" s="528"/>
      <c r="BG372" s="498"/>
      <c r="BH372" s="498"/>
      <c r="BI372" s="498"/>
      <c r="BJ372" s="498"/>
      <c r="BK372" s="528"/>
      <c r="BL372" s="498"/>
      <c r="BM372" s="498"/>
      <c r="BN372" s="498"/>
      <c r="BO372" s="498"/>
    </row>
    <row r="373" spans="3:67">
      <c r="C373" s="529"/>
      <c r="H373" s="529"/>
      <c r="M373" s="529"/>
      <c r="R373" s="529"/>
      <c r="W373" s="529"/>
      <c r="AB373" s="529"/>
      <c r="AG373" s="529"/>
      <c r="AL373" s="529"/>
      <c r="AQ373" s="529"/>
      <c r="AV373" s="529"/>
      <c r="BA373" s="529"/>
      <c r="BF373" s="529"/>
      <c r="BK373" s="529"/>
    </row>
    <row r="374" spans="3:67">
      <c r="C374" s="529"/>
      <c r="H374" s="529"/>
      <c r="M374" s="529"/>
      <c r="R374" s="529"/>
      <c r="W374" s="529"/>
      <c r="AB374" s="529"/>
      <c r="AG374" s="529"/>
      <c r="AL374" s="529"/>
      <c r="AQ374" s="529"/>
      <c r="AV374" s="529"/>
      <c r="BA374" s="529"/>
      <c r="BF374" s="529"/>
      <c r="BK374" s="529"/>
    </row>
    <row r="376" spans="3:67">
      <c r="C376" s="530"/>
      <c r="D376" s="531"/>
      <c r="E376" s="531"/>
      <c r="F376" s="531"/>
      <c r="G376" s="531"/>
      <c r="H376" s="530"/>
      <c r="I376" s="531"/>
      <c r="J376" s="531"/>
      <c r="K376" s="531"/>
      <c r="L376" s="531"/>
      <c r="M376" s="530"/>
      <c r="N376" s="531"/>
      <c r="O376" s="531"/>
      <c r="P376" s="531"/>
      <c r="Q376" s="531"/>
      <c r="R376" s="530"/>
      <c r="S376" s="531"/>
      <c r="T376" s="531"/>
      <c r="U376" s="531"/>
      <c r="V376" s="531"/>
      <c r="W376" s="530"/>
      <c r="X376" s="531"/>
      <c r="Y376" s="531"/>
      <c r="Z376" s="531"/>
      <c r="AA376" s="531"/>
      <c r="AB376" s="530"/>
      <c r="AC376" s="531"/>
      <c r="AD376" s="531"/>
      <c r="AE376" s="531"/>
      <c r="AF376" s="531"/>
      <c r="AG376" s="530"/>
      <c r="AH376" s="531"/>
      <c r="AI376" s="531"/>
      <c r="AJ376" s="531"/>
      <c r="AK376" s="531"/>
      <c r="AL376" s="530"/>
      <c r="AM376" s="531"/>
      <c r="AN376" s="531"/>
      <c r="AO376" s="531"/>
      <c r="AP376" s="531"/>
      <c r="AQ376" s="530"/>
      <c r="AR376" s="531"/>
      <c r="AS376" s="531"/>
      <c r="AT376" s="531"/>
      <c r="AU376" s="531"/>
      <c r="AV376" s="530"/>
      <c r="AW376" s="531"/>
      <c r="AX376" s="531"/>
      <c r="AY376" s="531"/>
      <c r="AZ376" s="531"/>
      <c r="BA376" s="530"/>
      <c r="BB376" s="531"/>
      <c r="BC376" s="531"/>
      <c r="BD376" s="531"/>
      <c r="BE376" s="531"/>
      <c r="BF376" s="530"/>
      <c r="BG376" s="531"/>
      <c r="BH376" s="531"/>
      <c r="BI376" s="531"/>
      <c r="BJ376" s="531"/>
      <c r="BK376" s="530"/>
      <c r="BL376" s="531"/>
      <c r="BM376" s="531"/>
      <c r="BN376" s="531"/>
      <c r="BO376" s="531"/>
    </row>
    <row r="377" spans="3:67">
      <c r="C377" s="532"/>
      <c r="D377" s="533"/>
      <c r="E377" s="533"/>
      <c r="F377" s="533"/>
      <c r="G377" s="533"/>
      <c r="H377" s="532"/>
      <c r="I377" s="533"/>
      <c r="J377" s="533"/>
      <c r="K377" s="533"/>
      <c r="L377" s="533"/>
      <c r="M377" s="532"/>
      <c r="N377" s="533"/>
      <c r="O377" s="533"/>
      <c r="P377" s="533"/>
      <c r="Q377" s="533"/>
      <c r="R377" s="532"/>
      <c r="S377" s="533"/>
      <c r="T377" s="533"/>
      <c r="U377" s="533"/>
      <c r="V377" s="533"/>
      <c r="W377" s="532"/>
      <c r="X377" s="533"/>
      <c r="Y377" s="533"/>
      <c r="Z377" s="533"/>
      <c r="AA377" s="533"/>
      <c r="AB377" s="532"/>
      <c r="AC377" s="533"/>
      <c r="AD377" s="533"/>
      <c r="AE377" s="533"/>
      <c r="AF377" s="533"/>
      <c r="AG377" s="532"/>
      <c r="AH377" s="533"/>
      <c r="AI377" s="533"/>
      <c r="AJ377" s="533"/>
      <c r="AK377" s="533"/>
      <c r="AL377" s="532"/>
      <c r="AM377" s="533"/>
      <c r="AN377" s="533"/>
      <c r="AO377" s="533"/>
      <c r="AP377" s="533"/>
      <c r="AQ377" s="532"/>
      <c r="AR377" s="533"/>
      <c r="AS377" s="533"/>
      <c r="AT377" s="533"/>
      <c r="AU377" s="533"/>
      <c r="AV377" s="532"/>
      <c r="AW377" s="533"/>
      <c r="AX377" s="533"/>
      <c r="AY377" s="533"/>
      <c r="AZ377" s="533"/>
      <c r="BA377" s="532"/>
      <c r="BB377" s="533"/>
      <c r="BC377" s="533"/>
      <c r="BD377" s="533"/>
      <c r="BE377" s="533"/>
      <c r="BF377" s="532"/>
      <c r="BG377" s="533"/>
      <c r="BH377" s="533"/>
      <c r="BI377" s="533"/>
      <c r="BJ377" s="533"/>
      <c r="BK377" s="532"/>
      <c r="BL377" s="533"/>
      <c r="BM377" s="533"/>
      <c r="BN377" s="533"/>
      <c r="BO377" s="533"/>
    </row>
    <row r="384" spans="3:67">
      <c r="C384" s="463"/>
      <c r="D384" s="384"/>
      <c r="E384" s="384"/>
      <c r="F384" s="384"/>
      <c r="G384" s="384"/>
      <c r="H384" s="463"/>
      <c r="I384" s="384"/>
      <c r="J384" s="384"/>
      <c r="K384" s="384"/>
      <c r="L384" s="384"/>
      <c r="M384" s="463"/>
      <c r="N384" s="384"/>
      <c r="O384" s="384"/>
      <c r="P384" s="384"/>
      <c r="Q384" s="384"/>
      <c r="R384" s="463"/>
      <c r="S384" s="384"/>
      <c r="T384" s="384"/>
      <c r="U384" s="384"/>
      <c r="V384" s="384"/>
      <c r="W384" s="463"/>
      <c r="X384" s="384"/>
      <c r="Y384" s="384"/>
      <c r="Z384" s="384"/>
      <c r="AA384" s="384"/>
      <c r="AB384" s="463"/>
      <c r="AC384" s="384"/>
      <c r="AD384" s="384"/>
      <c r="AE384" s="384"/>
      <c r="AF384" s="384"/>
      <c r="AG384" s="463"/>
      <c r="AH384" s="384"/>
      <c r="AI384" s="384"/>
      <c r="AJ384" s="384"/>
      <c r="AK384" s="384"/>
      <c r="AL384" s="463"/>
      <c r="AM384" s="384"/>
      <c r="AN384" s="384"/>
      <c r="AO384" s="384"/>
      <c r="AP384" s="384"/>
      <c r="AQ384" s="463"/>
      <c r="AR384" s="384"/>
      <c r="AS384" s="384"/>
      <c r="AT384" s="384"/>
      <c r="AU384" s="384"/>
      <c r="AV384" s="463"/>
      <c r="AW384" s="384"/>
      <c r="AX384" s="384"/>
      <c r="AY384" s="384"/>
      <c r="AZ384" s="384"/>
      <c r="BA384" s="463"/>
      <c r="BB384" s="384"/>
      <c r="BC384" s="384"/>
      <c r="BD384" s="384"/>
      <c r="BE384" s="384"/>
      <c r="BF384" s="463"/>
      <c r="BG384" s="384"/>
      <c r="BH384" s="384"/>
      <c r="BI384" s="384"/>
      <c r="BJ384" s="384"/>
      <c r="BK384" s="463"/>
      <c r="BL384" s="384"/>
      <c r="BM384" s="384"/>
      <c r="BN384" s="384"/>
      <c r="BO384" s="384"/>
    </row>
    <row r="385" spans="3:67">
      <c r="C385" s="463"/>
      <c r="D385" s="384"/>
      <c r="E385" s="384"/>
      <c r="F385" s="384"/>
      <c r="G385" s="384"/>
      <c r="H385" s="463"/>
      <c r="I385" s="384"/>
      <c r="J385" s="384"/>
      <c r="K385" s="384"/>
      <c r="L385" s="384"/>
      <c r="M385" s="463"/>
      <c r="N385" s="384"/>
      <c r="O385" s="384"/>
      <c r="P385" s="384"/>
      <c r="Q385" s="384"/>
      <c r="R385" s="463"/>
      <c r="S385" s="384"/>
      <c r="T385" s="384"/>
      <c r="U385" s="384"/>
      <c r="V385" s="384"/>
      <c r="W385" s="463"/>
      <c r="X385" s="384"/>
      <c r="Y385" s="384"/>
      <c r="Z385" s="384"/>
      <c r="AA385" s="384"/>
      <c r="AB385" s="463"/>
      <c r="AC385" s="384"/>
      <c r="AD385" s="384"/>
      <c r="AE385" s="384"/>
      <c r="AF385" s="384"/>
      <c r="AG385" s="463"/>
      <c r="AH385" s="384"/>
      <c r="AI385" s="384"/>
      <c r="AJ385" s="384"/>
      <c r="AK385" s="384"/>
      <c r="AL385" s="463"/>
      <c r="AM385" s="384"/>
      <c r="AN385" s="384"/>
      <c r="AO385" s="384"/>
      <c r="AP385" s="384"/>
      <c r="AQ385" s="463"/>
      <c r="AR385" s="384"/>
      <c r="AS385" s="384"/>
      <c r="AT385" s="384"/>
      <c r="AU385" s="384"/>
      <c r="AV385" s="463"/>
      <c r="AW385" s="384"/>
      <c r="AX385" s="384"/>
      <c r="AY385" s="384"/>
      <c r="AZ385" s="384"/>
      <c r="BA385" s="463"/>
      <c r="BB385" s="384"/>
      <c r="BC385" s="384"/>
      <c r="BD385" s="384"/>
      <c r="BE385" s="384"/>
      <c r="BF385" s="463"/>
      <c r="BG385" s="384"/>
      <c r="BH385" s="384"/>
      <c r="BI385" s="384"/>
      <c r="BJ385" s="384"/>
      <c r="BK385" s="463"/>
      <c r="BL385" s="384"/>
      <c r="BM385" s="384"/>
      <c r="BN385" s="384"/>
      <c r="BO385" s="384"/>
    </row>
    <row r="387" spans="3:67">
      <c r="C387" s="463"/>
      <c r="D387" s="384"/>
      <c r="E387" s="384"/>
      <c r="F387" s="384"/>
      <c r="G387" s="384"/>
      <c r="H387" s="463"/>
      <c r="I387" s="384"/>
      <c r="J387" s="384"/>
      <c r="K387" s="384"/>
      <c r="L387" s="384"/>
      <c r="M387" s="463"/>
      <c r="N387" s="384"/>
      <c r="O387" s="384"/>
      <c r="P387" s="384"/>
      <c r="Q387" s="384"/>
      <c r="R387" s="463"/>
      <c r="S387" s="384"/>
      <c r="T387" s="384"/>
      <c r="U387" s="384"/>
      <c r="V387" s="384"/>
      <c r="W387" s="463"/>
      <c r="X387" s="384"/>
      <c r="Y387" s="384"/>
      <c r="Z387" s="384"/>
      <c r="AA387" s="384"/>
      <c r="AB387" s="463"/>
      <c r="AC387" s="384"/>
      <c r="AD387" s="384"/>
      <c r="AE387" s="384"/>
      <c r="AF387" s="384"/>
      <c r="AG387" s="463"/>
      <c r="AH387" s="384"/>
      <c r="AI387" s="384"/>
      <c r="AJ387" s="384"/>
      <c r="AK387" s="384"/>
      <c r="AL387" s="463"/>
      <c r="AM387" s="384"/>
      <c r="AN387" s="384"/>
      <c r="AO387" s="384"/>
      <c r="AP387" s="384"/>
      <c r="AQ387" s="463"/>
      <c r="AR387" s="384"/>
      <c r="AS387" s="384"/>
      <c r="AT387" s="384"/>
      <c r="AU387" s="384"/>
      <c r="AV387" s="463"/>
      <c r="AW387" s="384"/>
      <c r="AX387" s="384"/>
      <c r="AY387" s="384"/>
      <c r="AZ387" s="384"/>
      <c r="BA387" s="463"/>
      <c r="BB387" s="384"/>
      <c r="BC387" s="384"/>
      <c r="BD387" s="384"/>
      <c r="BE387" s="384"/>
      <c r="BF387" s="463"/>
      <c r="BG387" s="384"/>
      <c r="BH387" s="384"/>
      <c r="BI387" s="384"/>
      <c r="BJ387" s="384"/>
      <c r="BK387" s="463"/>
      <c r="BL387" s="384"/>
      <c r="BM387" s="384"/>
      <c r="BN387" s="384"/>
      <c r="BO387" s="384"/>
    </row>
    <row r="388" spans="3:67">
      <c r="C388" s="463"/>
      <c r="D388" s="384"/>
      <c r="E388" s="384"/>
      <c r="F388" s="384"/>
      <c r="G388" s="384"/>
      <c r="H388" s="463"/>
      <c r="I388" s="384"/>
      <c r="J388" s="384"/>
      <c r="K388" s="384"/>
      <c r="L388" s="384"/>
      <c r="M388" s="463"/>
      <c r="N388" s="384"/>
      <c r="O388" s="384"/>
      <c r="P388" s="384"/>
      <c r="Q388" s="384"/>
      <c r="R388" s="463"/>
      <c r="S388" s="384"/>
      <c r="T388" s="384"/>
      <c r="U388" s="384"/>
      <c r="V388" s="384"/>
      <c r="W388" s="463"/>
      <c r="X388" s="384"/>
      <c r="Y388" s="384"/>
      <c r="Z388" s="384"/>
      <c r="AA388" s="384"/>
      <c r="AB388" s="463"/>
      <c r="AC388" s="384"/>
      <c r="AD388" s="384"/>
      <c r="AE388" s="384"/>
      <c r="AF388" s="384"/>
      <c r="AG388" s="463"/>
      <c r="AH388" s="384"/>
      <c r="AI388" s="384"/>
      <c r="AJ388" s="384"/>
      <c r="AK388" s="384"/>
      <c r="AL388" s="463"/>
      <c r="AM388" s="384"/>
      <c r="AN388" s="384"/>
      <c r="AO388" s="384"/>
      <c r="AP388" s="384"/>
      <c r="AQ388" s="463"/>
      <c r="AR388" s="384"/>
      <c r="AS388" s="384"/>
      <c r="AT388" s="384"/>
      <c r="AU388" s="384"/>
      <c r="AV388" s="463"/>
      <c r="AW388" s="384"/>
      <c r="AX388" s="384"/>
      <c r="AY388" s="384"/>
      <c r="AZ388" s="384"/>
      <c r="BA388" s="463"/>
      <c r="BB388" s="384"/>
      <c r="BC388" s="384"/>
      <c r="BD388" s="384"/>
      <c r="BE388" s="384"/>
      <c r="BF388" s="463"/>
      <c r="BG388" s="384"/>
      <c r="BH388" s="384"/>
      <c r="BI388" s="384"/>
      <c r="BJ388" s="384"/>
      <c r="BK388" s="463"/>
      <c r="BL388" s="384"/>
      <c r="BM388" s="384"/>
      <c r="BN388" s="384"/>
      <c r="BO388" s="384"/>
    </row>
    <row r="389" spans="3:67">
      <c r="C389" s="534"/>
      <c r="D389" s="535"/>
      <c r="E389" s="535"/>
      <c r="F389" s="535"/>
      <c r="G389" s="535"/>
      <c r="H389" s="534"/>
      <c r="I389" s="535"/>
      <c r="J389" s="535"/>
      <c r="K389" s="535"/>
      <c r="L389" s="535"/>
      <c r="M389" s="534"/>
      <c r="N389" s="535"/>
      <c r="O389" s="535"/>
      <c r="P389" s="535"/>
      <c r="Q389" s="535"/>
      <c r="R389" s="534"/>
      <c r="S389" s="535"/>
      <c r="T389" s="535"/>
      <c r="U389" s="535"/>
      <c r="V389" s="535"/>
      <c r="W389" s="534"/>
      <c r="X389" s="535"/>
      <c r="Y389" s="535"/>
      <c r="Z389" s="535"/>
      <c r="AA389" s="535"/>
      <c r="AB389" s="534"/>
      <c r="AC389" s="535"/>
      <c r="AD389" s="535"/>
      <c r="AE389" s="535"/>
      <c r="AF389" s="535"/>
      <c r="AG389" s="534"/>
      <c r="AH389" s="535"/>
      <c r="AI389" s="535"/>
      <c r="AJ389" s="535"/>
      <c r="AK389" s="535"/>
      <c r="AL389" s="534"/>
      <c r="AM389" s="535"/>
      <c r="AN389" s="535"/>
      <c r="AO389" s="535"/>
      <c r="AP389" s="535"/>
      <c r="AQ389" s="534"/>
      <c r="AR389" s="535"/>
      <c r="AS389" s="535"/>
      <c r="AT389" s="535"/>
      <c r="AU389" s="535"/>
      <c r="AV389" s="534"/>
      <c r="AW389" s="535"/>
      <c r="AX389" s="535"/>
      <c r="AY389" s="535"/>
      <c r="AZ389" s="535"/>
      <c r="BA389" s="534"/>
      <c r="BB389" s="535"/>
      <c r="BC389" s="535"/>
      <c r="BD389" s="535"/>
      <c r="BE389" s="535"/>
      <c r="BF389" s="534"/>
      <c r="BG389" s="535"/>
      <c r="BH389" s="535"/>
      <c r="BI389" s="535"/>
      <c r="BJ389" s="535"/>
      <c r="BK389" s="534"/>
      <c r="BL389" s="535"/>
      <c r="BM389" s="535"/>
      <c r="BN389" s="535"/>
      <c r="BO389" s="535"/>
    </row>
    <row r="390" spans="3:67">
      <c r="C390" s="463"/>
      <c r="D390" s="384"/>
      <c r="E390" s="384"/>
      <c r="F390" s="384"/>
      <c r="G390" s="384"/>
      <c r="H390" s="463"/>
      <c r="I390" s="384"/>
      <c r="J390" s="384"/>
      <c r="K390" s="384"/>
      <c r="L390" s="384"/>
      <c r="M390" s="463"/>
      <c r="N390" s="384"/>
      <c r="O390" s="384"/>
      <c r="P390" s="384"/>
      <c r="Q390" s="384"/>
      <c r="R390" s="463"/>
      <c r="S390" s="384"/>
      <c r="T390" s="384"/>
      <c r="U390" s="384"/>
      <c r="V390" s="384"/>
      <c r="W390" s="463"/>
      <c r="X390" s="384"/>
      <c r="Y390" s="384"/>
      <c r="Z390" s="384"/>
      <c r="AA390" s="384"/>
      <c r="AB390" s="463"/>
      <c r="AC390" s="384"/>
      <c r="AD390" s="384"/>
      <c r="AE390" s="384"/>
      <c r="AF390" s="384"/>
      <c r="AG390" s="463"/>
      <c r="AH390" s="384"/>
      <c r="AI390" s="384"/>
      <c r="AJ390" s="384"/>
      <c r="AK390" s="384"/>
      <c r="AL390" s="463"/>
      <c r="AM390" s="384"/>
      <c r="AN390" s="384"/>
      <c r="AO390" s="384"/>
      <c r="AP390" s="384"/>
      <c r="AQ390" s="463"/>
      <c r="AR390" s="384"/>
      <c r="AS390" s="384"/>
      <c r="AT390" s="384"/>
      <c r="AU390" s="384"/>
      <c r="AV390" s="463"/>
      <c r="AW390" s="384"/>
      <c r="AX390" s="384"/>
      <c r="AY390" s="384"/>
      <c r="AZ390" s="384"/>
      <c r="BA390" s="463"/>
      <c r="BB390" s="384"/>
      <c r="BC390" s="384"/>
      <c r="BD390" s="384"/>
      <c r="BE390" s="384"/>
      <c r="BF390" s="463"/>
      <c r="BG390" s="384"/>
      <c r="BH390" s="384"/>
      <c r="BI390" s="384"/>
      <c r="BJ390" s="384"/>
      <c r="BK390" s="463"/>
      <c r="BL390" s="384"/>
      <c r="BM390" s="384"/>
      <c r="BN390" s="384"/>
      <c r="BO390" s="384"/>
    </row>
    <row r="393" spans="3:67">
      <c r="C393" s="536"/>
      <c r="D393" s="537"/>
      <c r="E393" s="537"/>
      <c r="F393" s="537"/>
      <c r="G393" s="537"/>
      <c r="H393" s="536"/>
      <c r="I393" s="537"/>
      <c r="J393" s="537"/>
      <c r="K393" s="537"/>
      <c r="L393" s="537"/>
      <c r="M393" s="536"/>
      <c r="N393" s="537"/>
      <c r="O393" s="537"/>
      <c r="P393" s="537"/>
      <c r="Q393" s="537"/>
      <c r="R393" s="536"/>
      <c r="S393" s="537"/>
      <c r="T393" s="537"/>
      <c r="U393" s="537"/>
      <c r="V393" s="537"/>
      <c r="W393" s="536"/>
      <c r="X393" s="537"/>
      <c r="Y393" s="537"/>
      <c r="Z393" s="537"/>
      <c r="AA393" s="537"/>
      <c r="AB393" s="536"/>
      <c r="AC393" s="537"/>
      <c r="AD393" s="537"/>
      <c r="AE393" s="537"/>
      <c r="AF393" s="537"/>
      <c r="AG393" s="536"/>
      <c r="AH393" s="537"/>
      <c r="AI393" s="537"/>
      <c r="AJ393" s="537"/>
      <c r="AK393" s="537"/>
      <c r="AL393" s="536"/>
      <c r="AM393" s="537"/>
      <c r="AN393" s="537"/>
      <c r="AO393" s="537"/>
      <c r="AP393" s="537"/>
      <c r="AQ393" s="536"/>
      <c r="AR393" s="537"/>
      <c r="AS393" s="537"/>
      <c r="AT393" s="537"/>
      <c r="AU393" s="537"/>
      <c r="AV393" s="536"/>
      <c r="AW393" s="537"/>
      <c r="AX393" s="537"/>
      <c r="AY393" s="537"/>
      <c r="AZ393" s="537"/>
      <c r="BA393" s="536"/>
      <c r="BB393" s="537"/>
      <c r="BC393" s="537"/>
      <c r="BD393" s="537"/>
      <c r="BE393" s="537"/>
      <c r="BF393" s="536"/>
      <c r="BG393" s="537"/>
      <c r="BH393" s="537"/>
      <c r="BI393" s="537"/>
      <c r="BJ393" s="537"/>
      <c r="BK393" s="536"/>
      <c r="BL393" s="537"/>
      <c r="BM393" s="537"/>
      <c r="BN393" s="537"/>
      <c r="BO393" s="537"/>
    </row>
    <row r="394" spans="3:67">
      <c r="C394" s="463"/>
      <c r="D394" s="384"/>
      <c r="E394" s="384"/>
      <c r="F394" s="384"/>
      <c r="G394" s="384"/>
      <c r="H394" s="463"/>
      <c r="I394" s="384"/>
      <c r="J394" s="384"/>
      <c r="K394" s="384"/>
      <c r="L394" s="384"/>
      <c r="M394" s="463"/>
      <c r="N394" s="384"/>
      <c r="O394" s="384"/>
      <c r="P394" s="384"/>
      <c r="Q394" s="384"/>
      <c r="R394" s="463"/>
      <c r="S394" s="384"/>
      <c r="T394" s="384"/>
      <c r="U394" s="384"/>
      <c r="V394" s="384"/>
      <c r="W394" s="463"/>
      <c r="X394" s="384"/>
      <c r="Y394" s="384"/>
      <c r="Z394" s="384"/>
      <c r="AA394" s="384"/>
      <c r="AB394" s="463"/>
      <c r="AC394" s="384"/>
      <c r="AD394" s="384"/>
      <c r="AE394" s="384"/>
      <c r="AF394" s="384"/>
      <c r="AG394" s="463"/>
      <c r="AH394" s="384"/>
      <c r="AI394" s="384"/>
      <c r="AJ394" s="384"/>
      <c r="AK394" s="384"/>
      <c r="AL394" s="463"/>
      <c r="AM394" s="384"/>
      <c r="AN394" s="384"/>
      <c r="AO394" s="384"/>
      <c r="AP394" s="384"/>
      <c r="AQ394" s="463"/>
      <c r="AR394" s="384"/>
      <c r="AS394" s="384"/>
      <c r="AT394" s="384"/>
      <c r="AU394" s="384"/>
      <c r="AV394" s="463"/>
      <c r="AW394" s="384"/>
      <c r="AX394" s="384"/>
      <c r="AY394" s="384"/>
      <c r="AZ394" s="384"/>
      <c r="BA394" s="463"/>
      <c r="BB394" s="384"/>
      <c r="BC394" s="384"/>
      <c r="BD394" s="384"/>
      <c r="BE394" s="384"/>
      <c r="BF394" s="463"/>
      <c r="BG394" s="384"/>
      <c r="BH394" s="384"/>
      <c r="BI394" s="384"/>
      <c r="BJ394" s="384"/>
      <c r="BK394" s="463"/>
      <c r="BL394" s="384"/>
      <c r="BM394" s="384"/>
      <c r="BN394" s="384"/>
      <c r="BO394" s="384"/>
    </row>
    <row r="395" spans="3:67">
      <c r="C395" s="463"/>
      <c r="D395" s="384"/>
      <c r="E395" s="384"/>
      <c r="F395" s="384"/>
      <c r="G395" s="384"/>
      <c r="H395" s="463"/>
      <c r="I395" s="384"/>
      <c r="J395" s="384"/>
      <c r="K395" s="384"/>
      <c r="L395" s="384"/>
      <c r="M395" s="463"/>
      <c r="N395" s="384"/>
      <c r="O395" s="384"/>
      <c r="P395" s="384"/>
      <c r="Q395" s="384"/>
      <c r="R395" s="463"/>
      <c r="S395" s="384"/>
      <c r="T395" s="384"/>
      <c r="U395" s="384"/>
      <c r="V395" s="384"/>
      <c r="W395" s="463"/>
      <c r="X395" s="384"/>
      <c r="Y395" s="384"/>
      <c r="Z395" s="384"/>
      <c r="AA395" s="384"/>
      <c r="AB395" s="463"/>
      <c r="AC395" s="384"/>
      <c r="AD395" s="384"/>
      <c r="AE395" s="384"/>
      <c r="AF395" s="384"/>
      <c r="AG395" s="463"/>
      <c r="AH395" s="384"/>
      <c r="AI395" s="384"/>
      <c r="AJ395" s="384"/>
      <c r="AK395" s="384"/>
      <c r="AL395" s="463"/>
      <c r="AM395" s="384"/>
      <c r="AN395" s="384"/>
      <c r="AO395" s="384"/>
      <c r="AP395" s="384"/>
      <c r="AQ395" s="463"/>
      <c r="AR395" s="384"/>
      <c r="AS395" s="384"/>
      <c r="AT395" s="384"/>
      <c r="AU395" s="384"/>
      <c r="AV395" s="463"/>
      <c r="AW395" s="384"/>
      <c r="AX395" s="384"/>
      <c r="AY395" s="384"/>
      <c r="AZ395" s="384"/>
      <c r="BA395" s="463"/>
      <c r="BB395" s="384"/>
      <c r="BC395" s="384"/>
      <c r="BD395" s="384"/>
      <c r="BE395" s="384"/>
      <c r="BF395" s="463"/>
      <c r="BG395" s="384"/>
      <c r="BH395" s="384"/>
      <c r="BI395" s="384"/>
      <c r="BJ395" s="384"/>
      <c r="BK395" s="463"/>
      <c r="BL395" s="384"/>
      <c r="BM395" s="384"/>
      <c r="BN395" s="384"/>
      <c r="BO395" s="384"/>
    </row>
    <row r="396" spans="3:67">
      <c r="C396" s="536"/>
      <c r="D396" s="537"/>
      <c r="E396" s="537"/>
      <c r="F396" s="537"/>
      <c r="G396" s="537"/>
      <c r="H396" s="536"/>
      <c r="I396" s="537"/>
      <c r="J396" s="537"/>
      <c r="K396" s="537"/>
      <c r="L396" s="537"/>
      <c r="M396" s="536"/>
      <c r="N396" s="537"/>
      <c r="O396" s="537"/>
      <c r="P396" s="537"/>
      <c r="Q396" s="537"/>
      <c r="R396" s="536"/>
      <c r="S396" s="537"/>
      <c r="T396" s="537"/>
      <c r="U396" s="537"/>
      <c r="V396" s="537"/>
      <c r="W396" s="536"/>
      <c r="X396" s="537"/>
      <c r="Y396" s="537"/>
      <c r="Z396" s="537"/>
      <c r="AA396" s="537"/>
      <c r="AB396" s="536"/>
      <c r="AC396" s="537"/>
      <c r="AD396" s="537"/>
      <c r="AE396" s="537"/>
      <c r="AF396" s="537"/>
      <c r="AG396" s="536"/>
      <c r="AH396" s="537"/>
      <c r="AI396" s="537"/>
      <c r="AJ396" s="537"/>
      <c r="AK396" s="537"/>
      <c r="AL396" s="536"/>
      <c r="AM396" s="537"/>
      <c r="AN396" s="537"/>
      <c r="AO396" s="537"/>
      <c r="AP396" s="537"/>
      <c r="AQ396" s="536"/>
      <c r="AR396" s="537"/>
      <c r="AS396" s="537"/>
      <c r="AT396" s="537"/>
      <c r="AU396" s="537"/>
      <c r="AV396" s="536"/>
      <c r="AW396" s="537"/>
      <c r="AX396" s="537"/>
      <c r="AY396" s="537"/>
      <c r="AZ396" s="537"/>
      <c r="BA396" s="536"/>
      <c r="BB396" s="537"/>
      <c r="BC396" s="537"/>
      <c r="BD396" s="537"/>
      <c r="BE396" s="537"/>
      <c r="BF396" s="536"/>
      <c r="BG396" s="537"/>
      <c r="BH396" s="537"/>
      <c r="BI396" s="537"/>
      <c r="BJ396" s="537"/>
      <c r="BK396" s="536"/>
      <c r="BL396" s="537"/>
      <c r="BM396" s="537"/>
      <c r="BN396" s="537"/>
      <c r="BO396" s="537"/>
    </row>
    <row r="397" spans="3:67">
      <c r="C397" s="463"/>
      <c r="D397" s="384"/>
      <c r="E397" s="384"/>
      <c r="F397" s="384"/>
      <c r="G397" s="384"/>
      <c r="H397" s="463"/>
      <c r="I397" s="384"/>
      <c r="J397" s="384"/>
      <c r="K397" s="384"/>
      <c r="L397" s="384"/>
      <c r="M397" s="463"/>
      <c r="N397" s="384"/>
      <c r="O397" s="384"/>
      <c r="P397" s="384"/>
      <c r="Q397" s="384"/>
      <c r="R397" s="463"/>
      <c r="S397" s="384"/>
      <c r="T397" s="384"/>
      <c r="U397" s="384"/>
      <c r="V397" s="384"/>
      <c r="W397" s="463"/>
      <c r="X397" s="384"/>
      <c r="Y397" s="384"/>
      <c r="Z397" s="384"/>
      <c r="AA397" s="384"/>
      <c r="AB397" s="463"/>
      <c r="AC397" s="384"/>
      <c r="AD397" s="384"/>
      <c r="AE397" s="384"/>
      <c r="AF397" s="384"/>
      <c r="AG397" s="463"/>
      <c r="AH397" s="384"/>
      <c r="AI397" s="384"/>
      <c r="AJ397" s="384"/>
      <c r="AK397" s="384"/>
      <c r="AL397" s="463"/>
      <c r="AM397" s="384"/>
      <c r="AN397" s="384"/>
      <c r="AO397" s="384"/>
      <c r="AP397" s="384"/>
      <c r="AQ397" s="463"/>
      <c r="AR397" s="384"/>
      <c r="AS397" s="384"/>
      <c r="AT397" s="384"/>
      <c r="AU397" s="384"/>
      <c r="AV397" s="463"/>
      <c r="AW397" s="384"/>
      <c r="AX397" s="384"/>
      <c r="AY397" s="384"/>
      <c r="AZ397" s="384"/>
      <c r="BA397" s="463"/>
      <c r="BB397" s="384"/>
      <c r="BC397" s="384"/>
      <c r="BD397" s="384"/>
      <c r="BE397" s="384"/>
      <c r="BF397" s="463"/>
      <c r="BG397" s="384"/>
      <c r="BH397" s="384"/>
      <c r="BI397" s="384"/>
      <c r="BJ397" s="384"/>
      <c r="BK397" s="463"/>
      <c r="BL397" s="384"/>
      <c r="BM397" s="384"/>
      <c r="BN397" s="384"/>
      <c r="BO397" s="384"/>
    </row>
    <row r="398" spans="3:67">
      <c r="C398" s="463"/>
      <c r="D398" s="384"/>
      <c r="E398" s="384"/>
      <c r="F398" s="384"/>
      <c r="G398" s="384"/>
      <c r="H398" s="463"/>
      <c r="I398" s="384"/>
      <c r="J398" s="384"/>
      <c r="K398" s="384"/>
      <c r="L398" s="384"/>
      <c r="M398" s="463"/>
      <c r="N398" s="384"/>
      <c r="O398" s="384"/>
      <c r="P398" s="384"/>
      <c r="Q398" s="384"/>
      <c r="R398" s="463"/>
      <c r="S398" s="384"/>
      <c r="T398" s="384"/>
      <c r="U398" s="384"/>
      <c r="V398" s="384"/>
      <c r="W398" s="463"/>
      <c r="X398" s="384"/>
      <c r="Y398" s="384"/>
      <c r="Z398" s="384"/>
      <c r="AA398" s="384"/>
      <c r="AB398" s="463"/>
      <c r="AC398" s="384"/>
      <c r="AD398" s="384"/>
      <c r="AE398" s="384"/>
      <c r="AF398" s="384"/>
      <c r="AG398" s="463"/>
      <c r="AH398" s="384"/>
      <c r="AI398" s="384"/>
      <c r="AJ398" s="384"/>
      <c r="AK398" s="384"/>
      <c r="AL398" s="463"/>
      <c r="AM398" s="384"/>
      <c r="AN398" s="384"/>
      <c r="AO398" s="384"/>
      <c r="AP398" s="384"/>
      <c r="AQ398" s="463"/>
      <c r="AR398" s="384"/>
      <c r="AS398" s="384"/>
      <c r="AT398" s="384"/>
      <c r="AU398" s="384"/>
      <c r="AV398" s="463"/>
      <c r="AW398" s="384"/>
      <c r="AX398" s="384"/>
      <c r="AY398" s="384"/>
      <c r="AZ398" s="384"/>
      <c r="BA398" s="463"/>
      <c r="BB398" s="384"/>
      <c r="BC398" s="384"/>
      <c r="BD398" s="384"/>
      <c r="BE398" s="384"/>
      <c r="BF398" s="463"/>
      <c r="BG398" s="384"/>
      <c r="BH398" s="384"/>
      <c r="BI398" s="384"/>
      <c r="BJ398" s="384"/>
      <c r="BK398" s="463"/>
      <c r="BL398" s="384"/>
      <c r="BM398" s="384"/>
      <c r="BN398" s="384"/>
      <c r="BO398" s="384"/>
    </row>
    <row r="400" spans="3:67">
      <c r="C400" s="463"/>
      <c r="D400" s="384"/>
      <c r="E400" s="384"/>
      <c r="F400" s="384"/>
      <c r="G400" s="384"/>
      <c r="H400" s="463"/>
      <c r="I400" s="384"/>
      <c r="J400" s="384"/>
      <c r="K400" s="384"/>
      <c r="L400" s="384"/>
      <c r="M400" s="463"/>
      <c r="N400" s="384"/>
      <c r="O400" s="384"/>
      <c r="P400" s="384"/>
      <c r="Q400" s="384"/>
      <c r="R400" s="463"/>
      <c r="S400" s="384"/>
      <c r="T400" s="384"/>
      <c r="U400" s="384"/>
      <c r="V400" s="384"/>
      <c r="W400" s="463"/>
      <c r="X400" s="384"/>
      <c r="Y400" s="384"/>
      <c r="Z400" s="384"/>
      <c r="AA400" s="384"/>
      <c r="AB400" s="463"/>
      <c r="AC400" s="384"/>
      <c r="AD400" s="384"/>
      <c r="AE400" s="384"/>
      <c r="AF400" s="384"/>
      <c r="AG400" s="463"/>
      <c r="AH400" s="384"/>
      <c r="AI400" s="384"/>
      <c r="AJ400" s="384"/>
      <c r="AK400" s="384"/>
      <c r="AL400" s="463"/>
      <c r="AM400" s="384"/>
      <c r="AN400" s="384"/>
      <c r="AO400" s="384"/>
      <c r="AP400" s="384"/>
      <c r="AQ400" s="463"/>
      <c r="AR400" s="384"/>
      <c r="AS400" s="384"/>
      <c r="AT400" s="384"/>
      <c r="AU400" s="384"/>
      <c r="AV400" s="463"/>
      <c r="AW400" s="384"/>
      <c r="AX400" s="384"/>
      <c r="AY400" s="384"/>
      <c r="AZ400" s="384"/>
      <c r="BA400" s="463"/>
      <c r="BB400" s="384"/>
      <c r="BC400" s="384"/>
      <c r="BD400" s="384"/>
      <c r="BE400" s="384"/>
      <c r="BF400" s="463"/>
      <c r="BG400" s="384"/>
      <c r="BH400" s="384"/>
      <c r="BI400" s="384"/>
      <c r="BJ400" s="384"/>
      <c r="BK400" s="463"/>
      <c r="BL400" s="384"/>
      <c r="BM400" s="384"/>
      <c r="BN400" s="384"/>
      <c r="BO400" s="384"/>
    </row>
    <row r="401" spans="3:67">
      <c r="C401" s="463"/>
      <c r="D401" s="384"/>
      <c r="E401" s="384"/>
      <c r="F401" s="384"/>
      <c r="G401" s="384"/>
      <c r="H401" s="463"/>
      <c r="I401" s="384"/>
      <c r="J401" s="384"/>
      <c r="K401" s="384"/>
      <c r="L401" s="384"/>
      <c r="M401" s="463"/>
      <c r="N401" s="384"/>
      <c r="O401" s="384"/>
      <c r="P401" s="384"/>
      <c r="Q401" s="384"/>
      <c r="R401" s="463"/>
      <c r="S401" s="384"/>
      <c r="T401" s="384"/>
      <c r="U401" s="384"/>
      <c r="V401" s="384"/>
      <c r="W401" s="463"/>
      <c r="X401" s="384"/>
      <c r="Y401" s="384"/>
      <c r="Z401" s="384"/>
      <c r="AA401" s="384"/>
      <c r="AB401" s="463"/>
      <c r="AC401" s="384"/>
      <c r="AD401" s="384"/>
      <c r="AE401" s="384"/>
      <c r="AF401" s="384"/>
      <c r="AG401" s="463"/>
      <c r="AH401" s="384"/>
      <c r="AI401" s="384"/>
      <c r="AJ401" s="384"/>
      <c r="AK401" s="384"/>
      <c r="AL401" s="463"/>
      <c r="AM401" s="384"/>
      <c r="AN401" s="384"/>
      <c r="AO401" s="384"/>
      <c r="AP401" s="384"/>
      <c r="AQ401" s="463"/>
      <c r="AR401" s="384"/>
      <c r="AS401" s="384"/>
      <c r="AT401" s="384"/>
      <c r="AU401" s="384"/>
      <c r="AV401" s="463"/>
      <c r="AW401" s="384"/>
      <c r="AX401" s="384"/>
      <c r="AY401" s="384"/>
      <c r="AZ401" s="384"/>
      <c r="BA401" s="463"/>
      <c r="BB401" s="384"/>
      <c r="BC401" s="384"/>
      <c r="BD401" s="384"/>
      <c r="BE401" s="384"/>
      <c r="BF401" s="463"/>
      <c r="BG401" s="384"/>
      <c r="BH401" s="384"/>
      <c r="BI401" s="384"/>
      <c r="BJ401" s="384"/>
      <c r="BK401" s="463"/>
      <c r="BL401" s="384"/>
      <c r="BM401" s="384"/>
      <c r="BN401" s="384"/>
      <c r="BO401" s="384"/>
    </row>
    <row r="402" spans="3:67">
      <c r="C402" s="463"/>
      <c r="D402" s="384"/>
      <c r="E402" s="384"/>
      <c r="F402" s="384"/>
      <c r="G402" s="384"/>
      <c r="H402" s="463"/>
      <c r="I402" s="384"/>
      <c r="J402" s="384"/>
      <c r="K402" s="384"/>
      <c r="L402" s="384"/>
      <c r="M402" s="463"/>
      <c r="N402" s="384"/>
      <c r="O402" s="384"/>
      <c r="P402" s="384"/>
      <c r="Q402" s="384"/>
      <c r="R402" s="463"/>
      <c r="S402" s="384"/>
      <c r="T402" s="384"/>
      <c r="U402" s="384"/>
      <c r="V402" s="384"/>
      <c r="W402" s="463"/>
      <c r="X402" s="384"/>
      <c r="Y402" s="384"/>
      <c r="Z402" s="384"/>
      <c r="AA402" s="384"/>
      <c r="AB402" s="463"/>
      <c r="AC402" s="384"/>
      <c r="AD402" s="384"/>
      <c r="AE402" s="384"/>
      <c r="AF402" s="384"/>
      <c r="AG402" s="463"/>
      <c r="AH402" s="384"/>
      <c r="AI402" s="384"/>
      <c r="AJ402" s="384"/>
      <c r="AK402" s="384"/>
      <c r="AL402" s="463"/>
      <c r="AM402" s="384"/>
      <c r="AN402" s="384"/>
      <c r="AO402" s="384"/>
      <c r="AP402" s="384"/>
      <c r="AQ402" s="463"/>
      <c r="AR402" s="384"/>
      <c r="AS402" s="384"/>
      <c r="AT402" s="384"/>
      <c r="AU402" s="384"/>
      <c r="AV402" s="463"/>
      <c r="AW402" s="384"/>
      <c r="AX402" s="384"/>
      <c r="AY402" s="384"/>
      <c r="AZ402" s="384"/>
      <c r="BA402" s="463"/>
      <c r="BB402" s="384"/>
      <c r="BC402" s="384"/>
      <c r="BD402" s="384"/>
      <c r="BE402" s="384"/>
      <c r="BF402" s="463"/>
      <c r="BG402" s="384"/>
      <c r="BH402" s="384"/>
      <c r="BI402" s="384"/>
      <c r="BJ402" s="384"/>
      <c r="BK402" s="463"/>
      <c r="BL402" s="384"/>
      <c r="BM402" s="384"/>
      <c r="BN402" s="384"/>
      <c r="BO402" s="384"/>
    </row>
    <row r="406" spans="3:67">
      <c r="C406" s="463"/>
      <c r="D406" s="384"/>
      <c r="E406" s="384"/>
      <c r="F406" s="384"/>
      <c r="G406" s="384"/>
      <c r="H406" s="463"/>
      <c r="I406" s="384"/>
      <c r="J406" s="384"/>
      <c r="K406" s="384"/>
      <c r="L406" s="384"/>
      <c r="M406" s="463"/>
      <c r="N406" s="384"/>
      <c r="O406" s="384"/>
      <c r="P406" s="384"/>
      <c r="Q406" s="384"/>
      <c r="R406" s="463"/>
      <c r="S406" s="384"/>
      <c r="T406" s="384"/>
      <c r="U406" s="384"/>
      <c r="V406" s="384"/>
      <c r="W406" s="463"/>
      <c r="X406" s="384"/>
      <c r="Y406" s="384"/>
      <c r="Z406" s="384"/>
      <c r="AA406" s="384"/>
      <c r="AB406" s="463"/>
      <c r="AC406" s="384"/>
      <c r="AD406" s="384"/>
      <c r="AE406" s="384"/>
      <c r="AF406" s="384"/>
      <c r="AG406" s="463"/>
      <c r="AH406" s="384"/>
      <c r="AI406" s="384"/>
      <c r="AJ406" s="384"/>
      <c r="AK406" s="384"/>
      <c r="AL406" s="463"/>
      <c r="AM406" s="384"/>
      <c r="AN406" s="384"/>
      <c r="AO406" s="384"/>
      <c r="AP406" s="384"/>
      <c r="AQ406" s="463"/>
      <c r="AR406" s="384"/>
      <c r="AS406" s="384"/>
      <c r="AT406" s="384"/>
      <c r="AU406" s="384"/>
      <c r="AV406" s="463"/>
      <c r="AW406" s="384"/>
      <c r="AX406" s="384"/>
      <c r="AY406" s="384"/>
      <c r="AZ406" s="384"/>
      <c r="BA406" s="463"/>
      <c r="BB406" s="384"/>
      <c r="BC406" s="384"/>
      <c r="BD406" s="384"/>
      <c r="BE406" s="384"/>
      <c r="BF406" s="463"/>
      <c r="BG406" s="384"/>
      <c r="BH406" s="384"/>
      <c r="BI406" s="384"/>
      <c r="BJ406" s="384"/>
      <c r="BK406" s="463"/>
      <c r="BL406" s="384"/>
      <c r="BM406" s="384"/>
      <c r="BN406" s="384"/>
      <c r="BO406" s="384"/>
    </row>
    <row r="407" spans="3:67">
      <c r="C407" s="463"/>
      <c r="D407" s="384"/>
      <c r="E407" s="384"/>
      <c r="F407" s="384"/>
      <c r="G407" s="384"/>
      <c r="H407" s="463"/>
      <c r="I407" s="384"/>
      <c r="J407" s="384"/>
      <c r="K407" s="384"/>
      <c r="L407" s="384"/>
      <c r="M407" s="463"/>
      <c r="N407" s="384"/>
      <c r="O407" s="384"/>
      <c r="P407" s="384"/>
      <c r="Q407" s="384"/>
      <c r="R407" s="463"/>
      <c r="S407" s="384"/>
      <c r="T407" s="384"/>
      <c r="U407" s="384"/>
      <c r="V407" s="384"/>
      <c r="W407" s="463"/>
      <c r="X407" s="384"/>
      <c r="Y407" s="384"/>
      <c r="Z407" s="384"/>
      <c r="AA407" s="384"/>
      <c r="AB407" s="463"/>
      <c r="AC407" s="384"/>
      <c r="AD407" s="384"/>
      <c r="AE407" s="384"/>
      <c r="AF407" s="384"/>
      <c r="AG407" s="463"/>
      <c r="AH407" s="384"/>
      <c r="AI407" s="384"/>
      <c r="AJ407" s="384"/>
      <c r="AK407" s="384"/>
      <c r="AL407" s="463"/>
      <c r="AM407" s="384"/>
      <c r="AN407" s="384"/>
      <c r="AO407" s="384"/>
      <c r="AP407" s="384"/>
      <c r="AQ407" s="463"/>
      <c r="AR407" s="384"/>
      <c r="AS407" s="384"/>
      <c r="AT407" s="384"/>
      <c r="AU407" s="384"/>
      <c r="AV407" s="463"/>
      <c r="AW407" s="384"/>
      <c r="AX407" s="384"/>
      <c r="AY407" s="384"/>
      <c r="AZ407" s="384"/>
      <c r="BA407" s="463"/>
      <c r="BB407" s="384"/>
      <c r="BC407" s="384"/>
      <c r="BD407" s="384"/>
      <c r="BE407" s="384"/>
      <c r="BF407" s="463"/>
      <c r="BG407" s="384"/>
      <c r="BH407" s="384"/>
      <c r="BI407" s="384"/>
      <c r="BJ407" s="384"/>
      <c r="BK407" s="463"/>
      <c r="BL407" s="384"/>
      <c r="BM407" s="384"/>
      <c r="BN407" s="384"/>
      <c r="BO407" s="384"/>
    </row>
    <row r="408" spans="3:67">
      <c r="C408" s="463"/>
      <c r="D408" s="384"/>
      <c r="E408" s="384"/>
      <c r="F408" s="384"/>
      <c r="G408" s="384"/>
      <c r="H408" s="463"/>
      <c r="I408" s="384"/>
      <c r="J408" s="384"/>
      <c r="K408" s="384"/>
      <c r="L408" s="384"/>
      <c r="M408" s="463"/>
      <c r="N408" s="384"/>
      <c r="O408" s="384"/>
      <c r="P408" s="384"/>
      <c r="Q408" s="384"/>
      <c r="R408" s="463"/>
      <c r="S408" s="384"/>
      <c r="T408" s="384"/>
      <c r="U408" s="384"/>
      <c r="V408" s="384"/>
      <c r="W408" s="463"/>
      <c r="X408" s="384"/>
      <c r="Y408" s="384"/>
      <c r="Z408" s="384"/>
      <c r="AA408" s="384"/>
      <c r="AB408" s="463"/>
      <c r="AC408" s="384"/>
      <c r="AD408" s="384"/>
      <c r="AE408" s="384"/>
      <c r="AF408" s="384"/>
      <c r="AG408" s="463"/>
      <c r="AH408" s="384"/>
      <c r="AI408" s="384"/>
      <c r="AJ408" s="384"/>
      <c r="AK408" s="384"/>
      <c r="AL408" s="463"/>
      <c r="AM408" s="384"/>
      <c r="AN408" s="384"/>
      <c r="AO408" s="384"/>
      <c r="AP408" s="384"/>
      <c r="AQ408" s="463"/>
      <c r="AR408" s="384"/>
      <c r="AS408" s="384"/>
      <c r="AT408" s="384"/>
      <c r="AU408" s="384"/>
      <c r="AV408" s="463"/>
      <c r="AW408" s="384"/>
      <c r="AX408" s="384"/>
      <c r="AY408" s="384"/>
      <c r="AZ408" s="384"/>
      <c r="BA408" s="463"/>
      <c r="BB408" s="384"/>
      <c r="BC408" s="384"/>
      <c r="BD408" s="384"/>
      <c r="BE408" s="384"/>
      <c r="BF408" s="463"/>
      <c r="BG408" s="384"/>
      <c r="BH408" s="384"/>
      <c r="BI408" s="384"/>
      <c r="BJ408" s="384"/>
      <c r="BK408" s="463"/>
      <c r="BL408" s="384"/>
      <c r="BM408" s="384"/>
      <c r="BN408" s="384"/>
      <c r="BO408" s="384"/>
    </row>
    <row r="409" spans="3:67">
      <c r="C409" s="463"/>
      <c r="D409" s="384"/>
      <c r="E409" s="384"/>
      <c r="F409" s="384"/>
      <c r="G409" s="384"/>
      <c r="H409" s="463"/>
      <c r="I409" s="384"/>
      <c r="J409" s="384"/>
      <c r="K409" s="384"/>
      <c r="L409" s="384"/>
      <c r="M409" s="463"/>
      <c r="N409" s="384"/>
      <c r="O409" s="384"/>
      <c r="P409" s="384"/>
      <c r="Q409" s="384"/>
      <c r="R409" s="463"/>
      <c r="S409" s="384"/>
      <c r="T409" s="384"/>
      <c r="U409" s="384"/>
      <c r="V409" s="384"/>
      <c r="W409" s="463"/>
      <c r="X409" s="384"/>
      <c r="Y409" s="384"/>
      <c r="Z409" s="384"/>
      <c r="AA409" s="384"/>
      <c r="AB409" s="463"/>
      <c r="AC409" s="384"/>
      <c r="AD409" s="384"/>
      <c r="AE409" s="384"/>
      <c r="AF409" s="384"/>
      <c r="AG409" s="463"/>
      <c r="AH409" s="384"/>
      <c r="AI409" s="384"/>
      <c r="AJ409" s="384"/>
      <c r="AK409" s="384"/>
      <c r="AL409" s="463"/>
      <c r="AM409" s="384"/>
      <c r="AN409" s="384"/>
      <c r="AO409" s="384"/>
      <c r="AP409" s="384"/>
      <c r="AQ409" s="463"/>
      <c r="AR409" s="384"/>
      <c r="AS409" s="384"/>
      <c r="AT409" s="384"/>
      <c r="AU409" s="384"/>
      <c r="AV409" s="463"/>
      <c r="AW409" s="384"/>
      <c r="AX409" s="384"/>
      <c r="AY409" s="384"/>
      <c r="AZ409" s="384"/>
      <c r="BA409" s="463"/>
      <c r="BB409" s="384"/>
      <c r="BC409" s="384"/>
      <c r="BD409" s="384"/>
      <c r="BE409" s="384"/>
      <c r="BF409" s="463"/>
      <c r="BG409" s="384"/>
      <c r="BH409" s="384"/>
      <c r="BI409" s="384"/>
      <c r="BJ409" s="384"/>
      <c r="BK409" s="463"/>
      <c r="BL409" s="384"/>
      <c r="BM409" s="384"/>
      <c r="BN409" s="384"/>
      <c r="BO409" s="384"/>
    </row>
    <row r="412" spans="3:67">
      <c r="C412" s="490"/>
      <c r="D412" s="490"/>
      <c r="E412" s="490"/>
      <c r="F412" s="490"/>
      <c r="G412" s="490"/>
      <c r="H412" s="490"/>
      <c r="I412" s="490"/>
      <c r="J412" s="490"/>
      <c r="K412" s="490"/>
      <c r="L412" s="490"/>
      <c r="M412" s="490"/>
      <c r="N412" s="490"/>
      <c r="O412" s="490"/>
      <c r="P412" s="490"/>
      <c r="Q412" s="490"/>
      <c r="R412" s="490"/>
      <c r="S412" s="490"/>
      <c r="T412" s="490"/>
      <c r="U412" s="490"/>
      <c r="V412" s="490"/>
      <c r="W412" s="490"/>
      <c r="X412" s="490"/>
      <c r="Y412" s="490"/>
      <c r="Z412" s="490"/>
      <c r="AA412" s="490"/>
      <c r="AB412" s="490"/>
      <c r="AC412" s="490"/>
      <c r="AD412" s="490"/>
      <c r="AE412" s="490"/>
      <c r="AF412" s="490"/>
      <c r="AG412" s="490"/>
      <c r="AH412" s="490"/>
      <c r="AI412" s="490"/>
      <c r="AJ412" s="490"/>
      <c r="AK412" s="490"/>
      <c r="AL412" s="490"/>
      <c r="AM412" s="490"/>
      <c r="AN412" s="490"/>
      <c r="AO412" s="490"/>
      <c r="AP412" s="490"/>
      <c r="AQ412" s="490"/>
      <c r="AR412" s="490"/>
      <c r="AS412" s="490"/>
      <c r="AT412" s="490"/>
      <c r="AU412" s="490"/>
      <c r="AV412" s="490"/>
      <c r="AW412" s="490"/>
      <c r="AX412" s="490"/>
      <c r="AY412" s="490"/>
      <c r="AZ412" s="490"/>
      <c r="BA412" s="490"/>
      <c r="BB412" s="490"/>
      <c r="BC412" s="490"/>
      <c r="BD412" s="490"/>
      <c r="BE412" s="490"/>
      <c r="BF412" s="490"/>
      <c r="BG412" s="490"/>
      <c r="BH412" s="490"/>
      <c r="BI412" s="490"/>
      <c r="BJ412" s="490"/>
      <c r="BK412" s="490"/>
      <c r="BL412" s="490"/>
      <c r="BM412" s="490"/>
      <c r="BN412" s="490"/>
      <c r="BO412" s="490"/>
    </row>
    <row r="413" spans="3:67">
      <c r="C413" s="490"/>
      <c r="D413" s="490"/>
      <c r="E413" s="490"/>
      <c r="F413" s="490"/>
      <c r="G413" s="490"/>
      <c r="H413" s="490"/>
      <c r="I413" s="490"/>
      <c r="J413" s="490"/>
      <c r="K413" s="490"/>
      <c r="L413" s="490"/>
      <c r="M413" s="490"/>
      <c r="N413" s="490"/>
      <c r="O413" s="490"/>
      <c r="P413" s="490"/>
      <c r="Q413" s="490"/>
      <c r="R413" s="490"/>
      <c r="S413" s="490"/>
      <c r="T413" s="490"/>
      <c r="U413" s="490"/>
      <c r="V413" s="490"/>
      <c r="W413" s="490"/>
      <c r="X413" s="490"/>
      <c r="Y413" s="490"/>
      <c r="Z413" s="490"/>
      <c r="AA413" s="490"/>
      <c r="AB413" s="490"/>
      <c r="AC413" s="490"/>
      <c r="AD413" s="490"/>
      <c r="AE413" s="490"/>
      <c r="AF413" s="490"/>
      <c r="AG413" s="490"/>
      <c r="AH413" s="490"/>
      <c r="AI413" s="490"/>
      <c r="AJ413" s="490"/>
      <c r="AK413" s="490"/>
      <c r="AL413" s="490"/>
      <c r="AM413" s="490"/>
      <c r="AN413" s="490"/>
      <c r="AO413" s="490"/>
      <c r="AP413" s="490"/>
      <c r="AQ413" s="490"/>
      <c r="AR413" s="490"/>
      <c r="AS413" s="490"/>
      <c r="AT413" s="490"/>
      <c r="AU413" s="490"/>
      <c r="AV413" s="490"/>
      <c r="AW413" s="490"/>
      <c r="AX413" s="490"/>
      <c r="AY413" s="490"/>
      <c r="AZ413" s="490"/>
      <c r="BA413" s="490"/>
      <c r="BB413" s="490"/>
      <c r="BC413" s="490"/>
      <c r="BD413" s="490"/>
      <c r="BE413" s="490"/>
      <c r="BF413" s="490"/>
      <c r="BG413" s="490"/>
      <c r="BH413" s="490"/>
      <c r="BI413" s="490"/>
      <c r="BJ413" s="490"/>
      <c r="BK413" s="490"/>
      <c r="BL413" s="490"/>
      <c r="BM413" s="490"/>
      <c r="BN413" s="490"/>
      <c r="BO413" s="490"/>
    </row>
    <row r="414" spans="3:67">
      <c r="C414" s="490"/>
      <c r="D414" s="490"/>
      <c r="E414" s="490"/>
      <c r="F414" s="490"/>
      <c r="G414" s="490"/>
      <c r="H414" s="490"/>
      <c r="I414" s="490"/>
      <c r="J414" s="490"/>
      <c r="K414" s="490"/>
      <c r="L414" s="490"/>
      <c r="M414" s="490"/>
      <c r="N414" s="490"/>
      <c r="O414" s="490"/>
      <c r="P414" s="490"/>
      <c r="Q414" s="490"/>
      <c r="R414" s="490"/>
      <c r="S414" s="490"/>
      <c r="T414" s="490"/>
      <c r="U414" s="490"/>
      <c r="V414" s="490"/>
      <c r="W414" s="490"/>
      <c r="X414" s="490"/>
      <c r="Y414" s="490"/>
      <c r="Z414" s="490"/>
      <c r="AA414" s="490"/>
      <c r="AB414" s="490"/>
      <c r="AC414" s="490"/>
      <c r="AD414" s="490"/>
      <c r="AE414" s="490"/>
      <c r="AF414" s="490"/>
      <c r="AG414" s="490"/>
      <c r="AH414" s="490"/>
      <c r="AI414" s="490"/>
      <c r="AJ414" s="490"/>
      <c r="AK414" s="490"/>
      <c r="AL414" s="490"/>
      <c r="AM414" s="490"/>
      <c r="AN414" s="490"/>
      <c r="AO414" s="490"/>
      <c r="AP414" s="490"/>
      <c r="AQ414" s="490"/>
      <c r="AR414" s="490"/>
      <c r="AS414" s="490"/>
      <c r="AT414" s="490"/>
      <c r="AU414" s="490"/>
      <c r="AV414" s="490"/>
      <c r="AW414" s="490"/>
      <c r="AX414" s="490"/>
      <c r="AY414" s="490"/>
      <c r="AZ414" s="490"/>
      <c r="BA414" s="490"/>
      <c r="BB414" s="490"/>
      <c r="BC414" s="490"/>
      <c r="BD414" s="490"/>
      <c r="BE414" s="490"/>
      <c r="BF414" s="490"/>
      <c r="BG414" s="490"/>
      <c r="BH414" s="490"/>
      <c r="BI414" s="490"/>
      <c r="BJ414" s="490"/>
      <c r="BK414" s="490"/>
      <c r="BL414" s="490"/>
      <c r="BM414" s="490"/>
      <c r="BN414" s="490"/>
      <c r="BO414" s="490"/>
    </row>
    <row r="415" spans="3:67">
      <c r="C415" s="394"/>
      <c r="D415" s="394"/>
      <c r="E415" s="394"/>
      <c r="F415" s="394"/>
      <c r="G415" s="394"/>
      <c r="H415" s="394"/>
      <c r="I415" s="394"/>
      <c r="J415" s="394"/>
      <c r="K415" s="394"/>
      <c r="L415" s="394"/>
      <c r="M415" s="394"/>
      <c r="N415" s="394"/>
      <c r="O415" s="394"/>
      <c r="P415" s="394"/>
      <c r="Q415" s="394"/>
      <c r="R415" s="394"/>
      <c r="S415" s="394"/>
      <c r="T415" s="394"/>
      <c r="U415" s="394"/>
      <c r="V415" s="394"/>
      <c r="W415" s="394"/>
      <c r="X415" s="394"/>
      <c r="Y415" s="394"/>
      <c r="Z415" s="394"/>
      <c r="AA415" s="394"/>
      <c r="AB415" s="394"/>
      <c r="AC415" s="394"/>
      <c r="AD415" s="394"/>
      <c r="AE415" s="394"/>
      <c r="AF415" s="394"/>
      <c r="AG415" s="394"/>
      <c r="AH415" s="394"/>
      <c r="AI415" s="394"/>
      <c r="AJ415" s="394"/>
      <c r="AK415" s="394"/>
      <c r="AL415" s="394"/>
      <c r="AM415" s="394"/>
      <c r="AN415" s="394"/>
      <c r="AO415" s="394"/>
      <c r="AP415" s="394"/>
      <c r="AQ415" s="394"/>
      <c r="AR415" s="394"/>
      <c r="AS415" s="394"/>
      <c r="AT415" s="394"/>
      <c r="AU415" s="394"/>
      <c r="AV415" s="394"/>
      <c r="AW415" s="394"/>
      <c r="AX415" s="394"/>
      <c r="AY415" s="394"/>
      <c r="AZ415" s="394"/>
      <c r="BA415" s="394"/>
      <c r="BB415" s="394"/>
      <c r="BC415" s="394"/>
      <c r="BD415" s="394"/>
      <c r="BE415" s="394"/>
      <c r="BF415" s="394"/>
      <c r="BG415" s="394"/>
      <c r="BH415" s="394"/>
      <c r="BI415" s="394"/>
      <c r="BJ415" s="394"/>
      <c r="BK415" s="394"/>
      <c r="BL415" s="394"/>
      <c r="BM415" s="394"/>
      <c r="BN415" s="394"/>
      <c r="BO415" s="394"/>
    </row>
    <row r="416" spans="3:67">
      <c r="C416" s="538"/>
      <c r="D416" s="538"/>
      <c r="E416" s="538"/>
      <c r="F416" s="538"/>
      <c r="G416" s="538"/>
      <c r="H416" s="538"/>
      <c r="I416" s="538"/>
      <c r="J416" s="538"/>
      <c r="K416" s="538"/>
      <c r="L416" s="538"/>
      <c r="M416" s="538"/>
      <c r="N416" s="538"/>
      <c r="O416" s="538"/>
      <c r="P416" s="538"/>
      <c r="Q416" s="538"/>
      <c r="R416" s="538"/>
      <c r="S416" s="538"/>
      <c r="T416" s="538"/>
      <c r="U416" s="538"/>
      <c r="V416" s="538"/>
      <c r="W416" s="538"/>
      <c r="X416" s="538"/>
      <c r="Y416" s="538"/>
      <c r="Z416" s="538"/>
      <c r="AA416" s="538"/>
      <c r="AB416" s="538"/>
      <c r="AC416" s="538"/>
      <c r="AD416" s="538"/>
      <c r="AE416" s="538"/>
      <c r="AF416" s="538"/>
      <c r="AG416" s="538"/>
      <c r="AH416" s="538"/>
      <c r="AI416" s="538"/>
      <c r="AJ416" s="538"/>
      <c r="AK416" s="538"/>
      <c r="AL416" s="538"/>
      <c r="AM416" s="538"/>
      <c r="AN416" s="538"/>
      <c r="AO416" s="538"/>
      <c r="AP416" s="538"/>
      <c r="AQ416" s="538"/>
      <c r="AR416" s="538"/>
      <c r="AS416" s="538"/>
      <c r="AT416" s="538"/>
      <c r="AU416" s="538"/>
      <c r="AV416" s="538"/>
      <c r="AW416" s="538"/>
      <c r="AX416" s="538"/>
      <c r="AY416" s="538"/>
      <c r="AZ416" s="538"/>
      <c r="BA416" s="538"/>
      <c r="BB416" s="538"/>
      <c r="BC416" s="538"/>
      <c r="BD416" s="538"/>
      <c r="BE416" s="538"/>
      <c r="BF416" s="538"/>
      <c r="BG416" s="538"/>
      <c r="BH416" s="538"/>
      <c r="BI416" s="538"/>
      <c r="BJ416" s="538"/>
      <c r="BK416" s="538"/>
      <c r="BL416" s="538"/>
      <c r="BM416" s="538"/>
      <c r="BN416" s="538"/>
      <c r="BO416" s="538"/>
    </row>
    <row r="417" spans="3:67">
      <c r="C417" s="490"/>
      <c r="D417" s="490"/>
      <c r="E417" s="490"/>
      <c r="F417" s="490"/>
      <c r="G417" s="490"/>
      <c r="H417" s="490"/>
      <c r="I417" s="490"/>
      <c r="J417" s="490"/>
      <c r="K417" s="490"/>
      <c r="L417" s="490"/>
      <c r="M417" s="490"/>
      <c r="N417" s="490"/>
      <c r="O417" s="490"/>
      <c r="P417" s="490"/>
      <c r="Q417" s="490"/>
      <c r="R417" s="490"/>
      <c r="S417" s="490"/>
      <c r="T417" s="490"/>
      <c r="U417" s="490"/>
      <c r="V417" s="490"/>
      <c r="W417" s="490"/>
      <c r="X417" s="490"/>
      <c r="Y417" s="490"/>
      <c r="Z417" s="490"/>
      <c r="AA417" s="490"/>
      <c r="AB417" s="490"/>
      <c r="AC417" s="490"/>
      <c r="AD417" s="490"/>
      <c r="AE417" s="490"/>
      <c r="AF417" s="490"/>
      <c r="AG417" s="490"/>
      <c r="AH417" s="490"/>
      <c r="AI417" s="490"/>
      <c r="AJ417" s="490"/>
      <c r="AK417" s="490"/>
      <c r="AL417" s="490"/>
      <c r="AM417" s="490"/>
      <c r="AN417" s="490"/>
      <c r="AO417" s="490"/>
      <c r="AP417" s="490"/>
      <c r="AQ417" s="490"/>
      <c r="AR417" s="490"/>
      <c r="AS417" s="490"/>
      <c r="AT417" s="490"/>
      <c r="AU417" s="490"/>
      <c r="AV417" s="490"/>
      <c r="AW417" s="490"/>
      <c r="AX417" s="490"/>
      <c r="AY417" s="490"/>
      <c r="AZ417" s="490"/>
      <c r="BA417" s="490"/>
      <c r="BB417" s="490"/>
      <c r="BC417" s="490"/>
      <c r="BD417" s="490"/>
      <c r="BE417" s="490"/>
      <c r="BF417" s="490"/>
      <c r="BG417" s="490"/>
      <c r="BH417" s="490"/>
      <c r="BI417" s="490"/>
      <c r="BJ417" s="490"/>
      <c r="BK417" s="490"/>
      <c r="BL417" s="490"/>
      <c r="BM417" s="490"/>
      <c r="BN417" s="490"/>
      <c r="BO417" s="490"/>
    </row>
    <row r="418" spans="3:67">
      <c r="C418" s="490"/>
      <c r="D418" s="490"/>
      <c r="E418" s="490"/>
      <c r="F418" s="490"/>
      <c r="G418" s="490"/>
      <c r="H418" s="490"/>
      <c r="I418" s="490"/>
      <c r="J418" s="490"/>
      <c r="K418" s="490"/>
      <c r="L418" s="490"/>
      <c r="M418" s="490"/>
      <c r="N418" s="490"/>
      <c r="O418" s="490"/>
      <c r="P418" s="490"/>
      <c r="Q418" s="490"/>
      <c r="R418" s="490"/>
      <c r="S418" s="490"/>
      <c r="T418" s="490"/>
      <c r="U418" s="490"/>
      <c r="V418" s="490"/>
      <c r="W418" s="490"/>
      <c r="X418" s="490"/>
      <c r="Y418" s="490"/>
      <c r="Z418" s="490"/>
      <c r="AA418" s="490"/>
      <c r="AB418" s="490"/>
      <c r="AC418" s="490"/>
      <c r="AD418" s="490"/>
      <c r="AE418" s="490"/>
      <c r="AF418" s="490"/>
      <c r="AG418" s="490"/>
      <c r="AH418" s="490"/>
      <c r="AI418" s="490"/>
      <c r="AJ418" s="490"/>
      <c r="AK418" s="490"/>
      <c r="AL418" s="490"/>
      <c r="AM418" s="490"/>
      <c r="AN418" s="490"/>
      <c r="AO418" s="490"/>
      <c r="AP418" s="490"/>
      <c r="AQ418" s="490"/>
      <c r="AR418" s="490"/>
      <c r="AS418" s="490"/>
      <c r="AT418" s="490"/>
      <c r="AU418" s="490"/>
      <c r="AV418" s="490"/>
      <c r="AW418" s="490"/>
      <c r="AX418" s="490"/>
      <c r="AY418" s="490"/>
      <c r="AZ418" s="490"/>
      <c r="BA418" s="490"/>
      <c r="BB418" s="490"/>
      <c r="BC418" s="490"/>
      <c r="BD418" s="490"/>
      <c r="BE418" s="490"/>
      <c r="BF418" s="490"/>
      <c r="BG418" s="490"/>
      <c r="BH418" s="490"/>
      <c r="BI418" s="490"/>
      <c r="BJ418" s="490"/>
      <c r="BK418" s="490"/>
      <c r="BL418" s="490"/>
      <c r="BM418" s="490"/>
      <c r="BN418" s="490"/>
      <c r="BO418" s="490"/>
    </row>
    <row r="419" spans="3:67">
      <c r="C419" s="394"/>
      <c r="D419" s="394"/>
      <c r="E419" s="394"/>
      <c r="F419" s="394"/>
      <c r="G419" s="394"/>
      <c r="H419" s="394"/>
      <c r="I419" s="394"/>
      <c r="J419" s="394"/>
      <c r="K419" s="394"/>
      <c r="L419" s="394"/>
      <c r="M419" s="394"/>
      <c r="N419" s="394"/>
      <c r="O419" s="394"/>
      <c r="P419" s="394"/>
      <c r="Q419" s="394"/>
      <c r="R419" s="394"/>
      <c r="S419" s="394"/>
      <c r="T419" s="394"/>
      <c r="U419" s="394"/>
      <c r="V419" s="394"/>
      <c r="W419" s="394"/>
      <c r="X419" s="394"/>
      <c r="Y419" s="394"/>
      <c r="Z419" s="394"/>
      <c r="AA419" s="394"/>
      <c r="AB419" s="394"/>
      <c r="AC419" s="394"/>
      <c r="AD419" s="394"/>
      <c r="AE419" s="394"/>
      <c r="AF419" s="394"/>
      <c r="AG419" s="394"/>
      <c r="AH419" s="394"/>
      <c r="AI419" s="394"/>
      <c r="AJ419" s="394"/>
      <c r="AK419" s="394"/>
      <c r="AL419" s="394"/>
      <c r="AM419" s="394"/>
      <c r="AN419" s="394"/>
      <c r="AO419" s="394"/>
      <c r="AP419" s="394"/>
      <c r="AQ419" s="394"/>
      <c r="AR419" s="394"/>
      <c r="AS419" s="394"/>
      <c r="AT419" s="394"/>
      <c r="AU419" s="394"/>
      <c r="AV419" s="394"/>
      <c r="AW419" s="394"/>
      <c r="AX419" s="394"/>
      <c r="AY419" s="394"/>
      <c r="AZ419" s="394"/>
      <c r="BA419" s="394"/>
      <c r="BB419" s="394"/>
      <c r="BC419" s="394"/>
      <c r="BD419" s="394"/>
      <c r="BE419" s="394"/>
      <c r="BF419" s="394"/>
      <c r="BG419" s="394"/>
      <c r="BH419" s="394"/>
      <c r="BI419" s="394"/>
      <c r="BJ419" s="394"/>
      <c r="BK419" s="394"/>
      <c r="BL419" s="394"/>
      <c r="BM419" s="394"/>
      <c r="BN419" s="394"/>
      <c r="BO419" s="394"/>
    </row>
    <row r="420" spans="3:67">
      <c r="C420" s="394"/>
      <c r="D420" s="394"/>
      <c r="E420" s="394"/>
      <c r="F420" s="394"/>
      <c r="G420" s="394"/>
      <c r="H420" s="394"/>
      <c r="I420" s="394"/>
      <c r="J420" s="394"/>
      <c r="K420" s="394"/>
      <c r="L420" s="394"/>
      <c r="M420" s="394"/>
      <c r="N420" s="394"/>
      <c r="O420" s="394"/>
      <c r="P420" s="394"/>
      <c r="Q420" s="394"/>
      <c r="R420" s="394"/>
      <c r="S420" s="394"/>
      <c r="T420" s="394"/>
      <c r="U420" s="394"/>
      <c r="V420" s="394"/>
      <c r="W420" s="394"/>
      <c r="X420" s="394"/>
      <c r="Y420" s="394"/>
      <c r="Z420" s="394"/>
      <c r="AA420" s="394"/>
      <c r="AB420" s="394"/>
      <c r="AC420" s="394"/>
      <c r="AD420" s="394"/>
      <c r="AE420" s="394"/>
      <c r="AF420" s="394"/>
      <c r="AG420" s="394"/>
      <c r="AH420" s="394"/>
      <c r="AI420" s="394"/>
      <c r="AJ420" s="394"/>
      <c r="AK420" s="394"/>
      <c r="AL420" s="394"/>
      <c r="AM420" s="394"/>
      <c r="AN420" s="394"/>
      <c r="AO420" s="394"/>
      <c r="AP420" s="394"/>
      <c r="AQ420" s="394"/>
      <c r="AR420" s="394"/>
      <c r="AS420" s="394"/>
      <c r="AT420" s="394"/>
      <c r="AU420" s="394"/>
      <c r="AV420" s="394"/>
      <c r="AW420" s="394"/>
      <c r="AX420" s="394"/>
      <c r="AY420" s="394"/>
      <c r="AZ420" s="394"/>
      <c r="BA420" s="394"/>
      <c r="BB420" s="394"/>
      <c r="BC420" s="394"/>
      <c r="BD420" s="394"/>
      <c r="BE420" s="394"/>
      <c r="BF420" s="394"/>
      <c r="BG420" s="394"/>
      <c r="BH420" s="394"/>
      <c r="BI420" s="394"/>
      <c r="BJ420" s="394"/>
      <c r="BK420" s="394"/>
      <c r="BL420" s="394"/>
      <c r="BM420" s="394"/>
      <c r="BN420" s="394"/>
      <c r="BO420" s="394"/>
    </row>
    <row r="421" spans="3:67">
      <c r="C421" s="490"/>
      <c r="D421" s="490"/>
      <c r="E421" s="490"/>
      <c r="F421" s="490"/>
      <c r="G421" s="490"/>
      <c r="H421" s="490"/>
      <c r="I421" s="490"/>
      <c r="J421" s="490"/>
      <c r="K421" s="490"/>
      <c r="L421" s="490"/>
      <c r="M421" s="490"/>
      <c r="N421" s="490"/>
      <c r="O421" s="490"/>
      <c r="P421" s="490"/>
      <c r="Q421" s="490"/>
      <c r="R421" s="490"/>
      <c r="S421" s="490"/>
      <c r="T421" s="490"/>
      <c r="U421" s="490"/>
      <c r="V421" s="490"/>
      <c r="W421" s="490"/>
      <c r="X421" s="490"/>
      <c r="Y421" s="490"/>
      <c r="Z421" s="490"/>
      <c r="AA421" s="490"/>
      <c r="AB421" s="490"/>
      <c r="AC421" s="490"/>
      <c r="AD421" s="490"/>
      <c r="AE421" s="490"/>
      <c r="AF421" s="490"/>
      <c r="AG421" s="490"/>
      <c r="AH421" s="490"/>
      <c r="AI421" s="490"/>
      <c r="AJ421" s="490"/>
      <c r="AK421" s="490"/>
      <c r="AL421" s="490"/>
      <c r="AM421" s="490"/>
      <c r="AN421" s="490"/>
      <c r="AO421" s="490"/>
      <c r="AP421" s="490"/>
      <c r="AQ421" s="490"/>
      <c r="AR421" s="490"/>
      <c r="AS421" s="490"/>
      <c r="AT421" s="490"/>
      <c r="AU421" s="490"/>
      <c r="AV421" s="490"/>
      <c r="AW421" s="490"/>
      <c r="AX421" s="490"/>
      <c r="AY421" s="490"/>
      <c r="AZ421" s="490"/>
      <c r="BA421" s="490"/>
      <c r="BB421" s="490"/>
      <c r="BC421" s="490"/>
      <c r="BD421" s="490"/>
      <c r="BE421" s="490"/>
      <c r="BF421" s="490"/>
      <c r="BG421" s="490"/>
      <c r="BH421" s="490"/>
      <c r="BI421" s="490"/>
      <c r="BJ421" s="490"/>
      <c r="BK421" s="490"/>
      <c r="BL421" s="490"/>
      <c r="BM421" s="490"/>
      <c r="BN421" s="490"/>
      <c r="BO421" s="490"/>
    </row>
    <row r="422" spans="3:67">
      <c r="C422" s="539"/>
      <c r="D422" s="539"/>
      <c r="E422" s="539"/>
      <c r="F422" s="539"/>
      <c r="G422" s="539"/>
      <c r="H422" s="539"/>
      <c r="I422" s="539"/>
      <c r="J422" s="539"/>
      <c r="K422" s="539"/>
      <c r="L422" s="539"/>
      <c r="M422" s="539"/>
      <c r="N422" s="539"/>
      <c r="O422" s="539"/>
      <c r="P422" s="539"/>
      <c r="Q422" s="539"/>
      <c r="R422" s="539"/>
      <c r="S422" s="539"/>
      <c r="T422" s="539"/>
      <c r="U422" s="539"/>
      <c r="V422" s="539"/>
      <c r="W422" s="539"/>
      <c r="X422" s="539"/>
      <c r="Y422" s="539"/>
      <c r="Z422" s="539"/>
      <c r="AA422" s="539"/>
      <c r="AB422" s="539"/>
      <c r="AC422" s="539"/>
      <c r="AD422" s="539"/>
      <c r="AE422" s="539"/>
      <c r="AF422" s="539"/>
      <c r="AG422" s="539"/>
      <c r="AH422" s="539"/>
      <c r="AI422" s="539"/>
      <c r="AJ422" s="539"/>
      <c r="AK422" s="539"/>
      <c r="AL422" s="539"/>
      <c r="AM422" s="539"/>
      <c r="AN422" s="539"/>
      <c r="AO422" s="539"/>
      <c r="AP422" s="539"/>
      <c r="AQ422" s="539"/>
      <c r="AR422" s="539"/>
      <c r="AS422" s="539"/>
      <c r="AT422" s="539"/>
      <c r="AU422" s="539"/>
      <c r="AV422" s="539"/>
      <c r="AW422" s="539"/>
      <c r="AX422" s="539"/>
      <c r="AY422" s="539"/>
      <c r="AZ422" s="539"/>
      <c r="BA422" s="539"/>
      <c r="BB422" s="539"/>
      <c r="BC422" s="539"/>
      <c r="BD422" s="539"/>
      <c r="BE422" s="539"/>
      <c r="BF422" s="539"/>
      <c r="BG422" s="539"/>
      <c r="BH422" s="539"/>
      <c r="BI422" s="539"/>
      <c r="BJ422" s="539"/>
      <c r="BK422" s="539"/>
      <c r="BL422" s="539"/>
      <c r="BM422" s="539"/>
      <c r="BN422" s="539"/>
      <c r="BO422" s="539"/>
    </row>
    <row r="423" spans="3:67">
      <c r="C423" s="394"/>
      <c r="D423" s="394"/>
      <c r="E423" s="394"/>
      <c r="F423" s="394"/>
      <c r="G423" s="394"/>
      <c r="H423" s="394"/>
      <c r="I423" s="394"/>
      <c r="J423" s="394"/>
      <c r="K423" s="394"/>
      <c r="L423" s="394"/>
      <c r="M423" s="394"/>
      <c r="N423" s="394"/>
      <c r="O423" s="394"/>
      <c r="P423" s="394"/>
      <c r="Q423" s="394"/>
      <c r="R423" s="394"/>
      <c r="S423" s="394"/>
      <c r="T423" s="394"/>
      <c r="U423" s="394"/>
      <c r="V423" s="394"/>
      <c r="W423" s="394"/>
      <c r="X423" s="394"/>
      <c r="Y423" s="394"/>
      <c r="Z423" s="394"/>
      <c r="AA423" s="394"/>
      <c r="AB423" s="394"/>
      <c r="AC423" s="394"/>
      <c r="AD423" s="394"/>
      <c r="AE423" s="394"/>
      <c r="AF423" s="394"/>
      <c r="AG423" s="394"/>
      <c r="AH423" s="394"/>
      <c r="AI423" s="394"/>
      <c r="AJ423" s="394"/>
      <c r="AK423" s="394"/>
      <c r="AL423" s="394"/>
      <c r="AM423" s="394"/>
      <c r="AN423" s="394"/>
      <c r="AO423" s="394"/>
      <c r="AP423" s="394"/>
      <c r="AQ423" s="394"/>
      <c r="AR423" s="394"/>
      <c r="AS423" s="394"/>
      <c r="AT423" s="394"/>
      <c r="AU423" s="394"/>
      <c r="AV423" s="394"/>
      <c r="AW423" s="394"/>
      <c r="AX423" s="394"/>
      <c r="AY423" s="394"/>
      <c r="AZ423" s="394"/>
      <c r="BA423" s="394"/>
      <c r="BB423" s="394"/>
      <c r="BC423" s="394"/>
      <c r="BD423" s="394"/>
      <c r="BE423" s="394"/>
      <c r="BF423" s="394"/>
      <c r="BG423" s="394"/>
      <c r="BH423" s="394"/>
      <c r="BI423" s="394"/>
      <c r="BJ423" s="394"/>
      <c r="BK423" s="394"/>
      <c r="BL423" s="394"/>
      <c r="BM423" s="394"/>
      <c r="BN423" s="394"/>
      <c r="BO423" s="394"/>
    </row>
    <row r="424" spans="3:67">
      <c r="C424" s="394"/>
      <c r="D424" s="394"/>
      <c r="E424" s="394"/>
      <c r="F424" s="394"/>
      <c r="G424" s="394"/>
      <c r="H424" s="394"/>
      <c r="I424" s="394"/>
      <c r="J424" s="394"/>
      <c r="K424" s="394"/>
      <c r="L424" s="394"/>
      <c r="M424" s="394"/>
      <c r="N424" s="394"/>
      <c r="O424" s="394"/>
      <c r="P424" s="394"/>
      <c r="Q424" s="394"/>
      <c r="R424" s="394"/>
      <c r="S424" s="394"/>
      <c r="T424" s="394"/>
      <c r="U424" s="394"/>
      <c r="V424" s="394"/>
      <c r="W424" s="394"/>
      <c r="X424" s="394"/>
      <c r="Y424" s="394"/>
      <c r="Z424" s="394"/>
      <c r="AA424" s="394"/>
      <c r="AB424" s="394"/>
      <c r="AC424" s="394"/>
      <c r="AD424" s="394"/>
      <c r="AE424" s="394"/>
      <c r="AF424" s="394"/>
      <c r="AG424" s="394"/>
      <c r="AH424" s="394"/>
      <c r="AI424" s="394"/>
      <c r="AJ424" s="394"/>
      <c r="AK424" s="394"/>
      <c r="AL424" s="394"/>
      <c r="AM424" s="394"/>
      <c r="AN424" s="394"/>
      <c r="AO424" s="394"/>
      <c r="AP424" s="394"/>
      <c r="AQ424" s="394"/>
      <c r="AR424" s="394"/>
      <c r="AS424" s="394"/>
      <c r="AT424" s="394"/>
      <c r="AU424" s="394"/>
      <c r="AV424" s="394"/>
      <c r="AW424" s="394"/>
      <c r="AX424" s="394"/>
      <c r="AY424" s="394"/>
      <c r="AZ424" s="394"/>
      <c r="BA424" s="394"/>
      <c r="BB424" s="394"/>
      <c r="BC424" s="394"/>
      <c r="BD424" s="394"/>
      <c r="BE424" s="394"/>
      <c r="BF424" s="394"/>
      <c r="BG424" s="394"/>
      <c r="BH424" s="394"/>
      <c r="BI424" s="394"/>
      <c r="BJ424" s="394"/>
      <c r="BK424" s="394"/>
      <c r="BL424" s="394"/>
      <c r="BM424" s="394"/>
      <c r="BN424" s="394"/>
      <c r="BO424" s="394"/>
    </row>
    <row r="425" spans="3:67">
      <c r="C425" s="540"/>
      <c r="D425" s="540"/>
      <c r="E425" s="540"/>
      <c r="F425" s="540"/>
      <c r="G425" s="540"/>
      <c r="H425" s="540"/>
      <c r="I425" s="540"/>
      <c r="J425" s="540"/>
      <c r="K425" s="540"/>
      <c r="L425" s="540"/>
      <c r="M425" s="540"/>
      <c r="N425" s="540"/>
      <c r="O425" s="540"/>
      <c r="P425" s="540"/>
      <c r="Q425" s="540"/>
      <c r="R425" s="540"/>
      <c r="S425" s="540"/>
      <c r="T425" s="540"/>
      <c r="U425" s="540"/>
      <c r="V425" s="540"/>
      <c r="W425" s="540"/>
      <c r="X425" s="540"/>
      <c r="Y425" s="540"/>
      <c r="Z425" s="540"/>
      <c r="AA425" s="540"/>
      <c r="AB425" s="540"/>
      <c r="AC425" s="540"/>
      <c r="AD425" s="540"/>
      <c r="AE425" s="540"/>
      <c r="AF425" s="540"/>
      <c r="AG425" s="540"/>
      <c r="AH425" s="540"/>
      <c r="AI425" s="540"/>
      <c r="AJ425" s="540"/>
      <c r="AK425" s="540"/>
      <c r="AL425" s="540"/>
      <c r="AM425" s="540"/>
      <c r="AN425" s="540"/>
      <c r="AO425" s="540"/>
      <c r="AP425" s="540"/>
      <c r="AQ425" s="540"/>
      <c r="AR425" s="540"/>
      <c r="AS425" s="540"/>
      <c r="AT425" s="540"/>
      <c r="AU425" s="540"/>
      <c r="AV425" s="540"/>
      <c r="AW425" s="540"/>
      <c r="AX425" s="540"/>
      <c r="AY425" s="540"/>
      <c r="AZ425" s="540"/>
      <c r="BA425" s="540"/>
      <c r="BB425" s="540"/>
      <c r="BC425" s="540"/>
      <c r="BD425" s="540"/>
      <c r="BE425" s="540"/>
      <c r="BF425" s="540"/>
      <c r="BG425" s="540"/>
      <c r="BH425" s="540"/>
      <c r="BI425" s="540"/>
      <c r="BJ425" s="540"/>
      <c r="BK425" s="540"/>
      <c r="BL425" s="540"/>
      <c r="BM425" s="540"/>
      <c r="BN425" s="540"/>
      <c r="BO425" s="540"/>
    </row>
    <row r="426" spans="3:67">
      <c r="C426" s="490"/>
      <c r="D426" s="490"/>
      <c r="E426" s="490"/>
      <c r="F426" s="490"/>
      <c r="G426" s="490"/>
      <c r="H426" s="490"/>
      <c r="I426" s="490"/>
      <c r="J426" s="490"/>
      <c r="K426" s="490"/>
      <c r="L426" s="490"/>
      <c r="M426" s="490"/>
      <c r="N426" s="490"/>
      <c r="O426" s="490"/>
      <c r="P426" s="490"/>
      <c r="Q426" s="490"/>
      <c r="R426" s="490"/>
      <c r="S426" s="490"/>
      <c r="T426" s="490"/>
      <c r="U426" s="490"/>
      <c r="V426" s="490"/>
      <c r="W426" s="490"/>
      <c r="X426" s="490"/>
      <c r="Y426" s="490"/>
      <c r="Z426" s="490"/>
      <c r="AA426" s="490"/>
      <c r="AB426" s="490"/>
      <c r="AC426" s="490"/>
      <c r="AD426" s="490"/>
      <c r="AE426" s="490"/>
      <c r="AF426" s="490"/>
      <c r="AG426" s="490"/>
      <c r="AH426" s="490"/>
      <c r="AI426" s="490"/>
      <c r="AJ426" s="490"/>
      <c r="AK426" s="490"/>
      <c r="AL426" s="490"/>
      <c r="AM426" s="490"/>
      <c r="AN426" s="490"/>
      <c r="AO426" s="490"/>
      <c r="AP426" s="490"/>
      <c r="AQ426" s="490"/>
      <c r="AR426" s="490"/>
      <c r="AS426" s="490"/>
      <c r="AT426" s="490"/>
      <c r="AU426" s="490"/>
      <c r="AV426" s="490"/>
      <c r="AW426" s="490"/>
      <c r="AX426" s="490"/>
      <c r="AY426" s="490"/>
      <c r="AZ426" s="490"/>
      <c r="BA426" s="490"/>
      <c r="BB426" s="490"/>
      <c r="BC426" s="490"/>
      <c r="BD426" s="490"/>
      <c r="BE426" s="490"/>
      <c r="BF426" s="490"/>
      <c r="BG426" s="490"/>
      <c r="BH426" s="490"/>
      <c r="BI426" s="490"/>
      <c r="BJ426" s="490"/>
      <c r="BK426" s="490"/>
      <c r="BL426" s="490"/>
      <c r="BM426" s="490"/>
      <c r="BN426" s="490"/>
      <c r="BO426" s="490"/>
    </row>
    <row r="427" spans="3:67">
      <c r="C427" s="490"/>
      <c r="D427" s="490"/>
      <c r="E427" s="490"/>
      <c r="F427" s="490"/>
      <c r="G427" s="490"/>
      <c r="H427" s="490"/>
      <c r="I427" s="490"/>
      <c r="J427" s="490"/>
      <c r="K427" s="490"/>
      <c r="L427" s="490"/>
      <c r="M427" s="490"/>
      <c r="N427" s="490"/>
      <c r="O427" s="490"/>
      <c r="P427" s="490"/>
      <c r="Q427" s="490"/>
      <c r="R427" s="490"/>
      <c r="S427" s="490"/>
      <c r="T427" s="490"/>
      <c r="U427" s="490"/>
      <c r="V427" s="490"/>
      <c r="W427" s="490"/>
      <c r="X427" s="490"/>
      <c r="Y427" s="490"/>
      <c r="Z427" s="490"/>
      <c r="AA427" s="490"/>
      <c r="AB427" s="490"/>
      <c r="AC427" s="490"/>
      <c r="AD427" s="490"/>
      <c r="AE427" s="490"/>
      <c r="AF427" s="490"/>
      <c r="AG427" s="490"/>
      <c r="AH427" s="490"/>
      <c r="AI427" s="490"/>
      <c r="AJ427" s="490"/>
      <c r="AK427" s="490"/>
      <c r="AL427" s="490"/>
      <c r="AM427" s="490"/>
      <c r="AN427" s="490"/>
      <c r="AO427" s="490"/>
      <c r="AP427" s="490"/>
      <c r="AQ427" s="490"/>
      <c r="AR427" s="490"/>
      <c r="AS427" s="490"/>
      <c r="AT427" s="490"/>
      <c r="AU427" s="490"/>
      <c r="AV427" s="490"/>
      <c r="AW427" s="490"/>
      <c r="AX427" s="490"/>
      <c r="AY427" s="490"/>
      <c r="AZ427" s="490"/>
      <c r="BA427" s="490"/>
      <c r="BB427" s="490"/>
      <c r="BC427" s="490"/>
      <c r="BD427" s="490"/>
      <c r="BE427" s="490"/>
      <c r="BF427" s="490"/>
      <c r="BG427" s="490"/>
      <c r="BH427" s="490"/>
      <c r="BI427" s="490"/>
      <c r="BJ427" s="490"/>
      <c r="BK427" s="490"/>
      <c r="BL427" s="490"/>
      <c r="BM427" s="490"/>
      <c r="BN427" s="490"/>
      <c r="BO427" s="490"/>
    </row>
    <row r="428" spans="3:67">
      <c r="C428" s="541"/>
      <c r="D428" s="541"/>
      <c r="E428" s="541"/>
      <c r="F428" s="541"/>
      <c r="G428" s="541"/>
      <c r="H428" s="541"/>
      <c r="I428" s="541"/>
      <c r="J428" s="541"/>
      <c r="K428" s="541"/>
      <c r="L428" s="541"/>
      <c r="M428" s="541"/>
      <c r="N428" s="541"/>
      <c r="O428" s="541"/>
      <c r="P428" s="541"/>
      <c r="Q428" s="541"/>
      <c r="R428" s="541"/>
      <c r="S428" s="541"/>
      <c r="T428" s="541"/>
      <c r="U428" s="541"/>
      <c r="V428" s="541"/>
      <c r="W428" s="541"/>
      <c r="X428" s="541"/>
      <c r="Y428" s="541"/>
      <c r="Z428" s="541"/>
      <c r="AA428" s="541"/>
      <c r="AB428" s="541"/>
      <c r="AC428" s="541"/>
      <c r="AD428" s="541"/>
      <c r="AE428" s="541"/>
      <c r="AF428" s="541"/>
      <c r="AG428" s="541"/>
      <c r="AH428" s="541"/>
      <c r="AI428" s="541"/>
      <c r="AJ428" s="541"/>
      <c r="AK428" s="541"/>
      <c r="AL428" s="541"/>
      <c r="AM428" s="541"/>
      <c r="AN428" s="541"/>
      <c r="AO428" s="541"/>
      <c r="AP428" s="541"/>
      <c r="AQ428" s="541"/>
      <c r="AR428" s="541"/>
      <c r="AS428" s="541"/>
      <c r="AT428" s="541"/>
      <c r="AU428" s="541"/>
      <c r="AV428" s="541"/>
      <c r="AW428" s="541"/>
      <c r="AX428" s="541"/>
      <c r="AY428" s="541"/>
      <c r="AZ428" s="541"/>
      <c r="BA428" s="541"/>
      <c r="BB428" s="541"/>
      <c r="BC428" s="541"/>
      <c r="BD428" s="541"/>
      <c r="BE428" s="541"/>
      <c r="BF428" s="541"/>
      <c r="BG428" s="541"/>
      <c r="BH428" s="541"/>
      <c r="BI428" s="541"/>
      <c r="BJ428" s="541"/>
      <c r="BK428" s="541"/>
      <c r="BL428" s="541"/>
      <c r="BM428" s="541"/>
      <c r="BN428" s="541"/>
      <c r="BO428" s="541"/>
    </row>
    <row r="429" spans="3:67">
      <c r="C429" s="394"/>
      <c r="D429" s="394"/>
      <c r="E429" s="394"/>
      <c r="F429" s="394"/>
      <c r="G429" s="394"/>
      <c r="H429" s="394"/>
      <c r="I429" s="394"/>
      <c r="J429" s="394"/>
      <c r="K429" s="394"/>
      <c r="L429" s="394"/>
      <c r="M429" s="394"/>
      <c r="N429" s="394"/>
      <c r="O429" s="394"/>
      <c r="P429" s="394"/>
      <c r="Q429" s="394"/>
      <c r="R429" s="394"/>
      <c r="S429" s="394"/>
      <c r="T429" s="394"/>
      <c r="U429" s="394"/>
      <c r="V429" s="394"/>
      <c r="W429" s="394"/>
      <c r="X429" s="394"/>
      <c r="Y429" s="394"/>
      <c r="Z429" s="394"/>
      <c r="AA429" s="394"/>
      <c r="AB429" s="394"/>
      <c r="AC429" s="394"/>
      <c r="AD429" s="394"/>
      <c r="AE429" s="394"/>
      <c r="AF429" s="394"/>
      <c r="AG429" s="394"/>
      <c r="AH429" s="394"/>
      <c r="AI429" s="394"/>
      <c r="AJ429" s="394"/>
      <c r="AK429" s="394"/>
      <c r="AL429" s="394"/>
      <c r="AM429" s="394"/>
      <c r="AN429" s="394"/>
      <c r="AO429" s="394"/>
      <c r="AP429" s="394"/>
      <c r="AQ429" s="394"/>
      <c r="AR429" s="394"/>
      <c r="AS429" s="394"/>
      <c r="AT429" s="394"/>
      <c r="AU429" s="394"/>
      <c r="AV429" s="394"/>
      <c r="AW429" s="394"/>
      <c r="AX429" s="394"/>
      <c r="AY429" s="394"/>
      <c r="AZ429" s="394"/>
      <c r="BA429" s="394"/>
      <c r="BB429" s="394"/>
      <c r="BC429" s="394"/>
      <c r="BD429" s="394"/>
      <c r="BE429" s="394"/>
      <c r="BF429" s="394"/>
      <c r="BG429" s="394"/>
      <c r="BH429" s="394"/>
      <c r="BI429" s="394"/>
      <c r="BJ429" s="394"/>
      <c r="BK429" s="394"/>
      <c r="BL429" s="394"/>
      <c r="BM429" s="394"/>
      <c r="BN429" s="394"/>
      <c r="BO429" s="394"/>
    </row>
    <row r="430" spans="3:67">
      <c r="C430" s="542"/>
      <c r="D430" s="542"/>
      <c r="E430" s="542"/>
      <c r="F430" s="542"/>
      <c r="G430" s="542"/>
      <c r="H430" s="542"/>
      <c r="I430" s="542"/>
      <c r="J430" s="542"/>
      <c r="K430" s="542"/>
      <c r="L430" s="542"/>
      <c r="M430" s="542"/>
      <c r="N430" s="542"/>
      <c r="O430" s="542"/>
      <c r="P430" s="542"/>
      <c r="Q430" s="542"/>
      <c r="R430" s="542"/>
      <c r="S430" s="542"/>
      <c r="T430" s="542"/>
      <c r="U430" s="542"/>
      <c r="V430" s="542"/>
      <c r="W430" s="542"/>
      <c r="X430" s="542"/>
      <c r="Y430" s="542"/>
      <c r="Z430" s="542"/>
      <c r="AA430" s="542"/>
      <c r="AB430" s="542"/>
      <c r="AC430" s="542"/>
      <c r="AD430" s="542"/>
      <c r="AE430" s="542"/>
      <c r="AF430" s="542"/>
      <c r="AG430" s="542"/>
      <c r="AH430" s="542"/>
      <c r="AI430" s="542"/>
      <c r="AJ430" s="542"/>
      <c r="AK430" s="542"/>
      <c r="AL430" s="542"/>
      <c r="AM430" s="542"/>
      <c r="AN430" s="542"/>
      <c r="AO430" s="542"/>
      <c r="AP430" s="542"/>
      <c r="AQ430" s="542"/>
      <c r="AR430" s="542"/>
      <c r="AS430" s="542"/>
      <c r="AT430" s="542"/>
      <c r="AU430" s="542"/>
      <c r="AV430" s="542"/>
      <c r="AW430" s="542"/>
      <c r="AX430" s="542"/>
      <c r="AY430" s="542"/>
      <c r="AZ430" s="542"/>
      <c r="BA430" s="542"/>
      <c r="BB430" s="542"/>
      <c r="BC430" s="542"/>
      <c r="BD430" s="542"/>
      <c r="BE430" s="542"/>
      <c r="BF430" s="542"/>
      <c r="BG430" s="542"/>
      <c r="BH430" s="542"/>
      <c r="BI430" s="542"/>
      <c r="BJ430" s="542"/>
      <c r="BK430" s="542"/>
      <c r="BL430" s="542"/>
      <c r="BM430" s="542"/>
      <c r="BN430" s="542"/>
      <c r="BO430" s="542"/>
    </row>
    <row r="431" spans="3:67">
      <c r="C431" s="543"/>
      <c r="D431" s="543"/>
      <c r="E431" s="543"/>
      <c r="F431" s="543"/>
      <c r="G431" s="543"/>
      <c r="H431" s="543"/>
      <c r="I431" s="543"/>
      <c r="J431" s="543"/>
      <c r="K431" s="543"/>
      <c r="L431" s="543"/>
      <c r="M431" s="543"/>
      <c r="N431" s="543"/>
      <c r="O431" s="543"/>
      <c r="P431" s="543"/>
      <c r="Q431" s="543"/>
      <c r="R431" s="543"/>
      <c r="S431" s="543"/>
      <c r="T431" s="543"/>
      <c r="U431" s="543"/>
      <c r="V431" s="543"/>
      <c r="W431" s="543"/>
      <c r="X431" s="543"/>
      <c r="Y431" s="543"/>
      <c r="Z431" s="543"/>
      <c r="AA431" s="543"/>
      <c r="AB431" s="543"/>
      <c r="AC431" s="543"/>
      <c r="AD431" s="543"/>
      <c r="AE431" s="543"/>
      <c r="AF431" s="543"/>
      <c r="AG431" s="543"/>
      <c r="AH431" s="543"/>
      <c r="AI431" s="543"/>
      <c r="AJ431" s="543"/>
      <c r="AK431" s="543"/>
      <c r="AL431" s="543"/>
      <c r="AM431" s="543"/>
      <c r="AN431" s="543"/>
      <c r="AO431" s="543"/>
      <c r="AP431" s="543"/>
      <c r="AQ431" s="543"/>
      <c r="AR431" s="543"/>
      <c r="AS431" s="543"/>
      <c r="AT431" s="543"/>
      <c r="AU431" s="543"/>
      <c r="AV431" s="543"/>
      <c r="AW431" s="543"/>
      <c r="AX431" s="543"/>
      <c r="AY431" s="543"/>
      <c r="AZ431" s="543"/>
      <c r="BA431" s="543"/>
      <c r="BB431" s="543"/>
      <c r="BC431" s="543"/>
      <c r="BD431" s="543"/>
      <c r="BE431" s="543"/>
      <c r="BF431" s="543"/>
      <c r="BG431" s="543"/>
      <c r="BH431" s="543"/>
      <c r="BI431" s="543"/>
      <c r="BJ431" s="543"/>
      <c r="BK431" s="543"/>
      <c r="BL431" s="543"/>
      <c r="BM431" s="543"/>
      <c r="BN431" s="543"/>
      <c r="BO431" s="543"/>
    </row>
    <row r="432" spans="3:67">
      <c r="C432" s="543"/>
      <c r="D432" s="543"/>
      <c r="E432" s="543"/>
      <c r="F432" s="543"/>
      <c r="G432" s="543"/>
      <c r="H432" s="543"/>
      <c r="I432" s="543"/>
      <c r="J432" s="543"/>
      <c r="K432" s="543"/>
      <c r="L432" s="543"/>
      <c r="M432" s="543"/>
      <c r="N432" s="543"/>
      <c r="O432" s="543"/>
      <c r="P432" s="543"/>
      <c r="Q432" s="543"/>
      <c r="R432" s="543"/>
      <c r="S432" s="543"/>
      <c r="T432" s="543"/>
      <c r="U432" s="543"/>
      <c r="V432" s="543"/>
      <c r="W432" s="543"/>
      <c r="X432" s="543"/>
      <c r="Y432" s="543"/>
      <c r="Z432" s="543"/>
      <c r="AA432" s="543"/>
      <c r="AB432" s="543"/>
      <c r="AC432" s="543"/>
      <c r="AD432" s="543"/>
      <c r="AE432" s="543"/>
      <c r="AF432" s="543"/>
      <c r="AG432" s="543"/>
      <c r="AH432" s="543"/>
      <c r="AI432" s="543"/>
      <c r="AJ432" s="543"/>
      <c r="AK432" s="543"/>
      <c r="AL432" s="543"/>
      <c r="AM432" s="543"/>
      <c r="AN432" s="543"/>
      <c r="AO432" s="543"/>
      <c r="AP432" s="543"/>
      <c r="AQ432" s="543"/>
      <c r="AR432" s="543"/>
      <c r="AS432" s="543"/>
      <c r="AT432" s="543"/>
      <c r="AU432" s="543"/>
      <c r="AV432" s="543"/>
      <c r="AW432" s="543"/>
      <c r="AX432" s="543"/>
      <c r="AY432" s="543"/>
      <c r="AZ432" s="543"/>
      <c r="BA432" s="543"/>
      <c r="BB432" s="543"/>
      <c r="BC432" s="543"/>
      <c r="BD432" s="543"/>
      <c r="BE432" s="543"/>
      <c r="BF432" s="543"/>
      <c r="BG432" s="543"/>
      <c r="BH432" s="543"/>
      <c r="BI432" s="543"/>
      <c r="BJ432" s="543"/>
      <c r="BK432" s="543"/>
      <c r="BL432" s="543"/>
      <c r="BM432" s="543"/>
      <c r="BN432" s="543"/>
      <c r="BO432" s="543"/>
    </row>
    <row r="433" spans="3:67">
      <c r="C433" s="543"/>
      <c r="D433" s="543"/>
      <c r="E433" s="543"/>
      <c r="F433" s="543"/>
      <c r="G433" s="543"/>
      <c r="H433" s="543"/>
      <c r="I433" s="543"/>
      <c r="J433" s="543"/>
      <c r="K433" s="543"/>
      <c r="L433" s="543"/>
      <c r="M433" s="543"/>
      <c r="N433" s="543"/>
      <c r="O433" s="543"/>
      <c r="P433" s="543"/>
      <c r="Q433" s="543"/>
      <c r="R433" s="543"/>
      <c r="S433" s="543"/>
      <c r="T433" s="543"/>
      <c r="U433" s="543"/>
      <c r="V433" s="543"/>
      <c r="W433" s="543"/>
      <c r="X433" s="543"/>
      <c r="Y433" s="543"/>
      <c r="Z433" s="543"/>
      <c r="AA433" s="543"/>
      <c r="AB433" s="543"/>
      <c r="AC433" s="543"/>
      <c r="AD433" s="543"/>
      <c r="AE433" s="543"/>
      <c r="AF433" s="543"/>
      <c r="AG433" s="543"/>
      <c r="AH433" s="543"/>
      <c r="AI433" s="543"/>
      <c r="AJ433" s="543"/>
      <c r="AK433" s="543"/>
      <c r="AL433" s="543"/>
      <c r="AM433" s="543"/>
      <c r="AN433" s="543"/>
      <c r="AO433" s="543"/>
      <c r="AP433" s="543"/>
      <c r="AQ433" s="543"/>
      <c r="AR433" s="543"/>
      <c r="AS433" s="543"/>
      <c r="AT433" s="543"/>
      <c r="AU433" s="543"/>
      <c r="AV433" s="543"/>
      <c r="AW433" s="543"/>
      <c r="AX433" s="543"/>
      <c r="AY433" s="543"/>
      <c r="AZ433" s="543"/>
      <c r="BA433" s="543"/>
      <c r="BB433" s="543"/>
      <c r="BC433" s="543"/>
      <c r="BD433" s="543"/>
      <c r="BE433" s="543"/>
      <c r="BF433" s="543"/>
      <c r="BG433" s="543"/>
      <c r="BH433" s="543"/>
      <c r="BI433" s="543"/>
      <c r="BJ433" s="543"/>
      <c r="BK433" s="543"/>
      <c r="BL433" s="543"/>
      <c r="BM433" s="543"/>
      <c r="BN433" s="543"/>
      <c r="BO433" s="543"/>
    </row>
    <row r="434" spans="3:67">
      <c r="C434" s="544"/>
      <c r="D434" s="545"/>
      <c r="E434" s="545"/>
      <c r="F434" s="545"/>
      <c r="G434" s="545"/>
      <c r="H434" s="544"/>
      <c r="I434" s="545"/>
      <c r="J434" s="545"/>
      <c r="K434" s="545"/>
      <c r="L434" s="545"/>
      <c r="M434" s="544"/>
      <c r="N434" s="545"/>
      <c r="O434" s="545"/>
      <c r="P434" s="545"/>
      <c r="Q434" s="545"/>
      <c r="R434" s="544"/>
      <c r="S434" s="545"/>
      <c r="T434" s="545"/>
      <c r="U434" s="545"/>
      <c r="V434" s="545"/>
      <c r="W434" s="544"/>
      <c r="X434" s="545"/>
      <c r="Y434" s="545"/>
      <c r="Z434" s="545"/>
      <c r="AA434" s="545"/>
      <c r="AB434" s="544"/>
      <c r="AC434" s="545"/>
      <c r="AD434" s="545"/>
      <c r="AE434" s="545"/>
      <c r="AF434" s="545"/>
      <c r="AG434" s="544"/>
      <c r="AH434" s="545"/>
      <c r="AI434" s="545"/>
      <c r="AJ434" s="545"/>
      <c r="AK434" s="545"/>
      <c r="AL434" s="544"/>
      <c r="AM434" s="545"/>
      <c r="AN434" s="545"/>
      <c r="AO434" s="545"/>
      <c r="AP434" s="545"/>
      <c r="AQ434" s="544"/>
      <c r="AR434" s="545"/>
      <c r="AS434" s="545"/>
      <c r="AT434" s="545"/>
      <c r="AU434" s="545"/>
      <c r="AV434" s="544"/>
      <c r="AW434" s="545"/>
      <c r="AX434" s="545"/>
      <c r="AY434" s="545"/>
      <c r="AZ434" s="545"/>
      <c r="BA434" s="544"/>
      <c r="BB434" s="545"/>
      <c r="BC434" s="545"/>
      <c r="BD434" s="545"/>
      <c r="BE434" s="545"/>
      <c r="BF434" s="544"/>
      <c r="BG434" s="545"/>
      <c r="BH434" s="545"/>
      <c r="BI434" s="545"/>
      <c r="BJ434" s="545"/>
      <c r="BK434" s="544"/>
      <c r="BL434" s="545"/>
      <c r="BM434" s="545"/>
      <c r="BN434" s="545"/>
      <c r="BO434" s="545"/>
    </row>
    <row r="435" spans="3:67">
      <c r="C435" s="544"/>
      <c r="D435" s="545"/>
      <c r="E435" s="545"/>
      <c r="F435" s="545"/>
      <c r="G435" s="545"/>
      <c r="H435" s="544"/>
      <c r="I435" s="545"/>
      <c r="J435" s="545"/>
      <c r="K435" s="545"/>
      <c r="L435" s="545"/>
      <c r="M435" s="544"/>
      <c r="N435" s="545"/>
      <c r="O435" s="545"/>
      <c r="P435" s="545"/>
      <c r="Q435" s="545"/>
      <c r="R435" s="544"/>
      <c r="S435" s="545"/>
      <c r="T435" s="545"/>
      <c r="U435" s="545"/>
      <c r="V435" s="545"/>
      <c r="W435" s="544"/>
      <c r="X435" s="545"/>
      <c r="Y435" s="545"/>
      <c r="Z435" s="545"/>
      <c r="AA435" s="545"/>
      <c r="AB435" s="544"/>
      <c r="AC435" s="545"/>
      <c r="AD435" s="545"/>
      <c r="AE435" s="545"/>
      <c r="AF435" s="545"/>
      <c r="AG435" s="544"/>
      <c r="AH435" s="545"/>
      <c r="AI435" s="545"/>
      <c r="AJ435" s="545"/>
      <c r="AK435" s="545"/>
      <c r="AL435" s="544"/>
      <c r="AM435" s="545"/>
      <c r="AN435" s="545"/>
      <c r="AO435" s="545"/>
      <c r="AP435" s="545"/>
      <c r="AQ435" s="544"/>
      <c r="AR435" s="545"/>
      <c r="AS435" s="545"/>
      <c r="AT435" s="545"/>
      <c r="AU435" s="545"/>
      <c r="AV435" s="544"/>
      <c r="AW435" s="545"/>
      <c r="AX435" s="545"/>
      <c r="AY435" s="545"/>
      <c r="AZ435" s="545"/>
      <c r="BA435" s="544"/>
      <c r="BB435" s="545"/>
      <c r="BC435" s="545"/>
      <c r="BD435" s="545"/>
      <c r="BE435" s="545"/>
      <c r="BF435" s="544"/>
      <c r="BG435" s="545"/>
      <c r="BH435" s="545"/>
      <c r="BI435" s="545"/>
      <c r="BJ435" s="545"/>
      <c r="BK435" s="544"/>
      <c r="BL435" s="545"/>
      <c r="BM435" s="545"/>
      <c r="BN435" s="545"/>
      <c r="BO435" s="545"/>
    </row>
    <row r="436" spans="3:67">
      <c r="C436" s="490"/>
      <c r="D436" s="490"/>
      <c r="E436" s="490"/>
      <c r="F436" s="490"/>
      <c r="G436" s="490"/>
      <c r="H436" s="490"/>
      <c r="I436" s="490"/>
      <c r="J436" s="490"/>
      <c r="K436" s="490"/>
      <c r="L436" s="490"/>
      <c r="M436" s="490"/>
      <c r="N436" s="490"/>
      <c r="O436" s="490"/>
      <c r="P436" s="490"/>
      <c r="Q436" s="490"/>
      <c r="R436" s="490"/>
      <c r="S436" s="490"/>
      <c r="T436" s="490"/>
      <c r="U436" s="490"/>
      <c r="V436" s="490"/>
      <c r="W436" s="490"/>
      <c r="X436" s="490"/>
      <c r="Y436" s="490"/>
      <c r="Z436" s="490"/>
      <c r="AA436" s="490"/>
      <c r="AB436" s="490"/>
      <c r="AC436" s="490"/>
      <c r="AD436" s="490"/>
      <c r="AE436" s="490"/>
      <c r="AF436" s="490"/>
      <c r="AG436" s="490"/>
      <c r="AH436" s="490"/>
      <c r="AI436" s="490"/>
      <c r="AJ436" s="490"/>
      <c r="AK436" s="490"/>
      <c r="AL436" s="490"/>
      <c r="AM436" s="490"/>
      <c r="AN436" s="490"/>
      <c r="AO436" s="490"/>
      <c r="AP436" s="490"/>
      <c r="AQ436" s="490"/>
      <c r="AR436" s="490"/>
      <c r="AS436" s="490"/>
      <c r="AT436" s="490"/>
      <c r="AU436" s="490"/>
      <c r="AV436" s="490"/>
      <c r="AW436" s="490"/>
      <c r="AX436" s="490"/>
      <c r="AY436" s="490"/>
      <c r="AZ436" s="490"/>
      <c r="BA436" s="490"/>
      <c r="BB436" s="490"/>
      <c r="BC436" s="490"/>
      <c r="BD436" s="490"/>
      <c r="BE436" s="490"/>
      <c r="BF436" s="490"/>
      <c r="BG436" s="490"/>
      <c r="BH436" s="490"/>
      <c r="BI436" s="490"/>
      <c r="BJ436" s="490"/>
      <c r="BK436" s="490"/>
      <c r="BL436" s="490"/>
      <c r="BM436" s="490"/>
      <c r="BN436" s="490"/>
      <c r="BO436" s="490"/>
    </row>
    <row r="437" spans="3:67">
      <c r="C437" s="488"/>
      <c r="D437" s="488"/>
      <c r="E437" s="488"/>
      <c r="F437" s="488"/>
      <c r="G437" s="488"/>
      <c r="H437" s="488"/>
      <c r="I437" s="488"/>
      <c r="J437" s="488"/>
      <c r="K437" s="488"/>
      <c r="L437" s="488"/>
      <c r="M437" s="488"/>
      <c r="N437" s="488"/>
      <c r="O437" s="488"/>
      <c r="P437" s="488"/>
      <c r="Q437" s="488"/>
      <c r="R437" s="488"/>
      <c r="S437" s="488"/>
      <c r="T437" s="488"/>
      <c r="U437" s="488"/>
      <c r="V437" s="488"/>
      <c r="W437" s="488"/>
      <c r="X437" s="488"/>
      <c r="Y437" s="488"/>
      <c r="Z437" s="488"/>
      <c r="AA437" s="488"/>
      <c r="AB437" s="488"/>
      <c r="AC437" s="488"/>
      <c r="AD437" s="488"/>
      <c r="AE437" s="488"/>
      <c r="AF437" s="488"/>
      <c r="AG437" s="488"/>
      <c r="AH437" s="488"/>
      <c r="AI437" s="488"/>
      <c r="AJ437" s="488"/>
      <c r="AK437" s="488"/>
      <c r="AL437" s="488"/>
      <c r="AM437" s="488"/>
      <c r="AN437" s="488"/>
      <c r="AO437" s="488"/>
      <c r="AP437" s="488"/>
      <c r="AQ437" s="488"/>
      <c r="AR437" s="488"/>
      <c r="AS437" s="488"/>
      <c r="AT437" s="488"/>
      <c r="AU437" s="488"/>
      <c r="AV437" s="488"/>
      <c r="AW437" s="488"/>
      <c r="AX437" s="488"/>
      <c r="AY437" s="488"/>
      <c r="AZ437" s="488"/>
      <c r="BA437" s="488"/>
      <c r="BB437" s="488"/>
      <c r="BC437" s="488"/>
      <c r="BD437" s="488"/>
      <c r="BE437" s="488"/>
      <c r="BF437" s="488"/>
      <c r="BG437" s="488"/>
      <c r="BH437" s="488"/>
      <c r="BI437" s="488"/>
      <c r="BJ437" s="488"/>
      <c r="BK437" s="488"/>
      <c r="BL437" s="488"/>
      <c r="BM437" s="488"/>
      <c r="BN437" s="488"/>
      <c r="BO437" s="488"/>
    </row>
    <row r="438" spans="3:67">
      <c r="C438" s="486"/>
      <c r="D438" s="486"/>
      <c r="E438" s="486"/>
      <c r="F438" s="486"/>
      <c r="G438" s="486"/>
      <c r="H438" s="486"/>
      <c r="I438" s="486"/>
      <c r="J438" s="486"/>
      <c r="K438" s="486"/>
      <c r="L438" s="486"/>
      <c r="M438" s="486"/>
      <c r="N438" s="486"/>
      <c r="O438" s="486"/>
      <c r="P438" s="486"/>
      <c r="Q438" s="486"/>
      <c r="R438" s="486"/>
      <c r="S438" s="486"/>
      <c r="T438" s="486"/>
      <c r="U438" s="486"/>
      <c r="V438" s="486"/>
      <c r="W438" s="486"/>
      <c r="X438" s="486"/>
      <c r="Y438" s="486"/>
      <c r="Z438" s="486"/>
      <c r="AA438" s="486"/>
      <c r="AB438" s="486"/>
      <c r="AC438" s="486"/>
      <c r="AD438" s="486"/>
      <c r="AE438" s="486"/>
      <c r="AF438" s="486"/>
      <c r="AG438" s="486"/>
      <c r="AH438" s="486"/>
      <c r="AI438" s="486"/>
      <c r="AJ438" s="486"/>
      <c r="AK438" s="486"/>
      <c r="AL438" s="486"/>
      <c r="AM438" s="486"/>
      <c r="AN438" s="486"/>
      <c r="AO438" s="486"/>
      <c r="AP438" s="486"/>
      <c r="AQ438" s="486"/>
      <c r="AR438" s="486"/>
      <c r="AS438" s="486"/>
      <c r="AT438" s="486"/>
      <c r="AU438" s="486"/>
      <c r="AV438" s="486"/>
      <c r="AW438" s="486"/>
      <c r="AX438" s="486"/>
      <c r="AY438" s="486"/>
      <c r="AZ438" s="486"/>
      <c r="BA438" s="486"/>
      <c r="BB438" s="486"/>
      <c r="BC438" s="486"/>
      <c r="BD438" s="486"/>
      <c r="BE438" s="486"/>
      <c r="BF438" s="486"/>
      <c r="BG438" s="486"/>
      <c r="BH438" s="486"/>
      <c r="BI438" s="486"/>
      <c r="BJ438" s="486"/>
      <c r="BK438" s="486"/>
      <c r="BL438" s="486"/>
      <c r="BM438" s="486"/>
      <c r="BN438" s="486"/>
      <c r="BO438" s="486"/>
    </row>
    <row r="439" spans="3:67">
      <c r="C439" s="490"/>
      <c r="D439" s="490"/>
      <c r="E439" s="490"/>
      <c r="F439" s="490"/>
      <c r="G439" s="490"/>
      <c r="H439" s="490"/>
      <c r="I439" s="490"/>
      <c r="J439" s="490"/>
      <c r="K439" s="490"/>
      <c r="L439" s="490"/>
      <c r="M439" s="490"/>
      <c r="N439" s="490"/>
      <c r="O439" s="490"/>
      <c r="P439" s="490"/>
      <c r="Q439" s="490"/>
      <c r="R439" s="490"/>
      <c r="S439" s="490"/>
      <c r="T439" s="490"/>
      <c r="U439" s="490"/>
      <c r="V439" s="490"/>
      <c r="W439" s="490"/>
      <c r="X439" s="490"/>
      <c r="Y439" s="490"/>
      <c r="Z439" s="490"/>
      <c r="AA439" s="490"/>
      <c r="AB439" s="490"/>
      <c r="AC439" s="490"/>
      <c r="AD439" s="490"/>
      <c r="AE439" s="490"/>
      <c r="AF439" s="490"/>
      <c r="AG439" s="490"/>
      <c r="AH439" s="490"/>
      <c r="AI439" s="490"/>
      <c r="AJ439" s="490"/>
      <c r="AK439" s="490"/>
      <c r="AL439" s="490"/>
      <c r="AM439" s="490"/>
      <c r="AN439" s="490"/>
      <c r="AO439" s="490"/>
      <c r="AP439" s="490"/>
      <c r="AQ439" s="490"/>
      <c r="AR439" s="490"/>
      <c r="AS439" s="490"/>
      <c r="AT439" s="490"/>
      <c r="AU439" s="490"/>
      <c r="AV439" s="490"/>
      <c r="AW439" s="490"/>
      <c r="AX439" s="490"/>
      <c r="AY439" s="490"/>
      <c r="AZ439" s="490"/>
      <c r="BA439" s="490"/>
      <c r="BB439" s="490"/>
      <c r="BC439" s="490"/>
      <c r="BD439" s="490"/>
      <c r="BE439" s="490"/>
      <c r="BF439" s="490"/>
      <c r="BG439" s="490"/>
      <c r="BH439" s="490"/>
      <c r="BI439" s="490"/>
      <c r="BJ439" s="490"/>
      <c r="BK439" s="490"/>
      <c r="BL439" s="490"/>
      <c r="BM439" s="490"/>
      <c r="BN439" s="490"/>
      <c r="BO439" s="490"/>
    </row>
    <row r="440" spans="3:67">
      <c r="C440" s="394"/>
      <c r="D440" s="394"/>
      <c r="E440" s="394"/>
      <c r="F440" s="394"/>
      <c r="G440" s="394"/>
      <c r="H440" s="394"/>
      <c r="I440" s="394"/>
      <c r="J440" s="394"/>
      <c r="K440" s="394"/>
      <c r="L440" s="394"/>
      <c r="M440" s="394"/>
      <c r="N440" s="394"/>
      <c r="O440" s="394"/>
      <c r="P440" s="394"/>
      <c r="Q440" s="394"/>
      <c r="R440" s="394"/>
      <c r="S440" s="394"/>
      <c r="T440" s="394"/>
      <c r="U440" s="394"/>
      <c r="V440" s="394"/>
      <c r="W440" s="394"/>
      <c r="X440" s="394"/>
      <c r="Y440" s="394"/>
      <c r="Z440" s="394"/>
      <c r="AA440" s="394"/>
      <c r="AB440" s="394"/>
      <c r="AC440" s="394"/>
      <c r="AD440" s="394"/>
      <c r="AE440" s="394"/>
      <c r="AF440" s="394"/>
      <c r="AG440" s="394"/>
      <c r="AH440" s="394"/>
      <c r="AI440" s="394"/>
      <c r="AJ440" s="394"/>
      <c r="AK440" s="394"/>
      <c r="AL440" s="394"/>
      <c r="AM440" s="394"/>
      <c r="AN440" s="394"/>
      <c r="AO440" s="394"/>
      <c r="AP440" s="394"/>
      <c r="AQ440" s="394"/>
      <c r="AR440" s="394"/>
      <c r="AS440" s="394"/>
      <c r="AT440" s="394"/>
      <c r="AU440" s="394"/>
      <c r="AV440" s="394"/>
      <c r="AW440" s="394"/>
      <c r="AX440" s="394"/>
      <c r="AY440" s="394"/>
      <c r="AZ440" s="394"/>
      <c r="BA440" s="394"/>
      <c r="BB440" s="394"/>
      <c r="BC440" s="394"/>
      <c r="BD440" s="394"/>
      <c r="BE440" s="394"/>
      <c r="BF440" s="394"/>
      <c r="BG440" s="394"/>
      <c r="BH440" s="394"/>
      <c r="BI440" s="394"/>
      <c r="BJ440" s="394"/>
      <c r="BK440" s="394"/>
      <c r="BL440" s="394"/>
      <c r="BM440" s="394"/>
      <c r="BN440" s="394"/>
      <c r="BO440" s="394"/>
    </row>
    <row r="441" spans="3:67">
      <c r="C441" s="490"/>
      <c r="D441" s="490"/>
      <c r="E441" s="490"/>
      <c r="F441" s="490"/>
      <c r="G441" s="490"/>
      <c r="H441" s="490"/>
      <c r="I441" s="490"/>
      <c r="J441" s="490"/>
      <c r="K441" s="490"/>
      <c r="L441" s="490"/>
      <c r="M441" s="490"/>
      <c r="N441" s="490"/>
      <c r="O441" s="490"/>
      <c r="P441" s="490"/>
      <c r="Q441" s="490"/>
      <c r="R441" s="490"/>
      <c r="S441" s="490"/>
      <c r="T441" s="490"/>
      <c r="U441" s="490"/>
      <c r="V441" s="490"/>
      <c r="W441" s="490"/>
      <c r="X441" s="490"/>
      <c r="Y441" s="490"/>
      <c r="Z441" s="490"/>
      <c r="AA441" s="490"/>
      <c r="AB441" s="490"/>
      <c r="AC441" s="490"/>
      <c r="AD441" s="490"/>
      <c r="AE441" s="490"/>
      <c r="AF441" s="490"/>
      <c r="AG441" s="490"/>
      <c r="AH441" s="490"/>
      <c r="AI441" s="490"/>
      <c r="AJ441" s="490"/>
      <c r="AK441" s="490"/>
      <c r="AL441" s="490"/>
      <c r="AM441" s="490"/>
      <c r="AN441" s="490"/>
      <c r="AO441" s="490"/>
      <c r="AP441" s="490"/>
      <c r="AQ441" s="490"/>
      <c r="AR441" s="490"/>
      <c r="AS441" s="490"/>
      <c r="AT441" s="490"/>
      <c r="AU441" s="490"/>
      <c r="AV441" s="490"/>
      <c r="AW441" s="490"/>
      <c r="AX441" s="490"/>
      <c r="AY441" s="490"/>
      <c r="AZ441" s="490"/>
      <c r="BA441" s="490"/>
      <c r="BB441" s="490"/>
      <c r="BC441" s="490"/>
      <c r="BD441" s="490"/>
      <c r="BE441" s="490"/>
      <c r="BF441" s="490"/>
      <c r="BG441" s="490"/>
      <c r="BH441" s="490"/>
      <c r="BI441" s="490"/>
      <c r="BJ441" s="490"/>
      <c r="BK441" s="490"/>
      <c r="BL441" s="490"/>
      <c r="BM441" s="490"/>
      <c r="BN441" s="490"/>
      <c r="BO441" s="490"/>
    </row>
    <row r="442" spans="3:67">
      <c r="C442" s="490"/>
      <c r="D442" s="490"/>
      <c r="E442" s="490"/>
      <c r="F442" s="490"/>
      <c r="G442" s="490"/>
      <c r="H442" s="490"/>
      <c r="I442" s="490"/>
      <c r="J442" s="490"/>
      <c r="K442" s="490"/>
      <c r="L442" s="490"/>
      <c r="M442" s="490"/>
      <c r="N442" s="490"/>
      <c r="O442" s="490"/>
      <c r="P442" s="490"/>
      <c r="Q442" s="490"/>
      <c r="R442" s="490"/>
      <c r="S442" s="490"/>
      <c r="T442" s="490"/>
      <c r="U442" s="490"/>
      <c r="V442" s="490"/>
      <c r="W442" s="490"/>
      <c r="X442" s="490"/>
      <c r="Y442" s="490"/>
      <c r="Z442" s="490"/>
      <c r="AA442" s="490"/>
      <c r="AB442" s="490"/>
      <c r="AC442" s="490"/>
      <c r="AD442" s="490"/>
      <c r="AE442" s="490"/>
      <c r="AF442" s="490"/>
      <c r="AG442" s="490"/>
      <c r="AH442" s="490"/>
      <c r="AI442" s="490"/>
      <c r="AJ442" s="490"/>
      <c r="AK442" s="490"/>
      <c r="AL442" s="490"/>
      <c r="AM442" s="490"/>
      <c r="AN442" s="490"/>
      <c r="AO442" s="490"/>
      <c r="AP442" s="490"/>
      <c r="AQ442" s="490"/>
      <c r="AR442" s="490"/>
      <c r="AS442" s="490"/>
      <c r="AT442" s="490"/>
      <c r="AU442" s="490"/>
      <c r="AV442" s="490"/>
      <c r="AW442" s="490"/>
      <c r="AX442" s="490"/>
      <c r="AY442" s="490"/>
      <c r="AZ442" s="490"/>
      <c r="BA442" s="490"/>
      <c r="BB442" s="490"/>
      <c r="BC442" s="490"/>
      <c r="BD442" s="490"/>
      <c r="BE442" s="490"/>
      <c r="BF442" s="490"/>
      <c r="BG442" s="490"/>
      <c r="BH442" s="490"/>
      <c r="BI442" s="490"/>
      <c r="BJ442" s="490"/>
      <c r="BK442" s="490"/>
      <c r="BL442" s="490"/>
      <c r="BM442" s="490"/>
      <c r="BN442" s="490"/>
      <c r="BO442" s="490"/>
    </row>
    <row r="443" spans="3:67">
      <c r="C443" s="490"/>
      <c r="D443" s="490"/>
      <c r="E443" s="490"/>
      <c r="F443" s="490"/>
      <c r="G443" s="490"/>
      <c r="H443" s="490"/>
      <c r="I443" s="490"/>
      <c r="J443" s="490"/>
      <c r="K443" s="490"/>
      <c r="L443" s="490"/>
      <c r="M443" s="490"/>
      <c r="N443" s="490"/>
      <c r="O443" s="490"/>
      <c r="P443" s="490"/>
      <c r="Q443" s="490"/>
      <c r="R443" s="490"/>
      <c r="S443" s="490"/>
      <c r="T443" s="490"/>
      <c r="U443" s="490"/>
      <c r="V443" s="490"/>
      <c r="W443" s="490"/>
      <c r="X443" s="490"/>
      <c r="Y443" s="490"/>
      <c r="Z443" s="490"/>
      <c r="AA443" s="490"/>
      <c r="AB443" s="490"/>
      <c r="AC443" s="490"/>
      <c r="AD443" s="490"/>
      <c r="AE443" s="490"/>
      <c r="AF443" s="490"/>
      <c r="AG443" s="490"/>
      <c r="AH443" s="490"/>
      <c r="AI443" s="490"/>
      <c r="AJ443" s="490"/>
      <c r="AK443" s="490"/>
      <c r="AL443" s="490"/>
      <c r="AM443" s="490"/>
      <c r="AN443" s="490"/>
      <c r="AO443" s="490"/>
      <c r="AP443" s="490"/>
      <c r="AQ443" s="490"/>
      <c r="AR443" s="490"/>
      <c r="AS443" s="490"/>
      <c r="AT443" s="490"/>
      <c r="AU443" s="490"/>
      <c r="AV443" s="490"/>
      <c r="AW443" s="490"/>
      <c r="AX443" s="490"/>
      <c r="AY443" s="490"/>
      <c r="AZ443" s="490"/>
      <c r="BA443" s="490"/>
      <c r="BB443" s="490"/>
      <c r="BC443" s="490"/>
      <c r="BD443" s="490"/>
      <c r="BE443" s="490"/>
      <c r="BF443" s="490"/>
      <c r="BG443" s="490"/>
      <c r="BH443" s="490"/>
      <c r="BI443" s="490"/>
      <c r="BJ443" s="490"/>
      <c r="BK443" s="490"/>
      <c r="BL443" s="490"/>
      <c r="BM443" s="490"/>
      <c r="BN443" s="490"/>
      <c r="BO443" s="490"/>
    </row>
    <row r="444" spans="3:67">
      <c r="C444" s="490"/>
      <c r="D444" s="490"/>
      <c r="E444" s="490"/>
      <c r="F444" s="490"/>
      <c r="G444" s="490"/>
      <c r="H444" s="490"/>
      <c r="I444" s="490"/>
      <c r="J444" s="490"/>
      <c r="K444" s="490"/>
      <c r="L444" s="490"/>
      <c r="M444" s="490"/>
      <c r="N444" s="490"/>
      <c r="O444" s="490"/>
      <c r="P444" s="490"/>
      <c r="Q444" s="490"/>
      <c r="R444" s="490"/>
      <c r="S444" s="490"/>
      <c r="T444" s="490"/>
      <c r="U444" s="490"/>
      <c r="V444" s="490"/>
      <c r="W444" s="490"/>
      <c r="X444" s="490"/>
      <c r="Y444" s="490"/>
      <c r="Z444" s="490"/>
      <c r="AA444" s="490"/>
      <c r="AB444" s="490"/>
      <c r="AC444" s="490"/>
      <c r="AD444" s="490"/>
      <c r="AE444" s="490"/>
      <c r="AF444" s="490"/>
      <c r="AG444" s="490"/>
      <c r="AH444" s="490"/>
      <c r="AI444" s="490"/>
      <c r="AJ444" s="490"/>
      <c r="AK444" s="490"/>
      <c r="AL444" s="490"/>
      <c r="AM444" s="490"/>
      <c r="AN444" s="490"/>
      <c r="AO444" s="490"/>
      <c r="AP444" s="490"/>
      <c r="AQ444" s="490"/>
      <c r="AR444" s="490"/>
      <c r="AS444" s="490"/>
      <c r="AT444" s="490"/>
      <c r="AU444" s="490"/>
      <c r="AV444" s="490"/>
      <c r="AW444" s="490"/>
      <c r="AX444" s="490"/>
      <c r="AY444" s="490"/>
      <c r="AZ444" s="490"/>
      <c r="BA444" s="490"/>
      <c r="BB444" s="490"/>
      <c r="BC444" s="490"/>
      <c r="BD444" s="490"/>
      <c r="BE444" s="490"/>
      <c r="BF444" s="490"/>
      <c r="BG444" s="490"/>
      <c r="BH444" s="490"/>
      <c r="BI444" s="490"/>
      <c r="BJ444" s="490"/>
      <c r="BK444" s="490"/>
      <c r="BL444" s="490"/>
      <c r="BM444" s="490"/>
      <c r="BN444" s="490"/>
      <c r="BO444" s="490"/>
    </row>
    <row r="445" spans="3:67">
      <c r="C445" s="490"/>
      <c r="D445" s="490"/>
      <c r="E445" s="490"/>
      <c r="F445" s="490"/>
      <c r="G445" s="490"/>
      <c r="H445" s="490"/>
      <c r="I445" s="490"/>
      <c r="J445" s="490"/>
      <c r="K445" s="490"/>
      <c r="L445" s="490"/>
      <c r="M445" s="490"/>
      <c r="N445" s="490"/>
      <c r="O445" s="490"/>
      <c r="P445" s="490"/>
      <c r="Q445" s="490"/>
      <c r="R445" s="490"/>
      <c r="S445" s="490"/>
      <c r="T445" s="490"/>
      <c r="U445" s="490"/>
      <c r="V445" s="490"/>
      <c r="W445" s="490"/>
      <c r="X445" s="490"/>
      <c r="Y445" s="490"/>
      <c r="Z445" s="490"/>
      <c r="AA445" s="490"/>
      <c r="AB445" s="490"/>
      <c r="AC445" s="490"/>
      <c r="AD445" s="490"/>
      <c r="AE445" s="490"/>
      <c r="AF445" s="490"/>
      <c r="AG445" s="490"/>
      <c r="AH445" s="490"/>
      <c r="AI445" s="490"/>
      <c r="AJ445" s="490"/>
      <c r="AK445" s="490"/>
      <c r="AL445" s="490"/>
      <c r="AM445" s="490"/>
      <c r="AN445" s="490"/>
      <c r="AO445" s="490"/>
      <c r="AP445" s="490"/>
      <c r="AQ445" s="490"/>
      <c r="AR445" s="490"/>
      <c r="AS445" s="490"/>
      <c r="AT445" s="490"/>
      <c r="AU445" s="490"/>
      <c r="AV445" s="490"/>
      <c r="AW445" s="490"/>
      <c r="AX445" s="490"/>
      <c r="AY445" s="490"/>
      <c r="AZ445" s="490"/>
      <c r="BA445" s="490"/>
      <c r="BB445" s="490"/>
      <c r="BC445" s="490"/>
      <c r="BD445" s="490"/>
      <c r="BE445" s="490"/>
      <c r="BF445" s="490"/>
      <c r="BG445" s="490"/>
      <c r="BH445" s="490"/>
      <c r="BI445" s="490"/>
      <c r="BJ445" s="490"/>
      <c r="BK445" s="490"/>
      <c r="BL445" s="490"/>
      <c r="BM445" s="490"/>
      <c r="BN445" s="490"/>
      <c r="BO445" s="490"/>
    </row>
    <row r="446" spans="3:67">
      <c r="C446" s="490"/>
      <c r="D446" s="490"/>
      <c r="E446" s="490"/>
      <c r="F446" s="490"/>
      <c r="G446" s="490"/>
      <c r="H446" s="490"/>
      <c r="I446" s="490"/>
      <c r="J446" s="490"/>
      <c r="K446" s="490"/>
      <c r="L446" s="490"/>
      <c r="M446" s="490"/>
      <c r="N446" s="490"/>
      <c r="O446" s="490"/>
      <c r="P446" s="490"/>
      <c r="Q446" s="490"/>
      <c r="R446" s="490"/>
      <c r="S446" s="490"/>
      <c r="T446" s="490"/>
      <c r="U446" s="490"/>
      <c r="V446" s="490"/>
      <c r="W446" s="490"/>
      <c r="X446" s="490"/>
      <c r="Y446" s="490"/>
      <c r="Z446" s="490"/>
      <c r="AA446" s="490"/>
      <c r="AB446" s="490"/>
      <c r="AC446" s="490"/>
      <c r="AD446" s="490"/>
      <c r="AE446" s="490"/>
      <c r="AF446" s="490"/>
      <c r="AG446" s="490"/>
      <c r="AH446" s="490"/>
      <c r="AI446" s="490"/>
      <c r="AJ446" s="490"/>
      <c r="AK446" s="490"/>
      <c r="AL446" s="490"/>
      <c r="AM446" s="490"/>
      <c r="AN446" s="490"/>
      <c r="AO446" s="490"/>
      <c r="AP446" s="490"/>
      <c r="AQ446" s="490"/>
      <c r="AR446" s="490"/>
      <c r="AS446" s="490"/>
      <c r="AT446" s="490"/>
      <c r="AU446" s="490"/>
      <c r="AV446" s="490"/>
      <c r="AW446" s="490"/>
      <c r="AX446" s="490"/>
      <c r="AY446" s="490"/>
      <c r="AZ446" s="490"/>
      <c r="BA446" s="490"/>
      <c r="BB446" s="490"/>
      <c r="BC446" s="490"/>
      <c r="BD446" s="490"/>
      <c r="BE446" s="490"/>
      <c r="BF446" s="490"/>
      <c r="BG446" s="490"/>
      <c r="BH446" s="490"/>
      <c r="BI446" s="490"/>
      <c r="BJ446" s="490"/>
      <c r="BK446" s="490"/>
      <c r="BL446" s="490"/>
      <c r="BM446" s="490"/>
      <c r="BN446" s="490"/>
      <c r="BO446" s="490"/>
    </row>
    <row r="447" spans="3:67"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46"/>
      <c r="P447" s="546"/>
      <c r="Q447" s="546"/>
      <c r="R447" s="546"/>
      <c r="S447" s="546"/>
      <c r="T447" s="546"/>
      <c r="U447" s="546"/>
      <c r="V447" s="546"/>
      <c r="W447" s="546"/>
      <c r="X447" s="546"/>
      <c r="Y447" s="546"/>
      <c r="Z447" s="546"/>
      <c r="AA447" s="546"/>
      <c r="AB447" s="546"/>
      <c r="AC447" s="546"/>
      <c r="AD447" s="546"/>
      <c r="AE447" s="546"/>
      <c r="AF447" s="546"/>
      <c r="AG447" s="546"/>
      <c r="AH447" s="546"/>
      <c r="AI447" s="546"/>
      <c r="AJ447" s="546"/>
      <c r="AK447" s="546"/>
      <c r="AL447" s="546"/>
      <c r="AM447" s="546"/>
      <c r="AN447" s="546"/>
      <c r="AO447" s="546"/>
      <c r="AP447" s="546"/>
      <c r="AQ447" s="546"/>
      <c r="AR447" s="546"/>
      <c r="AS447" s="546"/>
      <c r="AT447" s="546"/>
      <c r="AU447" s="546"/>
      <c r="AV447" s="546"/>
      <c r="AW447" s="546"/>
      <c r="AX447" s="546"/>
      <c r="AY447" s="546"/>
      <c r="AZ447" s="546"/>
      <c r="BA447" s="546"/>
      <c r="BB447" s="546"/>
      <c r="BC447" s="546"/>
      <c r="BD447" s="546"/>
      <c r="BE447" s="546"/>
      <c r="BF447" s="546"/>
      <c r="BG447" s="546"/>
      <c r="BH447" s="546"/>
      <c r="BI447" s="546"/>
      <c r="BJ447" s="546"/>
      <c r="BK447" s="546"/>
      <c r="BL447" s="546"/>
      <c r="BM447" s="546"/>
      <c r="BN447" s="546"/>
      <c r="BO447" s="546"/>
    </row>
    <row r="448" spans="3:67">
      <c r="C448" s="394"/>
      <c r="D448" s="394"/>
      <c r="E448" s="394"/>
      <c r="F448" s="394"/>
      <c r="G448" s="394"/>
      <c r="H448" s="394"/>
      <c r="I448" s="394"/>
      <c r="J448" s="394"/>
      <c r="K448" s="394"/>
      <c r="L448" s="394"/>
      <c r="M448" s="394"/>
      <c r="N448" s="394"/>
      <c r="O448" s="394"/>
      <c r="P448" s="394"/>
      <c r="Q448" s="394"/>
      <c r="R448" s="394"/>
      <c r="S448" s="394"/>
      <c r="T448" s="394"/>
      <c r="U448" s="394"/>
      <c r="V448" s="394"/>
      <c r="W448" s="394"/>
      <c r="X448" s="394"/>
      <c r="Y448" s="394"/>
      <c r="Z448" s="394"/>
      <c r="AA448" s="394"/>
      <c r="AB448" s="394"/>
      <c r="AC448" s="394"/>
      <c r="AD448" s="394"/>
      <c r="AE448" s="394"/>
      <c r="AF448" s="394"/>
      <c r="AG448" s="394"/>
      <c r="AH448" s="394"/>
      <c r="AI448" s="394"/>
      <c r="AJ448" s="394"/>
      <c r="AK448" s="394"/>
      <c r="AL448" s="394"/>
      <c r="AM448" s="394"/>
      <c r="AN448" s="394"/>
      <c r="AO448" s="394"/>
      <c r="AP448" s="394"/>
      <c r="AQ448" s="394"/>
      <c r="AR448" s="394"/>
      <c r="AS448" s="394"/>
      <c r="AT448" s="394"/>
      <c r="AU448" s="394"/>
      <c r="AV448" s="394"/>
      <c r="AW448" s="394"/>
      <c r="AX448" s="394"/>
      <c r="AY448" s="394"/>
      <c r="AZ448" s="394"/>
      <c r="BA448" s="394"/>
      <c r="BB448" s="394"/>
      <c r="BC448" s="394"/>
      <c r="BD448" s="394"/>
      <c r="BE448" s="394"/>
      <c r="BF448" s="394"/>
      <c r="BG448" s="394"/>
      <c r="BH448" s="394"/>
      <c r="BI448" s="394"/>
      <c r="BJ448" s="394"/>
      <c r="BK448" s="394"/>
      <c r="BL448" s="394"/>
      <c r="BM448" s="394"/>
      <c r="BN448" s="394"/>
      <c r="BO448" s="394"/>
    </row>
    <row r="449" spans="3:67">
      <c r="C449" s="394"/>
      <c r="D449" s="394"/>
      <c r="E449" s="394"/>
      <c r="F449" s="394"/>
      <c r="G449" s="394"/>
      <c r="H449" s="394"/>
      <c r="I449" s="394"/>
      <c r="J449" s="394"/>
      <c r="K449" s="394"/>
      <c r="L449" s="394"/>
      <c r="M449" s="394"/>
      <c r="N449" s="394"/>
      <c r="O449" s="394"/>
      <c r="P449" s="394"/>
      <c r="Q449" s="394"/>
      <c r="R449" s="394"/>
      <c r="S449" s="394"/>
      <c r="T449" s="394"/>
      <c r="U449" s="394"/>
      <c r="V449" s="394"/>
      <c r="W449" s="394"/>
      <c r="X449" s="394"/>
      <c r="Y449" s="394"/>
      <c r="Z449" s="394"/>
      <c r="AA449" s="394"/>
      <c r="AB449" s="394"/>
      <c r="AC449" s="394"/>
      <c r="AD449" s="394"/>
      <c r="AE449" s="394"/>
      <c r="AF449" s="394"/>
      <c r="AG449" s="394"/>
      <c r="AH449" s="394"/>
      <c r="AI449" s="394"/>
      <c r="AJ449" s="394"/>
      <c r="AK449" s="394"/>
      <c r="AL449" s="394"/>
      <c r="AM449" s="394"/>
      <c r="AN449" s="394"/>
      <c r="AO449" s="394"/>
      <c r="AP449" s="394"/>
      <c r="AQ449" s="394"/>
      <c r="AR449" s="394"/>
      <c r="AS449" s="394"/>
      <c r="AT449" s="394"/>
      <c r="AU449" s="394"/>
      <c r="AV449" s="394"/>
      <c r="AW449" s="394"/>
      <c r="AX449" s="394"/>
      <c r="AY449" s="394"/>
      <c r="AZ449" s="394"/>
      <c r="BA449" s="394"/>
      <c r="BB449" s="394"/>
      <c r="BC449" s="394"/>
      <c r="BD449" s="394"/>
      <c r="BE449" s="394"/>
      <c r="BF449" s="394"/>
      <c r="BG449" s="394"/>
      <c r="BH449" s="394"/>
      <c r="BI449" s="394"/>
      <c r="BJ449" s="394"/>
      <c r="BK449" s="394"/>
      <c r="BL449" s="394"/>
      <c r="BM449" s="394"/>
      <c r="BN449" s="394"/>
      <c r="BO449" s="394"/>
    </row>
    <row r="450" spans="3:67">
      <c r="C450" s="546"/>
      <c r="D450" s="546"/>
      <c r="E450" s="546"/>
      <c r="F450" s="546"/>
      <c r="G450" s="546"/>
      <c r="H450" s="546"/>
      <c r="I450" s="546"/>
      <c r="J450" s="546"/>
      <c r="K450" s="546"/>
      <c r="L450" s="546"/>
      <c r="M450" s="546"/>
      <c r="N450" s="546"/>
      <c r="O450" s="546"/>
      <c r="P450" s="546"/>
      <c r="Q450" s="546"/>
      <c r="R450" s="546"/>
      <c r="S450" s="546"/>
      <c r="T450" s="546"/>
      <c r="U450" s="546"/>
      <c r="V450" s="546"/>
      <c r="W450" s="546"/>
      <c r="X450" s="546"/>
      <c r="Y450" s="546"/>
      <c r="Z450" s="546"/>
      <c r="AA450" s="546"/>
      <c r="AB450" s="546"/>
      <c r="AC450" s="546"/>
      <c r="AD450" s="546"/>
      <c r="AE450" s="546"/>
      <c r="AF450" s="546"/>
      <c r="AG450" s="546"/>
      <c r="AH450" s="546"/>
      <c r="AI450" s="546"/>
      <c r="AJ450" s="546"/>
      <c r="AK450" s="546"/>
      <c r="AL450" s="546"/>
      <c r="AM450" s="546"/>
      <c r="AN450" s="546"/>
      <c r="AO450" s="546"/>
      <c r="AP450" s="546"/>
      <c r="AQ450" s="546"/>
      <c r="AR450" s="546"/>
      <c r="AS450" s="546"/>
      <c r="AT450" s="546"/>
      <c r="AU450" s="546"/>
      <c r="AV450" s="546"/>
      <c r="AW450" s="546"/>
      <c r="AX450" s="546"/>
      <c r="AY450" s="546"/>
      <c r="AZ450" s="546"/>
      <c r="BA450" s="546"/>
      <c r="BB450" s="546"/>
      <c r="BC450" s="546"/>
      <c r="BD450" s="546"/>
      <c r="BE450" s="546"/>
      <c r="BF450" s="546"/>
      <c r="BG450" s="546"/>
      <c r="BH450" s="546"/>
      <c r="BI450" s="546"/>
      <c r="BJ450" s="546"/>
      <c r="BK450" s="546"/>
      <c r="BL450" s="546"/>
      <c r="BM450" s="546"/>
      <c r="BN450" s="546"/>
      <c r="BO450" s="546"/>
    </row>
    <row r="451" spans="3:67">
      <c r="C451" s="546"/>
      <c r="D451" s="546"/>
      <c r="E451" s="546"/>
      <c r="F451" s="546"/>
      <c r="G451" s="546"/>
      <c r="H451" s="546"/>
      <c r="I451" s="546"/>
      <c r="J451" s="546"/>
      <c r="K451" s="546"/>
      <c r="L451" s="546"/>
      <c r="M451" s="546"/>
      <c r="N451" s="546"/>
      <c r="O451" s="546"/>
      <c r="P451" s="546"/>
      <c r="Q451" s="546"/>
      <c r="R451" s="546"/>
      <c r="S451" s="546"/>
      <c r="T451" s="546"/>
      <c r="U451" s="546"/>
      <c r="V451" s="546"/>
      <c r="W451" s="546"/>
      <c r="X451" s="546"/>
      <c r="Y451" s="546"/>
      <c r="Z451" s="546"/>
      <c r="AA451" s="546"/>
      <c r="AB451" s="546"/>
      <c r="AC451" s="546"/>
      <c r="AD451" s="546"/>
      <c r="AE451" s="546"/>
      <c r="AF451" s="546"/>
      <c r="AG451" s="546"/>
      <c r="AH451" s="546"/>
      <c r="AI451" s="546"/>
      <c r="AJ451" s="546"/>
      <c r="AK451" s="546"/>
      <c r="AL451" s="546"/>
      <c r="AM451" s="546"/>
      <c r="AN451" s="546"/>
      <c r="AO451" s="546"/>
      <c r="AP451" s="546"/>
      <c r="AQ451" s="546"/>
      <c r="AR451" s="546"/>
      <c r="AS451" s="546"/>
      <c r="AT451" s="546"/>
      <c r="AU451" s="546"/>
      <c r="AV451" s="546"/>
      <c r="AW451" s="546"/>
      <c r="AX451" s="546"/>
      <c r="AY451" s="546"/>
      <c r="AZ451" s="546"/>
      <c r="BA451" s="546"/>
      <c r="BB451" s="546"/>
      <c r="BC451" s="546"/>
      <c r="BD451" s="546"/>
      <c r="BE451" s="546"/>
      <c r="BF451" s="546"/>
      <c r="BG451" s="546"/>
      <c r="BH451" s="546"/>
      <c r="BI451" s="546"/>
      <c r="BJ451" s="546"/>
      <c r="BK451" s="546"/>
      <c r="BL451" s="546"/>
      <c r="BM451" s="546"/>
      <c r="BN451" s="546"/>
      <c r="BO451" s="546"/>
    </row>
    <row r="452" spans="3:67">
      <c r="C452" s="490"/>
      <c r="D452" s="490"/>
      <c r="E452" s="490"/>
      <c r="F452" s="490"/>
      <c r="G452" s="490"/>
      <c r="H452" s="490"/>
      <c r="I452" s="490"/>
      <c r="J452" s="490"/>
      <c r="K452" s="490"/>
      <c r="L452" s="490"/>
      <c r="M452" s="490"/>
      <c r="N452" s="490"/>
      <c r="O452" s="490"/>
      <c r="P452" s="490"/>
      <c r="Q452" s="490"/>
      <c r="R452" s="490"/>
      <c r="S452" s="490"/>
      <c r="T452" s="490"/>
      <c r="U452" s="490"/>
      <c r="V452" s="490"/>
      <c r="W452" s="490"/>
      <c r="X452" s="490"/>
      <c r="Y452" s="490"/>
      <c r="Z452" s="490"/>
      <c r="AA452" s="490"/>
      <c r="AB452" s="490"/>
      <c r="AC452" s="490"/>
      <c r="AD452" s="490"/>
      <c r="AE452" s="490"/>
      <c r="AF452" s="490"/>
      <c r="AG452" s="490"/>
      <c r="AH452" s="490"/>
      <c r="AI452" s="490"/>
      <c r="AJ452" s="490"/>
      <c r="AK452" s="490"/>
      <c r="AL452" s="490"/>
      <c r="AM452" s="490"/>
      <c r="AN452" s="490"/>
      <c r="AO452" s="490"/>
      <c r="AP452" s="490"/>
      <c r="AQ452" s="490"/>
      <c r="AR452" s="490"/>
      <c r="AS452" s="490"/>
      <c r="AT452" s="490"/>
      <c r="AU452" s="490"/>
      <c r="AV452" s="490"/>
      <c r="AW452" s="490"/>
      <c r="AX452" s="490"/>
      <c r="AY452" s="490"/>
      <c r="AZ452" s="490"/>
      <c r="BA452" s="490"/>
      <c r="BB452" s="490"/>
      <c r="BC452" s="490"/>
      <c r="BD452" s="490"/>
      <c r="BE452" s="490"/>
      <c r="BF452" s="490"/>
      <c r="BG452" s="490"/>
      <c r="BH452" s="490"/>
      <c r="BI452" s="490"/>
      <c r="BJ452" s="490"/>
      <c r="BK452" s="490"/>
      <c r="BL452" s="490"/>
      <c r="BM452" s="490"/>
      <c r="BN452" s="490"/>
      <c r="BO452" s="490"/>
    </row>
    <row r="453" spans="3:67">
      <c r="C453" s="490"/>
      <c r="D453" s="490"/>
      <c r="E453" s="490"/>
      <c r="F453" s="490"/>
      <c r="G453" s="490"/>
      <c r="H453" s="490"/>
      <c r="I453" s="490"/>
      <c r="J453" s="490"/>
      <c r="K453" s="490"/>
      <c r="L453" s="490"/>
      <c r="M453" s="490"/>
      <c r="N453" s="490"/>
      <c r="O453" s="490"/>
      <c r="P453" s="490"/>
      <c r="Q453" s="490"/>
      <c r="R453" s="490"/>
      <c r="S453" s="490"/>
      <c r="T453" s="490"/>
      <c r="U453" s="490"/>
      <c r="V453" s="490"/>
      <c r="W453" s="490"/>
      <c r="X453" s="490"/>
      <c r="Y453" s="490"/>
      <c r="Z453" s="490"/>
      <c r="AA453" s="490"/>
      <c r="AB453" s="490"/>
      <c r="AC453" s="490"/>
      <c r="AD453" s="490"/>
      <c r="AE453" s="490"/>
      <c r="AF453" s="490"/>
      <c r="AG453" s="490"/>
      <c r="AH453" s="490"/>
      <c r="AI453" s="490"/>
      <c r="AJ453" s="490"/>
      <c r="AK453" s="490"/>
      <c r="AL453" s="490"/>
      <c r="AM453" s="490"/>
      <c r="AN453" s="490"/>
      <c r="AO453" s="490"/>
      <c r="AP453" s="490"/>
      <c r="AQ453" s="490"/>
      <c r="AR453" s="490"/>
      <c r="AS453" s="490"/>
      <c r="AT453" s="490"/>
      <c r="AU453" s="490"/>
      <c r="AV453" s="490"/>
      <c r="AW453" s="490"/>
      <c r="AX453" s="490"/>
      <c r="AY453" s="490"/>
      <c r="AZ453" s="490"/>
      <c r="BA453" s="490"/>
      <c r="BB453" s="490"/>
      <c r="BC453" s="490"/>
      <c r="BD453" s="490"/>
      <c r="BE453" s="490"/>
      <c r="BF453" s="490"/>
      <c r="BG453" s="490"/>
      <c r="BH453" s="490"/>
      <c r="BI453" s="490"/>
      <c r="BJ453" s="490"/>
      <c r="BK453" s="490"/>
      <c r="BL453" s="490"/>
      <c r="BM453" s="490"/>
      <c r="BN453" s="490"/>
      <c r="BO453" s="490"/>
    </row>
    <row r="454" spans="3:67">
      <c r="C454" s="490"/>
      <c r="D454" s="490"/>
      <c r="E454" s="490"/>
      <c r="F454" s="490"/>
      <c r="G454" s="490"/>
      <c r="H454" s="490"/>
      <c r="I454" s="490"/>
      <c r="J454" s="490"/>
      <c r="K454" s="490"/>
      <c r="L454" s="490"/>
      <c r="M454" s="490"/>
      <c r="N454" s="490"/>
      <c r="O454" s="490"/>
      <c r="P454" s="490"/>
      <c r="Q454" s="490"/>
      <c r="R454" s="490"/>
      <c r="S454" s="490"/>
      <c r="T454" s="490"/>
      <c r="U454" s="490"/>
      <c r="V454" s="490"/>
      <c r="W454" s="490"/>
      <c r="X454" s="490"/>
      <c r="Y454" s="490"/>
      <c r="Z454" s="490"/>
      <c r="AA454" s="490"/>
      <c r="AB454" s="490"/>
      <c r="AC454" s="490"/>
      <c r="AD454" s="490"/>
      <c r="AE454" s="490"/>
      <c r="AF454" s="490"/>
      <c r="AG454" s="490"/>
      <c r="AH454" s="490"/>
      <c r="AI454" s="490"/>
      <c r="AJ454" s="490"/>
      <c r="AK454" s="490"/>
      <c r="AL454" s="490"/>
      <c r="AM454" s="490"/>
      <c r="AN454" s="490"/>
      <c r="AO454" s="490"/>
      <c r="AP454" s="490"/>
      <c r="AQ454" s="490"/>
      <c r="AR454" s="490"/>
      <c r="AS454" s="490"/>
      <c r="AT454" s="490"/>
      <c r="AU454" s="490"/>
      <c r="AV454" s="490"/>
      <c r="AW454" s="490"/>
      <c r="AX454" s="490"/>
      <c r="AY454" s="490"/>
      <c r="AZ454" s="490"/>
      <c r="BA454" s="490"/>
      <c r="BB454" s="490"/>
      <c r="BC454" s="490"/>
      <c r="BD454" s="490"/>
      <c r="BE454" s="490"/>
      <c r="BF454" s="490"/>
      <c r="BG454" s="490"/>
      <c r="BH454" s="490"/>
      <c r="BI454" s="490"/>
      <c r="BJ454" s="490"/>
      <c r="BK454" s="490"/>
      <c r="BL454" s="490"/>
      <c r="BM454" s="490"/>
      <c r="BN454" s="490"/>
      <c r="BO454" s="490"/>
    </row>
    <row r="455" spans="3:67">
      <c r="C455" s="394"/>
      <c r="D455" s="394"/>
      <c r="E455" s="394"/>
      <c r="F455" s="394"/>
      <c r="G455" s="394"/>
      <c r="H455" s="394"/>
      <c r="I455" s="394"/>
      <c r="J455" s="394"/>
      <c r="K455" s="394"/>
      <c r="L455" s="394"/>
      <c r="M455" s="394"/>
      <c r="N455" s="394"/>
      <c r="O455" s="394"/>
      <c r="P455" s="394"/>
      <c r="Q455" s="394"/>
      <c r="R455" s="394"/>
      <c r="S455" s="394"/>
      <c r="T455" s="394"/>
      <c r="U455" s="394"/>
      <c r="V455" s="394"/>
      <c r="W455" s="394"/>
      <c r="X455" s="394"/>
      <c r="Y455" s="394"/>
      <c r="Z455" s="394"/>
      <c r="AA455" s="394"/>
      <c r="AB455" s="394"/>
      <c r="AC455" s="394"/>
      <c r="AD455" s="394"/>
      <c r="AE455" s="394"/>
      <c r="AF455" s="394"/>
      <c r="AG455" s="394"/>
      <c r="AH455" s="394"/>
      <c r="AI455" s="394"/>
      <c r="AJ455" s="394"/>
      <c r="AK455" s="394"/>
      <c r="AL455" s="394"/>
      <c r="AM455" s="394"/>
      <c r="AN455" s="394"/>
      <c r="AO455" s="394"/>
      <c r="AP455" s="394"/>
      <c r="AQ455" s="394"/>
      <c r="AR455" s="394"/>
      <c r="AS455" s="394"/>
      <c r="AT455" s="394"/>
      <c r="AU455" s="394"/>
      <c r="AV455" s="394"/>
      <c r="AW455" s="394"/>
      <c r="AX455" s="394"/>
      <c r="AY455" s="394"/>
      <c r="AZ455" s="394"/>
      <c r="BA455" s="394"/>
      <c r="BB455" s="394"/>
      <c r="BC455" s="394"/>
      <c r="BD455" s="394"/>
      <c r="BE455" s="394"/>
      <c r="BF455" s="394"/>
      <c r="BG455" s="394"/>
      <c r="BH455" s="394"/>
      <c r="BI455" s="394"/>
      <c r="BJ455" s="394"/>
      <c r="BK455" s="394"/>
      <c r="BL455" s="394"/>
      <c r="BM455" s="394"/>
      <c r="BN455" s="394"/>
      <c r="BO455" s="394"/>
    </row>
    <row r="456" spans="3:67">
      <c r="C456" s="547"/>
      <c r="D456" s="394"/>
      <c r="E456" s="394"/>
      <c r="F456" s="394"/>
      <c r="G456" s="394"/>
      <c r="H456" s="547"/>
      <c r="I456" s="394"/>
      <c r="J456" s="394"/>
      <c r="K456" s="394"/>
      <c r="L456" s="394"/>
      <c r="M456" s="547"/>
      <c r="N456" s="394"/>
      <c r="O456" s="394"/>
      <c r="P456" s="394"/>
      <c r="Q456" s="394"/>
      <c r="R456" s="547"/>
      <c r="S456" s="394"/>
      <c r="T456" s="394"/>
      <c r="U456" s="394"/>
      <c r="V456" s="394"/>
      <c r="W456" s="547"/>
      <c r="X456" s="394"/>
      <c r="Y456" s="394"/>
      <c r="Z456" s="394"/>
      <c r="AA456" s="394"/>
      <c r="AB456" s="547"/>
      <c r="AC456" s="394"/>
      <c r="AD456" s="394"/>
      <c r="AE456" s="394"/>
      <c r="AF456" s="394"/>
      <c r="AG456" s="547"/>
      <c r="AH456" s="394"/>
      <c r="AI456" s="394"/>
      <c r="AJ456" s="394"/>
      <c r="AK456" s="394"/>
      <c r="AL456" s="547"/>
      <c r="AM456" s="394"/>
      <c r="AN456" s="394"/>
      <c r="AO456" s="394"/>
      <c r="AP456" s="394"/>
      <c r="AQ456" s="547"/>
      <c r="AR456" s="394"/>
      <c r="AS456" s="394"/>
      <c r="AT456" s="394"/>
      <c r="AU456" s="394"/>
      <c r="AV456" s="547"/>
      <c r="AW456" s="394"/>
      <c r="AX456" s="394"/>
      <c r="AY456" s="394"/>
      <c r="AZ456" s="394"/>
      <c r="BA456" s="547"/>
      <c r="BB456" s="394"/>
      <c r="BC456" s="394"/>
      <c r="BD456" s="394"/>
      <c r="BE456" s="394"/>
      <c r="BF456" s="547"/>
      <c r="BG456" s="394"/>
      <c r="BH456" s="394"/>
      <c r="BI456" s="394"/>
      <c r="BJ456" s="394"/>
      <c r="BK456" s="547"/>
      <c r="BL456" s="394"/>
      <c r="BM456" s="394"/>
      <c r="BN456" s="394"/>
      <c r="BO456" s="394"/>
    </row>
    <row r="457" spans="3:67">
      <c r="C457" s="394"/>
      <c r="D457" s="394"/>
      <c r="E457" s="394"/>
      <c r="F457" s="394"/>
      <c r="G457" s="394"/>
      <c r="H457" s="394"/>
      <c r="I457" s="394"/>
      <c r="J457" s="394"/>
      <c r="K457" s="394"/>
      <c r="L457" s="394"/>
      <c r="M457" s="394"/>
      <c r="N457" s="394"/>
      <c r="O457" s="394"/>
      <c r="P457" s="394"/>
      <c r="Q457" s="394"/>
      <c r="R457" s="394"/>
      <c r="S457" s="394"/>
      <c r="T457" s="394"/>
      <c r="U457" s="394"/>
      <c r="V457" s="394"/>
      <c r="W457" s="394"/>
      <c r="X457" s="394"/>
      <c r="Y457" s="394"/>
      <c r="Z457" s="394"/>
      <c r="AA457" s="394"/>
      <c r="AB457" s="394"/>
      <c r="AC457" s="394"/>
      <c r="AD457" s="394"/>
      <c r="AE457" s="394"/>
      <c r="AF457" s="394"/>
      <c r="AG457" s="394"/>
      <c r="AH457" s="394"/>
      <c r="AI457" s="394"/>
      <c r="AJ457" s="394"/>
      <c r="AK457" s="394"/>
      <c r="AL457" s="394"/>
      <c r="AM457" s="394"/>
      <c r="AN457" s="394"/>
      <c r="AO457" s="394"/>
      <c r="AP457" s="394"/>
      <c r="AQ457" s="394"/>
      <c r="AR457" s="394"/>
      <c r="AS457" s="394"/>
      <c r="AT457" s="394"/>
      <c r="AU457" s="394"/>
      <c r="AV457" s="394"/>
      <c r="AW457" s="394"/>
      <c r="AX457" s="394"/>
      <c r="AY457" s="394"/>
      <c r="AZ457" s="394"/>
      <c r="BA457" s="394"/>
      <c r="BB457" s="394"/>
      <c r="BC457" s="394"/>
      <c r="BD457" s="394"/>
      <c r="BE457" s="394"/>
      <c r="BF457" s="394"/>
      <c r="BG457" s="394"/>
      <c r="BH457" s="394"/>
      <c r="BI457" s="394"/>
      <c r="BJ457" s="394"/>
      <c r="BK457" s="394"/>
      <c r="BL457" s="394"/>
      <c r="BM457" s="394"/>
      <c r="BN457" s="394"/>
      <c r="BO457" s="394"/>
    </row>
    <row r="458" spans="3:67">
      <c r="C458" s="548"/>
      <c r="D458" s="543"/>
      <c r="E458" s="543"/>
      <c r="F458" s="543"/>
      <c r="G458" s="543"/>
      <c r="H458" s="548"/>
      <c r="I458" s="543"/>
      <c r="J458" s="543"/>
      <c r="K458" s="543"/>
      <c r="L458" s="543"/>
      <c r="M458" s="548"/>
      <c r="N458" s="543"/>
      <c r="O458" s="543"/>
      <c r="P458" s="543"/>
      <c r="Q458" s="543"/>
      <c r="R458" s="548"/>
      <c r="S458" s="543"/>
      <c r="T458" s="543"/>
      <c r="U458" s="543"/>
      <c r="V458" s="543"/>
      <c r="W458" s="548"/>
      <c r="X458" s="543"/>
      <c r="Y458" s="543"/>
      <c r="Z458" s="543"/>
      <c r="AA458" s="543"/>
      <c r="AB458" s="548"/>
      <c r="AC458" s="543"/>
      <c r="AD458" s="543"/>
      <c r="AE458" s="543"/>
      <c r="AF458" s="543"/>
      <c r="AG458" s="548"/>
      <c r="AH458" s="543"/>
      <c r="AI458" s="543"/>
      <c r="AJ458" s="543"/>
      <c r="AK458" s="543"/>
      <c r="AL458" s="548"/>
      <c r="AM458" s="543"/>
      <c r="AN458" s="543"/>
      <c r="AO458" s="543"/>
      <c r="AP458" s="543"/>
      <c r="AQ458" s="548"/>
      <c r="AR458" s="543"/>
      <c r="AS458" s="543"/>
      <c r="AT458" s="543"/>
      <c r="AU458" s="543"/>
      <c r="AV458" s="548"/>
      <c r="AW458" s="543"/>
      <c r="AX458" s="543"/>
      <c r="AY458" s="543"/>
      <c r="AZ458" s="543"/>
      <c r="BA458" s="548"/>
      <c r="BB458" s="543"/>
      <c r="BC458" s="543"/>
      <c r="BD458" s="543"/>
      <c r="BE458" s="543"/>
      <c r="BF458" s="548"/>
      <c r="BG458" s="543"/>
      <c r="BH458" s="543"/>
      <c r="BI458" s="543"/>
      <c r="BJ458" s="543"/>
      <c r="BK458" s="548"/>
      <c r="BL458" s="543"/>
      <c r="BM458" s="543"/>
      <c r="BN458" s="543"/>
      <c r="BO458" s="543"/>
    </row>
    <row r="459" spans="3:67">
      <c r="C459" s="547"/>
      <c r="D459" s="394"/>
      <c r="E459" s="394"/>
      <c r="F459" s="394"/>
      <c r="G459" s="394"/>
      <c r="H459" s="547"/>
      <c r="I459" s="394"/>
      <c r="J459" s="394"/>
      <c r="K459" s="394"/>
      <c r="L459" s="394"/>
      <c r="M459" s="547"/>
      <c r="N459" s="394"/>
      <c r="O459" s="394"/>
      <c r="P459" s="394"/>
      <c r="Q459" s="394"/>
      <c r="R459" s="547"/>
      <c r="S459" s="394"/>
      <c r="T459" s="394"/>
      <c r="U459" s="394"/>
      <c r="V459" s="394"/>
      <c r="W459" s="547"/>
      <c r="X459" s="394"/>
      <c r="Y459" s="394"/>
      <c r="Z459" s="394"/>
      <c r="AA459" s="394"/>
      <c r="AB459" s="547"/>
      <c r="AC459" s="394"/>
      <c r="AD459" s="394"/>
      <c r="AE459" s="394"/>
      <c r="AF459" s="394"/>
      <c r="AG459" s="547"/>
      <c r="AH459" s="394"/>
      <c r="AI459" s="394"/>
      <c r="AJ459" s="394"/>
      <c r="AK459" s="394"/>
      <c r="AL459" s="547"/>
      <c r="AM459" s="394"/>
      <c r="AN459" s="394"/>
      <c r="AO459" s="394"/>
      <c r="AP459" s="394"/>
      <c r="AQ459" s="547"/>
      <c r="AR459" s="394"/>
      <c r="AS459" s="394"/>
      <c r="AT459" s="394"/>
      <c r="AU459" s="394"/>
      <c r="AV459" s="547"/>
      <c r="AW459" s="394"/>
      <c r="AX459" s="394"/>
      <c r="AY459" s="394"/>
      <c r="AZ459" s="394"/>
      <c r="BA459" s="547"/>
      <c r="BB459" s="394"/>
      <c r="BC459" s="394"/>
      <c r="BD459" s="394"/>
      <c r="BE459" s="394"/>
      <c r="BF459" s="547"/>
      <c r="BG459" s="394"/>
      <c r="BH459" s="394"/>
      <c r="BI459" s="394"/>
      <c r="BJ459" s="394"/>
      <c r="BK459" s="547"/>
      <c r="BL459" s="394"/>
      <c r="BM459" s="394"/>
      <c r="BN459" s="394"/>
      <c r="BO459" s="394"/>
    </row>
    <row r="460" spans="3:67">
      <c r="C460" s="547"/>
      <c r="D460" s="394"/>
      <c r="E460" s="394"/>
      <c r="F460" s="394"/>
      <c r="G460" s="394"/>
      <c r="H460" s="547"/>
      <c r="I460" s="394"/>
      <c r="J460" s="394"/>
      <c r="K460" s="394"/>
      <c r="L460" s="394"/>
      <c r="M460" s="547"/>
      <c r="N460" s="394"/>
      <c r="O460" s="394"/>
      <c r="P460" s="394"/>
      <c r="Q460" s="394"/>
      <c r="R460" s="547"/>
      <c r="S460" s="394"/>
      <c r="T460" s="394"/>
      <c r="U460" s="394"/>
      <c r="V460" s="394"/>
      <c r="W460" s="547"/>
      <c r="X460" s="394"/>
      <c r="Y460" s="394"/>
      <c r="Z460" s="394"/>
      <c r="AA460" s="394"/>
      <c r="AB460" s="547"/>
      <c r="AC460" s="394"/>
      <c r="AD460" s="394"/>
      <c r="AE460" s="394"/>
      <c r="AF460" s="394"/>
      <c r="AG460" s="547"/>
      <c r="AH460" s="394"/>
      <c r="AI460" s="394"/>
      <c r="AJ460" s="394"/>
      <c r="AK460" s="394"/>
      <c r="AL460" s="547"/>
      <c r="AM460" s="394"/>
      <c r="AN460" s="394"/>
      <c r="AO460" s="394"/>
      <c r="AP460" s="394"/>
      <c r="AQ460" s="547"/>
      <c r="AR460" s="394"/>
      <c r="AS460" s="394"/>
      <c r="AT460" s="394"/>
      <c r="AU460" s="394"/>
      <c r="AV460" s="547"/>
      <c r="AW460" s="394"/>
      <c r="AX460" s="394"/>
      <c r="AY460" s="394"/>
      <c r="AZ460" s="394"/>
      <c r="BA460" s="547"/>
      <c r="BB460" s="394"/>
      <c r="BC460" s="394"/>
      <c r="BD460" s="394"/>
      <c r="BE460" s="394"/>
      <c r="BF460" s="547"/>
      <c r="BG460" s="394"/>
      <c r="BH460" s="394"/>
      <c r="BI460" s="394"/>
      <c r="BJ460" s="394"/>
      <c r="BK460" s="547"/>
      <c r="BL460" s="394"/>
      <c r="BM460" s="394"/>
      <c r="BN460" s="394"/>
      <c r="BO460" s="394"/>
    </row>
    <row r="461" spans="3:67">
      <c r="C461" s="394"/>
      <c r="D461" s="394"/>
      <c r="E461" s="394"/>
      <c r="F461" s="394"/>
      <c r="G461" s="394"/>
      <c r="H461" s="394"/>
      <c r="I461" s="394"/>
      <c r="J461" s="394"/>
      <c r="K461" s="394"/>
      <c r="L461" s="394"/>
      <c r="M461" s="394"/>
      <c r="N461" s="394"/>
      <c r="O461" s="394"/>
      <c r="P461" s="394"/>
      <c r="Q461" s="394"/>
      <c r="R461" s="394"/>
      <c r="S461" s="394"/>
      <c r="T461" s="394"/>
      <c r="U461" s="394"/>
      <c r="V461" s="394"/>
      <c r="W461" s="394"/>
      <c r="X461" s="394"/>
      <c r="Y461" s="394"/>
      <c r="Z461" s="394"/>
      <c r="AA461" s="394"/>
      <c r="AB461" s="394"/>
      <c r="AC461" s="394"/>
      <c r="AD461" s="394"/>
      <c r="AE461" s="394"/>
      <c r="AF461" s="394"/>
      <c r="AG461" s="394"/>
      <c r="AH461" s="394"/>
      <c r="AI461" s="394"/>
      <c r="AJ461" s="394"/>
      <c r="AK461" s="394"/>
      <c r="AL461" s="394"/>
      <c r="AM461" s="394"/>
      <c r="AN461" s="394"/>
      <c r="AO461" s="394"/>
      <c r="AP461" s="394"/>
      <c r="AQ461" s="394"/>
      <c r="AR461" s="394"/>
      <c r="AS461" s="394"/>
      <c r="AT461" s="394"/>
      <c r="AU461" s="394"/>
      <c r="AV461" s="394"/>
      <c r="AW461" s="394"/>
      <c r="AX461" s="394"/>
      <c r="AY461" s="394"/>
      <c r="AZ461" s="394"/>
      <c r="BA461" s="394"/>
      <c r="BB461" s="394"/>
      <c r="BC461" s="394"/>
      <c r="BD461" s="394"/>
      <c r="BE461" s="394"/>
      <c r="BF461" s="394"/>
      <c r="BG461" s="394"/>
      <c r="BH461" s="394"/>
      <c r="BI461" s="394"/>
      <c r="BJ461" s="394"/>
      <c r="BK461" s="394"/>
      <c r="BL461" s="394"/>
      <c r="BM461" s="394"/>
      <c r="BN461" s="394"/>
      <c r="BO461" s="394"/>
    </row>
    <row r="462" spans="3:67">
      <c r="C462" s="394"/>
      <c r="D462" s="394"/>
      <c r="E462" s="394"/>
      <c r="F462" s="394"/>
      <c r="G462" s="394"/>
      <c r="H462" s="394"/>
      <c r="I462" s="394"/>
      <c r="J462" s="394"/>
      <c r="K462" s="394"/>
      <c r="L462" s="394"/>
      <c r="M462" s="394"/>
      <c r="N462" s="394"/>
      <c r="O462" s="394"/>
      <c r="P462" s="394"/>
      <c r="Q462" s="394"/>
      <c r="R462" s="394"/>
      <c r="S462" s="394"/>
      <c r="T462" s="394"/>
      <c r="U462" s="394"/>
      <c r="V462" s="394"/>
      <c r="W462" s="394"/>
      <c r="X462" s="394"/>
      <c r="Y462" s="394"/>
      <c r="Z462" s="394"/>
      <c r="AA462" s="394"/>
      <c r="AB462" s="394"/>
      <c r="AC462" s="394"/>
      <c r="AD462" s="394"/>
      <c r="AE462" s="394"/>
      <c r="AF462" s="394"/>
      <c r="AG462" s="394"/>
      <c r="AH462" s="394"/>
      <c r="AI462" s="394"/>
      <c r="AJ462" s="394"/>
      <c r="AK462" s="394"/>
      <c r="AL462" s="394"/>
      <c r="AM462" s="394"/>
      <c r="AN462" s="394"/>
      <c r="AO462" s="394"/>
      <c r="AP462" s="394"/>
      <c r="AQ462" s="394"/>
      <c r="AR462" s="394"/>
      <c r="AS462" s="394"/>
      <c r="AT462" s="394"/>
      <c r="AU462" s="394"/>
      <c r="AV462" s="394"/>
      <c r="AW462" s="394"/>
      <c r="AX462" s="394"/>
      <c r="AY462" s="394"/>
      <c r="AZ462" s="394"/>
      <c r="BA462" s="394"/>
      <c r="BB462" s="394"/>
      <c r="BC462" s="394"/>
      <c r="BD462" s="394"/>
      <c r="BE462" s="394"/>
      <c r="BF462" s="394"/>
      <c r="BG462" s="394"/>
      <c r="BH462" s="394"/>
      <c r="BI462" s="394"/>
      <c r="BJ462" s="394"/>
      <c r="BK462" s="394"/>
      <c r="BL462" s="394"/>
      <c r="BM462" s="394"/>
      <c r="BN462" s="394"/>
      <c r="BO462" s="394"/>
    </row>
    <row r="463" spans="3:67">
      <c r="C463" s="394"/>
      <c r="D463" s="394"/>
      <c r="E463" s="394"/>
      <c r="F463" s="394"/>
      <c r="G463" s="394"/>
      <c r="H463" s="394"/>
      <c r="I463" s="394"/>
      <c r="J463" s="394"/>
      <c r="K463" s="394"/>
      <c r="L463" s="394"/>
      <c r="M463" s="394"/>
      <c r="N463" s="394"/>
      <c r="O463" s="394"/>
      <c r="P463" s="394"/>
      <c r="Q463" s="394"/>
      <c r="R463" s="394"/>
      <c r="S463" s="394"/>
      <c r="T463" s="394"/>
      <c r="U463" s="394"/>
      <c r="V463" s="394"/>
      <c r="W463" s="394"/>
      <c r="X463" s="394"/>
      <c r="Y463" s="394"/>
      <c r="Z463" s="394"/>
      <c r="AA463" s="394"/>
      <c r="AB463" s="394"/>
      <c r="AC463" s="394"/>
      <c r="AD463" s="394"/>
      <c r="AE463" s="394"/>
      <c r="AF463" s="394"/>
      <c r="AG463" s="394"/>
      <c r="AH463" s="394"/>
      <c r="AI463" s="394"/>
      <c r="AJ463" s="394"/>
      <c r="AK463" s="394"/>
      <c r="AL463" s="394"/>
      <c r="AM463" s="394"/>
      <c r="AN463" s="394"/>
      <c r="AO463" s="394"/>
      <c r="AP463" s="394"/>
      <c r="AQ463" s="394"/>
      <c r="AR463" s="394"/>
      <c r="AS463" s="394"/>
      <c r="AT463" s="394"/>
      <c r="AU463" s="394"/>
      <c r="AV463" s="394"/>
      <c r="AW463" s="394"/>
      <c r="AX463" s="394"/>
      <c r="AY463" s="394"/>
      <c r="AZ463" s="394"/>
      <c r="BA463" s="394"/>
      <c r="BB463" s="394"/>
      <c r="BC463" s="394"/>
      <c r="BD463" s="394"/>
      <c r="BE463" s="394"/>
      <c r="BF463" s="394"/>
      <c r="BG463" s="394"/>
      <c r="BH463" s="394"/>
      <c r="BI463" s="394"/>
      <c r="BJ463" s="394"/>
      <c r="BK463" s="394"/>
      <c r="BL463" s="394"/>
      <c r="BM463" s="394"/>
      <c r="BN463" s="394"/>
      <c r="BO463" s="394"/>
    </row>
    <row r="464" spans="3:67">
      <c r="C464" s="490"/>
      <c r="D464" s="394"/>
      <c r="E464" s="394"/>
      <c r="F464" s="394"/>
      <c r="G464" s="394"/>
      <c r="H464" s="490"/>
      <c r="I464" s="394"/>
      <c r="J464" s="394"/>
      <c r="K464" s="394"/>
      <c r="L464" s="394"/>
      <c r="M464" s="490"/>
      <c r="N464" s="394"/>
      <c r="O464" s="394"/>
      <c r="P464" s="394"/>
      <c r="Q464" s="394"/>
      <c r="R464" s="490"/>
      <c r="S464" s="394"/>
      <c r="T464" s="394"/>
      <c r="U464" s="394"/>
      <c r="V464" s="394"/>
      <c r="W464" s="490"/>
      <c r="X464" s="394"/>
      <c r="Y464" s="394"/>
      <c r="Z464" s="394"/>
      <c r="AA464" s="394"/>
      <c r="AB464" s="490"/>
      <c r="AC464" s="394"/>
      <c r="AD464" s="394"/>
      <c r="AE464" s="394"/>
      <c r="AF464" s="394"/>
      <c r="AG464" s="490"/>
      <c r="AH464" s="394"/>
      <c r="AI464" s="394"/>
      <c r="AJ464" s="394"/>
      <c r="AK464" s="394"/>
      <c r="AL464" s="490"/>
      <c r="AM464" s="394"/>
      <c r="AN464" s="394"/>
      <c r="AO464" s="394"/>
      <c r="AP464" s="394"/>
      <c r="AQ464" s="490"/>
      <c r="AR464" s="394"/>
      <c r="AS464" s="394"/>
      <c r="AT464" s="394"/>
      <c r="AU464" s="394"/>
      <c r="AV464" s="490"/>
      <c r="AW464" s="394"/>
      <c r="AX464" s="394"/>
      <c r="AY464" s="394"/>
      <c r="AZ464" s="394"/>
      <c r="BA464" s="490"/>
      <c r="BB464" s="394"/>
      <c r="BC464" s="394"/>
      <c r="BD464" s="394"/>
      <c r="BE464" s="394"/>
      <c r="BF464" s="490"/>
      <c r="BG464" s="394"/>
      <c r="BH464" s="394"/>
      <c r="BI464" s="394"/>
      <c r="BJ464" s="394"/>
      <c r="BK464" s="490"/>
      <c r="BL464" s="394"/>
      <c r="BM464" s="394"/>
      <c r="BN464" s="394"/>
      <c r="BO464" s="394"/>
    </row>
    <row r="465" spans="3:67">
      <c r="C465" s="547"/>
      <c r="D465" s="394"/>
      <c r="E465" s="394"/>
      <c r="F465" s="394"/>
      <c r="G465" s="394"/>
      <c r="H465" s="547"/>
      <c r="I465" s="394"/>
      <c r="J465" s="394"/>
      <c r="K465" s="394"/>
      <c r="L465" s="394"/>
      <c r="M465" s="547"/>
      <c r="N465" s="394"/>
      <c r="O465" s="394"/>
      <c r="P465" s="394"/>
      <c r="Q465" s="394"/>
      <c r="R465" s="547"/>
      <c r="S465" s="394"/>
      <c r="T465" s="394"/>
      <c r="U465" s="394"/>
      <c r="V465" s="394"/>
      <c r="W465" s="547"/>
      <c r="X465" s="394"/>
      <c r="Y465" s="394"/>
      <c r="Z465" s="394"/>
      <c r="AA465" s="394"/>
      <c r="AB465" s="547"/>
      <c r="AC465" s="394"/>
      <c r="AD465" s="394"/>
      <c r="AE465" s="394"/>
      <c r="AF465" s="394"/>
      <c r="AG465" s="547"/>
      <c r="AH465" s="394"/>
      <c r="AI465" s="394"/>
      <c r="AJ465" s="394"/>
      <c r="AK465" s="394"/>
      <c r="AL465" s="547"/>
      <c r="AM465" s="394"/>
      <c r="AN465" s="394"/>
      <c r="AO465" s="394"/>
      <c r="AP465" s="394"/>
      <c r="AQ465" s="547"/>
      <c r="AR465" s="394"/>
      <c r="AS465" s="394"/>
      <c r="AT465" s="394"/>
      <c r="AU465" s="394"/>
      <c r="AV465" s="547"/>
      <c r="AW465" s="394"/>
      <c r="AX465" s="394"/>
      <c r="AY465" s="394"/>
      <c r="AZ465" s="394"/>
      <c r="BA465" s="547"/>
      <c r="BB465" s="394"/>
      <c r="BC465" s="394"/>
      <c r="BD465" s="394"/>
      <c r="BE465" s="394"/>
      <c r="BF465" s="547"/>
      <c r="BG465" s="394"/>
      <c r="BH465" s="394"/>
      <c r="BI465" s="394"/>
      <c r="BJ465" s="394"/>
      <c r="BK465" s="547"/>
      <c r="BL465" s="394"/>
      <c r="BM465" s="394"/>
      <c r="BN465" s="394"/>
      <c r="BO465" s="394"/>
    </row>
    <row r="466" spans="3:67">
      <c r="C466" s="547"/>
      <c r="D466" s="394"/>
      <c r="E466" s="394"/>
      <c r="F466" s="394"/>
      <c r="G466" s="394"/>
      <c r="H466" s="547"/>
      <c r="I466" s="394"/>
      <c r="J466" s="394"/>
      <c r="K466" s="394"/>
      <c r="L466" s="394"/>
      <c r="M466" s="547"/>
      <c r="N466" s="394"/>
      <c r="O466" s="394"/>
      <c r="P466" s="394"/>
      <c r="Q466" s="394"/>
      <c r="R466" s="547"/>
      <c r="S466" s="394"/>
      <c r="T466" s="394"/>
      <c r="U466" s="394"/>
      <c r="V466" s="394"/>
      <c r="W466" s="547"/>
      <c r="X466" s="394"/>
      <c r="Y466" s="394"/>
      <c r="Z466" s="394"/>
      <c r="AA466" s="394"/>
      <c r="AB466" s="547"/>
      <c r="AC466" s="394"/>
      <c r="AD466" s="394"/>
      <c r="AE466" s="394"/>
      <c r="AF466" s="394"/>
      <c r="AG466" s="547"/>
      <c r="AH466" s="394"/>
      <c r="AI466" s="394"/>
      <c r="AJ466" s="394"/>
      <c r="AK466" s="394"/>
      <c r="AL466" s="547"/>
      <c r="AM466" s="394"/>
      <c r="AN466" s="394"/>
      <c r="AO466" s="394"/>
      <c r="AP466" s="394"/>
      <c r="AQ466" s="547"/>
      <c r="AR466" s="394"/>
      <c r="AS466" s="394"/>
      <c r="AT466" s="394"/>
      <c r="AU466" s="394"/>
      <c r="AV466" s="547"/>
      <c r="AW466" s="394"/>
      <c r="AX466" s="394"/>
      <c r="AY466" s="394"/>
      <c r="AZ466" s="394"/>
      <c r="BA466" s="547"/>
      <c r="BB466" s="394"/>
      <c r="BC466" s="394"/>
      <c r="BD466" s="394"/>
      <c r="BE466" s="394"/>
      <c r="BF466" s="547"/>
      <c r="BG466" s="394"/>
      <c r="BH466" s="394"/>
      <c r="BI466" s="394"/>
      <c r="BJ466" s="394"/>
      <c r="BK466" s="547"/>
      <c r="BL466" s="394"/>
      <c r="BM466" s="394"/>
      <c r="BN466" s="394"/>
      <c r="BO466" s="394"/>
    </row>
    <row r="467" spans="3:67">
      <c r="C467" s="394"/>
      <c r="D467" s="394"/>
      <c r="E467" s="394"/>
      <c r="F467" s="394"/>
      <c r="G467" s="394"/>
      <c r="H467" s="394"/>
      <c r="I467" s="394"/>
      <c r="J467" s="394"/>
      <c r="K467" s="394"/>
      <c r="L467" s="394"/>
      <c r="M467" s="394"/>
      <c r="N467" s="394"/>
      <c r="O467" s="394"/>
      <c r="P467" s="394"/>
      <c r="Q467" s="394"/>
      <c r="R467" s="394"/>
      <c r="S467" s="394"/>
      <c r="T467" s="394"/>
      <c r="U467" s="394"/>
      <c r="V467" s="394"/>
      <c r="W467" s="394"/>
      <c r="X467" s="394"/>
      <c r="Y467" s="394"/>
      <c r="Z467" s="394"/>
      <c r="AA467" s="394"/>
      <c r="AB467" s="394"/>
      <c r="AC467" s="394"/>
      <c r="AD467" s="394"/>
      <c r="AE467" s="394"/>
      <c r="AF467" s="394"/>
      <c r="AG467" s="394"/>
      <c r="AH467" s="394"/>
      <c r="AI467" s="394"/>
      <c r="AJ467" s="394"/>
      <c r="AK467" s="394"/>
      <c r="AL467" s="394"/>
      <c r="AM467" s="394"/>
      <c r="AN467" s="394"/>
      <c r="AO467" s="394"/>
      <c r="AP467" s="394"/>
      <c r="AQ467" s="394"/>
      <c r="AR467" s="394"/>
      <c r="AS467" s="394"/>
      <c r="AT467" s="394"/>
      <c r="AU467" s="394"/>
      <c r="AV467" s="394"/>
      <c r="AW467" s="394"/>
      <c r="AX467" s="394"/>
      <c r="AY467" s="394"/>
      <c r="AZ467" s="394"/>
      <c r="BA467" s="394"/>
      <c r="BB467" s="394"/>
      <c r="BC467" s="394"/>
      <c r="BD467" s="394"/>
      <c r="BE467" s="394"/>
      <c r="BF467" s="394"/>
      <c r="BG467" s="394"/>
      <c r="BH467" s="394"/>
      <c r="BI467" s="394"/>
      <c r="BJ467" s="394"/>
      <c r="BK467" s="394"/>
      <c r="BL467" s="394"/>
      <c r="BM467" s="394"/>
      <c r="BN467" s="394"/>
      <c r="BO467" s="394"/>
    </row>
    <row r="468" spans="3:67">
      <c r="C468" s="543"/>
      <c r="D468" s="543"/>
      <c r="E468" s="543"/>
      <c r="F468" s="543"/>
      <c r="G468" s="543"/>
      <c r="H468" s="543"/>
      <c r="I468" s="543"/>
      <c r="J468" s="543"/>
      <c r="K468" s="543"/>
      <c r="L468" s="543"/>
      <c r="M468" s="543"/>
      <c r="N468" s="543"/>
      <c r="O468" s="543"/>
      <c r="P468" s="543"/>
      <c r="Q468" s="543"/>
      <c r="R468" s="543"/>
      <c r="S468" s="543"/>
      <c r="T468" s="543"/>
      <c r="U468" s="543"/>
      <c r="V468" s="543"/>
      <c r="W468" s="543"/>
      <c r="X468" s="543"/>
      <c r="Y468" s="543"/>
      <c r="Z468" s="543"/>
      <c r="AA468" s="543"/>
      <c r="AB468" s="543"/>
      <c r="AC468" s="543"/>
      <c r="AD468" s="543"/>
      <c r="AE468" s="543"/>
      <c r="AF468" s="543"/>
      <c r="AG468" s="543"/>
      <c r="AH468" s="543"/>
      <c r="AI468" s="543"/>
      <c r="AJ468" s="543"/>
      <c r="AK468" s="543"/>
      <c r="AL468" s="543"/>
      <c r="AM468" s="543"/>
      <c r="AN468" s="543"/>
      <c r="AO468" s="543"/>
      <c r="AP468" s="543"/>
      <c r="AQ468" s="543"/>
      <c r="AR468" s="543"/>
      <c r="AS468" s="543"/>
      <c r="AT468" s="543"/>
      <c r="AU468" s="543"/>
      <c r="AV468" s="543"/>
      <c r="AW468" s="543"/>
      <c r="AX468" s="543"/>
      <c r="AY468" s="543"/>
      <c r="AZ468" s="543"/>
      <c r="BA468" s="543"/>
      <c r="BB468" s="543"/>
      <c r="BC468" s="543"/>
      <c r="BD468" s="543"/>
      <c r="BE468" s="543"/>
      <c r="BF468" s="543"/>
      <c r="BG468" s="543"/>
      <c r="BH468" s="543"/>
      <c r="BI468" s="543"/>
      <c r="BJ468" s="543"/>
      <c r="BK468" s="543"/>
      <c r="BL468" s="543"/>
      <c r="BM468" s="543"/>
      <c r="BN468" s="543"/>
      <c r="BO468" s="543"/>
    </row>
    <row r="469" spans="3:67">
      <c r="C469" s="547"/>
      <c r="D469" s="394"/>
      <c r="E469" s="394"/>
      <c r="F469" s="394"/>
      <c r="G469" s="394"/>
      <c r="H469" s="547"/>
      <c r="I469" s="394"/>
      <c r="J469" s="394"/>
      <c r="K469" s="394"/>
      <c r="L469" s="394"/>
      <c r="M469" s="547"/>
      <c r="N469" s="394"/>
      <c r="O469" s="394"/>
      <c r="P469" s="394"/>
      <c r="Q469" s="394"/>
      <c r="R469" s="547"/>
      <c r="S469" s="394"/>
      <c r="T469" s="394"/>
      <c r="U469" s="394"/>
      <c r="V469" s="394"/>
      <c r="W469" s="547"/>
      <c r="X469" s="394"/>
      <c r="Y469" s="394"/>
      <c r="Z469" s="394"/>
      <c r="AA469" s="394"/>
      <c r="AB469" s="547"/>
      <c r="AC469" s="394"/>
      <c r="AD469" s="394"/>
      <c r="AE469" s="394"/>
      <c r="AF469" s="394"/>
      <c r="AG469" s="547"/>
      <c r="AH469" s="394"/>
      <c r="AI469" s="394"/>
      <c r="AJ469" s="394"/>
      <c r="AK469" s="394"/>
      <c r="AL469" s="547"/>
      <c r="AM469" s="394"/>
      <c r="AN469" s="394"/>
      <c r="AO469" s="394"/>
      <c r="AP469" s="394"/>
      <c r="AQ469" s="547"/>
      <c r="AR469" s="394"/>
      <c r="AS469" s="394"/>
      <c r="AT469" s="394"/>
      <c r="AU469" s="394"/>
      <c r="AV469" s="547"/>
      <c r="AW469" s="394"/>
      <c r="AX469" s="394"/>
      <c r="AY469" s="394"/>
      <c r="AZ469" s="394"/>
      <c r="BA469" s="547"/>
      <c r="BB469" s="394"/>
      <c r="BC469" s="394"/>
      <c r="BD469" s="394"/>
      <c r="BE469" s="394"/>
      <c r="BF469" s="547"/>
      <c r="BG469" s="394"/>
      <c r="BH469" s="394"/>
      <c r="BI469" s="394"/>
      <c r="BJ469" s="394"/>
      <c r="BK469" s="547"/>
      <c r="BL469" s="394"/>
      <c r="BM469" s="394"/>
      <c r="BN469" s="394"/>
      <c r="BO469" s="394"/>
    </row>
    <row r="470" spans="3:67">
      <c r="C470" s="547"/>
      <c r="D470" s="394"/>
      <c r="E470" s="394"/>
      <c r="F470" s="394"/>
      <c r="G470" s="394"/>
      <c r="H470" s="547"/>
      <c r="I470" s="394"/>
      <c r="J470" s="394"/>
      <c r="K470" s="394"/>
      <c r="L470" s="394"/>
      <c r="M470" s="547"/>
      <c r="N470" s="394"/>
      <c r="O470" s="394"/>
      <c r="P470" s="394"/>
      <c r="Q470" s="394"/>
      <c r="R470" s="547"/>
      <c r="S470" s="394"/>
      <c r="T470" s="394"/>
      <c r="U470" s="394"/>
      <c r="V470" s="394"/>
      <c r="W470" s="547"/>
      <c r="X470" s="394"/>
      <c r="Y470" s="394"/>
      <c r="Z470" s="394"/>
      <c r="AA470" s="394"/>
      <c r="AB470" s="547"/>
      <c r="AC470" s="394"/>
      <c r="AD470" s="394"/>
      <c r="AE470" s="394"/>
      <c r="AF470" s="394"/>
      <c r="AG470" s="547"/>
      <c r="AH470" s="394"/>
      <c r="AI470" s="394"/>
      <c r="AJ470" s="394"/>
      <c r="AK470" s="394"/>
      <c r="AL470" s="547"/>
      <c r="AM470" s="394"/>
      <c r="AN470" s="394"/>
      <c r="AO470" s="394"/>
      <c r="AP470" s="394"/>
      <c r="AQ470" s="547"/>
      <c r="AR470" s="394"/>
      <c r="AS470" s="394"/>
      <c r="AT470" s="394"/>
      <c r="AU470" s="394"/>
      <c r="AV470" s="547"/>
      <c r="AW470" s="394"/>
      <c r="AX470" s="394"/>
      <c r="AY470" s="394"/>
      <c r="AZ470" s="394"/>
      <c r="BA470" s="547"/>
      <c r="BB470" s="394"/>
      <c r="BC470" s="394"/>
      <c r="BD470" s="394"/>
      <c r="BE470" s="394"/>
      <c r="BF470" s="547"/>
      <c r="BG470" s="394"/>
      <c r="BH470" s="394"/>
      <c r="BI470" s="394"/>
      <c r="BJ470" s="394"/>
      <c r="BK470" s="547"/>
      <c r="BL470" s="394"/>
      <c r="BM470" s="394"/>
      <c r="BN470" s="394"/>
      <c r="BO470" s="394"/>
    </row>
    <row r="471" spans="3:67">
      <c r="C471" s="546"/>
      <c r="D471" s="546"/>
      <c r="E471" s="546"/>
      <c r="F471" s="546"/>
      <c r="G471" s="546"/>
      <c r="H471" s="546"/>
      <c r="I471" s="546"/>
      <c r="J471" s="546"/>
      <c r="K471" s="546"/>
      <c r="L471" s="546"/>
      <c r="M471" s="546"/>
      <c r="N471" s="546"/>
      <c r="O471" s="546"/>
      <c r="P471" s="546"/>
      <c r="Q471" s="546"/>
      <c r="R471" s="546"/>
      <c r="S471" s="546"/>
      <c r="T471" s="546"/>
      <c r="U471" s="546"/>
      <c r="V471" s="546"/>
      <c r="W471" s="546"/>
      <c r="X471" s="546"/>
      <c r="Y471" s="546"/>
      <c r="Z471" s="546"/>
      <c r="AA471" s="546"/>
      <c r="AB471" s="546"/>
      <c r="AC471" s="546"/>
      <c r="AD471" s="546"/>
      <c r="AE471" s="546"/>
      <c r="AF471" s="546"/>
      <c r="AG471" s="546"/>
      <c r="AH471" s="546"/>
      <c r="AI471" s="546"/>
      <c r="AJ471" s="546"/>
      <c r="AK471" s="546"/>
      <c r="AL471" s="546"/>
      <c r="AM471" s="546"/>
      <c r="AN471" s="546"/>
      <c r="AO471" s="546"/>
      <c r="AP471" s="546"/>
      <c r="AQ471" s="546"/>
      <c r="AR471" s="546"/>
      <c r="AS471" s="546"/>
      <c r="AT471" s="546"/>
      <c r="AU471" s="546"/>
      <c r="AV471" s="546"/>
      <c r="AW471" s="546"/>
      <c r="AX471" s="546"/>
      <c r="AY471" s="546"/>
      <c r="AZ471" s="546"/>
      <c r="BA471" s="546"/>
      <c r="BB471" s="546"/>
      <c r="BC471" s="546"/>
      <c r="BD471" s="546"/>
      <c r="BE471" s="546"/>
      <c r="BF471" s="546"/>
      <c r="BG471" s="546"/>
      <c r="BH471" s="546"/>
      <c r="BI471" s="546"/>
      <c r="BJ471" s="546"/>
      <c r="BK471" s="546"/>
      <c r="BL471" s="546"/>
      <c r="BM471" s="546"/>
      <c r="BN471" s="546"/>
      <c r="BO471" s="546"/>
    </row>
    <row r="472" spans="3:67">
      <c r="C472" s="541"/>
      <c r="D472" s="541"/>
      <c r="E472" s="541"/>
      <c r="F472" s="541"/>
      <c r="G472" s="541"/>
      <c r="H472" s="541"/>
      <c r="I472" s="541"/>
      <c r="J472" s="541"/>
      <c r="K472" s="541"/>
      <c r="L472" s="541"/>
      <c r="M472" s="541"/>
      <c r="N472" s="541"/>
      <c r="O472" s="541"/>
      <c r="P472" s="541"/>
      <c r="Q472" s="541"/>
      <c r="R472" s="541"/>
      <c r="S472" s="541"/>
      <c r="T472" s="541"/>
      <c r="U472" s="541"/>
      <c r="V472" s="541"/>
      <c r="W472" s="541"/>
      <c r="X472" s="541"/>
      <c r="Y472" s="541"/>
      <c r="Z472" s="541"/>
      <c r="AA472" s="541"/>
      <c r="AB472" s="541"/>
      <c r="AC472" s="541"/>
      <c r="AD472" s="541"/>
      <c r="AE472" s="541"/>
      <c r="AF472" s="541"/>
      <c r="AG472" s="541"/>
      <c r="AH472" s="541"/>
      <c r="AI472" s="541"/>
      <c r="AJ472" s="541"/>
      <c r="AK472" s="541"/>
      <c r="AL472" s="541"/>
      <c r="AM472" s="541"/>
      <c r="AN472" s="541"/>
      <c r="AO472" s="541"/>
      <c r="AP472" s="541"/>
      <c r="AQ472" s="541"/>
      <c r="AR472" s="541"/>
      <c r="AS472" s="541"/>
      <c r="AT472" s="541"/>
      <c r="AU472" s="541"/>
      <c r="AV472" s="541"/>
      <c r="AW472" s="541"/>
      <c r="AX472" s="541"/>
      <c r="AY472" s="541"/>
      <c r="AZ472" s="541"/>
      <c r="BA472" s="541"/>
      <c r="BB472" s="541"/>
      <c r="BC472" s="541"/>
      <c r="BD472" s="541"/>
      <c r="BE472" s="541"/>
      <c r="BF472" s="541"/>
      <c r="BG472" s="541"/>
      <c r="BH472" s="541"/>
      <c r="BI472" s="541"/>
      <c r="BJ472" s="541"/>
      <c r="BK472" s="541"/>
      <c r="BL472" s="541"/>
      <c r="BM472" s="541"/>
      <c r="BN472" s="541"/>
      <c r="BO472" s="541"/>
    </row>
    <row r="473" spans="3:67">
      <c r="C473" s="394"/>
      <c r="D473" s="394"/>
      <c r="E473" s="394"/>
      <c r="F473" s="394"/>
      <c r="G473" s="394"/>
      <c r="H473" s="394"/>
      <c r="I473" s="394"/>
      <c r="J473" s="394"/>
      <c r="K473" s="394"/>
      <c r="L473" s="394"/>
      <c r="M473" s="394"/>
      <c r="N473" s="394"/>
      <c r="O473" s="394"/>
      <c r="P473" s="394"/>
      <c r="Q473" s="394"/>
      <c r="R473" s="394"/>
      <c r="S473" s="394"/>
      <c r="T473" s="394"/>
      <c r="U473" s="394"/>
      <c r="V473" s="394"/>
      <c r="W473" s="394"/>
      <c r="X473" s="394"/>
      <c r="Y473" s="394"/>
      <c r="Z473" s="394"/>
      <c r="AA473" s="394"/>
      <c r="AB473" s="394"/>
      <c r="AC473" s="394"/>
      <c r="AD473" s="394"/>
      <c r="AE473" s="394"/>
      <c r="AF473" s="394"/>
      <c r="AG473" s="394"/>
      <c r="AH473" s="394"/>
      <c r="AI473" s="394"/>
      <c r="AJ473" s="394"/>
      <c r="AK473" s="394"/>
      <c r="AL473" s="394"/>
      <c r="AM473" s="394"/>
      <c r="AN473" s="394"/>
      <c r="AO473" s="394"/>
      <c r="AP473" s="394"/>
      <c r="AQ473" s="394"/>
      <c r="AR473" s="394"/>
      <c r="AS473" s="394"/>
      <c r="AT473" s="394"/>
      <c r="AU473" s="394"/>
      <c r="AV473" s="394"/>
      <c r="AW473" s="394"/>
      <c r="AX473" s="394"/>
      <c r="AY473" s="394"/>
      <c r="AZ473" s="394"/>
      <c r="BA473" s="394"/>
      <c r="BB473" s="394"/>
      <c r="BC473" s="394"/>
      <c r="BD473" s="394"/>
      <c r="BE473" s="394"/>
      <c r="BF473" s="394"/>
      <c r="BG473" s="394"/>
      <c r="BH473" s="394"/>
      <c r="BI473" s="394"/>
      <c r="BJ473" s="394"/>
      <c r="BK473" s="394"/>
      <c r="BL473" s="394"/>
      <c r="BM473" s="394"/>
      <c r="BN473" s="394"/>
      <c r="BO473" s="394"/>
    </row>
    <row r="474" spans="3:67">
      <c r="C474" s="490"/>
      <c r="D474" s="490"/>
      <c r="E474" s="490"/>
      <c r="F474" s="490"/>
      <c r="G474" s="490"/>
      <c r="H474" s="490"/>
      <c r="I474" s="490"/>
      <c r="J474" s="490"/>
      <c r="K474" s="490"/>
      <c r="L474" s="490"/>
      <c r="M474" s="490"/>
      <c r="N474" s="490"/>
      <c r="O474" s="490"/>
      <c r="P474" s="490"/>
      <c r="Q474" s="490"/>
      <c r="R474" s="490"/>
      <c r="S474" s="490"/>
      <c r="T474" s="490"/>
      <c r="U474" s="490"/>
      <c r="V474" s="490"/>
      <c r="W474" s="490"/>
      <c r="X474" s="490"/>
      <c r="Y474" s="490"/>
      <c r="Z474" s="490"/>
      <c r="AA474" s="490"/>
      <c r="AB474" s="490"/>
      <c r="AC474" s="490"/>
      <c r="AD474" s="490"/>
      <c r="AE474" s="490"/>
      <c r="AF474" s="490"/>
      <c r="AG474" s="490"/>
      <c r="AH474" s="490"/>
      <c r="AI474" s="490"/>
      <c r="AJ474" s="490"/>
      <c r="AK474" s="490"/>
      <c r="AL474" s="490"/>
      <c r="AM474" s="490"/>
      <c r="AN474" s="490"/>
      <c r="AO474" s="490"/>
      <c r="AP474" s="490"/>
      <c r="AQ474" s="490"/>
      <c r="AR474" s="490"/>
      <c r="AS474" s="490"/>
      <c r="AT474" s="490"/>
      <c r="AU474" s="490"/>
      <c r="AV474" s="490"/>
      <c r="AW474" s="490"/>
      <c r="AX474" s="490"/>
      <c r="AY474" s="490"/>
      <c r="AZ474" s="490"/>
      <c r="BA474" s="490"/>
      <c r="BB474" s="490"/>
      <c r="BC474" s="490"/>
      <c r="BD474" s="490"/>
      <c r="BE474" s="490"/>
      <c r="BF474" s="490"/>
      <c r="BG474" s="490"/>
      <c r="BH474" s="490"/>
      <c r="BI474" s="490"/>
      <c r="BJ474" s="490"/>
      <c r="BK474" s="490"/>
      <c r="BL474" s="490"/>
      <c r="BM474" s="490"/>
      <c r="BN474" s="490"/>
      <c r="BO474" s="490"/>
    </row>
    <row r="475" spans="3:67">
      <c r="C475" s="543"/>
      <c r="D475" s="543"/>
      <c r="E475" s="543"/>
      <c r="F475" s="543"/>
      <c r="G475" s="543"/>
      <c r="H475" s="543"/>
      <c r="I475" s="543"/>
      <c r="J475" s="543"/>
      <c r="K475" s="543"/>
      <c r="L475" s="543"/>
      <c r="M475" s="543"/>
      <c r="N475" s="543"/>
      <c r="O475" s="543"/>
      <c r="P475" s="543"/>
      <c r="Q475" s="543"/>
      <c r="R475" s="543"/>
      <c r="S475" s="543"/>
      <c r="T475" s="543"/>
      <c r="U475" s="543"/>
      <c r="V475" s="543"/>
      <c r="W475" s="543"/>
      <c r="X475" s="543"/>
      <c r="Y475" s="543"/>
      <c r="Z475" s="543"/>
      <c r="AA475" s="543"/>
      <c r="AB475" s="543"/>
      <c r="AC475" s="543"/>
      <c r="AD475" s="543"/>
      <c r="AE475" s="543"/>
      <c r="AF475" s="543"/>
      <c r="AG475" s="543"/>
      <c r="AH475" s="543"/>
      <c r="AI475" s="543"/>
      <c r="AJ475" s="543"/>
      <c r="AK475" s="543"/>
      <c r="AL475" s="543"/>
      <c r="AM475" s="543"/>
      <c r="AN475" s="543"/>
      <c r="AO475" s="543"/>
      <c r="AP475" s="543"/>
      <c r="AQ475" s="543"/>
      <c r="AR475" s="543"/>
      <c r="AS475" s="543"/>
      <c r="AT475" s="543"/>
      <c r="AU475" s="543"/>
      <c r="AV475" s="543"/>
      <c r="AW475" s="543"/>
      <c r="AX475" s="543"/>
      <c r="AY475" s="543"/>
      <c r="AZ475" s="543"/>
      <c r="BA475" s="543"/>
      <c r="BB475" s="543"/>
      <c r="BC475" s="543"/>
      <c r="BD475" s="543"/>
      <c r="BE475" s="543"/>
      <c r="BF475" s="543"/>
      <c r="BG475" s="543"/>
      <c r="BH475" s="543"/>
      <c r="BI475" s="543"/>
      <c r="BJ475" s="543"/>
      <c r="BK475" s="543"/>
      <c r="BL475" s="543"/>
      <c r="BM475" s="543"/>
      <c r="BN475" s="543"/>
      <c r="BO475" s="543"/>
    </row>
    <row r="476" spans="3:67">
      <c r="C476" s="543"/>
      <c r="D476" s="543"/>
      <c r="E476" s="543"/>
      <c r="F476" s="543"/>
      <c r="G476" s="543"/>
      <c r="H476" s="543"/>
      <c r="I476" s="543"/>
      <c r="J476" s="543"/>
      <c r="K476" s="543"/>
      <c r="L476" s="543"/>
      <c r="M476" s="543"/>
      <c r="N476" s="543"/>
      <c r="O476" s="543"/>
      <c r="P476" s="543"/>
      <c r="Q476" s="543"/>
      <c r="R476" s="543"/>
      <c r="S476" s="543"/>
      <c r="T476" s="543"/>
      <c r="U476" s="543"/>
      <c r="V476" s="543"/>
      <c r="W476" s="543"/>
      <c r="X476" s="543"/>
      <c r="Y476" s="543"/>
      <c r="Z476" s="543"/>
      <c r="AA476" s="543"/>
      <c r="AB476" s="543"/>
      <c r="AC476" s="543"/>
      <c r="AD476" s="543"/>
      <c r="AE476" s="543"/>
      <c r="AF476" s="543"/>
      <c r="AG476" s="543"/>
      <c r="AH476" s="543"/>
      <c r="AI476" s="543"/>
      <c r="AJ476" s="543"/>
      <c r="AK476" s="543"/>
      <c r="AL476" s="543"/>
      <c r="AM476" s="543"/>
      <c r="AN476" s="543"/>
      <c r="AO476" s="543"/>
      <c r="AP476" s="543"/>
      <c r="AQ476" s="543"/>
      <c r="AR476" s="543"/>
      <c r="AS476" s="543"/>
      <c r="AT476" s="543"/>
      <c r="AU476" s="543"/>
      <c r="AV476" s="543"/>
      <c r="AW476" s="543"/>
      <c r="AX476" s="543"/>
      <c r="AY476" s="543"/>
      <c r="AZ476" s="543"/>
      <c r="BA476" s="543"/>
      <c r="BB476" s="543"/>
      <c r="BC476" s="543"/>
      <c r="BD476" s="543"/>
      <c r="BE476" s="543"/>
      <c r="BF476" s="543"/>
      <c r="BG476" s="543"/>
      <c r="BH476" s="543"/>
      <c r="BI476" s="543"/>
      <c r="BJ476" s="543"/>
      <c r="BK476" s="543"/>
      <c r="BL476" s="543"/>
      <c r="BM476" s="543"/>
      <c r="BN476" s="543"/>
      <c r="BO476" s="543"/>
    </row>
    <row r="477" spans="3:67"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46"/>
      <c r="P477" s="546"/>
      <c r="Q477" s="546"/>
      <c r="R477" s="546"/>
      <c r="S477" s="546"/>
      <c r="T477" s="546"/>
      <c r="U477" s="546"/>
      <c r="V477" s="546"/>
      <c r="W477" s="546"/>
      <c r="X477" s="546"/>
      <c r="Y477" s="546"/>
      <c r="Z477" s="546"/>
      <c r="AA477" s="546"/>
      <c r="AB477" s="546"/>
      <c r="AC477" s="546"/>
      <c r="AD477" s="546"/>
      <c r="AE477" s="546"/>
      <c r="AF477" s="546"/>
      <c r="AG477" s="546"/>
      <c r="AH477" s="546"/>
      <c r="AI477" s="546"/>
      <c r="AJ477" s="546"/>
      <c r="AK477" s="546"/>
      <c r="AL477" s="546"/>
      <c r="AM477" s="546"/>
      <c r="AN477" s="546"/>
      <c r="AO477" s="546"/>
      <c r="AP477" s="546"/>
      <c r="AQ477" s="546"/>
      <c r="AR477" s="546"/>
      <c r="AS477" s="546"/>
      <c r="AT477" s="546"/>
      <c r="AU477" s="546"/>
      <c r="AV477" s="546"/>
      <c r="AW477" s="546"/>
      <c r="AX477" s="546"/>
      <c r="AY477" s="546"/>
      <c r="AZ477" s="546"/>
      <c r="BA477" s="546"/>
      <c r="BB477" s="546"/>
      <c r="BC477" s="546"/>
      <c r="BD477" s="546"/>
      <c r="BE477" s="546"/>
      <c r="BF477" s="546"/>
      <c r="BG477" s="546"/>
      <c r="BH477" s="546"/>
      <c r="BI477" s="546"/>
      <c r="BJ477" s="546"/>
      <c r="BK477" s="546"/>
      <c r="BL477" s="546"/>
      <c r="BM477" s="546"/>
      <c r="BN477" s="546"/>
      <c r="BO477" s="546"/>
    </row>
    <row r="478" spans="3:67">
      <c r="C478" s="544"/>
      <c r="D478" s="545"/>
      <c r="E478" s="545"/>
      <c r="F478" s="545"/>
      <c r="G478" s="545"/>
      <c r="H478" s="544"/>
      <c r="I478" s="545"/>
      <c r="J478" s="545"/>
      <c r="K478" s="545"/>
      <c r="L478" s="545"/>
      <c r="M478" s="544"/>
      <c r="N478" s="545"/>
      <c r="O478" s="545"/>
      <c r="P478" s="545"/>
      <c r="Q478" s="545"/>
      <c r="R478" s="544"/>
      <c r="S478" s="545"/>
      <c r="T478" s="545"/>
      <c r="U478" s="545"/>
      <c r="V478" s="545"/>
      <c r="W478" s="544"/>
      <c r="X478" s="545"/>
      <c r="Y478" s="545"/>
      <c r="Z478" s="545"/>
      <c r="AA478" s="545"/>
      <c r="AB478" s="544"/>
      <c r="AC478" s="545"/>
      <c r="AD478" s="545"/>
      <c r="AE478" s="545"/>
      <c r="AF478" s="545"/>
      <c r="AG478" s="544"/>
      <c r="AH478" s="545"/>
      <c r="AI478" s="545"/>
      <c r="AJ478" s="545"/>
      <c r="AK478" s="545"/>
      <c r="AL478" s="544"/>
      <c r="AM478" s="545"/>
      <c r="AN478" s="545"/>
      <c r="AO478" s="545"/>
      <c r="AP478" s="545"/>
      <c r="AQ478" s="544"/>
      <c r="AR478" s="545"/>
      <c r="AS478" s="545"/>
      <c r="AT478" s="545"/>
      <c r="AU478" s="545"/>
      <c r="AV478" s="544"/>
      <c r="AW478" s="545"/>
      <c r="AX478" s="545"/>
      <c r="AY478" s="545"/>
      <c r="AZ478" s="545"/>
      <c r="BA478" s="544"/>
      <c r="BB478" s="545"/>
      <c r="BC478" s="545"/>
      <c r="BD478" s="545"/>
      <c r="BE478" s="545"/>
      <c r="BF478" s="544"/>
      <c r="BG478" s="545"/>
      <c r="BH478" s="545"/>
      <c r="BI478" s="545"/>
      <c r="BJ478" s="545"/>
      <c r="BK478" s="544"/>
      <c r="BL478" s="545"/>
      <c r="BM478" s="545"/>
      <c r="BN478" s="545"/>
      <c r="BO478" s="545"/>
    </row>
    <row r="479" spans="3:67">
      <c r="C479" s="544"/>
      <c r="D479" s="545"/>
      <c r="E479" s="545"/>
      <c r="F479" s="545"/>
      <c r="G479" s="545"/>
      <c r="H479" s="544"/>
      <c r="I479" s="545"/>
      <c r="J479" s="545"/>
      <c r="K479" s="545"/>
      <c r="L479" s="545"/>
      <c r="M479" s="544"/>
      <c r="N479" s="545"/>
      <c r="O479" s="545"/>
      <c r="P479" s="545"/>
      <c r="Q479" s="545"/>
      <c r="R479" s="544"/>
      <c r="S479" s="545"/>
      <c r="T479" s="545"/>
      <c r="U479" s="545"/>
      <c r="V479" s="545"/>
      <c r="W479" s="544"/>
      <c r="X479" s="545"/>
      <c r="Y479" s="545"/>
      <c r="Z479" s="545"/>
      <c r="AA479" s="545"/>
      <c r="AB479" s="544"/>
      <c r="AC479" s="545"/>
      <c r="AD479" s="545"/>
      <c r="AE479" s="545"/>
      <c r="AF479" s="545"/>
      <c r="AG479" s="544"/>
      <c r="AH479" s="545"/>
      <c r="AI479" s="545"/>
      <c r="AJ479" s="545"/>
      <c r="AK479" s="545"/>
      <c r="AL479" s="544"/>
      <c r="AM479" s="545"/>
      <c r="AN479" s="545"/>
      <c r="AO479" s="545"/>
      <c r="AP479" s="545"/>
      <c r="AQ479" s="544"/>
      <c r="AR479" s="545"/>
      <c r="AS479" s="545"/>
      <c r="AT479" s="545"/>
      <c r="AU479" s="545"/>
      <c r="AV479" s="544"/>
      <c r="AW479" s="545"/>
      <c r="AX479" s="545"/>
      <c r="AY479" s="545"/>
      <c r="AZ479" s="545"/>
      <c r="BA479" s="544"/>
      <c r="BB479" s="545"/>
      <c r="BC479" s="545"/>
      <c r="BD479" s="545"/>
      <c r="BE479" s="545"/>
      <c r="BF479" s="544"/>
      <c r="BG479" s="545"/>
      <c r="BH479" s="545"/>
      <c r="BI479" s="545"/>
      <c r="BJ479" s="545"/>
      <c r="BK479" s="544"/>
      <c r="BL479" s="545"/>
      <c r="BM479" s="545"/>
      <c r="BN479" s="545"/>
      <c r="BO479" s="545"/>
    </row>
    <row r="480" spans="3:67">
      <c r="C480" s="544"/>
      <c r="D480" s="545"/>
      <c r="E480" s="545"/>
      <c r="F480" s="545"/>
      <c r="G480" s="545"/>
      <c r="H480" s="544"/>
      <c r="I480" s="545"/>
      <c r="J480" s="545"/>
      <c r="K480" s="545"/>
      <c r="L480" s="545"/>
      <c r="M480" s="544"/>
      <c r="N480" s="545"/>
      <c r="O480" s="545"/>
      <c r="P480" s="545"/>
      <c r="Q480" s="545"/>
      <c r="R480" s="544"/>
      <c r="S480" s="545"/>
      <c r="T480" s="545"/>
      <c r="U480" s="545"/>
      <c r="V480" s="545"/>
      <c r="W480" s="544"/>
      <c r="X480" s="545"/>
      <c r="Y480" s="545"/>
      <c r="Z480" s="545"/>
      <c r="AA480" s="545"/>
      <c r="AB480" s="544"/>
      <c r="AC480" s="545"/>
      <c r="AD480" s="545"/>
      <c r="AE480" s="545"/>
      <c r="AF480" s="545"/>
      <c r="AG480" s="544"/>
      <c r="AH480" s="545"/>
      <c r="AI480" s="545"/>
      <c r="AJ480" s="545"/>
      <c r="AK480" s="545"/>
      <c r="AL480" s="544"/>
      <c r="AM480" s="545"/>
      <c r="AN480" s="545"/>
      <c r="AO480" s="545"/>
      <c r="AP480" s="545"/>
      <c r="AQ480" s="544"/>
      <c r="AR480" s="545"/>
      <c r="AS480" s="545"/>
      <c r="AT480" s="545"/>
      <c r="AU480" s="545"/>
      <c r="AV480" s="544"/>
      <c r="AW480" s="545"/>
      <c r="AX480" s="545"/>
      <c r="AY480" s="545"/>
      <c r="AZ480" s="545"/>
      <c r="BA480" s="544"/>
      <c r="BB480" s="545"/>
      <c r="BC480" s="545"/>
      <c r="BD480" s="545"/>
      <c r="BE480" s="545"/>
      <c r="BF480" s="544"/>
      <c r="BG480" s="545"/>
      <c r="BH480" s="545"/>
      <c r="BI480" s="545"/>
      <c r="BJ480" s="545"/>
      <c r="BK480" s="544"/>
      <c r="BL480" s="545"/>
      <c r="BM480" s="545"/>
      <c r="BN480" s="545"/>
      <c r="BO480" s="545"/>
    </row>
    <row r="481" spans="3:67">
      <c r="C481" s="490"/>
      <c r="D481" s="490"/>
      <c r="E481" s="490"/>
      <c r="F481" s="490"/>
      <c r="G481" s="490"/>
      <c r="H481" s="490"/>
      <c r="I481" s="490"/>
      <c r="J481" s="490"/>
      <c r="K481" s="490"/>
      <c r="L481" s="490"/>
      <c r="M481" s="490"/>
      <c r="N481" s="490"/>
      <c r="O481" s="490"/>
      <c r="P481" s="490"/>
      <c r="Q481" s="490"/>
      <c r="R481" s="490"/>
      <c r="S481" s="490"/>
      <c r="T481" s="490"/>
      <c r="U481" s="490"/>
      <c r="V481" s="490"/>
      <c r="W481" s="490"/>
      <c r="X481" s="490"/>
      <c r="Y481" s="490"/>
      <c r="Z481" s="490"/>
      <c r="AA481" s="490"/>
      <c r="AB481" s="490"/>
      <c r="AC481" s="490"/>
      <c r="AD481" s="490"/>
      <c r="AE481" s="490"/>
      <c r="AF481" s="490"/>
      <c r="AG481" s="490"/>
      <c r="AH481" s="490"/>
      <c r="AI481" s="490"/>
      <c r="AJ481" s="490"/>
      <c r="AK481" s="490"/>
      <c r="AL481" s="490"/>
      <c r="AM481" s="490"/>
      <c r="AN481" s="490"/>
      <c r="AO481" s="490"/>
      <c r="AP481" s="490"/>
      <c r="AQ481" s="490"/>
      <c r="AR481" s="490"/>
      <c r="AS481" s="490"/>
      <c r="AT481" s="490"/>
      <c r="AU481" s="490"/>
      <c r="AV481" s="490"/>
      <c r="AW481" s="490"/>
      <c r="AX481" s="490"/>
      <c r="AY481" s="490"/>
      <c r="AZ481" s="490"/>
      <c r="BA481" s="490"/>
      <c r="BB481" s="490"/>
      <c r="BC481" s="490"/>
      <c r="BD481" s="490"/>
      <c r="BE481" s="490"/>
      <c r="BF481" s="490"/>
      <c r="BG481" s="490"/>
      <c r="BH481" s="490"/>
      <c r="BI481" s="490"/>
      <c r="BJ481" s="490"/>
      <c r="BK481" s="490"/>
      <c r="BL481" s="490"/>
      <c r="BM481" s="490"/>
      <c r="BN481" s="490"/>
      <c r="BO481" s="490"/>
    </row>
    <row r="482" spans="3:67"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49"/>
      <c r="P482" s="549"/>
      <c r="Q482" s="549"/>
      <c r="R482" s="549"/>
      <c r="S482" s="549"/>
      <c r="T482" s="549"/>
      <c r="U482" s="549"/>
      <c r="V482" s="549"/>
      <c r="W482" s="549"/>
      <c r="X482" s="549"/>
      <c r="Y482" s="549"/>
      <c r="Z482" s="549"/>
      <c r="AA482" s="549"/>
      <c r="AB482" s="549"/>
      <c r="AC482" s="549"/>
      <c r="AD482" s="549"/>
      <c r="AE482" s="549"/>
      <c r="AF482" s="549"/>
      <c r="AG482" s="549"/>
      <c r="AH482" s="549"/>
      <c r="AI482" s="549"/>
      <c r="AJ482" s="549"/>
      <c r="AK482" s="549"/>
      <c r="AL482" s="549"/>
      <c r="AM482" s="549"/>
      <c r="AN482" s="549"/>
      <c r="AO482" s="549"/>
      <c r="AP482" s="549"/>
      <c r="AQ482" s="549"/>
      <c r="AR482" s="549"/>
      <c r="AS482" s="549"/>
      <c r="AT482" s="549"/>
      <c r="AU482" s="549"/>
      <c r="AV482" s="549"/>
      <c r="AW482" s="549"/>
      <c r="AX482" s="549"/>
      <c r="AY482" s="549"/>
      <c r="AZ482" s="549"/>
      <c r="BA482" s="549"/>
      <c r="BB482" s="549"/>
      <c r="BC482" s="549"/>
      <c r="BD482" s="549"/>
      <c r="BE482" s="549"/>
      <c r="BF482" s="549"/>
      <c r="BG482" s="549"/>
      <c r="BH482" s="549"/>
      <c r="BI482" s="549"/>
      <c r="BJ482" s="549"/>
      <c r="BK482" s="549"/>
      <c r="BL482" s="549"/>
      <c r="BM482" s="549"/>
      <c r="BN482" s="549"/>
      <c r="BO482" s="549"/>
    </row>
    <row r="483" spans="3:67">
      <c r="C483" s="490"/>
      <c r="D483" s="490"/>
      <c r="E483" s="490"/>
      <c r="F483" s="490"/>
      <c r="G483" s="490"/>
      <c r="H483" s="490"/>
      <c r="I483" s="490"/>
      <c r="J483" s="490"/>
      <c r="K483" s="490"/>
      <c r="L483" s="490"/>
      <c r="M483" s="490"/>
      <c r="N483" s="490"/>
      <c r="O483" s="490"/>
      <c r="P483" s="490"/>
      <c r="Q483" s="490"/>
      <c r="R483" s="490"/>
      <c r="S483" s="490"/>
      <c r="T483" s="490"/>
      <c r="U483" s="490"/>
      <c r="V483" s="490"/>
      <c r="W483" s="490"/>
      <c r="X483" s="490"/>
      <c r="Y483" s="490"/>
      <c r="Z483" s="490"/>
      <c r="AA483" s="490"/>
      <c r="AB483" s="490"/>
      <c r="AC483" s="490"/>
      <c r="AD483" s="490"/>
      <c r="AE483" s="490"/>
      <c r="AF483" s="490"/>
      <c r="AG483" s="490"/>
      <c r="AH483" s="490"/>
      <c r="AI483" s="490"/>
      <c r="AJ483" s="490"/>
      <c r="AK483" s="490"/>
      <c r="AL483" s="490"/>
      <c r="AM483" s="490"/>
      <c r="AN483" s="490"/>
      <c r="AO483" s="490"/>
      <c r="AP483" s="490"/>
      <c r="AQ483" s="490"/>
      <c r="AR483" s="490"/>
      <c r="AS483" s="490"/>
      <c r="AT483" s="490"/>
      <c r="AU483" s="490"/>
      <c r="AV483" s="490"/>
      <c r="AW483" s="490"/>
      <c r="AX483" s="490"/>
      <c r="AY483" s="490"/>
      <c r="AZ483" s="490"/>
      <c r="BA483" s="490"/>
      <c r="BB483" s="490"/>
      <c r="BC483" s="490"/>
      <c r="BD483" s="490"/>
      <c r="BE483" s="490"/>
      <c r="BF483" s="490"/>
      <c r="BG483" s="490"/>
      <c r="BH483" s="490"/>
      <c r="BI483" s="490"/>
      <c r="BJ483" s="490"/>
      <c r="BK483" s="490"/>
      <c r="BL483" s="490"/>
      <c r="BM483" s="490"/>
      <c r="BN483" s="490"/>
      <c r="BO483" s="490"/>
    </row>
    <row r="484" spans="3:67">
      <c r="C484" s="394"/>
      <c r="D484" s="394"/>
      <c r="E484" s="394"/>
      <c r="F484" s="394"/>
      <c r="G484" s="394"/>
      <c r="H484" s="394"/>
      <c r="I484" s="394"/>
      <c r="J484" s="394"/>
      <c r="K484" s="394"/>
      <c r="L484" s="394"/>
      <c r="M484" s="394"/>
      <c r="N484" s="394"/>
      <c r="O484" s="394"/>
      <c r="P484" s="394"/>
      <c r="Q484" s="394"/>
      <c r="R484" s="394"/>
      <c r="S484" s="394"/>
      <c r="T484" s="394"/>
      <c r="U484" s="394"/>
      <c r="V484" s="394"/>
      <c r="W484" s="394"/>
      <c r="X484" s="394"/>
      <c r="Y484" s="394"/>
      <c r="Z484" s="394"/>
      <c r="AA484" s="394"/>
      <c r="AB484" s="394"/>
      <c r="AC484" s="394"/>
      <c r="AD484" s="394"/>
      <c r="AE484" s="394"/>
      <c r="AF484" s="394"/>
      <c r="AG484" s="394"/>
      <c r="AH484" s="394"/>
      <c r="AI484" s="394"/>
      <c r="AJ484" s="394"/>
      <c r="AK484" s="394"/>
      <c r="AL484" s="394"/>
      <c r="AM484" s="394"/>
      <c r="AN484" s="394"/>
      <c r="AO484" s="394"/>
      <c r="AP484" s="394"/>
      <c r="AQ484" s="394"/>
      <c r="AR484" s="394"/>
      <c r="AS484" s="394"/>
      <c r="AT484" s="394"/>
      <c r="AU484" s="394"/>
      <c r="AV484" s="394"/>
      <c r="AW484" s="394"/>
      <c r="AX484" s="394"/>
      <c r="AY484" s="394"/>
      <c r="AZ484" s="394"/>
      <c r="BA484" s="394"/>
      <c r="BB484" s="394"/>
      <c r="BC484" s="394"/>
      <c r="BD484" s="394"/>
      <c r="BE484" s="394"/>
      <c r="BF484" s="394"/>
      <c r="BG484" s="394"/>
      <c r="BH484" s="394"/>
      <c r="BI484" s="394"/>
      <c r="BJ484" s="394"/>
      <c r="BK484" s="394"/>
      <c r="BL484" s="394"/>
      <c r="BM484" s="394"/>
      <c r="BN484" s="394"/>
      <c r="BO484" s="394"/>
    </row>
    <row r="485" spans="3:67">
      <c r="C485" s="490"/>
      <c r="D485" s="490"/>
      <c r="E485" s="490"/>
      <c r="F485" s="490"/>
      <c r="G485" s="490"/>
      <c r="H485" s="490"/>
      <c r="I485" s="490"/>
      <c r="J485" s="490"/>
      <c r="K485" s="490"/>
      <c r="L485" s="490"/>
      <c r="M485" s="490"/>
      <c r="N485" s="490"/>
      <c r="O485" s="490"/>
      <c r="P485" s="490"/>
      <c r="Q485" s="490"/>
      <c r="R485" s="490"/>
      <c r="S485" s="490"/>
      <c r="T485" s="490"/>
      <c r="U485" s="490"/>
      <c r="V485" s="490"/>
      <c r="W485" s="490"/>
      <c r="X485" s="490"/>
      <c r="Y485" s="490"/>
      <c r="Z485" s="490"/>
      <c r="AA485" s="490"/>
      <c r="AB485" s="490"/>
      <c r="AC485" s="490"/>
      <c r="AD485" s="490"/>
      <c r="AE485" s="490"/>
      <c r="AF485" s="490"/>
      <c r="AG485" s="490"/>
      <c r="AH485" s="490"/>
      <c r="AI485" s="490"/>
      <c r="AJ485" s="490"/>
      <c r="AK485" s="490"/>
      <c r="AL485" s="490"/>
      <c r="AM485" s="490"/>
      <c r="AN485" s="490"/>
      <c r="AO485" s="490"/>
      <c r="AP485" s="490"/>
      <c r="AQ485" s="490"/>
      <c r="AR485" s="490"/>
      <c r="AS485" s="490"/>
      <c r="AT485" s="490"/>
      <c r="AU485" s="490"/>
      <c r="AV485" s="490"/>
      <c r="AW485" s="490"/>
      <c r="AX485" s="490"/>
      <c r="AY485" s="490"/>
      <c r="AZ485" s="490"/>
      <c r="BA485" s="490"/>
      <c r="BB485" s="490"/>
      <c r="BC485" s="490"/>
      <c r="BD485" s="490"/>
      <c r="BE485" s="490"/>
      <c r="BF485" s="490"/>
      <c r="BG485" s="490"/>
      <c r="BH485" s="490"/>
      <c r="BI485" s="490"/>
      <c r="BJ485" s="490"/>
      <c r="BK485" s="490"/>
      <c r="BL485" s="490"/>
      <c r="BM485" s="490"/>
      <c r="BN485" s="490"/>
      <c r="BO485" s="490"/>
    </row>
    <row r="486" spans="3:67">
      <c r="C486" s="490"/>
      <c r="D486" s="490"/>
      <c r="E486" s="490"/>
      <c r="F486" s="490"/>
      <c r="G486" s="490"/>
      <c r="H486" s="490"/>
      <c r="I486" s="490"/>
      <c r="J486" s="490"/>
      <c r="K486" s="490"/>
      <c r="L486" s="490"/>
      <c r="M486" s="490"/>
      <c r="N486" s="490"/>
      <c r="O486" s="490"/>
      <c r="P486" s="490"/>
      <c r="Q486" s="490"/>
      <c r="R486" s="490"/>
      <c r="S486" s="490"/>
      <c r="T486" s="490"/>
      <c r="U486" s="490"/>
      <c r="V486" s="490"/>
      <c r="W486" s="490"/>
      <c r="X486" s="490"/>
      <c r="Y486" s="490"/>
      <c r="Z486" s="490"/>
      <c r="AA486" s="490"/>
      <c r="AB486" s="490"/>
      <c r="AC486" s="490"/>
      <c r="AD486" s="490"/>
      <c r="AE486" s="490"/>
      <c r="AF486" s="490"/>
      <c r="AG486" s="490"/>
      <c r="AH486" s="490"/>
      <c r="AI486" s="490"/>
      <c r="AJ486" s="490"/>
      <c r="AK486" s="490"/>
      <c r="AL486" s="490"/>
      <c r="AM486" s="490"/>
      <c r="AN486" s="490"/>
      <c r="AO486" s="490"/>
      <c r="AP486" s="490"/>
      <c r="AQ486" s="490"/>
      <c r="AR486" s="490"/>
      <c r="AS486" s="490"/>
      <c r="AT486" s="490"/>
      <c r="AU486" s="490"/>
      <c r="AV486" s="490"/>
      <c r="AW486" s="490"/>
      <c r="AX486" s="490"/>
      <c r="AY486" s="490"/>
      <c r="AZ486" s="490"/>
      <c r="BA486" s="490"/>
      <c r="BB486" s="490"/>
      <c r="BC486" s="490"/>
      <c r="BD486" s="490"/>
      <c r="BE486" s="490"/>
      <c r="BF486" s="490"/>
      <c r="BG486" s="490"/>
      <c r="BH486" s="490"/>
      <c r="BI486" s="490"/>
      <c r="BJ486" s="490"/>
      <c r="BK486" s="490"/>
      <c r="BL486" s="490"/>
      <c r="BM486" s="490"/>
      <c r="BN486" s="490"/>
      <c r="BO486" s="490"/>
    </row>
    <row r="487" spans="3:67">
      <c r="C487" s="519"/>
      <c r="D487" s="519"/>
      <c r="E487" s="519"/>
      <c r="F487" s="519"/>
      <c r="G487" s="519"/>
      <c r="H487" s="519"/>
      <c r="I487" s="519"/>
      <c r="J487" s="519"/>
      <c r="K487" s="519"/>
      <c r="L487" s="519"/>
      <c r="M487" s="519"/>
      <c r="N487" s="519"/>
      <c r="O487" s="519"/>
      <c r="P487" s="519"/>
      <c r="Q487" s="519"/>
      <c r="R487" s="519"/>
      <c r="S487" s="519"/>
      <c r="T487" s="519"/>
      <c r="U487" s="519"/>
      <c r="V487" s="519"/>
      <c r="W487" s="519"/>
      <c r="X487" s="519"/>
      <c r="Y487" s="519"/>
      <c r="Z487" s="519"/>
      <c r="AA487" s="519"/>
      <c r="AB487" s="519"/>
      <c r="AC487" s="519"/>
      <c r="AD487" s="519"/>
      <c r="AE487" s="519"/>
      <c r="AF487" s="519"/>
      <c r="AG487" s="519"/>
      <c r="AH487" s="519"/>
      <c r="AI487" s="519"/>
      <c r="AJ487" s="519"/>
      <c r="AK487" s="519"/>
      <c r="AL487" s="519"/>
      <c r="AM487" s="519"/>
      <c r="AN487" s="519"/>
      <c r="AO487" s="519"/>
      <c r="AP487" s="519"/>
      <c r="AQ487" s="519"/>
      <c r="AR487" s="519"/>
      <c r="AS487" s="519"/>
      <c r="AT487" s="519"/>
      <c r="AU487" s="519"/>
      <c r="AV487" s="519"/>
      <c r="AW487" s="519"/>
      <c r="AX487" s="519"/>
      <c r="AY487" s="519"/>
      <c r="AZ487" s="519"/>
      <c r="BA487" s="519"/>
      <c r="BB487" s="519"/>
      <c r="BC487" s="519"/>
      <c r="BD487" s="519"/>
      <c r="BE487" s="519"/>
      <c r="BF487" s="519"/>
      <c r="BG487" s="519"/>
      <c r="BH487" s="519"/>
      <c r="BI487" s="519"/>
      <c r="BJ487" s="519"/>
      <c r="BK487" s="519"/>
      <c r="BL487" s="519"/>
      <c r="BM487" s="519"/>
      <c r="BN487" s="519"/>
      <c r="BO487" s="519"/>
    </row>
    <row r="488" spans="3:67">
      <c r="C488" s="541"/>
      <c r="D488" s="490"/>
      <c r="E488" s="490"/>
      <c r="F488" s="490"/>
      <c r="G488" s="490"/>
      <c r="H488" s="541"/>
      <c r="I488" s="490"/>
      <c r="J488" s="490"/>
      <c r="K488" s="490"/>
      <c r="L488" s="490"/>
      <c r="M488" s="541"/>
      <c r="N488" s="490"/>
      <c r="O488" s="490"/>
      <c r="P488" s="490"/>
      <c r="Q488" s="490"/>
      <c r="R488" s="541"/>
      <c r="S488" s="490"/>
      <c r="T488" s="490"/>
      <c r="U488" s="490"/>
      <c r="V488" s="490"/>
      <c r="W488" s="541"/>
      <c r="X488" s="490"/>
      <c r="Y488" s="490"/>
      <c r="Z488" s="490"/>
      <c r="AA488" s="490"/>
      <c r="AB488" s="541"/>
      <c r="AC488" s="490"/>
      <c r="AD488" s="490"/>
      <c r="AE488" s="490"/>
      <c r="AF488" s="490"/>
      <c r="AG488" s="541"/>
      <c r="AH488" s="490"/>
      <c r="AI488" s="490"/>
      <c r="AJ488" s="490"/>
      <c r="AK488" s="490"/>
      <c r="AL488" s="541"/>
      <c r="AM488" s="490"/>
      <c r="AN488" s="490"/>
      <c r="AO488" s="490"/>
      <c r="AP488" s="490"/>
      <c r="AQ488" s="541"/>
      <c r="AR488" s="490"/>
      <c r="AS488" s="490"/>
      <c r="AT488" s="490"/>
      <c r="AU488" s="490"/>
      <c r="AV488" s="541"/>
      <c r="AW488" s="490"/>
      <c r="AX488" s="490"/>
      <c r="AY488" s="490"/>
      <c r="AZ488" s="490"/>
      <c r="BA488" s="541"/>
      <c r="BB488" s="490"/>
      <c r="BC488" s="490"/>
      <c r="BD488" s="490"/>
      <c r="BE488" s="490"/>
      <c r="BF488" s="541"/>
      <c r="BG488" s="490"/>
      <c r="BH488" s="490"/>
      <c r="BI488" s="490"/>
      <c r="BJ488" s="490"/>
      <c r="BK488" s="541"/>
      <c r="BL488" s="490"/>
      <c r="BM488" s="490"/>
      <c r="BN488" s="490"/>
      <c r="BO488" s="490"/>
    </row>
    <row r="489" spans="3:67">
      <c r="C489" s="541"/>
      <c r="D489" s="490"/>
      <c r="E489" s="490"/>
      <c r="F489" s="490"/>
      <c r="G489" s="490"/>
      <c r="H489" s="541"/>
      <c r="I489" s="490"/>
      <c r="J489" s="490"/>
      <c r="K489" s="490"/>
      <c r="L489" s="490"/>
      <c r="M489" s="541"/>
      <c r="N489" s="490"/>
      <c r="O489" s="490"/>
      <c r="P489" s="490"/>
      <c r="Q489" s="490"/>
      <c r="R489" s="541"/>
      <c r="S489" s="490"/>
      <c r="T489" s="490"/>
      <c r="U489" s="490"/>
      <c r="V489" s="490"/>
      <c r="W489" s="541"/>
      <c r="X489" s="490"/>
      <c r="Y489" s="490"/>
      <c r="Z489" s="490"/>
      <c r="AA489" s="490"/>
      <c r="AB489" s="541"/>
      <c r="AC489" s="490"/>
      <c r="AD489" s="490"/>
      <c r="AE489" s="490"/>
      <c r="AF489" s="490"/>
      <c r="AG489" s="541"/>
      <c r="AH489" s="490"/>
      <c r="AI489" s="490"/>
      <c r="AJ489" s="490"/>
      <c r="AK489" s="490"/>
      <c r="AL489" s="541"/>
      <c r="AM489" s="490"/>
      <c r="AN489" s="490"/>
      <c r="AO489" s="490"/>
      <c r="AP489" s="490"/>
      <c r="AQ489" s="541"/>
      <c r="AR489" s="490"/>
      <c r="AS489" s="490"/>
      <c r="AT489" s="490"/>
      <c r="AU489" s="490"/>
      <c r="AV489" s="541"/>
      <c r="AW489" s="490"/>
      <c r="AX489" s="490"/>
      <c r="AY489" s="490"/>
      <c r="AZ489" s="490"/>
      <c r="BA489" s="541"/>
      <c r="BB489" s="490"/>
      <c r="BC489" s="490"/>
      <c r="BD489" s="490"/>
      <c r="BE489" s="490"/>
      <c r="BF489" s="541"/>
      <c r="BG489" s="490"/>
      <c r="BH489" s="490"/>
      <c r="BI489" s="490"/>
      <c r="BJ489" s="490"/>
      <c r="BK489" s="541"/>
      <c r="BL489" s="490"/>
      <c r="BM489" s="490"/>
      <c r="BN489" s="490"/>
      <c r="BO489" s="490"/>
    </row>
    <row r="490" spans="3:67">
      <c r="C490" s="542"/>
      <c r="D490" s="542"/>
      <c r="E490" s="542"/>
      <c r="F490" s="542"/>
      <c r="G490" s="542"/>
      <c r="H490" s="542"/>
      <c r="I490" s="542"/>
      <c r="J490" s="542"/>
      <c r="K490" s="542"/>
      <c r="L490" s="542"/>
      <c r="M490" s="542"/>
      <c r="N490" s="542"/>
      <c r="O490" s="542"/>
      <c r="P490" s="542"/>
      <c r="Q490" s="542"/>
      <c r="R490" s="542"/>
      <c r="S490" s="542"/>
      <c r="T490" s="542"/>
      <c r="U490" s="542"/>
      <c r="V490" s="542"/>
      <c r="W490" s="542"/>
      <c r="X490" s="542"/>
      <c r="Y490" s="542"/>
      <c r="Z490" s="542"/>
      <c r="AA490" s="542"/>
      <c r="AB490" s="542"/>
      <c r="AC490" s="542"/>
      <c r="AD490" s="542"/>
      <c r="AE490" s="542"/>
      <c r="AF490" s="542"/>
      <c r="AG490" s="542"/>
      <c r="AH490" s="542"/>
      <c r="AI490" s="542"/>
      <c r="AJ490" s="542"/>
      <c r="AK490" s="542"/>
      <c r="AL490" s="542"/>
      <c r="AM490" s="542"/>
      <c r="AN490" s="542"/>
      <c r="AO490" s="542"/>
      <c r="AP490" s="542"/>
      <c r="AQ490" s="542"/>
      <c r="AR490" s="542"/>
      <c r="AS490" s="542"/>
      <c r="AT490" s="542"/>
      <c r="AU490" s="542"/>
      <c r="AV490" s="542"/>
      <c r="AW490" s="542"/>
      <c r="AX490" s="542"/>
      <c r="AY490" s="542"/>
      <c r="AZ490" s="542"/>
      <c r="BA490" s="542"/>
      <c r="BB490" s="542"/>
      <c r="BC490" s="542"/>
      <c r="BD490" s="542"/>
      <c r="BE490" s="542"/>
      <c r="BF490" s="542"/>
      <c r="BG490" s="542"/>
      <c r="BH490" s="542"/>
      <c r="BI490" s="542"/>
      <c r="BJ490" s="542"/>
      <c r="BK490" s="542"/>
      <c r="BL490" s="542"/>
      <c r="BM490" s="542"/>
      <c r="BN490" s="542"/>
      <c r="BO490" s="542"/>
    </row>
    <row r="491" spans="3:67">
      <c r="C491" s="490"/>
      <c r="D491" s="490"/>
      <c r="E491" s="490"/>
      <c r="F491" s="490"/>
      <c r="G491" s="490"/>
      <c r="H491" s="490"/>
      <c r="I491" s="490"/>
      <c r="J491" s="490"/>
      <c r="K491" s="490"/>
      <c r="L491" s="490"/>
      <c r="M491" s="490"/>
      <c r="N491" s="490"/>
      <c r="O491" s="490"/>
      <c r="P491" s="490"/>
      <c r="Q491" s="490"/>
      <c r="R491" s="490"/>
      <c r="S491" s="490"/>
      <c r="T491" s="490"/>
      <c r="U491" s="490"/>
      <c r="V491" s="490"/>
      <c r="W491" s="490"/>
      <c r="X491" s="490"/>
      <c r="Y491" s="490"/>
      <c r="Z491" s="490"/>
      <c r="AA491" s="490"/>
      <c r="AB491" s="490"/>
      <c r="AC491" s="490"/>
      <c r="AD491" s="490"/>
      <c r="AE491" s="490"/>
      <c r="AF491" s="490"/>
      <c r="AG491" s="490"/>
      <c r="AH491" s="490"/>
      <c r="AI491" s="490"/>
      <c r="AJ491" s="490"/>
      <c r="AK491" s="490"/>
      <c r="AL491" s="490"/>
      <c r="AM491" s="490"/>
      <c r="AN491" s="490"/>
      <c r="AO491" s="490"/>
      <c r="AP491" s="490"/>
      <c r="AQ491" s="490"/>
      <c r="AR491" s="490"/>
      <c r="AS491" s="490"/>
      <c r="AT491" s="490"/>
      <c r="AU491" s="490"/>
      <c r="AV491" s="490"/>
      <c r="AW491" s="490"/>
      <c r="AX491" s="490"/>
      <c r="AY491" s="490"/>
      <c r="AZ491" s="490"/>
      <c r="BA491" s="490"/>
      <c r="BB491" s="490"/>
      <c r="BC491" s="490"/>
      <c r="BD491" s="490"/>
      <c r="BE491" s="490"/>
      <c r="BF491" s="490"/>
      <c r="BG491" s="490"/>
      <c r="BH491" s="490"/>
      <c r="BI491" s="490"/>
      <c r="BJ491" s="490"/>
      <c r="BK491" s="490"/>
      <c r="BL491" s="490"/>
      <c r="BM491" s="490"/>
      <c r="BN491" s="490"/>
      <c r="BO491" s="490"/>
    </row>
    <row r="492" spans="3:67">
      <c r="C492" s="541"/>
      <c r="D492" s="490"/>
      <c r="E492" s="490"/>
      <c r="F492" s="490"/>
      <c r="G492" s="490"/>
      <c r="H492" s="541"/>
      <c r="I492" s="490"/>
      <c r="J492" s="490"/>
      <c r="K492" s="490"/>
      <c r="L492" s="490"/>
      <c r="M492" s="541"/>
      <c r="N492" s="490"/>
      <c r="O492" s="490"/>
      <c r="P492" s="490"/>
      <c r="Q492" s="490"/>
      <c r="R492" s="541"/>
      <c r="S492" s="490"/>
      <c r="T492" s="490"/>
      <c r="U492" s="490"/>
      <c r="V492" s="490"/>
      <c r="W492" s="541"/>
      <c r="X492" s="490"/>
      <c r="Y492" s="490"/>
      <c r="Z492" s="490"/>
      <c r="AA492" s="490"/>
      <c r="AB492" s="541"/>
      <c r="AC492" s="490"/>
      <c r="AD492" s="490"/>
      <c r="AE492" s="490"/>
      <c r="AF492" s="490"/>
      <c r="AG492" s="541"/>
      <c r="AH492" s="490"/>
      <c r="AI492" s="490"/>
      <c r="AJ492" s="490"/>
      <c r="AK492" s="490"/>
      <c r="AL492" s="541"/>
      <c r="AM492" s="490"/>
      <c r="AN492" s="490"/>
      <c r="AO492" s="490"/>
      <c r="AP492" s="490"/>
      <c r="AQ492" s="541"/>
      <c r="AR492" s="490"/>
      <c r="AS492" s="490"/>
      <c r="AT492" s="490"/>
      <c r="AU492" s="490"/>
      <c r="AV492" s="541"/>
      <c r="AW492" s="490"/>
      <c r="AX492" s="490"/>
      <c r="AY492" s="490"/>
      <c r="AZ492" s="490"/>
      <c r="BA492" s="541"/>
      <c r="BB492" s="490"/>
      <c r="BC492" s="490"/>
      <c r="BD492" s="490"/>
      <c r="BE492" s="490"/>
      <c r="BF492" s="541"/>
      <c r="BG492" s="490"/>
      <c r="BH492" s="490"/>
      <c r="BI492" s="490"/>
      <c r="BJ492" s="490"/>
      <c r="BK492" s="541"/>
      <c r="BL492" s="490"/>
      <c r="BM492" s="490"/>
      <c r="BN492" s="490"/>
      <c r="BO492" s="490"/>
    </row>
    <row r="493" spans="3:67">
      <c r="C493" s="541"/>
      <c r="D493" s="490"/>
      <c r="E493" s="490"/>
      <c r="F493" s="490"/>
      <c r="G493" s="490"/>
      <c r="H493" s="541"/>
      <c r="I493" s="490"/>
      <c r="J493" s="490"/>
      <c r="K493" s="490"/>
      <c r="L493" s="490"/>
      <c r="M493" s="541"/>
      <c r="N493" s="490"/>
      <c r="O493" s="490"/>
      <c r="P493" s="490"/>
      <c r="Q493" s="490"/>
      <c r="R493" s="541"/>
      <c r="S493" s="490"/>
      <c r="T493" s="490"/>
      <c r="U493" s="490"/>
      <c r="V493" s="490"/>
      <c r="W493" s="541"/>
      <c r="X493" s="490"/>
      <c r="Y493" s="490"/>
      <c r="Z493" s="490"/>
      <c r="AA493" s="490"/>
      <c r="AB493" s="541"/>
      <c r="AC493" s="490"/>
      <c r="AD493" s="490"/>
      <c r="AE493" s="490"/>
      <c r="AF493" s="490"/>
      <c r="AG493" s="541"/>
      <c r="AH493" s="490"/>
      <c r="AI493" s="490"/>
      <c r="AJ493" s="490"/>
      <c r="AK493" s="490"/>
      <c r="AL493" s="541"/>
      <c r="AM493" s="490"/>
      <c r="AN493" s="490"/>
      <c r="AO493" s="490"/>
      <c r="AP493" s="490"/>
      <c r="AQ493" s="541"/>
      <c r="AR493" s="490"/>
      <c r="AS493" s="490"/>
      <c r="AT493" s="490"/>
      <c r="AU493" s="490"/>
      <c r="AV493" s="541"/>
      <c r="AW493" s="490"/>
      <c r="AX493" s="490"/>
      <c r="AY493" s="490"/>
      <c r="AZ493" s="490"/>
      <c r="BA493" s="541"/>
      <c r="BB493" s="490"/>
      <c r="BC493" s="490"/>
      <c r="BD493" s="490"/>
      <c r="BE493" s="490"/>
      <c r="BF493" s="541"/>
      <c r="BG493" s="490"/>
      <c r="BH493" s="490"/>
      <c r="BI493" s="490"/>
      <c r="BJ493" s="490"/>
      <c r="BK493" s="541"/>
      <c r="BL493" s="490"/>
      <c r="BM493" s="490"/>
      <c r="BN493" s="490"/>
      <c r="BO493" s="490"/>
    </row>
    <row r="494" spans="3:67">
      <c r="C494" s="541"/>
      <c r="D494" s="490"/>
      <c r="E494" s="490"/>
      <c r="F494" s="490"/>
      <c r="G494" s="490"/>
      <c r="H494" s="541"/>
      <c r="I494" s="490"/>
      <c r="J494" s="490"/>
      <c r="K494" s="490"/>
      <c r="L494" s="490"/>
      <c r="M494" s="541"/>
      <c r="N494" s="490"/>
      <c r="O494" s="490"/>
      <c r="P494" s="490"/>
      <c r="Q494" s="490"/>
      <c r="R494" s="541"/>
      <c r="S494" s="490"/>
      <c r="T494" s="490"/>
      <c r="U494" s="490"/>
      <c r="V494" s="490"/>
      <c r="W494" s="541"/>
      <c r="X494" s="490"/>
      <c r="Y494" s="490"/>
      <c r="Z494" s="490"/>
      <c r="AA494" s="490"/>
      <c r="AB494" s="541"/>
      <c r="AC494" s="490"/>
      <c r="AD494" s="490"/>
      <c r="AE494" s="490"/>
      <c r="AF494" s="490"/>
      <c r="AG494" s="541"/>
      <c r="AH494" s="490"/>
      <c r="AI494" s="490"/>
      <c r="AJ494" s="490"/>
      <c r="AK494" s="490"/>
      <c r="AL494" s="541"/>
      <c r="AM494" s="490"/>
      <c r="AN494" s="490"/>
      <c r="AO494" s="490"/>
      <c r="AP494" s="490"/>
      <c r="AQ494" s="541"/>
      <c r="AR494" s="490"/>
      <c r="AS494" s="490"/>
      <c r="AT494" s="490"/>
      <c r="AU494" s="490"/>
      <c r="AV494" s="541"/>
      <c r="AW494" s="490"/>
      <c r="AX494" s="490"/>
      <c r="AY494" s="490"/>
      <c r="AZ494" s="490"/>
      <c r="BA494" s="541"/>
      <c r="BB494" s="490"/>
      <c r="BC494" s="490"/>
      <c r="BD494" s="490"/>
      <c r="BE494" s="490"/>
      <c r="BF494" s="541"/>
      <c r="BG494" s="490"/>
      <c r="BH494" s="490"/>
      <c r="BI494" s="490"/>
      <c r="BJ494" s="490"/>
      <c r="BK494" s="541"/>
      <c r="BL494" s="490"/>
      <c r="BM494" s="490"/>
      <c r="BN494" s="490"/>
      <c r="BO494" s="490"/>
    </row>
    <row r="495" spans="3:67">
      <c r="C495" s="541"/>
      <c r="D495" s="490"/>
      <c r="E495" s="490"/>
      <c r="F495" s="490"/>
      <c r="G495" s="490"/>
      <c r="H495" s="541"/>
      <c r="I495" s="490"/>
      <c r="J495" s="490"/>
      <c r="K495" s="490"/>
      <c r="L495" s="490"/>
      <c r="M495" s="541"/>
      <c r="N495" s="490"/>
      <c r="O495" s="490"/>
      <c r="P495" s="490"/>
      <c r="Q495" s="490"/>
      <c r="R495" s="541"/>
      <c r="S495" s="490"/>
      <c r="T495" s="490"/>
      <c r="U495" s="490"/>
      <c r="V495" s="490"/>
      <c r="W495" s="541"/>
      <c r="X495" s="490"/>
      <c r="Y495" s="490"/>
      <c r="Z495" s="490"/>
      <c r="AA495" s="490"/>
      <c r="AB495" s="541"/>
      <c r="AC495" s="490"/>
      <c r="AD495" s="490"/>
      <c r="AE495" s="490"/>
      <c r="AF495" s="490"/>
      <c r="AG495" s="541"/>
      <c r="AH495" s="490"/>
      <c r="AI495" s="490"/>
      <c r="AJ495" s="490"/>
      <c r="AK495" s="490"/>
      <c r="AL495" s="541"/>
      <c r="AM495" s="490"/>
      <c r="AN495" s="490"/>
      <c r="AO495" s="490"/>
      <c r="AP495" s="490"/>
      <c r="AQ495" s="541"/>
      <c r="AR495" s="490"/>
      <c r="AS495" s="490"/>
      <c r="AT495" s="490"/>
      <c r="AU495" s="490"/>
      <c r="AV495" s="541"/>
      <c r="AW495" s="490"/>
      <c r="AX495" s="490"/>
      <c r="AY495" s="490"/>
      <c r="AZ495" s="490"/>
      <c r="BA495" s="541"/>
      <c r="BB495" s="490"/>
      <c r="BC495" s="490"/>
      <c r="BD495" s="490"/>
      <c r="BE495" s="490"/>
      <c r="BF495" s="541"/>
      <c r="BG495" s="490"/>
      <c r="BH495" s="490"/>
      <c r="BI495" s="490"/>
      <c r="BJ495" s="490"/>
      <c r="BK495" s="541"/>
      <c r="BL495" s="490"/>
      <c r="BM495" s="490"/>
      <c r="BN495" s="490"/>
      <c r="BO495" s="490"/>
    </row>
    <row r="496" spans="3:67">
      <c r="C496" s="541"/>
      <c r="D496" s="490"/>
      <c r="E496" s="490"/>
      <c r="F496" s="490"/>
      <c r="G496" s="490"/>
      <c r="H496" s="541"/>
      <c r="I496" s="490"/>
      <c r="J496" s="490"/>
      <c r="K496" s="490"/>
      <c r="L496" s="490"/>
      <c r="M496" s="541"/>
      <c r="N496" s="490"/>
      <c r="O496" s="490"/>
      <c r="P496" s="490"/>
      <c r="Q496" s="490"/>
      <c r="R496" s="541"/>
      <c r="S496" s="490"/>
      <c r="T496" s="490"/>
      <c r="U496" s="490"/>
      <c r="V496" s="490"/>
      <c r="W496" s="541"/>
      <c r="X496" s="490"/>
      <c r="Y496" s="490"/>
      <c r="Z496" s="490"/>
      <c r="AA496" s="490"/>
      <c r="AB496" s="541"/>
      <c r="AC496" s="490"/>
      <c r="AD496" s="490"/>
      <c r="AE496" s="490"/>
      <c r="AF496" s="490"/>
      <c r="AG496" s="541"/>
      <c r="AH496" s="490"/>
      <c r="AI496" s="490"/>
      <c r="AJ496" s="490"/>
      <c r="AK496" s="490"/>
      <c r="AL496" s="541"/>
      <c r="AM496" s="490"/>
      <c r="AN496" s="490"/>
      <c r="AO496" s="490"/>
      <c r="AP496" s="490"/>
      <c r="AQ496" s="541"/>
      <c r="AR496" s="490"/>
      <c r="AS496" s="490"/>
      <c r="AT496" s="490"/>
      <c r="AU496" s="490"/>
      <c r="AV496" s="541"/>
      <c r="AW496" s="490"/>
      <c r="AX496" s="490"/>
      <c r="AY496" s="490"/>
      <c r="AZ496" s="490"/>
      <c r="BA496" s="541"/>
      <c r="BB496" s="490"/>
      <c r="BC496" s="490"/>
      <c r="BD496" s="490"/>
      <c r="BE496" s="490"/>
      <c r="BF496" s="541"/>
      <c r="BG496" s="490"/>
      <c r="BH496" s="490"/>
      <c r="BI496" s="490"/>
      <c r="BJ496" s="490"/>
      <c r="BK496" s="541"/>
      <c r="BL496" s="490"/>
      <c r="BM496" s="490"/>
      <c r="BN496" s="490"/>
      <c r="BO496" s="490"/>
    </row>
    <row r="497" spans="3:67">
      <c r="C497" s="541"/>
      <c r="D497" s="490"/>
      <c r="E497" s="490"/>
      <c r="F497" s="490"/>
      <c r="G497" s="490"/>
      <c r="H497" s="541"/>
      <c r="I497" s="490"/>
      <c r="J497" s="490"/>
      <c r="K497" s="490"/>
      <c r="L497" s="490"/>
      <c r="M497" s="541"/>
      <c r="N497" s="490"/>
      <c r="O497" s="490"/>
      <c r="P497" s="490"/>
      <c r="Q497" s="490"/>
      <c r="R497" s="541"/>
      <c r="S497" s="490"/>
      <c r="T497" s="490"/>
      <c r="U497" s="490"/>
      <c r="V497" s="490"/>
      <c r="W497" s="541"/>
      <c r="X497" s="490"/>
      <c r="Y497" s="490"/>
      <c r="Z497" s="490"/>
      <c r="AA497" s="490"/>
      <c r="AB497" s="541"/>
      <c r="AC497" s="490"/>
      <c r="AD497" s="490"/>
      <c r="AE497" s="490"/>
      <c r="AF497" s="490"/>
      <c r="AG497" s="541"/>
      <c r="AH497" s="490"/>
      <c r="AI497" s="490"/>
      <c r="AJ497" s="490"/>
      <c r="AK497" s="490"/>
      <c r="AL497" s="541"/>
      <c r="AM497" s="490"/>
      <c r="AN497" s="490"/>
      <c r="AO497" s="490"/>
      <c r="AP497" s="490"/>
      <c r="AQ497" s="541"/>
      <c r="AR497" s="490"/>
      <c r="AS497" s="490"/>
      <c r="AT497" s="490"/>
      <c r="AU497" s="490"/>
      <c r="AV497" s="541"/>
      <c r="AW497" s="490"/>
      <c r="AX497" s="490"/>
      <c r="AY497" s="490"/>
      <c r="AZ497" s="490"/>
      <c r="BA497" s="541"/>
      <c r="BB497" s="490"/>
      <c r="BC497" s="490"/>
      <c r="BD497" s="490"/>
      <c r="BE497" s="490"/>
      <c r="BF497" s="541"/>
      <c r="BG497" s="490"/>
      <c r="BH497" s="490"/>
      <c r="BI497" s="490"/>
      <c r="BJ497" s="490"/>
      <c r="BK497" s="541"/>
      <c r="BL497" s="490"/>
      <c r="BM497" s="490"/>
      <c r="BN497" s="490"/>
      <c r="BO497" s="490"/>
    </row>
    <row r="498" spans="3:67">
      <c r="C498" s="490"/>
      <c r="D498" s="490"/>
      <c r="E498" s="490"/>
      <c r="F498" s="490"/>
      <c r="G498" s="490"/>
      <c r="H498" s="490"/>
      <c r="I498" s="490"/>
      <c r="J498" s="490"/>
      <c r="K498" s="490"/>
      <c r="L498" s="490"/>
      <c r="M498" s="490"/>
      <c r="N498" s="490"/>
      <c r="O498" s="490"/>
      <c r="P498" s="490"/>
      <c r="Q498" s="490"/>
      <c r="R498" s="490"/>
      <c r="S498" s="490"/>
      <c r="T498" s="490"/>
      <c r="U498" s="490"/>
      <c r="V498" s="490"/>
      <c r="W498" s="490"/>
      <c r="X498" s="490"/>
      <c r="Y498" s="490"/>
      <c r="Z498" s="490"/>
      <c r="AA498" s="490"/>
      <c r="AB498" s="490"/>
      <c r="AC498" s="490"/>
      <c r="AD498" s="490"/>
      <c r="AE498" s="490"/>
      <c r="AF498" s="490"/>
      <c r="AG498" s="490"/>
      <c r="AH498" s="490"/>
      <c r="AI498" s="490"/>
      <c r="AJ498" s="490"/>
      <c r="AK498" s="490"/>
      <c r="AL498" s="490"/>
      <c r="AM498" s="490"/>
      <c r="AN498" s="490"/>
      <c r="AO498" s="490"/>
      <c r="AP498" s="490"/>
      <c r="AQ498" s="490"/>
      <c r="AR498" s="490"/>
      <c r="AS498" s="490"/>
      <c r="AT498" s="490"/>
      <c r="AU498" s="490"/>
      <c r="AV498" s="490"/>
      <c r="AW498" s="490"/>
      <c r="AX498" s="490"/>
      <c r="AY498" s="490"/>
      <c r="AZ498" s="490"/>
      <c r="BA498" s="490"/>
      <c r="BB498" s="490"/>
      <c r="BC498" s="490"/>
      <c r="BD498" s="490"/>
      <c r="BE498" s="490"/>
      <c r="BF498" s="490"/>
      <c r="BG498" s="490"/>
      <c r="BH498" s="490"/>
      <c r="BI498" s="490"/>
      <c r="BJ498" s="490"/>
      <c r="BK498" s="490"/>
      <c r="BL498" s="490"/>
      <c r="BM498" s="490"/>
      <c r="BN498" s="490"/>
      <c r="BO498" s="490"/>
    </row>
    <row r="499" spans="3:67">
      <c r="C499" s="490"/>
      <c r="D499" s="490"/>
      <c r="E499" s="490"/>
      <c r="F499" s="490"/>
      <c r="G499" s="490"/>
      <c r="H499" s="490"/>
      <c r="I499" s="490"/>
      <c r="J499" s="490"/>
      <c r="K499" s="490"/>
      <c r="L499" s="490"/>
      <c r="M499" s="490"/>
      <c r="N499" s="490"/>
      <c r="O499" s="490"/>
      <c r="P499" s="490"/>
      <c r="Q499" s="490"/>
      <c r="R499" s="490"/>
      <c r="S499" s="490"/>
      <c r="T499" s="490"/>
      <c r="U499" s="490"/>
      <c r="V499" s="490"/>
      <c r="W499" s="490"/>
      <c r="X499" s="490"/>
      <c r="Y499" s="490"/>
      <c r="Z499" s="490"/>
      <c r="AA499" s="490"/>
      <c r="AB499" s="490"/>
      <c r="AC499" s="490"/>
      <c r="AD499" s="490"/>
      <c r="AE499" s="490"/>
      <c r="AF499" s="490"/>
      <c r="AG499" s="490"/>
      <c r="AH499" s="490"/>
      <c r="AI499" s="490"/>
      <c r="AJ499" s="490"/>
      <c r="AK499" s="490"/>
      <c r="AL499" s="490"/>
      <c r="AM499" s="490"/>
      <c r="AN499" s="490"/>
      <c r="AO499" s="490"/>
      <c r="AP499" s="490"/>
      <c r="AQ499" s="490"/>
      <c r="AR499" s="490"/>
      <c r="AS499" s="490"/>
      <c r="AT499" s="490"/>
      <c r="AU499" s="490"/>
      <c r="AV499" s="490"/>
      <c r="AW499" s="490"/>
      <c r="AX499" s="490"/>
      <c r="AY499" s="490"/>
      <c r="AZ499" s="490"/>
      <c r="BA499" s="490"/>
      <c r="BB499" s="490"/>
      <c r="BC499" s="490"/>
      <c r="BD499" s="490"/>
      <c r="BE499" s="490"/>
      <c r="BF499" s="490"/>
      <c r="BG499" s="490"/>
      <c r="BH499" s="490"/>
      <c r="BI499" s="490"/>
      <c r="BJ499" s="490"/>
      <c r="BK499" s="490"/>
      <c r="BL499" s="490"/>
      <c r="BM499" s="490"/>
      <c r="BN499" s="490"/>
      <c r="BO499" s="490"/>
    </row>
    <row r="500" spans="3:67">
      <c r="C500" s="394"/>
      <c r="D500" s="394"/>
      <c r="E500" s="394"/>
      <c r="F500" s="394"/>
      <c r="G500" s="394"/>
      <c r="H500" s="394"/>
      <c r="I500" s="394"/>
      <c r="J500" s="394"/>
      <c r="K500" s="394"/>
      <c r="L500" s="394"/>
      <c r="M500" s="394"/>
      <c r="N500" s="394"/>
      <c r="O500" s="394"/>
      <c r="P500" s="394"/>
      <c r="Q500" s="394"/>
      <c r="R500" s="394"/>
      <c r="S500" s="394"/>
      <c r="T500" s="394"/>
      <c r="U500" s="394"/>
      <c r="V500" s="394"/>
      <c r="W500" s="394"/>
      <c r="X500" s="394"/>
      <c r="Y500" s="394"/>
      <c r="Z500" s="394"/>
      <c r="AA500" s="394"/>
      <c r="AB500" s="394"/>
      <c r="AC500" s="394"/>
      <c r="AD500" s="394"/>
      <c r="AE500" s="394"/>
      <c r="AF500" s="394"/>
      <c r="AG500" s="394"/>
      <c r="AH500" s="394"/>
      <c r="AI500" s="394"/>
      <c r="AJ500" s="394"/>
      <c r="AK500" s="394"/>
      <c r="AL500" s="394"/>
      <c r="AM500" s="394"/>
      <c r="AN500" s="394"/>
      <c r="AO500" s="394"/>
      <c r="AP500" s="394"/>
      <c r="AQ500" s="394"/>
      <c r="AR500" s="394"/>
      <c r="AS500" s="394"/>
      <c r="AT500" s="394"/>
      <c r="AU500" s="394"/>
      <c r="AV500" s="394"/>
      <c r="AW500" s="394"/>
      <c r="AX500" s="394"/>
      <c r="AY500" s="394"/>
      <c r="AZ500" s="394"/>
      <c r="BA500" s="394"/>
      <c r="BB500" s="394"/>
      <c r="BC500" s="394"/>
      <c r="BD500" s="394"/>
      <c r="BE500" s="394"/>
      <c r="BF500" s="394"/>
      <c r="BG500" s="394"/>
      <c r="BH500" s="394"/>
      <c r="BI500" s="394"/>
      <c r="BJ500" s="394"/>
      <c r="BK500" s="394"/>
      <c r="BL500" s="394"/>
      <c r="BM500" s="394"/>
      <c r="BN500" s="394"/>
      <c r="BO500" s="394"/>
    </row>
    <row r="501" spans="3:67">
      <c r="C501" s="470"/>
      <c r="D501" s="470"/>
      <c r="E501" s="470"/>
      <c r="F501" s="470"/>
      <c r="G501" s="470"/>
      <c r="H501" s="470"/>
      <c r="I501" s="470"/>
      <c r="J501" s="470"/>
      <c r="K501" s="470"/>
      <c r="L501" s="470"/>
      <c r="M501" s="470"/>
      <c r="N501" s="470"/>
      <c r="O501" s="470"/>
      <c r="P501" s="470"/>
      <c r="Q501" s="470"/>
      <c r="R501" s="470"/>
      <c r="S501" s="470"/>
      <c r="T501" s="470"/>
      <c r="U501" s="470"/>
      <c r="V501" s="470"/>
      <c r="W501" s="470"/>
      <c r="X501" s="470"/>
      <c r="Y501" s="470"/>
      <c r="Z501" s="470"/>
      <c r="AA501" s="470"/>
      <c r="AB501" s="470"/>
      <c r="AC501" s="470"/>
      <c r="AD501" s="470"/>
      <c r="AE501" s="470"/>
      <c r="AF501" s="470"/>
      <c r="AG501" s="470"/>
      <c r="AH501" s="470"/>
      <c r="AI501" s="470"/>
      <c r="AJ501" s="470"/>
      <c r="AK501" s="470"/>
      <c r="AL501" s="470"/>
      <c r="AM501" s="470"/>
      <c r="AN501" s="470"/>
      <c r="AO501" s="470"/>
      <c r="AP501" s="470"/>
      <c r="AQ501" s="470"/>
      <c r="AR501" s="470"/>
      <c r="AS501" s="470"/>
      <c r="AT501" s="470"/>
      <c r="AU501" s="470"/>
      <c r="AV501" s="470"/>
      <c r="AW501" s="470"/>
      <c r="AX501" s="470"/>
      <c r="AY501" s="470"/>
      <c r="AZ501" s="470"/>
      <c r="BA501" s="470"/>
      <c r="BB501" s="470"/>
      <c r="BC501" s="470"/>
      <c r="BD501" s="470"/>
      <c r="BE501" s="470"/>
      <c r="BF501" s="470"/>
      <c r="BG501" s="470"/>
      <c r="BH501" s="470"/>
      <c r="BI501" s="470"/>
      <c r="BJ501" s="470"/>
      <c r="BK501" s="470"/>
      <c r="BL501" s="470"/>
      <c r="BM501" s="470"/>
      <c r="BN501" s="470"/>
      <c r="BO501" s="470"/>
    </row>
    <row r="502" spans="3:67">
      <c r="C502" s="550"/>
      <c r="D502" s="550"/>
      <c r="E502" s="550"/>
      <c r="F502" s="550"/>
      <c r="G502" s="550"/>
      <c r="H502" s="550"/>
      <c r="I502" s="550"/>
      <c r="J502" s="550"/>
      <c r="K502" s="550"/>
      <c r="L502" s="550"/>
      <c r="M502" s="550"/>
      <c r="N502" s="550"/>
      <c r="O502" s="550"/>
      <c r="P502" s="550"/>
      <c r="Q502" s="550"/>
      <c r="R502" s="550"/>
      <c r="S502" s="550"/>
      <c r="T502" s="550"/>
      <c r="U502" s="550"/>
      <c r="V502" s="550"/>
      <c r="W502" s="550"/>
      <c r="X502" s="550"/>
      <c r="Y502" s="550"/>
      <c r="Z502" s="550"/>
      <c r="AA502" s="550"/>
      <c r="AB502" s="550"/>
      <c r="AC502" s="550"/>
      <c r="AD502" s="550"/>
      <c r="AE502" s="550"/>
      <c r="AF502" s="550"/>
      <c r="AG502" s="550"/>
      <c r="AH502" s="550"/>
      <c r="AI502" s="550"/>
      <c r="AJ502" s="550"/>
      <c r="AK502" s="550"/>
      <c r="AL502" s="550"/>
      <c r="AM502" s="550"/>
      <c r="AN502" s="550"/>
      <c r="AO502" s="550"/>
      <c r="AP502" s="550"/>
      <c r="AQ502" s="550"/>
      <c r="AR502" s="550"/>
      <c r="AS502" s="550"/>
      <c r="AT502" s="550"/>
      <c r="AU502" s="550"/>
      <c r="AV502" s="550"/>
      <c r="AW502" s="550"/>
      <c r="AX502" s="550"/>
      <c r="AY502" s="550"/>
      <c r="AZ502" s="550"/>
      <c r="BA502" s="550"/>
      <c r="BB502" s="550"/>
      <c r="BC502" s="550"/>
      <c r="BD502" s="550"/>
      <c r="BE502" s="550"/>
      <c r="BF502" s="550"/>
      <c r="BG502" s="550"/>
      <c r="BH502" s="550"/>
      <c r="BI502" s="550"/>
      <c r="BJ502" s="550"/>
      <c r="BK502" s="550"/>
      <c r="BL502" s="550"/>
      <c r="BM502" s="550"/>
      <c r="BN502" s="550"/>
      <c r="BO502" s="550"/>
    </row>
    <row r="503" spans="3:67">
      <c r="C503" s="550"/>
      <c r="D503" s="550"/>
      <c r="E503" s="550"/>
      <c r="F503" s="550"/>
      <c r="G503" s="550"/>
      <c r="H503" s="550"/>
      <c r="I503" s="550"/>
      <c r="J503" s="550"/>
      <c r="K503" s="550"/>
      <c r="L503" s="550"/>
      <c r="M503" s="550"/>
      <c r="N503" s="550"/>
      <c r="O503" s="550"/>
      <c r="P503" s="550"/>
      <c r="Q503" s="550"/>
      <c r="R503" s="550"/>
      <c r="S503" s="550"/>
      <c r="T503" s="550"/>
      <c r="U503" s="550"/>
      <c r="V503" s="550"/>
      <c r="W503" s="550"/>
      <c r="X503" s="550"/>
      <c r="Y503" s="550"/>
      <c r="Z503" s="550"/>
      <c r="AA503" s="550"/>
      <c r="AB503" s="550"/>
      <c r="AC503" s="550"/>
      <c r="AD503" s="550"/>
      <c r="AE503" s="550"/>
      <c r="AF503" s="550"/>
      <c r="AG503" s="550"/>
      <c r="AH503" s="550"/>
      <c r="AI503" s="550"/>
      <c r="AJ503" s="550"/>
      <c r="AK503" s="550"/>
      <c r="AL503" s="550"/>
      <c r="AM503" s="550"/>
      <c r="AN503" s="550"/>
      <c r="AO503" s="550"/>
      <c r="AP503" s="550"/>
      <c r="AQ503" s="550"/>
      <c r="AR503" s="550"/>
      <c r="AS503" s="550"/>
      <c r="AT503" s="550"/>
      <c r="AU503" s="550"/>
      <c r="AV503" s="550"/>
      <c r="AW503" s="550"/>
      <c r="AX503" s="550"/>
      <c r="AY503" s="550"/>
      <c r="AZ503" s="550"/>
      <c r="BA503" s="550"/>
      <c r="BB503" s="550"/>
      <c r="BC503" s="550"/>
      <c r="BD503" s="550"/>
      <c r="BE503" s="550"/>
      <c r="BF503" s="550"/>
      <c r="BG503" s="550"/>
      <c r="BH503" s="550"/>
      <c r="BI503" s="550"/>
      <c r="BJ503" s="550"/>
      <c r="BK503" s="550"/>
      <c r="BL503" s="550"/>
      <c r="BM503" s="550"/>
      <c r="BN503" s="550"/>
      <c r="BO503" s="550"/>
    </row>
    <row r="504" spans="3:67">
      <c r="C504" s="551"/>
      <c r="D504" s="545"/>
      <c r="E504" s="545"/>
      <c r="F504" s="545"/>
      <c r="G504" s="545"/>
      <c r="H504" s="551"/>
      <c r="I504" s="545"/>
      <c r="J504" s="545"/>
      <c r="K504" s="545"/>
      <c r="L504" s="545"/>
      <c r="M504" s="551"/>
      <c r="N504" s="545"/>
      <c r="O504" s="545"/>
      <c r="P504" s="545"/>
      <c r="Q504" s="545"/>
      <c r="R504" s="551"/>
      <c r="S504" s="545"/>
      <c r="T504" s="545"/>
      <c r="U504" s="545"/>
      <c r="V504" s="545"/>
      <c r="W504" s="551"/>
      <c r="X504" s="545"/>
      <c r="Y504" s="545"/>
      <c r="Z504" s="545"/>
      <c r="AA504" s="545"/>
      <c r="AB504" s="551"/>
      <c r="AC504" s="545"/>
      <c r="AD504" s="545"/>
      <c r="AE504" s="545"/>
      <c r="AF504" s="545"/>
      <c r="AG504" s="551"/>
      <c r="AH504" s="545"/>
      <c r="AI504" s="545"/>
      <c r="AJ504" s="545"/>
      <c r="AK504" s="545"/>
      <c r="AL504" s="551"/>
      <c r="AM504" s="545"/>
      <c r="AN504" s="545"/>
      <c r="AO504" s="545"/>
      <c r="AP504" s="545"/>
      <c r="AQ504" s="551"/>
      <c r="AR504" s="545"/>
      <c r="AS504" s="545"/>
      <c r="AT504" s="545"/>
      <c r="AU504" s="545"/>
      <c r="AV504" s="551"/>
      <c r="AW504" s="545"/>
      <c r="AX504" s="545"/>
      <c r="AY504" s="545"/>
      <c r="AZ504" s="545"/>
      <c r="BA504" s="551"/>
      <c r="BB504" s="545"/>
      <c r="BC504" s="545"/>
      <c r="BD504" s="545"/>
      <c r="BE504" s="545"/>
      <c r="BF504" s="551"/>
      <c r="BG504" s="545"/>
      <c r="BH504" s="545"/>
      <c r="BI504" s="545"/>
      <c r="BJ504" s="545"/>
      <c r="BK504" s="551"/>
      <c r="BL504" s="545"/>
      <c r="BM504" s="545"/>
      <c r="BN504" s="545"/>
      <c r="BO504" s="545"/>
    </row>
    <row r="505" spans="3:67">
      <c r="C505" s="552"/>
      <c r="D505" s="552"/>
      <c r="E505" s="552"/>
      <c r="F505" s="552"/>
      <c r="G505" s="552"/>
      <c r="H505" s="552"/>
      <c r="I505" s="552"/>
      <c r="J505" s="552"/>
      <c r="K505" s="552"/>
      <c r="L505" s="552"/>
      <c r="M505" s="552"/>
      <c r="N505" s="552"/>
      <c r="O505" s="552"/>
      <c r="P505" s="552"/>
      <c r="Q505" s="552"/>
      <c r="R505" s="552"/>
      <c r="S505" s="552"/>
      <c r="T505" s="552"/>
      <c r="U505" s="552"/>
      <c r="V505" s="552"/>
      <c r="W505" s="552"/>
      <c r="X505" s="552"/>
      <c r="Y505" s="552"/>
      <c r="Z505" s="552"/>
      <c r="AA505" s="552"/>
      <c r="AB505" s="552"/>
      <c r="AC505" s="552"/>
      <c r="AD505" s="552"/>
      <c r="AE505" s="552"/>
      <c r="AF505" s="552"/>
      <c r="AG505" s="552"/>
      <c r="AH505" s="552"/>
      <c r="AI505" s="552"/>
      <c r="AJ505" s="552"/>
      <c r="AK505" s="552"/>
      <c r="AL505" s="552"/>
      <c r="AM505" s="552"/>
      <c r="AN505" s="552"/>
      <c r="AO505" s="552"/>
      <c r="AP505" s="552"/>
      <c r="AQ505" s="552"/>
      <c r="AR505" s="552"/>
      <c r="AS505" s="552"/>
      <c r="AT505" s="552"/>
      <c r="AU505" s="552"/>
      <c r="AV505" s="552"/>
      <c r="AW505" s="552"/>
      <c r="AX505" s="552"/>
      <c r="AY505" s="552"/>
      <c r="AZ505" s="552"/>
      <c r="BA505" s="552"/>
      <c r="BB505" s="552"/>
      <c r="BC505" s="552"/>
      <c r="BD505" s="552"/>
      <c r="BE505" s="552"/>
      <c r="BF505" s="552"/>
      <c r="BG505" s="552"/>
      <c r="BH505" s="552"/>
      <c r="BI505" s="552"/>
      <c r="BJ505" s="552"/>
      <c r="BK505" s="552"/>
      <c r="BL505" s="552"/>
      <c r="BM505" s="552"/>
      <c r="BN505" s="552"/>
      <c r="BO505" s="552"/>
    </row>
    <row r="506" spans="3:67">
      <c r="C506" s="541"/>
      <c r="D506" s="490"/>
      <c r="E506" s="490"/>
      <c r="F506" s="490"/>
      <c r="G506" s="490"/>
      <c r="H506" s="541"/>
      <c r="I506" s="490"/>
      <c r="J506" s="490"/>
      <c r="K506" s="490"/>
      <c r="L506" s="490"/>
      <c r="M506" s="541"/>
      <c r="N506" s="490"/>
      <c r="O506" s="490"/>
      <c r="P506" s="490"/>
      <c r="Q506" s="490"/>
      <c r="R506" s="541"/>
      <c r="S506" s="490"/>
      <c r="T506" s="490"/>
      <c r="U506" s="490"/>
      <c r="V506" s="490"/>
      <c r="W506" s="541"/>
      <c r="X506" s="490"/>
      <c r="Y506" s="490"/>
      <c r="Z506" s="490"/>
      <c r="AA506" s="490"/>
      <c r="AB506" s="541"/>
      <c r="AC506" s="490"/>
      <c r="AD506" s="490"/>
      <c r="AE506" s="490"/>
      <c r="AF506" s="490"/>
      <c r="AG506" s="541"/>
      <c r="AH506" s="490"/>
      <c r="AI506" s="490"/>
      <c r="AJ506" s="490"/>
      <c r="AK506" s="490"/>
      <c r="AL506" s="541"/>
      <c r="AM506" s="490"/>
      <c r="AN506" s="490"/>
      <c r="AO506" s="490"/>
      <c r="AP506" s="490"/>
      <c r="AQ506" s="541"/>
      <c r="AR506" s="490"/>
      <c r="AS506" s="490"/>
      <c r="AT506" s="490"/>
      <c r="AU506" s="490"/>
      <c r="AV506" s="541"/>
      <c r="AW506" s="490"/>
      <c r="AX506" s="490"/>
      <c r="AY506" s="490"/>
      <c r="AZ506" s="490"/>
      <c r="BA506" s="541"/>
      <c r="BB506" s="490"/>
      <c r="BC506" s="490"/>
      <c r="BD506" s="490"/>
      <c r="BE506" s="490"/>
      <c r="BF506" s="541"/>
      <c r="BG506" s="490"/>
      <c r="BH506" s="490"/>
      <c r="BI506" s="490"/>
      <c r="BJ506" s="490"/>
      <c r="BK506" s="541"/>
      <c r="BL506" s="490"/>
      <c r="BM506" s="490"/>
      <c r="BN506" s="490"/>
      <c r="BO506" s="490"/>
    </row>
    <row r="507" spans="3:67">
      <c r="C507" s="490"/>
      <c r="D507" s="490"/>
      <c r="E507" s="490"/>
      <c r="F507" s="490"/>
      <c r="G507" s="490"/>
      <c r="H507" s="490"/>
      <c r="I507" s="490"/>
      <c r="J507" s="490"/>
      <c r="K507" s="490"/>
      <c r="L507" s="490"/>
      <c r="M507" s="490"/>
      <c r="N507" s="490"/>
      <c r="O507" s="490"/>
      <c r="P507" s="490"/>
      <c r="Q507" s="490"/>
      <c r="R507" s="490"/>
      <c r="S507" s="490"/>
      <c r="T507" s="490"/>
      <c r="U507" s="490"/>
      <c r="V507" s="490"/>
      <c r="W507" s="490"/>
      <c r="X507" s="490"/>
      <c r="Y507" s="490"/>
      <c r="Z507" s="490"/>
      <c r="AA507" s="490"/>
      <c r="AB507" s="490"/>
      <c r="AC507" s="490"/>
      <c r="AD507" s="490"/>
      <c r="AE507" s="490"/>
      <c r="AF507" s="490"/>
      <c r="AG507" s="490"/>
      <c r="AH507" s="490"/>
      <c r="AI507" s="490"/>
      <c r="AJ507" s="490"/>
      <c r="AK507" s="490"/>
      <c r="AL507" s="490"/>
      <c r="AM507" s="490"/>
      <c r="AN507" s="490"/>
      <c r="AO507" s="490"/>
      <c r="AP507" s="490"/>
      <c r="AQ507" s="490"/>
      <c r="AR507" s="490"/>
      <c r="AS507" s="490"/>
      <c r="AT507" s="490"/>
      <c r="AU507" s="490"/>
      <c r="AV507" s="490"/>
      <c r="AW507" s="490"/>
      <c r="AX507" s="490"/>
      <c r="AY507" s="490"/>
      <c r="AZ507" s="490"/>
      <c r="BA507" s="490"/>
      <c r="BB507" s="490"/>
      <c r="BC507" s="490"/>
      <c r="BD507" s="490"/>
      <c r="BE507" s="490"/>
      <c r="BF507" s="490"/>
      <c r="BG507" s="490"/>
      <c r="BH507" s="490"/>
      <c r="BI507" s="490"/>
      <c r="BJ507" s="490"/>
      <c r="BK507" s="490"/>
      <c r="BL507" s="490"/>
      <c r="BM507" s="490"/>
      <c r="BN507" s="490"/>
      <c r="BO507" s="490"/>
    </row>
    <row r="508" spans="3:67">
      <c r="C508" s="490"/>
      <c r="D508" s="490"/>
      <c r="E508" s="490"/>
      <c r="F508" s="490"/>
      <c r="G508" s="490"/>
      <c r="H508" s="490"/>
      <c r="I508" s="490"/>
      <c r="J508" s="490"/>
      <c r="K508" s="490"/>
      <c r="L508" s="490"/>
      <c r="M508" s="490"/>
      <c r="N508" s="490"/>
      <c r="O508" s="490"/>
      <c r="P508" s="490"/>
      <c r="Q508" s="490"/>
      <c r="R508" s="490"/>
      <c r="S508" s="490"/>
      <c r="T508" s="490"/>
      <c r="U508" s="490"/>
      <c r="V508" s="490"/>
      <c r="W508" s="490"/>
      <c r="X508" s="490"/>
      <c r="Y508" s="490"/>
      <c r="Z508" s="490"/>
      <c r="AA508" s="490"/>
      <c r="AB508" s="490"/>
      <c r="AC508" s="490"/>
      <c r="AD508" s="490"/>
      <c r="AE508" s="490"/>
      <c r="AF508" s="490"/>
      <c r="AG508" s="490"/>
      <c r="AH508" s="490"/>
      <c r="AI508" s="490"/>
      <c r="AJ508" s="490"/>
      <c r="AK508" s="490"/>
      <c r="AL508" s="490"/>
      <c r="AM508" s="490"/>
      <c r="AN508" s="490"/>
      <c r="AO508" s="490"/>
      <c r="AP508" s="490"/>
      <c r="AQ508" s="490"/>
      <c r="AR508" s="490"/>
      <c r="AS508" s="490"/>
      <c r="AT508" s="490"/>
      <c r="AU508" s="490"/>
      <c r="AV508" s="490"/>
      <c r="AW508" s="490"/>
      <c r="AX508" s="490"/>
      <c r="AY508" s="490"/>
      <c r="AZ508" s="490"/>
      <c r="BA508" s="490"/>
      <c r="BB508" s="490"/>
      <c r="BC508" s="490"/>
      <c r="BD508" s="490"/>
      <c r="BE508" s="490"/>
      <c r="BF508" s="490"/>
      <c r="BG508" s="490"/>
      <c r="BH508" s="490"/>
      <c r="BI508" s="490"/>
      <c r="BJ508" s="490"/>
      <c r="BK508" s="490"/>
      <c r="BL508" s="490"/>
      <c r="BM508" s="490"/>
      <c r="BN508" s="490"/>
      <c r="BO508" s="490"/>
    </row>
    <row r="509" spans="3:67">
      <c r="C509" s="490"/>
      <c r="D509" s="490"/>
      <c r="E509" s="490"/>
      <c r="F509" s="490"/>
      <c r="G509" s="490"/>
      <c r="H509" s="490"/>
      <c r="I509" s="490"/>
      <c r="J509" s="490"/>
      <c r="K509" s="490"/>
      <c r="L509" s="490"/>
      <c r="M509" s="490"/>
      <c r="N509" s="490"/>
      <c r="O509" s="490"/>
      <c r="P509" s="490"/>
      <c r="Q509" s="490"/>
      <c r="R509" s="490"/>
      <c r="S509" s="490"/>
      <c r="T509" s="490"/>
      <c r="U509" s="490"/>
      <c r="V509" s="490"/>
      <c r="W509" s="490"/>
      <c r="X509" s="490"/>
      <c r="Y509" s="490"/>
      <c r="Z509" s="490"/>
      <c r="AA509" s="490"/>
      <c r="AB509" s="490"/>
      <c r="AC509" s="490"/>
      <c r="AD509" s="490"/>
      <c r="AE509" s="490"/>
      <c r="AF509" s="490"/>
      <c r="AG509" s="490"/>
      <c r="AH509" s="490"/>
      <c r="AI509" s="490"/>
      <c r="AJ509" s="490"/>
      <c r="AK509" s="490"/>
      <c r="AL509" s="490"/>
      <c r="AM509" s="490"/>
      <c r="AN509" s="490"/>
      <c r="AO509" s="490"/>
      <c r="AP509" s="490"/>
      <c r="AQ509" s="490"/>
      <c r="AR509" s="490"/>
      <c r="AS509" s="490"/>
      <c r="AT509" s="490"/>
      <c r="AU509" s="490"/>
      <c r="AV509" s="490"/>
      <c r="AW509" s="490"/>
      <c r="AX509" s="490"/>
      <c r="AY509" s="490"/>
      <c r="AZ509" s="490"/>
      <c r="BA509" s="490"/>
      <c r="BB509" s="490"/>
      <c r="BC509" s="490"/>
      <c r="BD509" s="490"/>
      <c r="BE509" s="490"/>
      <c r="BF509" s="490"/>
      <c r="BG509" s="490"/>
      <c r="BH509" s="490"/>
      <c r="BI509" s="490"/>
      <c r="BJ509" s="490"/>
      <c r="BK509" s="490"/>
      <c r="BL509" s="490"/>
      <c r="BM509" s="490"/>
      <c r="BN509" s="490"/>
      <c r="BO509" s="490"/>
    </row>
    <row r="510" spans="3:67">
      <c r="C510" s="490"/>
      <c r="D510" s="490"/>
      <c r="E510" s="490"/>
      <c r="F510" s="490"/>
      <c r="G510" s="490"/>
      <c r="H510" s="490"/>
      <c r="I510" s="490"/>
      <c r="J510" s="490"/>
      <c r="K510" s="490"/>
      <c r="L510" s="490"/>
      <c r="M510" s="490"/>
      <c r="N510" s="490"/>
      <c r="O510" s="490"/>
      <c r="P510" s="490"/>
      <c r="Q510" s="490"/>
      <c r="R510" s="490"/>
      <c r="S510" s="490"/>
      <c r="T510" s="490"/>
      <c r="U510" s="490"/>
      <c r="V510" s="490"/>
      <c r="W510" s="490"/>
      <c r="X510" s="490"/>
      <c r="Y510" s="490"/>
      <c r="Z510" s="490"/>
      <c r="AA510" s="490"/>
      <c r="AB510" s="490"/>
      <c r="AC510" s="490"/>
      <c r="AD510" s="490"/>
      <c r="AE510" s="490"/>
      <c r="AF510" s="490"/>
      <c r="AG510" s="490"/>
      <c r="AH510" s="490"/>
      <c r="AI510" s="490"/>
      <c r="AJ510" s="490"/>
      <c r="AK510" s="490"/>
      <c r="AL510" s="490"/>
      <c r="AM510" s="490"/>
      <c r="AN510" s="490"/>
      <c r="AO510" s="490"/>
      <c r="AP510" s="490"/>
      <c r="AQ510" s="490"/>
      <c r="AR510" s="490"/>
      <c r="AS510" s="490"/>
      <c r="AT510" s="490"/>
      <c r="AU510" s="490"/>
      <c r="AV510" s="490"/>
      <c r="AW510" s="490"/>
      <c r="AX510" s="490"/>
      <c r="AY510" s="490"/>
      <c r="AZ510" s="490"/>
      <c r="BA510" s="490"/>
      <c r="BB510" s="490"/>
      <c r="BC510" s="490"/>
      <c r="BD510" s="490"/>
      <c r="BE510" s="490"/>
      <c r="BF510" s="490"/>
      <c r="BG510" s="490"/>
      <c r="BH510" s="490"/>
      <c r="BI510" s="490"/>
      <c r="BJ510" s="490"/>
      <c r="BK510" s="490"/>
      <c r="BL510" s="490"/>
      <c r="BM510" s="490"/>
      <c r="BN510" s="490"/>
      <c r="BO510" s="490"/>
    </row>
    <row r="511" spans="3:67">
      <c r="C511" s="490"/>
      <c r="D511" s="490"/>
      <c r="E511" s="490"/>
      <c r="F511" s="490"/>
      <c r="G511" s="490"/>
      <c r="H511" s="490"/>
      <c r="I511" s="490"/>
      <c r="J511" s="490"/>
      <c r="K511" s="490"/>
      <c r="L511" s="490"/>
      <c r="M511" s="490"/>
      <c r="N511" s="490"/>
      <c r="O511" s="490"/>
      <c r="P511" s="490"/>
      <c r="Q511" s="490"/>
      <c r="R511" s="490"/>
      <c r="S511" s="490"/>
      <c r="T511" s="490"/>
      <c r="U511" s="490"/>
      <c r="V511" s="490"/>
      <c r="W511" s="490"/>
      <c r="X511" s="490"/>
      <c r="Y511" s="490"/>
      <c r="Z511" s="490"/>
      <c r="AA511" s="490"/>
      <c r="AB511" s="490"/>
      <c r="AC511" s="490"/>
      <c r="AD511" s="490"/>
      <c r="AE511" s="490"/>
      <c r="AF511" s="490"/>
      <c r="AG511" s="490"/>
      <c r="AH511" s="490"/>
      <c r="AI511" s="490"/>
      <c r="AJ511" s="490"/>
      <c r="AK511" s="490"/>
      <c r="AL511" s="490"/>
      <c r="AM511" s="490"/>
      <c r="AN511" s="490"/>
      <c r="AO511" s="490"/>
      <c r="AP511" s="490"/>
      <c r="AQ511" s="490"/>
      <c r="AR511" s="490"/>
      <c r="AS511" s="490"/>
      <c r="AT511" s="490"/>
      <c r="AU511" s="490"/>
      <c r="AV511" s="490"/>
      <c r="AW511" s="490"/>
      <c r="AX511" s="490"/>
      <c r="AY511" s="490"/>
      <c r="AZ511" s="490"/>
      <c r="BA511" s="490"/>
      <c r="BB511" s="490"/>
      <c r="BC511" s="490"/>
      <c r="BD511" s="490"/>
      <c r="BE511" s="490"/>
      <c r="BF511" s="490"/>
      <c r="BG511" s="490"/>
      <c r="BH511" s="490"/>
      <c r="BI511" s="490"/>
      <c r="BJ511" s="490"/>
      <c r="BK511" s="490"/>
      <c r="BL511" s="490"/>
      <c r="BM511" s="490"/>
      <c r="BN511" s="490"/>
      <c r="BO511" s="490"/>
    </row>
    <row r="512" spans="3:67">
      <c r="C512" s="541"/>
      <c r="D512" s="490"/>
      <c r="E512" s="490"/>
      <c r="F512" s="490"/>
      <c r="G512" s="490"/>
      <c r="H512" s="541"/>
      <c r="I512" s="490"/>
      <c r="J512" s="490"/>
      <c r="K512" s="490"/>
      <c r="L512" s="490"/>
      <c r="M512" s="541"/>
      <c r="N512" s="490"/>
      <c r="O512" s="490"/>
      <c r="P512" s="490"/>
      <c r="Q512" s="490"/>
      <c r="R512" s="541"/>
      <c r="S512" s="490"/>
      <c r="T512" s="490"/>
      <c r="U512" s="490"/>
      <c r="V512" s="490"/>
      <c r="W512" s="541"/>
      <c r="X512" s="490"/>
      <c r="Y512" s="490"/>
      <c r="Z512" s="490"/>
      <c r="AA512" s="490"/>
      <c r="AB512" s="541"/>
      <c r="AC512" s="490"/>
      <c r="AD512" s="490"/>
      <c r="AE512" s="490"/>
      <c r="AF512" s="490"/>
      <c r="AG512" s="541"/>
      <c r="AH512" s="490"/>
      <c r="AI512" s="490"/>
      <c r="AJ512" s="490"/>
      <c r="AK512" s="490"/>
      <c r="AL512" s="541"/>
      <c r="AM512" s="490"/>
      <c r="AN512" s="490"/>
      <c r="AO512" s="490"/>
      <c r="AP512" s="490"/>
      <c r="AQ512" s="541"/>
      <c r="AR512" s="490"/>
      <c r="AS512" s="490"/>
      <c r="AT512" s="490"/>
      <c r="AU512" s="490"/>
      <c r="AV512" s="541"/>
      <c r="AW512" s="490"/>
      <c r="AX512" s="490"/>
      <c r="AY512" s="490"/>
      <c r="AZ512" s="490"/>
      <c r="BA512" s="541"/>
      <c r="BB512" s="490"/>
      <c r="BC512" s="490"/>
      <c r="BD512" s="490"/>
      <c r="BE512" s="490"/>
      <c r="BF512" s="541"/>
      <c r="BG512" s="490"/>
      <c r="BH512" s="490"/>
      <c r="BI512" s="490"/>
      <c r="BJ512" s="490"/>
      <c r="BK512" s="541"/>
      <c r="BL512" s="490"/>
      <c r="BM512" s="490"/>
      <c r="BN512" s="490"/>
      <c r="BO512" s="490"/>
    </row>
    <row r="513" spans="3:67">
      <c r="C513" s="551"/>
      <c r="D513" s="545"/>
      <c r="E513" s="545"/>
      <c r="F513" s="545"/>
      <c r="G513" s="545"/>
      <c r="H513" s="551"/>
      <c r="I513" s="545"/>
      <c r="J513" s="545"/>
      <c r="K513" s="545"/>
      <c r="L513" s="545"/>
      <c r="M513" s="551"/>
      <c r="N513" s="545"/>
      <c r="O513" s="545"/>
      <c r="P513" s="545"/>
      <c r="Q513" s="545"/>
      <c r="R513" s="551"/>
      <c r="S513" s="545"/>
      <c r="T513" s="545"/>
      <c r="U513" s="545"/>
      <c r="V513" s="545"/>
      <c r="W513" s="551"/>
      <c r="X513" s="545"/>
      <c r="Y513" s="545"/>
      <c r="Z513" s="545"/>
      <c r="AA513" s="545"/>
      <c r="AB513" s="551"/>
      <c r="AC513" s="545"/>
      <c r="AD513" s="545"/>
      <c r="AE513" s="545"/>
      <c r="AF513" s="545"/>
      <c r="AG513" s="551"/>
      <c r="AH513" s="545"/>
      <c r="AI513" s="545"/>
      <c r="AJ513" s="545"/>
      <c r="AK513" s="545"/>
      <c r="AL513" s="551"/>
      <c r="AM513" s="545"/>
      <c r="AN513" s="545"/>
      <c r="AO513" s="545"/>
      <c r="AP513" s="545"/>
      <c r="AQ513" s="551"/>
      <c r="AR513" s="545"/>
      <c r="AS513" s="545"/>
      <c r="AT513" s="545"/>
      <c r="AU513" s="545"/>
      <c r="AV513" s="551"/>
      <c r="AW513" s="545"/>
      <c r="AX513" s="545"/>
      <c r="AY513" s="545"/>
      <c r="AZ513" s="545"/>
      <c r="BA513" s="551"/>
      <c r="BB513" s="545"/>
      <c r="BC513" s="545"/>
      <c r="BD513" s="545"/>
      <c r="BE513" s="545"/>
      <c r="BF513" s="551"/>
      <c r="BG513" s="545"/>
      <c r="BH513" s="545"/>
      <c r="BI513" s="545"/>
      <c r="BJ513" s="545"/>
      <c r="BK513" s="551"/>
      <c r="BL513" s="545"/>
      <c r="BM513" s="545"/>
      <c r="BN513" s="545"/>
      <c r="BO513" s="545"/>
    </row>
    <row r="514" spans="3:67">
      <c r="C514" s="552"/>
      <c r="D514" s="552"/>
      <c r="E514" s="552"/>
      <c r="F514" s="552"/>
      <c r="G514" s="552"/>
      <c r="H514" s="552"/>
      <c r="I514" s="552"/>
      <c r="J514" s="552"/>
      <c r="K514" s="552"/>
      <c r="L514" s="552"/>
      <c r="M514" s="552"/>
      <c r="N514" s="552"/>
      <c r="O514" s="552"/>
      <c r="P514" s="552"/>
      <c r="Q514" s="552"/>
      <c r="R514" s="552"/>
      <c r="S514" s="552"/>
      <c r="T514" s="552"/>
      <c r="U514" s="552"/>
      <c r="V514" s="552"/>
      <c r="W514" s="552"/>
      <c r="X514" s="552"/>
      <c r="Y514" s="552"/>
      <c r="Z514" s="552"/>
      <c r="AA514" s="552"/>
      <c r="AB514" s="552"/>
      <c r="AC514" s="552"/>
      <c r="AD514" s="552"/>
      <c r="AE514" s="552"/>
      <c r="AF514" s="552"/>
      <c r="AG514" s="552"/>
      <c r="AH514" s="552"/>
      <c r="AI514" s="552"/>
      <c r="AJ514" s="552"/>
      <c r="AK514" s="552"/>
      <c r="AL514" s="552"/>
      <c r="AM514" s="552"/>
      <c r="AN514" s="552"/>
      <c r="AO514" s="552"/>
      <c r="AP514" s="552"/>
      <c r="AQ514" s="552"/>
      <c r="AR514" s="552"/>
      <c r="AS514" s="552"/>
      <c r="AT514" s="552"/>
      <c r="AU514" s="552"/>
      <c r="AV514" s="552"/>
      <c r="AW514" s="552"/>
      <c r="AX514" s="552"/>
      <c r="AY514" s="552"/>
      <c r="AZ514" s="552"/>
      <c r="BA514" s="552"/>
      <c r="BB514" s="552"/>
      <c r="BC514" s="552"/>
      <c r="BD514" s="552"/>
      <c r="BE514" s="552"/>
      <c r="BF514" s="552"/>
      <c r="BG514" s="552"/>
      <c r="BH514" s="552"/>
      <c r="BI514" s="552"/>
      <c r="BJ514" s="552"/>
      <c r="BK514" s="552"/>
      <c r="BL514" s="552"/>
      <c r="BM514" s="552"/>
      <c r="BN514" s="552"/>
      <c r="BO514" s="552"/>
    </row>
    <row r="515" spans="3:67">
      <c r="C515" s="552"/>
      <c r="D515" s="552"/>
      <c r="E515" s="552"/>
      <c r="F515" s="552"/>
      <c r="G515" s="552"/>
      <c r="H515" s="552"/>
      <c r="I515" s="552"/>
      <c r="J515" s="552"/>
      <c r="K515" s="552"/>
      <c r="L515" s="552"/>
      <c r="M515" s="552"/>
      <c r="N515" s="552"/>
      <c r="O515" s="552"/>
      <c r="P515" s="552"/>
      <c r="Q515" s="552"/>
      <c r="R515" s="552"/>
      <c r="S515" s="552"/>
      <c r="T515" s="552"/>
      <c r="U515" s="552"/>
      <c r="V515" s="552"/>
      <c r="W515" s="552"/>
      <c r="X515" s="552"/>
      <c r="Y515" s="552"/>
      <c r="Z515" s="552"/>
      <c r="AA515" s="552"/>
      <c r="AB515" s="552"/>
      <c r="AC515" s="552"/>
      <c r="AD515" s="552"/>
      <c r="AE515" s="552"/>
      <c r="AF515" s="552"/>
      <c r="AG515" s="552"/>
      <c r="AH515" s="552"/>
      <c r="AI515" s="552"/>
      <c r="AJ515" s="552"/>
      <c r="AK515" s="552"/>
      <c r="AL515" s="552"/>
      <c r="AM515" s="552"/>
      <c r="AN515" s="552"/>
      <c r="AO515" s="552"/>
      <c r="AP515" s="552"/>
      <c r="AQ515" s="552"/>
      <c r="AR515" s="552"/>
      <c r="AS515" s="552"/>
      <c r="AT515" s="552"/>
      <c r="AU515" s="552"/>
      <c r="AV515" s="552"/>
      <c r="AW515" s="552"/>
      <c r="AX515" s="552"/>
      <c r="AY515" s="552"/>
      <c r="AZ515" s="552"/>
      <c r="BA515" s="552"/>
      <c r="BB515" s="552"/>
      <c r="BC515" s="552"/>
      <c r="BD515" s="552"/>
      <c r="BE515" s="552"/>
      <c r="BF515" s="552"/>
      <c r="BG515" s="552"/>
      <c r="BH515" s="552"/>
      <c r="BI515" s="552"/>
      <c r="BJ515" s="552"/>
      <c r="BK515" s="552"/>
      <c r="BL515" s="552"/>
      <c r="BM515" s="552"/>
      <c r="BN515" s="552"/>
      <c r="BO515" s="552"/>
    </row>
    <row r="516" spans="3:67">
      <c r="C516" s="553"/>
      <c r="D516" s="553"/>
      <c r="E516" s="553"/>
      <c r="F516" s="553"/>
      <c r="G516" s="553"/>
      <c r="H516" s="553"/>
      <c r="I516" s="553"/>
      <c r="J516" s="553"/>
      <c r="K516" s="553"/>
      <c r="L516" s="553"/>
      <c r="M516" s="553"/>
      <c r="N516" s="553"/>
      <c r="O516" s="553"/>
      <c r="P516" s="553"/>
      <c r="Q516" s="553"/>
      <c r="R516" s="553"/>
      <c r="S516" s="553"/>
      <c r="T516" s="553"/>
      <c r="U516" s="553"/>
      <c r="V516" s="553"/>
      <c r="W516" s="553"/>
      <c r="X516" s="553"/>
      <c r="Y516" s="553"/>
      <c r="Z516" s="553"/>
      <c r="AA516" s="553"/>
      <c r="AB516" s="553"/>
      <c r="AC516" s="553"/>
      <c r="AD516" s="553"/>
      <c r="AE516" s="553"/>
      <c r="AF516" s="553"/>
      <c r="AG516" s="553"/>
      <c r="AH516" s="553"/>
      <c r="AI516" s="553"/>
      <c r="AJ516" s="553"/>
      <c r="AK516" s="553"/>
      <c r="AL516" s="553"/>
      <c r="AM516" s="553"/>
      <c r="AN516" s="553"/>
      <c r="AO516" s="553"/>
      <c r="AP516" s="553"/>
      <c r="AQ516" s="553"/>
      <c r="AR516" s="553"/>
      <c r="AS516" s="553"/>
      <c r="AT516" s="553"/>
      <c r="AU516" s="553"/>
      <c r="AV516" s="553"/>
      <c r="AW516" s="553"/>
      <c r="AX516" s="553"/>
      <c r="AY516" s="553"/>
      <c r="AZ516" s="553"/>
      <c r="BA516" s="553"/>
      <c r="BB516" s="553"/>
      <c r="BC516" s="553"/>
      <c r="BD516" s="553"/>
      <c r="BE516" s="553"/>
      <c r="BF516" s="553"/>
      <c r="BG516" s="553"/>
      <c r="BH516" s="553"/>
      <c r="BI516" s="553"/>
      <c r="BJ516" s="553"/>
      <c r="BK516" s="553"/>
      <c r="BL516" s="553"/>
      <c r="BM516" s="553"/>
      <c r="BN516" s="553"/>
      <c r="BO516" s="553"/>
    </row>
    <row r="517" spans="3:67">
      <c r="C517" s="553"/>
      <c r="D517" s="553"/>
      <c r="E517" s="553"/>
      <c r="F517" s="553"/>
      <c r="G517" s="553"/>
      <c r="H517" s="553"/>
      <c r="I517" s="553"/>
      <c r="J517" s="553"/>
      <c r="K517" s="553"/>
      <c r="L517" s="553"/>
      <c r="M517" s="553"/>
      <c r="N517" s="553"/>
      <c r="O517" s="553"/>
      <c r="P517" s="553"/>
      <c r="Q517" s="553"/>
      <c r="R517" s="553"/>
      <c r="S517" s="553"/>
      <c r="T517" s="553"/>
      <c r="U517" s="553"/>
      <c r="V517" s="553"/>
      <c r="W517" s="553"/>
      <c r="X517" s="553"/>
      <c r="Y517" s="553"/>
      <c r="Z517" s="553"/>
      <c r="AA517" s="553"/>
      <c r="AB517" s="553"/>
      <c r="AC517" s="553"/>
      <c r="AD517" s="553"/>
      <c r="AE517" s="553"/>
      <c r="AF517" s="553"/>
      <c r="AG517" s="553"/>
      <c r="AH517" s="553"/>
      <c r="AI517" s="553"/>
      <c r="AJ517" s="553"/>
      <c r="AK517" s="553"/>
      <c r="AL517" s="553"/>
      <c r="AM517" s="553"/>
      <c r="AN517" s="553"/>
      <c r="AO517" s="553"/>
      <c r="AP517" s="553"/>
      <c r="AQ517" s="553"/>
      <c r="AR517" s="553"/>
      <c r="AS517" s="553"/>
      <c r="AT517" s="553"/>
      <c r="AU517" s="553"/>
      <c r="AV517" s="553"/>
      <c r="AW517" s="553"/>
      <c r="AX517" s="553"/>
      <c r="AY517" s="553"/>
      <c r="AZ517" s="553"/>
      <c r="BA517" s="553"/>
      <c r="BB517" s="553"/>
      <c r="BC517" s="553"/>
      <c r="BD517" s="553"/>
      <c r="BE517" s="553"/>
      <c r="BF517" s="553"/>
      <c r="BG517" s="553"/>
      <c r="BH517" s="553"/>
      <c r="BI517" s="553"/>
      <c r="BJ517" s="553"/>
      <c r="BK517" s="553"/>
      <c r="BL517" s="553"/>
      <c r="BM517" s="553"/>
      <c r="BN517" s="553"/>
      <c r="BO517" s="553"/>
    </row>
    <row r="518" spans="3:67">
      <c r="C518" s="552"/>
      <c r="D518" s="552"/>
      <c r="E518" s="552"/>
      <c r="F518" s="552"/>
      <c r="G518" s="552"/>
      <c r="H518" s="552"/>
      <c r="I518" s="552"/>
      <c r="J518" s="552"/>
      <c r="K518" s="552"/>
      <c r="L518" s="552"/>
      <c r="M518" s="552"/>
      <c r="N518" s="552"/>
      <c r="O518" s="552"/>
      <c r="P518" s="552"/>
      <c r="Q518" s="552"/>
      <c r="R518" s="552"/>
      <c r="S518" s="552"/>
      <c r="T518" s="552"/>
      <c r="U518" s="552"/>
      <c r="V518" s="552"/>
      <c r="W518" s="552"/>
      <c r="X518" s="552"/>
      <c r="Y518" s="552"/>
      <c r="Z518" s="552"/>
      <c r="AA518" s="552"/>
      <c r="AB518" s="552"/>
      <c r="AC518" s="552"/>
      <c r="AD518" s="552"/>
      <c r="AE518" s="552"/>
      <c r="AF518" s="552"/>
      <c r="AG518" s="552"/>
      <c r="AH518" s="552"/>
      <c r="AI518" s="552"/>
      <c r="AJ518" s="552"/>
      <c r="AK518" s="552"/>
      <c r="AL518" s="552"/>
      <c r="AM518" s="552"/>
      <c r="AN518" s="552"/>
      <c r="AO518" s="552"/>
      <c r="AP518" s="552"/>
      <c r="AQ518" s="552"/>
      <c r="AR518" s="552"/>
      <c r="AS518" s="552"/>
      <c r="AT518" s="552"/>
      <c r="AU518" s="552"/>
      <c r="AV518" s="552"/>
      <c r="AW518" s="552"/>
      <c r="AX518" s="552"/>
      <c r="AY518" s="552"/>
      <c r="AZ518" s="552"/>
      <c r="BA518" s="552"/>
      <c r="BB518" s="552"/>
      <c r="BC518" s="552"/>
      <c r="BD518" s="552"/>
      <c r="BE518" s="552"/>
      <c r="BF518" s="552"/>
      <c r="BG518" s="552"/>
      <c r="BH518" s="552"/>
      <c r="BI518" s="552"/>
      <c r="BJ518" s="552"/>
      <c r="BK518" s="552"/>
      <c r="BL518" s="552"/>
      <c r="BM518" s="552"/>
      <c r="BN518" s="552"/>
      <c r="BO518" s="552"/>
    </row>
    <row r="519" spans="3:67">
      <c r="C519" s="553"/>
      <c r="D519" s="553"/>
      <c r="E519" s="553"/>
      <c r="F519" s="553"/>
      <c r="G519" s="553"/>
      <c r="H519" s="553"/>
      <c r="I519" s="553"/>
      <c r="J519" s="553"/>
      <c r="K519" s="553"/>
      <c r="L519" s="553"/>
      <c r="M519" s="553"/>
      <c r="N519" s="553"/>
      <c r="O519" s="553"/>
      <c r="P519" s="553"/>
      <c r="Q519" s="553"/>
      <c r="R519" s="553"/>
      <c r="S519" s="553"/>
      <c r="T519" s="553"/>
      <c r="U519" s="553"/>
      <c r="V519" s="553"/>
      <c r="W519" s="553"/>
      <c r="X519" s="553"/>
      <c r="Y519" s="553"/>
      <c r="Z519" s="553"/>
      <c r="AA519" s="553"/>
      <c r="AB519" s="553"/>
      <c r="AC519" s="553"/>
      <c r="AD519" s="553"/>
      <c r="AE519" s="553"/>
      <c r="AF519" s="553"/>
      <c r="AG519" s="553"/>
      <c r="AH519" s="553"/>
      <c r="AI519" s="553"/>
      <c r="AJ519" s="553"/>
      <c r="AK519" s="553"/>
      <c r="AL519" s="553"/>
      <c r="AM519" s="553"/>
      <c r="AN519" s="553"/>
      <c r="AO519" s="553"/>
      <c r="AP519" s="553"/>
      <c r="AQ519" s="553"/>
      <c r="AR519" s="553"/>
      <c r="AS519" s="553"/>
      <c r="AT519" s="553"/>
      <c r="AU519" s="553"/>
      <c r="AV519" s="553"/>
      <c r="AW519" s="553"/>
      <c r="AX519" s="553"/>
      <c r="AY519" s="553"/>
      <c r="AZ519" s="553"/>
      <c r="BA519" s="553"/>
      <c r="BB519" s="553"/>
      <c r="BC519" s="553"/>
      <c r="BD519" s="553"/>
      <c r="BE519" s="553"/>
      <c r="BF519" s="553"/>
      <c r="BG519" s="553"/>
      <c r="BH519" s="553"/>
      <c r="BI519" s="553"/>
      <c r="BJ519" s="553"/>
      <c r="BK519" s="553"/>
      <c r="BL519" s="553"/>
      <c r="BM519" s="553"/>
      <c r="BN519" s="553"/>
      <c r="BO519" s="553"/>
    </row>
    <row r="520" spans="3:67">
      <c r="C520" s="553"/>
      <c r="D520" s="553"/>
      <c r="E520" s="553"/>
      <c r="F520" s="553"/>
      <c r="G520" s="553"/>
      <c r="H520" s="553"/>
      <c r="I520" s="553"/>
      <c r="J520" s="553"/>
      <c r="K520" s="553"/>
      <c r="L520" s="553"/>
      <c r="M520" s="553"/>
      <c r="N520" s="553"/>
      <c r="O520" s="553"/>
      <c r="P520" s="553"/>
      <c r="Q520" s="553"/>
      <c r="R520" s="553"/>
      <c r="S520" s="553"/>
      <c r="T520" s="553"/>
      <c r="U520" s="553"/>
      <c r="V520" s="553"/>
      <c r="W520" s="553"/>
      <c r="X520" s="553"/>
      <c r="Y520" s="553"/>
      <c r="Z520" s="553"/>
      <c r="AA520" s="553"/>
      <c r="AB520" s="553"/>
      <c r="AC520" s="553"/>
      <c r="AD520" s="553"/>
      <c r="AE520" s="553"/>
      <c r="AF520" s="553"/>
      <c r="AG520" s="553"/>
      <c r="AH520" s="553"/>
      <c r="AI520" s="553"/>
      <c r="AJ520" s="553"/>
      <c r="AK520" s="553"/>
      <c r="AL520" s="553"/>
      <c r="AM520" s="553"/>
      <c r="AN520" s="553"/>
      <c r="AO520" s="553"/>
      <c r="AP520" s="553"/>
      <c r="AQ520" s="553"/>
      <c r="AR520" s="553"/>
      <c r="AS520" s="553"/>
      <c r="AT520" s="553"/>
      <c r="AU520" s="553"/>
      <c r="AV520" s="553"/>
      <c r="AW520" s="553"/>
      <c r="AX520" s="553"/>
      <c r="AY520" s="553"/>
      <c r="AZ520" s="553"/>
      <c r="BA520" s="553"/>
      <c r="BB520" s="553"/>
      <c r="BC520" s="553"/>
      <c r="BD520" s="553"/>
      <c r="BE520" s="553"/>
      <c r="BF520" s="553"/>
      <c r="BG520" s="553"/>
      <c r="BH520" s="553"/>
      <c r="BI520" s="553"/>
      <c r="BJ520" s="553"/>
      <c r="BK520" s="553"/>
      <c r="BL520" s="553"/>
      <c r="BM520" s="553"/>
      <c r="BN520" s="553"/>
      <c r="BO520" s="553"/>
    </row>
    <row r="521" spans="3:67">
      <c r="C521" s="552"/>
      <c r="D521" s="552"/>
      <c r="E521" s="552"/>
      <c r="F521" s="552"/>
      <c r="G521" s="552"/>
      <c r="H521" s="552"/>
      <c r="I521" s="552"/>
      <c r="J521" s="552"/>
      <c r="K521" s="552"/>
      <c r="L521" s="552"/>
      <c r="M521" s="552"/>
      <c r="N521" s="552"/>
      <c r="O521" s="552"/>
      <c r="P521" s="552"/>
      <c r="Q521" s="552"/>
      <c r="R521" s="552"/>
      <c r="S521" s="552"/>
      <c r="T521" s="552"/>
      <c r="U521" s="552"/>
      <c r="V521" s="552"/>
      <c r="W521" s="552"/>
      <c r="X521" s="552"/>
      <c r="Y521" s="552"/>
      <c r="Z521" s="552"/>
      <c r="AA521" s="552"/>
      <c r="AB521" s="552"/>
      <c r="AC521" s="552"/>
      <c r="AD521" s="552"/>
      <c r="AE521" s="552"/>
      <c r="AF521" s="552"/>
      <c r="AG521" s="552"/>
      <c r="AH521" s="552"/>
      <c r="AI521" s="552"/>
      <c r="AJ521" s="552"/>
      <c r="AK521" s="552"/>
      <c r="AL521" s="552"/>
      <c r="AM521" s="552"/>
      <c r="AN521" s="552"/>
      <c r="AO521" s="552"/>
      <c r="AP521" s="552"/>
      <c r="AQ521" s="552"/>
      <c r="AR521" s="552"/>
      <c r="AS521" s="552"/>
      <c r="AT521" s="552"/>
      <c r="AU521" s="552"/>
      <c r="AV521" s="552"/>
      <c r="AW521" s="552"/>
      <c r="AX521" s="552"/>
      <c r="AY521" s="552"/>
      <c r="AZ521" s="552"/>
      <c r="BA521" s="552"/>
      <c r="BB521" s="552"/>
      <c r="BC521" s="552"/>
      <c r="BD521" s="552"/>
      <c r="BE521" s="552"/>
      <c r="BF521" s="552"/>
      <c r="BG521" s="552"/>
      <c r="BH521" s="552"/>
      <c r="BI521" s="552"/>
      <c r="BJ521" s="552"/>
      <c r="BK521" s="552"/>
      <c r="BL521" s="552"/>
      <c r="BM521" s="552"/>
      <c r="BN521" s="552"/>
      <c r="BO521" s="552"/>
    </row>
    <row r="522" spans="3:67">
      <c r="C522" s="541"/>
      <c r="D522" s="490"/>
      <c r="E522" s="490"/>
      <c r="F522" s="490"/>
      <c r="G522" s="490"/>
      <c r="H522" s="541"/>
      <c r="I522" s="490"/>
      <c r="J522" s="490"/>
      <c r="K522" s="490"/>
      <c r="L522" s="490"/>
      <c r="M522" s="541"/>
      <c r="N522" s="490"/>
      <c r="O522" s="490"/>
      <c r="P522" s="490"/>
      <c r="Q522" s="490"/>
      <c r="R522" s="541"/>
      <c r="S522" s="490"/>
      <c r="T522" s="490"/>
      <c r="U522" s="490"/>
      <c r="V522" s="490"/>
      <c r="W522" s="541"/>
      <c r="X522" s="490"/>
      <c r="Y522" s="490"/>
      <c r="Z522" s="490"/>
      <c r="AA522" s="490"/>
      <c r="AB522" s="541"/>
      <c r="AC522" s="490"/>
      <c r="AD522" s="490"/>
      <c r="AE522" s="490"/>
      <c r="AF522" s="490"/>
      <c r="AG522" s="541"/>
      <c r="AH522" s="490"/>
      <c r="AI522" s="490"/>
      <c r="AJ522" s="490"/>
      <c r="AK522" s="490"/>
      <c r="AL522" s="541"/>
      <c r="AM522" s="490"/>
      <c r="AN522" s="490"/>
      <c r="AO522" s="490"/>
      <c r="AP522" s="490"/>
      <c r="AQ522" s="541"/>
      <c r="AR522" s="490"/>
      <c r="AS522" s="490"/>
      <c r="AT522" s="490"/>
      <c r="AU522" s="490"/>
      <c r="AV522" s="541"/>
      <c r="AW522" s="490"/>
      <c r="AX522" s="490"/>
      <c r="AY522" s="490"/>
      <c r="AZ522" s="490"/>
      <c r="BA522" s="541"/>
      <c r="BB522" s="490"/>
      <c r="BC522" s="490"/>
      <c r="BD522" s="490"/>
      <c r="BE522" s="490"/>
      <c r="BF522" s="541"/>
      <c r="BG522" s="490"/>
      <c r="BH522" s="490"/>
      <c r="BI522" s="490"/>
      <c r="BJ522" s="490"/>
      <c r="BK522" s="541"/>
      <c r="BL522" s="490"/>
      <c r="BM522" s="490"/>
      <c r="BN522" s="490"/>
      <c r="BO522" s="490"/>
    </row>
    <row r="523" spans="3:67">
      <c r="C523" s="519"/>
      <c r="D523" s="519"/>
      <c r="E523" s="519"/>
      <c r="F523" s="519"/>
      <c r="G523" s="519"/>
      <c r="H523" s="519"/>
      <c r="I523" s="519"/>
      <c r="J523" s="519"/>
      <c r="K523" s="519"/>
      <c r="L523" s="519"/>
      <c r="M523" s="519"/>
      <c r="N523" s="519"/>
      <c r="O523" s="519"/>
      <c r="P523" s="519"/>
      <c r="Q523" s="519"/>
      <c r="R523" s="519"/>
      <c r="S523" s="519"/>
      <c r="T523" s="519"/>
      <c r="U523" s="519"/>
      <c r="V523" s="519"/>
      <c r="W523" s="519"/>
      <c r="X523" s="519"/>
      <c r="Y523" s="519"/>
      <c r="Z523" s="519"/>
      <c r="AA523" s="519"/>
      <c r="AB523" s="519"/>
      <c r="AC523" s="519"/>
      <c r="AD523" s="519"/>
      <c r="AE523" s="519"/>
      <c r="AF523" s="519"/>
      <c r="AG523" s="519"/>
      <c r="AH523" s="519"/>
      <c r="AI523" s="519"/>
      <c r="AJ523" s="519"/>
      <c r="AK523" s="519"/>
      <c r="AL523" s="519"/>
      <c r="AM523" s="519"/>
      <c r="AN523" s="519"/>
      <c r="AO523" s="519"/>
      <c r="AP523" s="519"/>
      <c r="AQ523" s="519"/>
      <c r="AR523" s="519"/>
      <c r="AS523" s="519"/>
      <c r="AT523" s="519"/>
      <c r="AU523" s="519"/>
      <c r="AV523" s="519"/>
      <c r="AW523" s="519"/>
      <c r="AX523" s="519"/>
      <c r="AY523" s="519"/>
      <c r="AZ523" s="519"/>
      <c r="BA523" s="519"/>
      <c r="BB523" s="519"/>
      <c r="BC523" s="519"/>
      <c r="BD523" s="519"/>
      <c r="BE523" s="519"/>
      <c r="BF523" s="519"/>
      <c r="BG523" s="519"/>
      <c r="BH523" s="519"/>
      <c r="BI523" s="519"/>
      <c r="BJ523" s="519"/>
      <c r="BK523" s="519"/>
      <c r="BL523" s="519"/>
      <c r="BM523" s="519"/>
      <c r="BN523" s="519"/>
      <c r="BO523" s="519"/>
    </row>
    <row r="524" spans="3:67">
      <c r="C524" s="490"/>
      <c r="D524" s="490"/>
      <c r="E524" s="490"/>
      <c r="F524" s="490"/>
      <c r="G524" s="490"/>
      <c r="H524" s="490"/>
      <c r="I524" s="490"/>
      <c r="J524" s="490"/>
      <c r="K524" s="490"/>
      <c r="L524" s="490"/>
      <c r="M524" s="490"/>
      <c r="N524" s="490"/>
      <c r="O524" s="490"/>
      <c r="P524" s="490"/>
      <c r="Q524" s="490"/>
      <c r="R524" s="490"/>
      <c r="S524" s="490"/>
      <c r="T524" s="490"/>
      <c r="U524" s="490"/>
      <c r="V524" s="490"/>
      <c r="W524" s="490"/>
      <c r="X524" s="490"/>
      <c r="Y524" s="490"/>
      <c r="Z524" s="490"/>
      <c r="AA524" s="490"/>
      <c r="AB524" s="490"/>
      <c r="AC524" s="490"/>
      <c r="AD524" s="490"/>
      <c r="AE524" s="490"/>
      <c r="AF524" s="490"/>
      <c r="AG524" s="490"/>
      <c r="AH524" s="490"/>
      <c r="AI524" s="490"/>
      <c r="AJ524" s="490"/>
      <c r="AK524" s="490"/>
      <c r="AL524" s="490"/>
      <c r="AM524" s="490"/>
      <c r="AN524" s="490"/>
      <c r="AO524" s="490"/>
      <c r="AP524" s="490"/>
      <c r="AQ524" s="490"/>
      <c r="AR524" s="490"/>
      <c r="AS524" s="490"/>
      <c r="AT524" s="490"/>
      <c r="AU524" s="490"/>
      <c r="AV524" s="490"/>
      <c r="AW524" s="490"/>
      <c r="AX524" s="490"/>
      <c r="AY524" s="490"/>
      <c r="AZ524" s="490"/>
      <c r="BA524" s="490"/>
      <c r="BB524" s="490"/>
      <c r="BC524" s="490"/>
      <c r="BD524" s="490"/>
      <c r="BE524" s="490"/>
      <c r="BF524" s="490"/>
      <c r="BG524" s="490"/>
      <c r="BH524" s="490"/>
      <c r="BI524" s="490"/>
      <c r="BJ524" s="490"/>
      <c r="BK524" s="490"/>
      <c r="BL524" s="490"/>
      <c r="BM524" s="490"/>
      <c r="BN524" s="490"/>
      <c r="BO524" s="490"/>
    </row>
    <row r="525" spans="3:67">
      <c r="C525" s="490"/>
      <c r="D525" s="490"/>
      <c r="E525" s="490"/>
      <c r="F525" s="490"/>
      <c r="G525" s="490"/>
      <c r="H525" s="490"/>
      <c r="I525" s="490"/>
      <c r="J525" s="490"/>
      <c r="K525" s="490"/>
      <c r="L525" s="490"/>
      <c r="M525" s="490"/>
      <c r="N525" s="490"/>
      <c r="O525" s="490"/>
      <c r="P525" s="490"/>
      <c r="Q525" s="490"/>
      <c r="R525" s="490"/>
      <c r="S525" s="490"/>
      <c r="T525" s="490"/>
      <c r="U525" s="490"/>
      <c r="V525" s="490"/>
      <c r="W525" s="490"/>
      <c r="X525" s="490"/>
      <c r="Y525" s="490"/>
      <c r="Z525" s="490"/>
      <c r="AA525" s="490"/>
      <c r="AB525" s="490"/>
      <c r="AC525" s="490"/>
      <c r="AD525" s="490"/>
      <c r="AE525" s="490"/>
      <c r="AF525" s="490"/>
      <c r="AG525" s="490"/>
      <c r="AH525" s="490"/>
      <c r="AI525" s="490"/>
      <c r="AJ525" s="490"/>
      <c r="AK525" s="490"/>
      <c r="AL525" s="490"/>
      <c r="AM525" s="490"/>
      <c r="AN525" s="490"/>
      <c r="AO525" s="490"/>
      <c r="AP525" s="490"/>
      <c r="AQ525" s="490"/>
      <c r="AR525" s="490"/>
      <c r="AS525" s="490"/>
      <c r="AT525" s="490"/>
      <c r="AU525" s="490"/>
      <c r="AV525" s="490"/>
      <c r="AW525" s="490"/>
      <c r="AX525" s="490"/>
      <c r="AY525" s="490"/>
      <c r="AZ525" s="490"/>
      <c r="BA525" s="490"/>
      <c r="BB525" s="490"/>
      <c r="BC525" s="490"/>
      <c r="BD525" s="490"/>
      <c r="BE525" s="490"/>
      <c r="BF525" s="490"/>
      <c r="BG525" s="490"/>
      <c r="BH525" s="490"/>
      <c r="BI525" s="490"/>
      <c r="BJ525" s="490"/>
      <c r="BK525" s="490"/>
      <c r="BL525" s="490"/>
      <c r="BM525" s="490"/>
      <c r="BN525" s="490"/>
      <c r="BO525" s="490"/>
    </row>
    <row r="526" spans="3:67">
      <c r="C526" s="490"/>
      <c r="D526" s="490"/>
      <c r="E526" s="490"/>
      <c r="F526" s="490"/>
      <c r="G526" s="490"/>
      <c r="H526" s="490"/>
      <c r="I526" s="490"/>
      <c r="J526" s="490"/>
      <c r="K526" s="490"/>
      <c r="L526" s="490"/>
      <c r="M526" s="490"/>
      <c r="N526" s="490"/>
      <c r="O526" s="490"/>
      <c r="P526" s="490"/>
      <c r="Q526" s="490"/>
      <c r="R526" s="490"/>
      <c r="S526" s="490"/>
      <c r="T526" s="490"/>
      <c r="U526" s="490"/>
      <c r="V526" s="490"/>
      <c r="W526" s="490"/>
      <c r="X526" s="490"/>
      <c r="Y526" s="490"/>
      <c r="Z526" s="490"/>
      <c r="AA526" s="490"/>
      <c r="AB526" s="490"/>
      <c r="AC526" s="490"/>
      <c r="AD526" s="490"/>
      <c r="AE526" s="490"/>
      <c r="AF526" s="490"/>
      <c r="AG526" s="490"/>
      <c r="AH526" s="490"/>
      <c r="AI526" s="490"/>
      <c r="AJ526" s="490"/>
      <c r="AK526" s="490"/>
      <c r="AL526" s="490"/>
      <c r="AM526" s="490"/>
      <c r="AN526" s="490"/>
      <c r="AO526" s="490"/>
      <c r="AP526" s="490"/>
      <c r="AQ526" s="490"/>
      <c r="AR526" s="490"/>
      <c r="AS526" s="490"/>
      <c r="AT526" s="490"/>
      <c r="AU526" s="490"/>
      <c r="AV526" s="490"/>
      <c r="AW526" s="490"/>
      <c r="AX526" s="490"/>
      <c r="AY526" s="490"/>
      <c r="AZ526" s="490"/>
      <c r="BA526" s="490"/>
      <c r="BB526" s="490"/>
      <c r="BC526" s="490"/>
      <c r="BD526" s="490"/>
      <c r="BE526" s="490"/>
      <c r="BF526" s="490"/>
      <c r="BG526" s="490"/>
      <c r="BH526" s="490"/>
      <c r="BI526" s="490"/>
      <c r="BJ526" s="490"/>
      <c r="BK526" s="490"/>
      <c r="BL526" s="490"/>
      <c r="BM526" s="490"/>
      <c r="BN526" s="490"/>
      <c r="BO526" s="490"/>
    </row>
    <row r="527" spans="3:67">
      <c r="C527" s="490"/>
      <c r="D527" s="490"/>
      <c r="E527" s="490"/>
      <c r="F527" s="490"/>
      <c r="G527" s="490"/>
      <c r="H527" s="490"/>
      <c r="I527" s="490"/>
      <c r="J527" s="490"/>
      <c r="K527" s="490"/>
      <c r="L527" s="490"/>
      <c r="M527" s="490"/>
      <c r="N527" s="490"/>
      <c r="O527" s="490"/>
      <c r="P527" s="490"/>
      <c r="Q527" s="490"/>
      <c r="R527" s="490"/>
      <c r="S527" s="490"/>
      <c r="T527" s="490"/>
      <c r="U527" s="490"/>
      <c r="V527" s="490"/>
      <c r="W527" s="490"/>
      <c r="X527" s="490"/>
      <c r="Y527" s="490"/>
      <c r="Z527" s="490"/>
      <c r="AA527" s="490"/>
      <c r="AB527" s="490"/>
      <c r="AC527" s="490"/>
      <c r="AD527" s="490"/>
      <c r="AE527" s="490"/>
      <c r="AF527" s="490"/>
      <c r="AG527" s="490"/>
      <c r="AH527" s="490"/>
      <c r="AI527" s="490"/>
      <c r="AJ527" s="490"/>
      <c r="AK527" s="490"/>
      <c r="AL527" s="490"/>
      <c r="AM527" s="490"/>
      <c r="AN527" s="490"/>
      <c r="AO527" s="490"/>
      <c r="AP527" s="490"/>
      <c r="AQ527" s="490"/>
      <c r="AR527" s="490"/>
      <c r="AS527" s="490"/>
      <c r="AT527" s="490"/>
      <c r="AU527" s="490"/>
      <c r="AV527" s="490"/>
      <c r="AW527" s="490"/>
      <c r="AX527" s="490"/>
      <c r="AY527" s="490"/>
      <c r="AZ527" s="490"/>
      <c r="BA527" s="490"/>
      <c r="BB527" s="490"/>
      <c r="BC527" s="490"/>
      <c r="BD527" s="490"/>
      <c r="BE527" s="490"/>
      <c r="BF527" s="490"/>
      <c r="BG527" s="490"/>
      <c r="BH527" s="490"/>
      <c r="BI527" s="490"/>
      <c r="BJ527" s="490"/>
      <c r="BK527" s="490"/>
      <c r="BL527" s="490"/>
      <c r="BM527" s="490"/>
      <c r="BN527" s="490"/>
      <c r="BO527" s="490"/>
    </row>
    <row r="528" spans="3:67">
      <c r="C528" s="541"/>
      <c r="D528" s="490"/>
      <c r="E528" s="490"/>
      <c r="F528" s="490"/>
      <c r="G528" s="490"/>
      <c r="H528" s="541"/>
      <c r="I528" s="490"/>
      <c r="J528" s="490"/>
      <c r="K528" s="490"/>
      <c r="L528" s="490"/>
      <c r="M528" s="541"/>
      <c r="N528" s="490"/>
      <c r="O528" s="490"/>
      <c r="P528" s="490"/>
      <c r="Q528" s="490"/>
      <c r="R528" s="541"/>
      <c r="S528" s="490"/>
      <c r="T528" s="490"/>
      <c r="U528" s="490"/>
      <c r="V528" s="490"/>
      <c r="W528" s="541"/>
      <c r="X528" s="490"/>
      <c r="Y528" s="490"/>
      <c r="Z528" s="490"/>
      <c r="AA528" s="490"/>
      <c r="AB528" s="541"/>
      <c r="AC528" s="490"/>
      <c r="AD528" s="490"/>
      <c r="AE528" s="490"/>
      <c r="AF528" s="490"/>
      <c r="AG528" s="541"/>
      <c r="AH528" s="490"/>
      <c r="AI528" s="490"/>
      <c r="AJ528" s="490"/>
      <c r="AK528" s="490"/>
      <c r="AL528" s="541"/>
      <c r="AM528" s="490"/>
      <c r="AN528" s="490"/>
      <c r="AO528" s="490"/>
      <c r="AP528" s="490"/>
      <c r="AQ528" s="541"/>
      <c r="AR528" s="490"/>
      <c r="AS528" s="490"/>
      <c r="AT528" s="490"/>
      <c r="AU528" s="490"/>
      <c r="AV528" s="541"/>
      <c r="AW528" s="490"/>
      <c r="AX528" s="490"/>
      <c r="AY528" s="490"/>
      <c r="AZ528" s="490"/>
      <c r="BA528" s="541"/>
      <c r="BB528" s="490"/>
      <c r="BC528" s="490"/>
      <c r="BD528" s="490"/>
      <c r="BE528" s="490"/>
      <c r="BF528" s="541"/>
      <c r="BG528" s="490"/>
      <c r="BH528" s="490"/>
      <c r="BI528" s="490"/>
      <c r="BJ528" s="490"/>
      <c r="BK528" s="541"/>
      <c r="BL528" s="490"/>
      <c r="BM528" s="490"/>
      <c r="BN528" s="490"/>
      <c r="BO528" s="490"/>
    </row>
    <row r="529" spans="3:67">
      <c r="C529" s="541"/>
      <c r="D529" s="490"/>
      <c r="E529" s="490"/>
      <c r="F529" s="490"/>
      <c r="G529" s="490"/>
      <c r="H529" s="541"/>
      <c r="I529" s="490"/>
      <c r="J529" s="490"/>
      <c r="K529" s="490"/>
      <c r="L529" s="490"/>
      <c r="M529" s="541"/>
      <c r="N529" s="490"/>
      <c r="O529" s="490"/>
      <c r="P529" s="490"/>
      <c r="Q529" s="490"/>
      <c r="R529" s="541"/>
      <c r="S529" s="490"/>
      <c r="T529" s="490"/>
      <c r="U529" s="490"/>
      <c r="V529" s="490"/>
      <c r="W529" s="541"/>
      <c r="X529" s="490"/>
      <c r="Y529" s="490"/>
      <c r="Z529" s="490"/>
      <c r="AA529" s="490"/>
      <c r="AB529" s="541"/>
      <c r="AC529" s="490"/>
      <c r="AD529" s="490"/>
      <c r="AE529" s="490"/>
      <c r="AF529" s="490"/>
      <c r="AG529" s="541"/>
      <c r="AH529" s="490"/>
      <c r="AI529" s="490"/>
      <c r="AJ529" s="490"/>
      <c r="AK529" s="490"/>
      <c r="AL529" s="541"/>
      <c r="AM529" s="490"/>
      <c r="AN529" s="490"/>
      <c r="AO529" s="490"/>
      <c r="AP529" s="490"/>
      <c r="AQ529" s="541"/>
      <c r="AR529" s="490"/>
      <c r="AS529" s="490"/>
      <c r="AT529" s="490"/>
      <c r="AU529" s="490"/>
      <c r="AV529" s="541"/>
      <c r="AW529" s="490"/>
      <c r="AX529" s="490"/>
      <c r="AY529" s="490"/>
      <c r="AZ529" s="490"/>
      <c r="BA529" s="541"/>
      <c r="BB529" s="490"/>
      <c r="BC529" s="490"/>
      <c r="BD529" s="490"/>
      <c r="BE529" s="490"/>
      <c r="BF529" s="541"/>
      <c r="BG529" s="490"/>
      <c r="BH529" s="490"/>
      <c r="BI529" s="490"/>
      <c r="BJ529" s="490"/>
      <c r="BK529" s="541"/>
      <c r="BL529" s="490"/>
      <c r="BM529" s="490"/>
      <c r="BN529" s="490"/>
      <c r="BO529" s="490"/>
    </row>
    <row r="530" spans="3:67">
      <c r="C530" s="541"/>
      <c r="D530" s="490"/>
      <c r="E530" s="490"/>
      <c r="F530" s="490"/>
      <c r="G530" s="490"/>
      <c r="H530" s="541"/>
      <c r="I530" s="490"/>
      <c r="J530" s="490"/>
      <c r="K530" s="490"/>
      <c r="L530" s="490"/>
      <c r="M530" s="541"/>
      <c r="N530" s="490"/>
      <c r="O530" s="490"/>
      <c r="P530" s="490"/>
      <c r="Q530" s="490"/>
      <c r="R530" s="541"/>
      <c r="S530" s="490"/>
      <c r="T530" s="490"/>
      <c r="U530" s="490"/>
      <c r="V530" s="490"/>
      <c r="W530" s="541"/>
      <c r="X530" s="490"/>
      <c r="Y530" s="490"/>
      <c r="Z530" s="490"/>
      <c r="AA530" s="490"/>
      <c r="AB530" s="541"/>
      <c r="AC530" s="490"/>
      <c r="AD530" s="490"/>
      <c r="AE530" s="490"/>
      <c r="AF530" s="490"/>
      <c r="AG530" s="541"/>
      <c r="AH530" s="490"/>
      <c r="AI530" s="490"/>
      <c r="AJ530" s="490"/>
      <c r="AK530" s="490"/>
      <c r="AL530" s="541"/>
      <c r="AM530" s="490"/>
      <c r="AN530" s="490"/>
      <c r="AO530" s="490"/>
      <c r="AP530" s="490"/>
      <c r="AQ530" s="541"/>
      <c r="AR530" s="490"/>
      <c r="AS530" s="490"/>
      <c r="AT530" s="490"/>
      <c r="AU530" s="490"/>
      <c r="AV530" s="541"/>
      <c r="AW530" s="490"/>
      <c r="AX530" s="490"/>
      <c r="AY530" s="490"/>
      <c r="AZ530" s="490"/>
      <c r="BA530" s="541"/>
      <c r="BB530" s="490"/>
      <c r="BC530" s="490"/>
      <c r="BD530" s="490"/>
      <c r="BE530" s="490"/>
      <c r="BF530" s="541"/>
      <c r="BG530" s="490"/>
      <c r="BH530" s="490"/>
      <c r="BI530" s="490"/>
      <c r="BJ530" s="490"/>
      <c r="BK530" s="541"/>
      <c r="BL530" s="490"/>
      <c r="BM530" s="490"/>
      <c r="BN530" s="490"/>
      <c r="BO530" s="490"/>
    </row>
    <row r="531" spans="3:67">
      <c r="C531" s="541"/>
      <c r="D531" s="490"/>
      <c r="E531" s="490"/>
      <c r="F531" s="490"/>
      <c r="G531" s="490"/>
      <c r="H531" s="541"/>
      <c r="I531" s="490"/>
      <c r="J531" s="490"/>
      <c r="K531" s="490"/>
      <c r="L531" s="490"/>
      <c r="M531" s="541"/>
      <c r="N531" s="490"/>
      <c r="O531" s="490"/>
      <c r="P531" s="490"/>
      <c r="Q531" s="490"/>
      <c r="R531" s="541"/>
      <c r="S531" s="490"/>
      <c r="T531" s="490"/>
      <c r="U531" s="490"/>
      <c r="V531" s="490"/>
      <c r="W531" s="541"/>
      <c r="X531" s="490"/>
      <c r="Y531" s="490"/>
      <c r="Z531" s="490"/>
      <c r="AA531" s="490"/>
      <c r="AB531" s="541"/>
      <c r="AC531" s="490"/>
      <c r="AD531" s="490"/>
      <c r="AE531" s="490"/>
      <c r="AF531" s="490"/>
      <c r="AG531" s="541"/>
      <c r="AH531" s="490"/>
      <c r="AI531" s="490"/>
      <c r="AJ531" s="490"/>
      <c r="AK531" s="490"/>
      <c r="AL531" s="541"/>
      <c r="AM531" s="490"/>
      <c r="AN531" s="490"/>
      <c r="AO531" s="490"/>
      <c r="AP531" s="490"/>
      <c r="AQ531" s="541"/>
      <c r="AR531" s="490"/>
      <c r="AS531" s="490"/>
      <c r="AT531" s="490"/>
      <c r="AU531" s="490"/>
      <c r="AV531" s="541"/>
      <c r="AW531" s="490"/>
      <c r="AX531" s="490"/>
      <c r="AY531" s="490"/>
      <c r="AZ531" s="490"/>
      <c r="BA531" s="541"/>
      <c r="BB531" s="490"/>
      <c r="BC531" s="490"/>
      <c r="BD531" s="490"/>
      <c r="BE531" s="490"/>
      <c r="BF531" s="541"/>
      <c r="BG531" s="490"/>
      <c r="BH531" s="490"/>
      <c r="BI531" s="490"/>
      <c r="BJ531" s="490"/>
      <c r="BK531" s="541"/>
      <c r="BL531" s="490"/>
      <c r="BM531" s="490"/>
      <c r="BN531" s="490"/>
      <c r="BO531" s="490"/>
    </row>
    <row r="532" spans="3:67">
      <c r="C532" s="541"/>
      <c r="D532" s="490"/>
      <c r="E532" s="490"/>
      <c r="F532" s="490"/>
      <c r="G532" s="490"/>
      <c r="H532" s="541"/>
      <c r="I532" s="490"/>
      <c r="J532" s="490"/>
      <c r="K532" s="490"/>
      <c r="L532" s="490"/>
      <c r="M532" s="541"/>
      <c r="N532" s="490"/>
      <c r="O532" s="490"/>
      <c r="P532" s="490"/>
      <c r="Q532" s="490"/>
      <c r="R532" s="541"/>
      <c r="S532" s="490"/>
      <c r="T532" s="490"/>
      <c r="U532" s="490"/>
      <c r="V532" s="490"/>
      <c r="W532" s="541"/>
      <c r="X532" s="490"/>
      <c r="Y532" s="490"/>
      <c r="Z532" s="490"/>
      <c r="AA532" s="490"/>
      <c r="AB532" s="541"/>
      <c r="AC532" s="490"/>
      <c r="AD532" s="490"/>
      <c r="AE532" s="490"/>
      <c r="AF532" s="490"/>
      <c r="AG532" s="541"/>
      <c r="AH532" s="490"/>
      <c r="AI532" s="490"/>
      <c r="AJ532" s="490"/>
      <c r="AK532" s="490"/>
      <c r="AL532" s="541"/>
      <c r="AM532" s="490"/>
      <c r="AN532" s="490"/>
      <c r="AO532" s="490"/>
      <c r="AP532" s="490"/>
      <c r="AQ532" s="541"/>
      <c r="AR532" s="490"/>
      <c r="AS532" s="490"/>
      <c r="AT532" s="490"/>
      <c r="AU532" s="490"/>
      <c r="AV532" s="541"/>
      <c r="AW532" s="490"/>
      <c r="AX532" s="490"/>
      <c r="AY532" s="490"/>
      <c r="AZ532" s="490"/>
      <c r="BA532" s="541"/>
      <c r="BB532" s="490"/>
      <c r="BC532" s="490"/>
      <c r="BD532" s="490"/>
      <c r="BE532" s="490"/>
      <c r="BF532" s="541"/>
      <c r="BG532" s="490"/>
      <c r="BH532" s="490"/>
      <c r="BI532" s="490"/>
      <c r="BJ532" s="490"/>
      <c r="BK532" s="541"/>
      <c r="BL532" s="490"/>
      <c r="BM532" s="490"/>
      <c r="BN532" s="490"/>
      <c r="BO532" s="490"/>
    </row>
    <row r="533" spans="3:67">
      <c r="C533" s="541"/>
      <c r="D533" s="490"/>
      <c r="E533" s="490"/>
      <c r="F533" s="490"/>
      <c r="G533" s="490"/>
      <c r="H533" s="541"/>
      <c r="I533" s="490"/>
      <c r="J533" s="490"/>
      <c r="K533" s="490"/>
      <c r="L533" s="490"/>
      <c r="M533" s="541"/>
      <c r="N533" s="490"/>
      <c r="O533" s="490"/>
      <c r="P533" s="490"/>
      <c r="Q533" s="490"/>
      <c r="R533" s="541"/>
      <c r="S533" s="490"/>
      <c r="T533" s="490"/>
      <c r="U533" s="490"/>
      <c r="V533" s="490"/>
      <c r="W533" s="541"/>
      <c r="X533" s="490"/>
      <c r="Y533" s="490"/>
      <c r="Z533" s="490"/>
      <c r="AA533" s="490"/>
      <c r="AB533" s="541"/>
      <c r="AC533" s="490"/>
      <c r="AD533" s="490"/>
      <c r="AE533" s="490"/>
      <c r="AF533" s="490"/>
      <c r="AG533" s="541"/>
      <c r="AH533" s="490"/>
      <c r="AI533" s="490"/>
      <c r="AJ533" s="490"/>
      <c r="AK533" s="490"/>
      <c r="AL533" s="541"/>
      <c r="AM533" s="490"/>
      <c r="AN533" s="490"/>
      <c r="AO533" s="490"/>
      <c r="AP533" s="490"/>
      <c r="AQ533" s="541"/>
      <c r="AR533" s="490"/>
      <c r="AS533" s="490"/>
      <c r="AT533" s="490"/>
      <c r="AU533" s="490"/>
      <c r="AV533" s="541"/>
      <c r="AW533" s="490"/>
      <c r="AX533" s="490"/>
      <c r="AY533" s="490"/>
      <c r="AZ533" s="490"/>
      <c r="BA533" s="541"/>
      <c r="BB533" s="490"/>
      <c r="BC533" s="490"/>
      <c r="BD533" s="490"/>
      <c r="BE533" s="490"/>
      <c r="BF533" s="541"/>
      <c r="BG533" s="490"/>
      <c r="BH533" s="490"/>
      <c r="BI533" s="490"/>
      <c r="BJ533" s="490"/>
      <c r="BK533" s="541"/>
      <c r="BL533" s="490"/>
      <c r="BM533" s="490"/>
      <c r="BN533" s="490"/>
      <c r="BO533" s="490"/>
    </row>
    <row r="534" spans="3:67">
      <c r="C534" s="554"/>
      <c r="D534" s="554"/>
      <c r="E534" s="554"/>
      <c r="F534" s="554"/>
      <c r="G534" s="554"/>
      <c r="H534" s="554"/>
      <c r="I534" s="554"/>
      <c r="J534" s="554"/>
      <c r="K534" s="554"/>
      <c r="L534" s="554"/>
      <c r="M534" s="554"/>
      <c r="N534" s="554"/>
      <c r="O534" s="554"/>
      <c r="P534" s="554"/>
      <c r="Q534" s="554"/>
      <c r="R534" s="554"/>
      <c r="S534" s="554"/>
      <c r="T534" s="554"/>
      <c r="U534" s="554"/>
      <c r="V534" s="554"/>
      <c r="W534" s="554"/>
      <c r="X534" s="554"/>
      <c r="Y534" s="554"/>
      <c r="Z534" s="554"/>
      <c r="AA534" s="554"/>
      <c r="AB534" s="554"/>
      <c r="AC534" s="554"/>
      <c r="AD534" s="554"/>
      <c r="AE534" s="554"/>
      <c r="AF534" s="554"/>
      <c r="AG534" s="554"/>
      <c r="AH534" s="554"/>
      <c r="AI534" s="554"/>
      <c r="AJ534" s="554"/>
      <c r="AK534" s="554"/>
      <c r="AL534" s="554"/>
      <c r="AM534" s="554"/>
      <c r="AN534" s="554"/>
      <c r="AO534" s="554"/>
      <c r="AP534" s="554"/>
      <c r="AQ534" s="554"/>
      <c r="AR534" s="554"/>
      <c r="AS534" s="554"/>
      <c r="AT534" s="554"/>
      <c r="AU534" s="554"/>
      <c r="AV534" s="554"/>
      <c r="AW534" s="554"/>
      <c r="AX534" s="554"/>
      <c r="AY534" s="554"/>
      <c r="AZ534" s="554"/>
      <c r="BA534" s="554"/>
      <c r="BB534" s="554"/>
      <c r="BC534" s="554"/>
      <c r="BD534" s="554"/>
      <c r="BE534" s="554"/>
      <c r="BF534" s="554"/>
      <c r="BG534" s="554"/>
      <c r="BH534" s="554"/>
      <c r="BI534" s="554"/>
      <c r="BJ534" s="554"/>
      <c r="BK534" s="554"/>
      <c r="BL534" s="554"/>
      <c r="BM534" s="554"/>
      <c r="BN534" s="554"/>
      <c r="BO534" s="554"/>
    </row>
    <row r="535" spans="3:67">
      <c r="C535" s="541"/>
      <c r="D535" s="490"/>
      <c r="E535" s="490"/>
      <c r="F535" s="490"/>
      <c r="G535" s="490"/>
      <c r="H535" s="541"/>
      <c r="I535" s="490"/>
      <c r="J535" s="490"/>
      <c r="K535" s="490"/>
      <c r="L535" s="490"/>
      <c r="M535" s="541"/>
      <c r="N535" s="490"/>
      <c r="O535" s="490"/>
      <c r="P535" s="490"/>
      <c r="Q535" s="490"/>
      <c r="R535" s="541"/>
      <c r="S535" s="490"/>
      <c r="T535" s="490"/>
      <c r="U535" s="490"/>
      <c r="V535" s="490"/>
      <c r="W535" s="541"/>
      <c r="X535" s="490"/>
      <c r="Y535" s="490"/>
      <c r="Z535" s="490"/>
      <c r="AA535" s="490"/>
      <c r="AB535" s="541"/>
      <c r="AC535" s="490"/>
      <c r="AD535" s="490"/>
      <c r="AE535" s="490"/>
      <c r="AF535" s="490"/>
      <c r="AG535" s="541"/>
      <c r="AH535" s="490"/>
      <c r="AI535" s="490"/>
      <c r="AJ535" s="490"/>
      <c r="AK535" s="490"/>
      <c r="AL535" s="541"/>
      <c r="AM535" s="490"/>
      <c r="AN535" s="490"/>
      <c r="AO535" s="490"/>
      <c r="AP535" s="490"/>
      <c r="AQ535" s="541"/>
      <c r="AR535" s="490"/>
      <c r="AS535" s="490"/>
      <c r="AT535" s="490"/>
      <c r="AU535" s="490"/>
      <c r="AV535" s="541"/>
      <c r="AW535" s="490"/>
      <c r="AX535" s="490"/>
      <c r="AY535" s="490"/>
      <c r="AZ535" s="490"/>
      <c r="BA535" s="541"/>
      <c r="BB535" s="490"/>
      <c r="BC535" s="490"/>
      <c r="BD535" s="490"/>
      <c r="BE535" s="490"/>
      <c r="BF535" s="541"/>
      <c r="BG535" s="490"/>
      <c r="BH535" s="490"/>
      <c r="BI535" s="490"/>
      <c r="BJ535" s="490"/>
      <c r="BK535" s="541"/>
      <c r="BL535" s="490"/>
      <c r="BM535" s="490"/>
      <c r="BN535" s="490"/>
      <c r="BO535" s="490"/>
    </row>
    <row r="536" spans="3:67">
      <c r="C536" s="541"/>
      <c r="D536" s="490"/>
      <c r="E536" s="490"/>
      <c r="F536" s="490"/>
      <c r="G536" s="490"/>
      <c r="H536" s="541"/>
      <c r="I536" s="490"/>
      <c r="J536" s="490"/>
      <c r="K536" s="490"/>
      <c r="L536" s="490"/>
      <c r="M536" s="541"/>
      <c r="N536" s="490"/>
      <c r="O536" s="490"/>
      <c r="P536" s="490"/>
      <c r="Q536" s="490"/>
      <c r="R536" s="541"/>
      <c r="S536" s="490"/>
      <c r="T536" s="490"/>
      <c r="U536" s="490"/>
      <c r="V536" s="490"/>
      <c r="W536" s="541"/>
      <c r="X536" s="490"/>
      <c r="Y536" s="490"/>
      <c r="Z536" s="490"/>
      <c r="AA536" s="490"/>
      <c r="AB536" s="541"/>
      <c r="AC536" s="490"/>
      <c r="AD536" s="490"/>
      <c r="AE536" s="490"/>
      <c r="AF536" s="490"/>
      <c r="AG536" s="541"/>
      <c r="AH536" s="490"/>
      <c r="AI536" s="490"/>
      <c r="AJ536" s="490"/>
      <c r="AK536" s="490"/>
      <c r="AL536" s="541"/>
      <c r="AM536" s="490"/>
      <c r="AN536" s="490"/>
      <c r="AO536" s="490"/>
      <c r="AP536" s="490"/>
      <c r="AQ536" s="541"/>
      <c r="AR536" s="490"/>
      <c r="AS536" s="490"/>
      <c r="AT536" s="490"/>
      <c r="AU536" s="490"/>
      <c r="AV536" s="541"/>
      <c r="AW536" s="490"/>
      <c r="AX536" s="490"/>
      <c r="AY536" s="490"/>
      <c r="AZ536" s="490"/>
      <c r="BA536" s="541"/>
      <c r="BB536" s="490"/>
      <c r="BC536" s="490"/>
      <c r="BD536" s="490"/>
      <c r="BE536" s="490"/>
      <c r="BF536" s="541"/>
      <c r="BG536" s="490"/>
      <c r="BH536" s="490"/>
      <c r="BI536" s="490"/>
      <c r="BJ536" s="490"/>
      <c r="BK536" s="541"/>
      <c r="BL536" s="490"/>
      <c r="BM536" s="490"/>
      <c r="BN536" s="490"/>
      <c r="BO536" s="490"/>
    </row>
    <row r="538" spans="3:67">
      <c r="C538" s="541"/>
      <c r="D538" s="490"/>
      <c r="E538" s="490"/>
      <c r="F538" s="490"/>
      <c r="G538" s="490"/>
      <c r="H538" s="541"/>
      <c r="I538" s="490"/>
      <c r="J538" s="490"/>
      <c r="K538" s="490"/>
      <c r="L538" s="490"/>
      <c r="M538" s="541"/>
      <c r="N538" s="490"/>
      <c r="O538" s="490"/>
      <c r="P538" s="490"/>
      <c r="Q538" s="490"/>
      <c r="R538" s="541"/>
      <c r="S538" s="490"/>
      <c r="T538" s="490"/>
      <c r="U538" s="490"/>
      <c r="V538" s="490"/>
      <c r="W538" s="541"/>
      <c r="X538" s="490"/>
      <c r="Y538" s="490"/>
      <c r="Z538" s="490"/>
      <c r="AA538" s="490"/>
      <c r="AB538" s="541"/>
      <c r="AC538" s="490"/>
      <c r="AD538" s="490"/>
      <c r="AE538" s="490"/>
      <c r="AF538" s="490"/>
      <c r="AG538" s="541"/>
      <c r="AH538" s="490"/>
      <c r="AI538" s="490"/>
      <c r="AJ538" s="490"/>
      <c r="AK538" s="490"/>
      <c r="AL538" s="541"/>
      <c r="AM538" s="490"/>
      <c r="AN538" s="490"/>
      <c r="AO538" s="490"/>
      <c r="AP538" s="490"/>
      <c r="AQ538" s="541"/>
      <c r="AR538" s="490"/>
      <c r="AS538" s="490"/>
      <c r="AT538" s="490"/>
      <c r="AU538" s="490"/>
      <c r="AV538" s="541"/>
      <c r="AW538" s="490"/>
      <c r="AX538" s="490"/>
      <c r="AY538" s="490"/>
      <c r="AZ538" s="490"/>
      <c r="BA538" s="541"/>
      <c r="BB538" s="490"/>
      <c r="BC538" s="490"/>
      <c r="BD538" s="490"/>
      <c r="BE538" s="490"/>
      <c r="BF538" s="541"/>
      <c r="BG538" s="490"/>
      <c r="BH538" s="490"/>
      <c r="BI538" s="490"/>
      <c r="BJ538" s="490"/>
      <c r="BK538" s="541"/>
      <c r="BL538" s="490"/>
      <c r="BM538" s="490"/>
      <c r="BN538" s="490"/>
      <c r="BO538" s="490"/>
    </row>
    <row r="539" spans="3:67">
      <c r="C539" s="541"/>
      <c r="D539" s="490"/>
      <c r="E539" s="490"/>
      <c r="F539" s="490"/>
      <c r="G539" s="490"/>
      <c r="H539" s="541"/>
      <c r="I539" s="490"/>
      <c r="J539" s="490"/>
      <c r="K539" s="490"/>
      <c r="L539" s="490"/>
      <c r="M539" s="541"/>
      <c r="N539" s="490"/>
      <c r="O539" s="490"/>
      <c r="P539" s="490"/>
      <c r="Q539" s="490"/>
      <c r="R539" s="541"/>
      <c r="S539" s="490"/>
      <c r="T539" s="490"/>
      <c r="U539" s="490"/>
      <c r="V539" s="490"/>
      <c r="W539" s="541"/>
      <c r="X539" s="490"/>
      <c r="Y539" s="490"/>
      <c r="Z539" s="490"/>
      <c r="AA539" s="490"/>
      <c r="AB539" s="541"/>
      <c r="AC539" s="490"/>
      <c r="AD539" s="490"/>
      <c r="AE539" s="490"/>
      <c r="AF539" s="490"/>
      <c r="AG539" s="541"/>
      <c r="AH539" s="490"/>
      <c r="AI539" s="490"/>
      <c r="AJ539" s="490"/>
      <c r="AK539" s="490"/>
      <c r="AL539" s="541"/>
      <c r="AM539" s="490"/>
      <c r="AN539" s="490"/>
      <c r="AO539" s="490"/>
      <c r="AP539" s="490"/>
      <c r="AQ539" s="541"/>
      <c r="AR539" s="490"/>
      <c r="AS539" s="490"/>
      <c r="AT539" s="490"/>
      <c r="AU539" s="490"/>
      <c r="AV539" s="541"/>
      <c r="AW539" s="490"/>
      <c r="AX539" s="490"/>
      <c r="AY539" s="490"/>
      <c r="AZ539" s="490"/>
      <c r="BA539" s="541"/>
      <c r="BB539" s="490"/>
      <c r="BC539" s="490"/>
      <c r="BD539" s="490"/>
      <c r="BE539" s="490"/>
      <c r="BF539" s="541"/>
      <c r="BG539" s="490"/>
      <c r="BH539" s="490"/>
      <c r="BI539" s="490"/>
      <c r="BJ539" s="490"/>
      <c r="BK539" s="541"/>
      <c r="BL539" s="490"/>
      <c r="BM539" s="490"/>
      <c r="BN539" s="490"/>
      <c r="BO539" s="490"/>
    </row>
    <row r="540" spans="3:67">
      <c r="C540" s="541"/>
      <c r="D540" s="490"/>
      <c r="E540" s="490"/>
      <c r="F540" s="490"/>
      <c r="G540" s="490"/>
      <c r="H540" s="541"/>
      <c r="I540" s="490"/>
      <c r="J540" s="490"/>
      <c r="K540" s="490"/>
      <c r="L540" s="490"/>
      <c r="M540" s="541"/>
      <c r="N540" s="490"/>
      <c r="O540" s="490"/>
      <c r="P540" s="490"/>
      <c r="Q540" s="490"/>
      <c r="R540" s="541"/>
      <c r="S540" s="490"/>
      <c r="T540" s="490"/>
      <c r="U540" s="490"/>
      <c r="V540" s="490"/>
      <c r="W540" s="541"/>
      <c r="X540" s="490"/>
      <c r="Y540" s="490"/>
      <c r="Z540" s="490"/>
      <c r="AA540" s="490"/>
      <c r="AB540" s="541"/>
      <c r="AC540" s="490"/>
      <c r="AD540" s="490"/>
      <c r="AE540" s="490"/>
      <c r="AF540" s="490"/>
      <c r="AG540" s="541"/>
      <c r="AH540" s="490"/>
      <c r="AI540" s="490"/>
      <c r="AJ540" s="490"/>
      <c r="AK540" s="490"/>
      <c r="AL540" s="541"/>
      <c r="AM540" s="490"/>
      <c r="AN540" s="490"/>
      <c r="AO540" s="490"/>
      <c r="AP540" s="490"/>
      <c r="AQ540" s="541"/>
      <c r="AR540" s="490"/>
      <c r="AS540" s="490"/>
      <c r="AT540" s="490"/>
      <c r="AU540" s="490"/>
      <c r="AV540" s="541"/>
      <c r="AW540" s="490"/>
      <c r="AX540" s="490"/>
      <c r="AY540" s="490"/>
      <c r="AZ540" s="490"/>
      <c r="BA540" s="541"/>
      <c r="BB540" s="490"/>
      <c r="BC540" s="490"/>
      <c r="BD540" s="490"/>
      <c r="BE540" s="490"/>
      <c r="BF540" s="541"/>
      <c r="BG540" s="490"/>
      <c r="BH540" s="490"/>
      <c r="BI540" s="490"/>
      <c r="BJ540" s="490"/>
      <c r="BK540" s="541"/>
      <c r="BL540" s="490"/>
      <c r="BM540" s="490"/>
      <c r="BN540" s="490"/>
      <c r="BO540" s="490"/>
    </row>
    <row r="541" spans="3:67">
      <c r="C541" s="541"/>
      <c r="D541" s="490"/>
      <c r="E541" s="490"/>
      <c r="F541" s="490"/>
      <c r="G541" s="490"/>
      <c r="H541" s="541"/>
      <c r="I541" s="490"/>
      <c r="J541" s="490"/>
      <c r="K541" s="490"/>
      <c r="L541" s="490"/>
      <c r="M541" s="541"/>
      <c r="N541" s="490"/>
      <c r="O541" s="490"/>
      <c r="P541" s="490"/>
      <c r="Q541" s="490"/>
      <c r="R541" s="541"/>
      <c r="S541" s="490"/>
      <c r="T541" s="490"/>
      <c r="U541" s="490"/>
      <c r="V541" s="490"/>
      <c r="W541" s="541"/>
      <c r="X541" s="490"/>
      <c r="Y541" s="490"/>
      <c r="Z541" s="490"/>
      <c r="AA541" s="490"/>
      <c r="AB541" s="541"/>
      <c r="AC541" s="490"/>
      <c r="AD541" s="490"/>
      <c r="AE541" s="490"/>
      <c r="AF541" s="490"/>
      <c r="AG541" s="541"/>
      <c r="AH541" s="490"/>
      <c r="AI541" s="490"/>
      <c r="AJ541" s="490"/>
      <c r="AK541" s="490"/>
      <c r="AL541" s="541"/>
      <c r="AM541" s="490"/>
      <c r="AN541" s="490"/>
      <c r="AO541" s="490"/>
      <c r="AP541" s="490"/>
      <c r="AQ541" s="541"/>
      <c r="AR541" s="490"/>
      <c r="AS541" s="490"/>
      <c r="AT541" s="490"/>
      <c r="AU541" s="490"/>
      <c r="AV541" s="541"/>
      <c r="AW541" s="490"/>
      <c r="AX541" s="490"/>
      <c r="AY541" s="490"/>
      <c r="AZ541" s="490"/>
      <c r="BA541" s="541"/>
      <c r="BB541" s="490"/>
      <c r="BC541" s="490"/>
      <c r="BD541" s="490"/>
      <c r="BE541" s="490"/>
      <c r="BF541" s="541"/>
      <c r="BG541" s="490"/>
      <c r="BH541" s="490"/>
      <c r="BI541" s="490"/>
      <c r="BJ541" s="490"/>
      <c r="BK541" s="541"/>
      <c r="BL541" s="490"/>
      <c r="BM541" s="490"/>
      <c r="BN541" s="490"/>
      <c r="BO541" s="490"/>
    </row>
    <row r="542" spans="3:67">
      <c r="C542" s="541"/>
      <c r="D542" s="490"/>
      <c r="E542" s="490"/>
      <c r="F542" s="490"/>
      <c r="G542" s="490"/>
      <c r="H542" s="541"/>
      <c r="I542" s="490"/>
      <c r="J542" s="490"/>
      <c r="K542" s="490"/>
      <c r="L542" s="490"/>
      <c r="M542" s="541"/>
      <c r="N542" s="490"/>
      <c r="O542" s="490"/>
      <c r="P542" s="490"/>
      <c r="Q542" s="490"/>
      <c r="R542" s="541"/>
      <c r="S542" s="490"/>
      <c r="T542" s="490"/>
      <c r="U542" s="490"/>
      <c r="V542" s="490"/>
      <c r="W542" s="541"/>
      <c r="X542" s="490"/>
      <c r="Y542" s="490"/>
      <c r="Z542" s="490"/>
      <c r="AA542" s="490"/>
      <c r="AB542" s="541"/>
      <c r="AC542" s="490"/>
      <c r="AD542" s="490"/>
      <c r="AE542" s="490"/>
      <c r="AF542" s="490"/>
      <c r="AG542" s="541"/>
      <c r="AH542" s="490"/>
      <c r="AI542" s="490"/>
      <c r="AJ542" s="490"/>
      <c r="AK542" s="490"/>
      <c r="AL542" s="541"/>
      <c r="AM542" s="490"/>
      <c r="AN542" s="490"/>
      <c r="AO542" s="490"/>
      <c r="AP542" s="490"/>
      <c r="AQ542" s="541"/>
      <c r="AR542" s="490"/>
      <c r="AS542" s="490"/>
      <c r="AT542" s="490"/>
      <c r="AU542" s="490"/>
      <c r="AV542" s="541"/>
      <c r="AW542" s="490"/>
      <c r="AX542" s="490"/>
      <c r="AY542" s="490"/>
      <c r="AZ542" s="490"/>
      <c r="BA542" s="541"/>
      <c r="BB542" s="490"/>
      <c r="BC542" s="490"/>
      <c r="BD542" s="490"/>
      <c r="BE542" s="490"/>
      <c r="BF542" s="541"/>
      <c r="BG542" s="490"/>
      <c r="BH542" s="490"/>
      <c r="BI542" s="490"/>
      <c r="BJ542" s="490"/>
      <c r="BK542" s="541"/>
      <c r="BL542" s="490"/>
      <c r="BM542" s="490"/>
      <c r="BN542" s="490"/>
      <c r="BO542" s="490"/>
    </row>
    <row r="543" spans="3:67">
      <c r="C543" s="541"/>
      <c r="D543" s="490"/>
      <c r="E543" s="490"/>
      <c r="F543" s="490"/>
      <c r="G543" s="490"/>
      <c r="H543" s="541"/>
      <c r="I543" s="490"/>
      <c r="J543" s="490"/>
      <c r="K543" s="490"/>
      <c r="L543" s="490"/>
      <c r="M543" s="541"/>
      <c r="N543" s="490"/>
      <c r="O543" s="490"/>
      <c r="P543" s="490"/>
      <c r="Q543" s="490"/>
      <c r="R543" s="541"/>
      <c r="S543" s="490"/>
      <c r="T543" s="490"/>
      <c r="U543" s="490"/>
      <c r="V543" s="490"/>
      <c r="W543" s="541"/>
      <c r="X543" s="490"/>
      <c r="Y543" s="490"/>
      <c r="Z543" s="490"/>
      <c r="AA543" s="490"/>
      <c r="AB543" s="541"/>
      <c r="AC543" s="490"/>
      <c r="AD543" s="490"/>
      <c r="AE543" s="490"/>
      <c r="AF543" s="490"/>
      <c r="AG543" s="541"/>
      <c r="AH543" s="490"/>
      <c r="AI543" s="490"/>
      <c r="AJ543" s="490"/>
      <c r="AK543" s="490"/>
      <c r="AL543" s="541"/>
      <c r="AM543" s="490"/>
      <c r="AN543" s="490"/>
      <c r="AO543" s="490"/>
      <c r="AP543" s="490"/>
      <c r="AQ543" s="541"/>
      <c r="AR543" s="490"/>
      <c r="AS543" s="490"/>
      <c r="AT543" s="490"/>
      <c r="AU543" s="490"/>
      <c r="AV543" s="541"/>
      <c r="AW543" s="490"/>
      <c r="AX543" s="490"/>
      <c r="AY543" s="490"/>
      <c r="AZ543" s="490"/>
      <c r="BA543" s="541"/>
      <c r="BB543" s="490"/>
      <c r="BC543" s="490"/>
      <c r="BD543" s="490"/>
      <c r="BE543" s="490"/>
      <c r="BF543" s="541"/>
      <c r="BG543" s="490"/>
      <c r="BH543" s="490"/>
      <c r="BI543" s="490"/>
      <c r="BJ543" s="490"/>
      <c r="BK543" s="541"/>
      <c r="BL543" s="490"/>
      <c r="BM543" s="490"/>
      <c r="BN543" s="490"/>
      <c r="BO543" s="490"/>
    </row>
    <row r="544" spans="3:67">
      <c r="C544" s="541"/>
      <c r="D544" s="490"/>
      <c r="E544" s="490"/>
      <c r="F544" s="490"/>
      <c r="G544" s="490"/>
      <c r="H544" s="541"/>
      <c r="I544" s="490"/>
      <c r="J544" s="490"/>
      <c r="K544" s="490"/>
      <c r="L544" s="490"/>
      <c r="M544" s="541"/>
      <c r="N544" s="490"/>
      <c r="O544" s="490"/>
      <c r="P544" s="490"/>
      <c r="Q544" s="490"/>
      <c r="R544" s="541"/>
      <c r="S544" s="490"/>
      <c r="T544" s="490"/>
      <c r="U544" s="490"/>
      <c r="V544" s="490"/>
      <c r="W544" s="541"/>
      <c r="X544" s="490"/>
      <c r="Y544" s="490"/>
      <c r="Z544" s="490"/>
      <c r="AA544" s="490"/>
      <c r="AB544" s="541"/>
      <c r="AC544" s="490"/>
      <c r="AD544" s="490"/>
      <c r="AE544" s="490"/>
      <c r="AF544" s="490"/>
      <c r="AG544" s="541"/>
      <c r="AH544" s="490"/>
      <c r="AI544" s="490"/>
      <c r="AJ544" s="490"/>
      <c r="AK544" s="490"/>
      <c r="AL544" s="541"/>
      <c r="AM544" s="490"/>
      <c r="AN544" s="490"/>
      <c r="AO544" s="490"/>
      <c r="AP544" s="490"/>
      <c r="AQ544" s="541"/>
      <c r="AR544" s="490"/>
      <c r="AS544" s="490"/>
      <c r="AT544" s="490"/>
      <c r="AU544" s="490"/>
      <c r="AV544" s="541"/>
      <c r="AW544" s="490"/>
      <c r="AX544" s="490"/>
      <c r="AY544" s="490"/>
      <c r="AZ544" s="490"/>
      <c r="BA544" s="541"/>
      <c r="BB544" s="490"/>
      <c r="BC544" s="490"/>
      <c r="BD544" s="490"/>
      <c r="BE544" s="490"/>
      <c r="BF544" s="541"/>
      <c r="BG544" s="490"/>
      <c r="BH544" s="490"/>
      <c r="BI544" s="490"/>
      <c r="BJ544" s="490"/>
      <c r="BK544" s="541"/>
      <c r="BL544" s="490"/>
      <c r="BM544" s="490"/>
      <c r="BN544" s="490"/>
      <c r="BO544" s="490"/>
    </row>
    <row r="545" spans="3:67">
      <c r="C545" s="541"/>
      <c r="D545" s="490"/>
      <c r="E545" s="490"/>
      <c r="F545" s="490"/>
      <c r="G545" s="490"/>
      <c r="H545" s="541"/>
      <c r="I545" s="490"/>
      <c r="J545" s="490"/>
      <c r="K545" s="490"/>
      <c r="L545" s="490"/>
      <c r="M545" s="541"/>
      <c r="N545" s="490"/>
      <c r="O545" s="490"/>
      <c r="P545" s="490"/>
      <c r="Q545" s="490"/>
      <c r="R545" s="541"/>
      <c r="S545" s="490"/>
      <c r="T545" s="490"/>
      <c r="U545" s="490"/>
      <c r="V545" s="490"/>
      <c r="W545" s="541"/>
      <c r="X545" s="490"/>
      <c r="Y545" s="490"/>
      <c r="Z545" s="490"/>
      <c r="AA545" s="490"/>
      <c r="AB545" s="541"/>
      <c r="AC545" s="490"/>
      <c r="AD545" s="490"/>
      <c r="AE545" s="490"/>
      <c r="AF545" s="490"/>
      <c r="AG545" s="541"/>
      <c r="AH545" s="490"/>
      <c r="AI545" s="490"/>
      <c r="AJ545" s="490"/>
      <c r="AK545" s="490"/>
      <c r="AL545" s="541"/>
      <c r="AM545" s="490"/>
      <c r="AN545" s="490"/>
      <c r="AO545" s="490"/>
      <c r="AP545" s="490"/>
      <c r="AQ545" s="541"/>
      <c r="AR545" s="490"/>
      <c r="AS545" s="490"/>
      <c r="AT545" s="490"/>
      <c r="AU545" s="490"/>
      <c r="AV545" s="541"/>
      <c r="AW545" s="490"/>
      <c r="AX545" s="490"/>
      <c r="AY545" s="490"/>
      <c r="AZ545" s="490"/>
      <c r="BA545" s="541"/>
      <c r="BB545" s="490"/>
      <c r="BC545" s="490"/>
      <c r="BD545" s="490"/>
      <c r="BE545" s="490"/>
      <c r="BF545" s="541"/>
      <c r="BG545" s="490"/>
      <c r="BH545" s="490"/>
      <c r="BI545" s="490"/>
      <c r="BJ545" s="490"/>
      <c r="BK545" s="541"/>
      <c r="BL545" s="490"/>
      <c r="BM545" s="490"/>
      <c r="BN545" s="490"/>
      <c r="BO545" s="490"/>
    </row>
    <row r="546" spans="3:67">
      <c r="C546" s="541"/>
      <c r="D546" s="490"/>
      <c r="E546" s="490"/>
      <c r="F546" s="490"/>
      <c r="G546" s="490"/>
      <c r="H546" s="541"/>
      <c r="I546" s="490"/>
      <c r="J546" s="490"/>
      <c r="K546" s="490"/>
      <c r="L546" s="490"/>
      <c r="M546" s="541"/>
      <c r="N546" s="490"/>
      <c r="O546" s="490"/>
      <c r="P546" s="490"/>
      <c r="Q546" s="490"/>
      <c r="R546" s="541"/>
      <c r="S546" s="490"/>
      <c r="T546" s="490"/>
      <c r="U546" s="490"/>
      <c r="V546" s="490"/>
      <c r="W546" s="541"/>
      <c r="X546" s="490"/>
      <c r="Y546" s="490"/>
      <c r="Z546" s="490"/>
      <c r="AA546" s="490"/>
      <c r="AB546" s="541"/>
      <c r="AC546" s="490"/>
      <c r="AD546" s="490"/>
      <c r="AE546" s="490"/>
      <c r="AF546" s="490"/>
      <c r="AG546" s="541"/>
      <c r="AH546" s="490"/>
      <c r="AI546" s="490"/>
      <c r="AJ546" s="490"/>
      <c r="AK546" s="490"/>
      <c r="AL546" s="541"/>
      <c r="AM546" s="490"/>
      <c r="AN546" s="490"/>
      <c r="AO546" s="490"/>
      <c r="AP546" s="490"/>
      <c r="AQ546" s="541"/>
      <c r="AR546" s="490"/>
      <c r="AS546" s="490"/>
      <c r="AT546" s="490"/>
      <c r="AU546" s="490"/>
      <c r="AV546" s="541"/>
      <c r="AW546" s="490"/>
      <c r="AX546" s="490"/>
      <c r="AY546" s="490"/>
      <c r="AZ546" s="490"/>
      <c r="BA546" s="541"/>
      <c r="BB546" s="490"/>
      <c r="BC546" s="490"/>
      <c r="BD546" s="490"/>
      <c r="BE546" s="490"/>
      <c r="BF546" s="541"/>
      <c r="BG546" s="490"/>
      <c r="BH546" s="490"/>
      <c r="BI546" s="490"/>
      <c r="BJ546" s="490"/>
      <c r="BK546" s="541"/>
      <c r="BL546" s="490"/>
      <c r="BM546" s="490"/>
      <c r="BN546" s="490"/>
      <c r="BO546" s="490"/>
    </row>
    <row r="547" spans="3:67">
      <c r="C547" s="541"/>
      <c r="D547" s="490"/>
      <c r="E547" s="490"/>
      <c r="F547" s="490"/>
      <c r="G547" s="490"/>
      <c r="H547" s="541"/>
      <c r="I547" s="490"/>
      <c r="J547" s="490"/>
      <c r="K547" s="490"/>
      <c r="L547" s="490"/>
      <c r="M547" s="541"/>
      <c r="N547" s="490"/>
      <c r="O547" s="490"/>
      <c r="P547" s="490"/>
      <c r="Q547" s="490"/>
      <c r="R547" s="541"/>
      <c r="S547" s="490"/>
      <c r="T547" s="490"/>
      <c r="U547" s="490"/>
      <c r="V547" s="490"/>
      <c r="W547" s="541"/>
      <c r="X547" s="490"/>
      <c r="Y547" s="490"/>
      <c r="Z547" s="490"/>
      <c r="AA547" s="490"/>
      <c r="AB547" s="541"/>
      <c r="AC547" s="490"/>
      <c r="AD547" s="490"/>
      <c r="AE547" s="490"/>
      <c r="AF547" s="490"/>
      <c r="AG547" s="541"/>
      <c r="AH547" s="490"/>
      <c r="AI547" s="490"/>
      <c r="AJ547" s="490"/>
      <c r="AK547" s="490"/>
      <c r="AL547" s="541"/>
      <c r="AM547" s="490"/>
      <c r="AN547" s="490"/>
      <c r="AO547" s="490"/>
      <c r="AP547" s="490"/>
      <c r="AQ547" s="541"/>
      <c r="AR547" s="490"/>
      <c r="AS547" s="490"/>
      <c r="AT547" s="490"/>
      <c r="AU547" s="490"/>
      <c r="AV547" s="541"/>
      <c r="AW547" s="490"/>
      <c r="AX547" s="490"/>
      <c r="AY547" s="490"/>
      <c r="AZ547" s="490"/>
      <c r="BA547" s="541"/>
      <c r="BB547" s="490"/>
      <c r="BC547" s="490"/>
      <c r="BD547" s="490"/>
      <c r="BE547" s="490"/>
      <c r="BF547" s="541"/>
      <c r="BG547" s="490"/>
      <c r="BH547" s="490"/>
      <c r="BI547" s="490"/>
      <c r="BJ547" s="490"/>
      <c r="BK547" s="541"/>
      <c r="BL547" s="490"/>
      <c r="BM547" s="490"/>
      <c r="BN547" s="490"/>
      <c r="BO547" s="490"/>
    </row>
    <row r="548" spans="3:67">
      <c r="C548" s="541"/>
      <c r="D548" s="490"/>
      <c r="E548" s="490"/>
      <c r="F548" s="490"/>
      <c r="G548" s="490"/>
      <c r="H548" s="541"/>
      <c r="I548" s="490"/>
      <c r="J548" s="490"/>
      <c r="K548" s="490"/>
      <c r="L548" s="490"/>
      <c r="M548" s="541"/>
      <c r="N548" s="490"/>
      <c r="O548" s="490"/>
      <c r="P548" s="490"/>
      <c r="Q548" s="490"/>
      <c r="R548" s="541"/>
      <c r="S548" s="490"/>
      <c r="T548" s="490"/>
      <c r="U548" s="490"/>
      <c r="V548" s="490"/>
      <c r="W548" s="541"/>
      <c r="X548" s="490"/>
      <c r="Y548" s="490"/>
      <c r="Z548" s="490"/>
      <c r="AA548" s="490"/>
      <c r="AB548" s="541"/>
      <c r="AC548" s="490"/>
      <c r="AD548" s="490"/>
      <c r="AE548" s="490"/>
      <c r="AF548" s="490"/>
      <c r="AG548" s="541"/>
      <c r="AH548" s="490"/>
      <c r="AI548" s="490"/>
      <c r="AJ548" s="490"/>
      <c r="AK548" s="490"/>
      <c r="AL548" s="541"/>
      <c r="AM548" s="490"/>
      <c r="AN548" s="490"/>
      <c r="AO548" s="490"/>
      <c r="AP548" s="490"/>
      <c r="AQ548" s="541"/>
      <c r="AR548" s="490"/>
      <c r="AS548" s="490"/>
      <c r="AT548" s="490"/>
      <c r="AU548" s="490"/>
      <c r="AV548" s="541"/>
      <c r="AW548" s="490"/>
      <c r="AX548" s="490"/>
      <c r="AY548" s="490"/>
      <c r="AZ548" s="490"/>
      <c r="BA548" s="541"/>
      <c r="BB548" s="490"/>
      <c r="BC548" s="490"/>
      <c r="BD548" s="490"/>
      <c r="BE548" s="490"/>
      <c r="BF548" s="541"/>
      <c r="BG548" s="490"/>
      <c r="BH548" s="490"/>
      <c r="BI548" s="490"/>
      <c r="BJ548" s="490"/>
      <c r="BK548" s="541"/>
      <c r="BL548" s="490"/>
      <c r="BM548" s="490"/>
      <c r="BN548" s="490"/>
      <c r="BO548" s="490"/>
    </row>
    <row r="549" spans="3:67">
      <c r="C549" s="541"/>
      <c r="D549" s="490"/>
      <c r="E549" s="490"/>
      <c r="F549" s="490"/>
      <c r="G549" s="490"/>
      <c r="H549" s="541"/>
      <c r="I549" s="490"/>
      <c r="J549" s="490"/>
      <c r="K549" s="490"/>
      <c r="L549" s="490"/>
      <c r="M549" s="541"/>
      <c r="N549" s="490"/>
      <c r="O549" s="490"/>
      <c r="P549" s="490"/>
      <c r="Q549" s="490"/>
      <c r="R549" s="541"/>
      <c r="S549" s="490"/>
      <c r="T549" s="490"/>
      <c r="U549" s="490"/>
      <c r="V549" s="490"/>
      <c r="W549" s="541"/>
      <c r="X549" s="490"/>
      <c r="Y549" s="490"/>
      <c r="Z549" s="490"/>
      <c r="AA549" s="490"/>
      <c r="AB549" s="541"/>
      <c r="AC549" s="490"/>
      <c r="AD549" s="490"/>
      <c r="AE549" s="490"/>
      <c r="AF549" s="490"/>
      <c r="AG549" s="541"/>
      <c r="AH549" s="490"/>
      <c r="AI549" s="490"/>
      <c r="AJ549" s="490"/>
      <c r="AK549" s="490"/>
      <c r="AL549" s="541"/>
      <c r="AM549" s="490"/>
      <c r="AN549" s="490"/>
      <c r="AO549" s="490"/>
      <c r="AP549" s="490"/>
      <c r="AQ549" s="541"/>
      <c r="AR549" s="490"/>
      <c r="AS549" s="490"/>
      <c r="AT549" s="490"/>
      <c r="AU549" s="490"/>
      <c r="AV549" s="541"/>
      <c r="AW549" s="490"/>
      <c r="AX549" s="490"/>
      <c r="AY549" s="490"/>
      <c r="AZ549" s="490"/>
      <c r="BA549" s="541"/>
      <c r="BB549" s="490"/>
      <c r="BC549" s="490"/>
      <c r="BD549" s="490"/>
      <c r="BE549" s="490"/>
      <c r="BF549" s="541"/>
      <c r="BG549" s="490"/>
      <c r="BH549" s="490"/>
      <c r="BI549" s="490"/>
      <c r="BJ549" s="490"/>
      <c r="BK549" s="541"/>
      <c r="BL549" s="490"/>
      <c r="BM549" s="490"/>
      <c r="BN549" s="490"/>
      <c r="BO549" s="490"/>
    </row>
    <row r="550" spans="3:67">
      <c r="C550" s="541"/>
      <c r="D550" s="490"/>
      <c r="E550" s="490"/>
      <c r="F550" s="490"/>
      <c r="G550" s="490"/>
      <c r="H550" s="541"/>
      <c r="I550" s="490"/>
      <c r="J550" s="490"/>
      <c r="K550" s="490"/>
      <c r="L550" s="490"/>
      <c r="M550" s="541"/>
      <c r="N550" s="490"/>
      <c r="O550" s="490"/>
      <c r="P550" s="490"/>
      <c r="Q550" s="490"/>
      <c r="R550" s="541"/>
      <c r="S550" s="490"/>
      <c r="T550" s="490"/>
      <c r="U550" s="490"/>
      <c r="V550" s="490"/>
      <c r="W550" s="541"/>
      <c r="X550" s="490"/>
      <c r="Y550" s="490"/>
      <c r="Z550" s="490"/>
      <c r="AA550" s="490"/>
      <c r="AB550" s="541"/>
      <c r="AC550" s="490"/>
      <c r="AD550" s="490"/>
      <c r="AE550" s="490"/>
      <c r="AF550" s="490"/>
      <c r="AG550" s="541"/>
      <c r="AH550" s="490"/>
      <c r="AI550" s="490"/>
      <c r="AJ550" s="490"/>
      <c r="AK550" s="490"/>
      <c r="AL550" s="541"/>
      <c r="AM550" s="490"/>
      <c r="AN550" s="490"/>
      <c r="AO550" s="490"/>
      <c r="AP550" s="490"/>
      <c r="AQ550" s="541"/>
      <c r="AR550" s="490"/>
      <c r="AS550" s="490"/>
      <c r="AT550" s="490"/>
      <c r="AU550" s="490"/>
      <c r="AV550" s="541"/>
      <c r="AW550" s="490"/>
      <c r="AX550" s="490"/>
      <c r="AY550" s="490"/>
      <c r="AZ550" s="490"/>
      <c r="BA550" s="541"/>
      <c r="BB550" s="490"/>
      <c r="BC550" s="490"/>
      <c r="BD550" s="490"/>
      <c r="BE550" s="490"/>
      <c r="BF550" s="541"/>
      <c r="BG550" s="490"/>
      <c r="BH550" s="490"/>
      <c r="BI550" s="490"/>
      <c r="BJ550" s="490"/>
      <c r="BK550" s="541"/>
      <c r="BL550" s="490"/>
      <c r="BM550" s="490"/>
      <c r="BN550" s="490"/>
      <c r="BO550" s="490"/>
    </row>
    <row r="551" spans="3:67">
      <c r="C551" s="541"/>
      <c r="D551" s="490"/>
      <c r="E551" s="490"/>
      <c r="F551" s="490"/>
      <c r="G551" s="490"/>
      <c r="H551" s="541"/>
      <c r="I551" s="490"/>
      <c r="J551" s="490"/>
      <c r="K551" s="490"/>
      <c r="L551" s="490"/>
      <c r="M551" s="541"/>
      <c r="N551" s="490"/>
      <c r="O551" s="490"/>
      <c r="P551" s="490"/>
      <c r="Q551" s="490"/>
      <c r="R551" s="541"/>
      <c r="S551" s="490"/>
      <c r="T551" s="490"/>
      <c r="U551" s="490"/>
      <c r="V551" s="490"/>
      <c r="W551" s="541"/>
      <c r="X551" s="490"/>
      <c r="Y551" s="490"/>
      <c r="Z551" s="490"/>
      <c r="AA551" s="490"/>
      <c r="AB551" s="541"/>
      <c r="AC551" s="490"/>
      <c r="AD551" s="490"/>
      <c r="AE551" s="490"/>
      <c r="AF551" s="490"/>
      <c r="AG551" s="541"/>
      <c r="AH551" s="490"/>
      <c r="AI551" s="490"/>
      <c r="AJ551" s="490"/>
      <c r="AK551" s="490"/>
      <c r="AL551" s="541"/>
      <c r="AM551" s="490"/>
      <c r="AN551" s="490"/>
      <c r="AO551" s="490"/>
      <c r="AP551" s="490"/>
      <c r="AQ551" s="541"/>
      <c r="AR551" s="490"/>
      <c r="AS551" s="490"/>
      <c r="AT551" s="490"/>
      <c r="AU551" s="490"/>
      <c r="AV551" s="541"/>
      <c r="AW551" s="490"/>
      <c r="AX551" s="490"/>
      <c r="AY551" s="490"/>
      <c r="AZ551" s="490"/>
      <c r="BA551" s="541"/>
      <c r="BB551" s="490"/>
      <c r="BC551" s="490"/>
      <c r="BD551" s="490"/>
      <c r="BE551" s="490"/>
      <c r="BF551" s="541"/>
      <c r="BG551" s="490"/>
      <c r="BH551" s="490"/>
      <c r="BI551" s="490"/>
      <c r="BJ551" s="490"/>
      <c r="BK551" s="541"/>
      <c r="BL551" s="490"/>
      <c r="BM551" s="490"/>
      <c r="BN551" s="490"/>
      <c r="BO551" s="490"/>
    </row>
    <row r="552" spans="3:67">
      <c r="C552" s="555"/>
      <c r="D552" s="555"/>
      <c r="E552" s="555"/>
      <c r="F552" s="555"/>
      <c r="G552" s="555"/>
      <c r="H552" s="555"/>
      <c r="I552" s="555"/>
      <c r="J552" s="555"/>
      <c r="K552" s="555"/>
      <c r="L552" s="555"/>
      <c r="M552" s="555"/>
      <c r="N552" s="555"/>
      <c r="O552" s="555"/>
      <c r="P552" s="555"/>
      <c r="Q552" s="555"/>
      <c r="R552" s="555"/>
      <c r="S552" s="555"/>
      <c r="T552" s="555"/>
      <c r="U552" s="555"/>
      <c r="V552" s="555"/>
      <c r="W552" s="555"/>
      <c r="X552" s="555"/>
      <c r="Y552" s="555"/>
      <c r="Z552" s="555"/>
      <c r="AA552" s="555"/>
      <c r="AB552" s="555"/>
      <c r="AC552" s="555"/>
      <c r="AD552" s="555"/>
      <c r="AE552" s="555"/>
      <c r="AF552" s="555"/>
      <c r="AG552" s="555"/>
      <c r="AH552" s="555"/>
      <c r="AI552" s="555"/>
      <c r="AJ552" s="555"/>
      <c r="AK552" s="555"/>
      <c r="AL552" s="555"/>
      <c r="AM552" s="555"/>
      <c r="AN552" s="555"/>
      <c r="AO552" s="555"/>
      <c r="AP552" s="555"/>
      <c r="AQ552" s="555"/>
      <c r="AR552" s="555"/>
      <c r="AS552" s="555"/>
      <c r="AT552" s="555"/>
      <c r="AU552" s="555"/>
      <c r="AV552" s="555"/>
      <c r="AW552" s="555"/>
      <c r="AX552" s="555"/>
      <c r="AY552" s="555"/>
      <c r="AZ552" s="555"/>
      <c r="BA552" s="555"/>
      <c r="BB552" s="555"/>
      <c r="BC552" s="555"/>
      <c r="BD552" s="555"/>
      <c r="BE552" s="555"/>
      <c r="BF552" s="555"/>
      <c r="BG552" s="555"/>
      <c r="BH552" s="555"/>
      <c r="BI552" s="555"/>
      <c r="BJ552" s="555"/>
      <c r="BK552" s="555"/>
      <c r="BL552" s="555"/>
      <c r="BM552" s="555"/>
      <c r="BN552" s="555"/>
      <c r="BO552" s="555"/>
    </row>
    <row r="553" spans="3:67">
      <c r="C553" s="394"/>
      <c r="D553" s="394"/>
      <c r="E553" s="394"/>
      <c r="F553" s="394"/>
      <c r="G553" s="394"/>
      <c r="H553" s="394"/>
      <c r="I553" s="394"/>
      <c r="J553" s="394"/>
      <c r="K553" s="394"/>
      <c r="L553" s="394"/>
      <c r="M553" s="394"/>
      <c r="N553" s="394"/>
      <c r="O553" s="394"/>
      <c r="P553" s="394"/>
      <c r="Q553" s="394"/>
      <c r="R553" s="394"/>
      <c r="S553" s="394"/>
      <c r="T553" s="394"/>
      <c r="U553" s="394"/>
      <c r="V553" s="394"/>
      <c r="W553" s="394"/>
      <c r="X553" s="394"/>
      <c r="Y553" s="394"/>
      <c r="Z553" s="394"/>
      <c r="AA553" s="394"/>
      <c r="AB553" s="394"/>
      <c r="AC553" s="394"/>
      <c r="AD553" s="394"/>
      <c r="AE553" s="394"/>
      <c r="AF553" s="394"/>
      <c r="AG553" s="394"/>
      <c r="AH553" s="394"/>
      <c r="AI553" s="394"/>
      <c r="AJ553" s="394"/>
      <c r="AK553" s="394"/>
      <c r="AL553" s="394"/>
      <c r="AM553" s="394"/>
      <c r="AN553" s="394"/>
      <c r="AO553" s="394"/>
      <c r="AP553" s="394"/>
      <c r="AQ553" s="394"/>
      <c r="AR553" s="394"/>
      <c r="AS553" s="394"/>
      <c r="AT553" s="394"/>
      <c r="AU553" s="394"/>
      <c r="AV553" s="394"/>
      <c r="AW553" s="394"/>
      <c r="AX553" s="394"/>
      <c r="AY553" s="394"/>
      <c r="AZ553" s="394"/>
      <c r="BA553" s="394"/>
      <c r="BB553" s="394"/>
      <c r="BC553" s="394"/>
      <c r="BD553" s="394"/>
      <c r="BE553" s="394"/>
      <c r="BF553" s="394"/>
      <c r="BG553" s="394"/>
      <c r="BH553" s="394"/>
      <c r="BI553" s="394"/>
      <c r="BJ553" s="394"/>
      <c r="BK553" s="394"/>
      <c r="BL553" s="394"/>
      <c r="BM553" s="394"/>
      <c r="BN553" s="394"/>
      <c r="BO553" s="394"/>
    </row>
    <row r="554" spans="3:67">
      <c r="C554" s="541"/>
      <c r="D554" s="490"/>
      <c r="E554" s="490"/>
      <c r="F554" s="490"/>
      <c r="G554" s="490"/>
      <c r="H554" s="541"/>
      <c r="I554" s="490"/>
      <c r="J554" s="490"/>
      <c r="K554" s="490"/>
      <c r="L554" s="490"/>
      <c r="M554" s="541"/>
      <c r="N554" s="490"/>
      <c r="O554" s="490"/>
      <c r="P554" s="490"/>
      <c r="Q554" s="490"/>
      <c r="R554" s="541"/>
      <c r="S554" s="490"/>
      <c r="T554" s="490"/>
      <c r="U554" s="490"/>
      <c r="V554" s="490"/>
      <c r="W554" s="541"/>
      <c r="X554" s="490"/>
      <c r="Y554" s="490"/>
      <c r="Z554" s="490"/>
      <c r="AA554" s="490"/>
      <c r="AB554" s="541"/>
      <c r="AC554" s="490"/>
      <c r="AD554" s="490"/>
      <c r="AE554" s="490"/>
      <c r="AF554" s="490"/>
      <c r="AG554" s="541"/>
      <c r="AH554" s="490"/>
      <c r="AI554" s="490"/>
      <c r="AJ554" s="490"/>
      <c r="AK554" s="490"/>
      <c r="AL554" s="541"/>
      <c r="AM554" s="490"/>
      <c r="AN554" s="490"/>
      <c r="AO554" s="490"/>
      <c r="AP554" s="490"/>
      <c r="AQ554" s="541"/>
      <c r="AR554" s="490"/>
      <c r="AS554" s="490"/>
      <c r="AT554" s="490"/>
      <c r="AU554" s="490"/>
      <c r="AV554" s="541"/>
      <c r="AW554" s="490"/>
      <c r="AX554" s="490"/>
      <c r="AY554" s="490"/>
      <c r="AZ554" s="490"/>
      <c r="BA554" s="541"/>
      <c r="BB554" s="490"/>
      <c r="BC554" s="490"/>
      <c r="BD554" s="490"/>
      <c r="BE554" s="490"/>
      <c r="BF554" s="541"/>
      <c r="BG554" s="490"/>
      <c r="BH554" s="490"/>
      <c r="BI554" s="490"/>
      <c r="BJ554" s="490"/>
      <c r="BK554" s="541"/>
      <c r="BL554" s="490"/>
      <c r="BM554" s="490"/>
      <c r="BN554" s="490"/>
      <c r="BO554" s="490"/>
    </row>
    <row r="555" spans="3:67">
      <c r="C555" s="555"/>
      <c r="D555" s="555"/>
      <c r="E555" s="555"/>
      <c r="F555" s="555"/>
      <c r="G555" s="555"/>
      <c r="H555" s="555"/>
      <c r="I555" s="555"/>
      <c r="J555" s="555"/>
      <c r="K555" s="555"/>
      <c r="L555" s="555"/>
      <c r="M555" s="555"/>
      <c r="N555" s="555"/>
      <c r="O555" s="555"/>
      <c r="P555" s="555"/>
      <c r="Q555" s="555"/>
      <c r="R555" s="555"/>
      <c r="S555" s="555"/>
      <c r="T555" s="555"/>
      <c r="U555" s="555"/>
      <c r="V555" s="555"/>
      <c r="W555" s="555"/>
      <c r="X555" s="555"/>
      <c r="Y555" s="555"/>
      <c r="Z555" s="555"/>
      <c r="AA555" s="555"/>
      <c r="AB555" s="555"/>
      <c r="AC555" s="555"/>
      <c r="AD555" s="555"/>
      <c r="AE555" s="555"/>
      <c r="AF555" s="555"/>
      <c r="AG555" s="555"/>
      <c r="AH555" s="555"/>
      <c r="AI555" s="555"/>
      <c r="AJ555" s="555"/>
      <c r="AK555" s="555"/>
      <c r="AL555" s="555"/>
      <c r="AM555" s="555"/>
      <c r="AN555" s="555"/>
      <c r="AO555" s="555"/>
      <c r="AP555" s="555"/>
      <c r="AQ555" s="555"/>
      <c r="AR555" s="555"/>
      <c r="AS555" s="555"/>
      <c r="AT555" s="555"/>
      <c r="AU555" s="555"/>
      <c r="AV555" s="555"/>
      <c r="AW555" s="555"/>
      <c r="AX555" s="555"/>
      <c r="AY555" s="555"/>
      <c r="AZ555" s="555"/>
      <c r="BA555" s="555"/>
      <c r="BB555" s="555"/>
      <c r="BC555" s="555"/>
      <c r="BD555" s="555"/>
      <c r="BE555" s="555"/>
      <c r="BF555" s="555"/>
      <c r="BG555" s="555"/>
      <c r="BH555" s="555"/>
      <c r="BI555" s="555"/>
      <c r="BJ555" s="555"/>
      <c r="BK555" s="555"/>
      <c r="BL555" s="555"/>
      <c r="BM555" s="555"/>
      <c r="BN555" s="555"/>
      <c r="BO555" s="555"/>
    </row>
    <row r="556" spans="3:67">
      <c r="C556" s="394"/>
      <c r="D556" s="394"/>
      <c r="E556" s="394"/>
      <c r="F556" s="394"/>
      <c r="G556" s="394"/>
      <c r="H556" s="394"/>
      <c r="I556" s="394"/>
      <c r="J556" s="394"/>
      <c r="K556" s="394"/>
      <c r="L556" s="394"/>
      <c r="M556" s="394"/>
      <c r="N556" s="394"/>
      <c r="O556" s="394"/>
      <c r="P556" s="394"/>
      <c r="Q556" s="394"/>
      <c r="R556" s="394"/>
      <c r="S556" s="394"/>
      <c r="T556" s="394"/>
      <c r="U556" s="394"/>
      <c r="V556" s="394"/>
      <c r="W556" s="394"/>
      <c r="X556" s="394"/>
      <c r="Y556" s="394"/>
      <c r="Z556" s="394"/>
      <c r="AA556" s="394"/>
      <c r="AB556" s="394"/>
      <c r="AC556" s="394"/>
      <c r="AD556" s="394"/>
      <c r="AE556" s="394"/>
      <c r="AF556" s="394"/>
      <c r="AG556" s="394"/>
      <c r="AH556" s="394"/>
      <c r="AI556" s="394"/>
      <c r="AJ556" s="394"/>
      <c r="AK556" s="394"/>
      <c r="AL556" s="394"/>
      <c r="AM556" s="394"/>
      <c r="AN556" s="394"/>
      <c r="AO556" s="394"/>
      <c r="AP556" s="394"/>
      <c r="AQ556" s="394"/>
      <c r="AR556" s="394"/>
      <c r="AS556" s="394"/>
      <c r="AT556" s="394"/>
      <c r="AU556" s="394"/>
      <c r="AV556" s="394"/>
      <c r="AW556" s="394"/>
      <c r="AX556" s="394"/>
      <c r="AY556" s="394"/>
      <c r="AZ556" s="394"/>
      <c r="BA556" s="394"/>
      <c r="BB556" s="394"/>
      <c r="BC556" s="394"/>
      <c r="BD556" s="394"/>
      <c r="BE556" s="394"/>
      <c r="BF556" s="394"/>
      <c r="BG556" s="394"/>
      <c r="BH556" s="394"/>
      <c r="BI556" s="394"/>
      <c r="BJ556" s="394"/>
      <c r="BK556" s="394"/>
      <c r="BL556" s="394"/>
      <c r="BM556" s="394"/>
      <c r="BN556" s="394"/>
      <c r="BO556" s="394"/>
    </row>
    <row r="557" spans="3:67">
      <c r="C557" s="394"/>
      <c r="D557" s="394"/>
      <c r="E557" s="394"/>
      <c r="F557" s="394"/>
      <c r="G557" s="394"/>
      <c r="H557" s="394"/>
      <c r="I557" s="394"/>
      <c r="J557" s="394"/>
      <c r="K557" s="394"/>
      <c r="L557" s="394"/>
      <c r="M557" s="394"/>
      <c r="N557" s="394"/>
      <c r="O557" s="394"/>
      <c r="P557" s="394"/>
      <c r="Q557" s="394"/>
      <c r="R557" s="394"/>
      <c r="S557" s="394"/>
      <c r="T557" s="394"/>
      <c r="U557" s="394"/>
      <c r="V557" s="394"/>
      <c r="W557" s="394"/>
      <c r="X557" s="394"/>
      <c r="Y557" s="394"/>
      <c r="Z557" s="394"/>
      <c r="AA557" s="394"/>
      <c r="AB557" s="394"/>
      <c r="AC557" s="394"/>
      <c r="AD557" s="394"/>
      <c r="AE557" s="394"/>
      <c r="AF557" s="394"/>
      <c r="AG557" s="394"/>
      <c r="AH557" s="394"/>
      <c r="AI557" s="394"/>
      <c r="AJ557" s="394"/>
      <c r="AK557" s="394"/>
      <c r="AL557" s="394"/>
      <c r="AM557" s="394"/>
      <c r="AN557" s="394"/>
      <c r="AO557" s="394"/>
      <c r="AP557" s="394"/>
      <c r="AQ557" s="394"/>
      <c r="AR557" s="394"/>
      <c r="AS557" s="394"/>
      <c r="AT557" s="394"/>
      <c r="AU557" s="394"/>
      <c r="AV557" s="394"/>
      <c r="AW557" s="394"/>
      <c r="AX557" s="394"/>
      <c r="AY557" s="394"/>
      <c r="AZ557" s="394"/>
      <c r="BA557" s="394"/>
      <c r="BB557" s="394"/>
      <c r="BC557" s="394"/>
      <c r="BD557" s="394"/>
      <c r="BE557" s="394"/>
      <c r="BF557" s="394"/>
      <c r="BG557" s="394"/>
      <c r="BH557" s="394"/>
      <c r="BI557" s="394"/>
      <c r="BJ557" s="394"/>
      <c r="BK557" s="394"/>
      <c r="BL557" s="394"/>
      <c r="BM557" s="394"/>
      <c r="BN557" s="394"/>
      <c r="BO557" s="394"/>
    </row>
    <row r="558" spans="3:67">
      <c r="C558" s="499"/>
      <c r="D558" s="499"/>
      <c r="E558" s="499"/>
      <c r="F558" s="499"/>
      <c r="G558" s="499"/>
      <c r="H558" s="499"/>
      <c r="I558" s="499"/>
      <c r="J558" s="499"/>
      <c r="K558" s="499"/>
      <c r="L558" s="499"/>
      <c r="M558" s="499"/>
      <c r="N558" s="499"/>
      <c r="O558" s="499"/>
      <c r="P558" s="499"/>
      <c r="Q558" s="499"/>
      <c r="R558" s="499"/>
      <c r="S558" s="499"/>
      <c r="T558" s="499"/>
      <c r="U558" s="499"/>
      <c r="V558" s="499"/>
      <c r="W558" s="499"/>
      <c r="X558" s="499"/>
      <c r="Y558" s="499"/>
      <c r="Z558" s="499"/>
      <c r="AA558" s="499"/>
      <c r="AB558" s="499"/>
      <c r="AC558" s="499"/>
      <c r="AD558" s="499"/>
      <c r="AE558" s="499"/>
      <c r="AF558" s="499"/>
      <c r="AG558" s="499"/>
      <c r="AH558" s="499"/>
      <c r="AI558" s="499"/>
      <c r="AJ558" s="499"/>
      <c r="AK558" s="499"/>
      <c r="AL558" s="499"/>
      <c r="AM558" s="499"/>
      <c r="AN558" s="499"/>
      <c r="AO558" s="499"/>
      <c r="AP558" s="499"/>
      <c r="AQ558" s="499"/>
      <c r="AR558" s="499"/>
      <c r="AS558" s="499"/>
      <c r="AT558" s="499"/>
      <c r="AU558" s="499"/>
      <c r="AV558" s="499"/>
      <c r="AW558" s="499"/>
      <c r="AX558" s="499"/>
      <c r="AY558" s="499"/>
      <c r="AZ558" s="499"/>
      <c r="BA558" s="499"/>
      <c r="BB558" s="499"/>
      <c r="BC558" s="499"/>
      <c r="BD558" s="499"/>
      <c r="BE558" s="499"/>
      <c r="BF558" s="499"/>
      <c r="BG558" s="499"/>
      <c r="BH558" s="499"/>
      <c r="BI558" s="499"/>
      <c r="BJ558" s="499"/>
      <c r="BK558" s="499"/>
      <c r="BL558" s="499"/>
      <c r="BM558" s="499"/>
      <c r="BN558" s="499"/>
      <c r="BO558" s="499"/>
    </row>
    <row r="559" spans="3:67">
      <c r="C559" s="394"/>
      <c r="D559" s="394"/>
      <c r="E559" s="394"/>
      <c r="F559" s="394"/>
      <c r="G559" s="394"/>
      <c r="H559" s="394"/>
      <c r="I559" s="394"/>
      <c r="J559" s="394"/>
      <c r="K559" s="394"/>
      <c r="L559" s="394"/>
      <c r="M559" s="394"/>
      <c r="N559" s="394"/>
      <c r="O559" s="394"/>
      <c r="P559" s="394"/>
      <c r="Q559" s="394"/>
      <c r="R559" s="394"/>
      <c r="S559" s="394"/>
      <c r="T559" s="394"/>
      <c r="U559" s="394"/>
      <c r="V559" s="394"/>
      <c r="W559" s="394"/>
      <c r="X559" s="394"/>
      <c r="Y559" s="394"/>
      <c r="Z559" s="394"/>
      <c r="AA559" s="394"/>
      <c r="AB559" s="394"/>
      <c r="AC559" s="394"/>
      <c r="AD559" s="394"/>
      <c r="AE559" s="394"/>
      <c r="AF559" s="394"/>
      <c r="AG559" s="394"/>
      <c r="AH559" s="394"/>
      <c r="AI559" s="394"/>
      <c r="AJ559" s="394"/>
      <c r="AK559" s="394"/>
      <c r="AL559" s="394"/>
      <c r="AM559" s="394"/>
      <c r="AN559" s="394"/>
      <c r="AO559" s="394"/>
      <c r="AP559" s="394"/>
      <c r="AQ559" s="394"/>
      <c r="AR559" s="394"/>
      <c r="AS559" s="394"/>
      <c r="AT559" s="394"/>
      <c r="AU559" s="394"/>
      <c r="AV559" s="394"/>
      <c r="AW559" s="394"/>
      <c r="AX559" s="394"/>
      <c r="AY559" s="394"/>
      <c r="AZ559" s="394"/>
      <c r="BA559" s="394"/>
      <c r="BB559" s="394"/>
      <c r="BC559" s="394"/>
      <c r="BD559" s="394"/>
      <c r="BE559" s="394"/>
      <c r="BF559" s="394"/>
      <c r="BG559" s="394"/>
      <c r="BH559" s="394"/>
      <c r="BI559" s="394"/>
      <c r="BJ559" s="394"/>
      <c r="BK559" s="394"/>
      <c r="BL559" s="394"/>
      <c r="BM559" s="394"/>
      <c r="BN559" s="394"/>
      <c r="BO559" s="394"/>
    </row>
    <row r="560" spans="3:67">
      <c r="C560" s="394"/>
      <c r="D560" s="394"/>
      <c r="E560" s="394"/>
      <c r="F560" s="394"/>
      <c r="G560" s="394"/>
      <c r="H560" s="394"/>
      <c r="I560" s="394"/>
      <c r="J560" s="394"/>
      <c r="K560" s="394"/>
      <c r="L560" s="394"/>
      <c r="M560" s="394"/>
      <c r="N560" s="394"/>
      <c r="O560" s="394"/>
      <c r="P560" s="394"/>
      <c r="Q560" s="394"/>
      <c r="R560" s="394"/>
      <c r="S560" s="394"/>
      <c r="T560" s="394"/>
      <c r="U560" s="394"/>
      <c r="V560" s="394"/>
      <c r="W560" s="394"/>
      <c r="X560" s="394"/>
      <c r="Y560" s="394"/>
      <c r="Z560" s="394"/>
      <c r="AA560" s="394"/>
      <c r="AB560" s="394"/>
      <c r="AC560" s="394"/>
      <c r="AD560" s="394"/>
      <c r="AE560" s="394"/>
      <c r="AF560" s="394"/>
      <c r="AG560" s="394"/>
      <c r="AH560" s="394"/>
      <c r="AI560" s="394"/>
      <c r="AJ560" s="394"/>
      <c r="AK560" s="394"/>
      <c r="AL560" s="394"/>
      <c r="AM560" s="394"/>
      <c r="AN560" s="394"/>
      <c r="AO560" s="394"/>
      <c r="AP560" s="394"/>
      <c r="AQ560" s="394"/>
      <c r="AR560" s="394"/>
      <c r="AS560" s="394"/>
      <c r="AT560" s="394"/>
      <c r="AU560" s="394"/>
      <c r="AV560" s="394"/>
      <c r="AW560" s="394"/>
      <c r="AX560" s="394"/>
      <c r="AY560" s="394"/>
      <c r="AZ560" s="394"/>
      <c r="BA560" s="394"/>
      <c r="BB560" s="394"/>
      <c r="BC560" s="394"/>
      <c r="BD560" s="394"/>
      <c r="BE560" s="394"/>
      <c r="BF560" s="394"/>
      <c r="BG560" s="394"/>
      <c r="BH560" s="394"/>
      <c r="BI560" s="394"/>
      <c r="BJ560" s="394"/>
      <c r="BK560" s="394"/>
      <c r="BL560" s="394"/>
      <c r="BM560" s="394"/>
      <c r="BN560" s="394"/>
      <c r="BO560" s="394"/>
    </row>
    <row r="561" spans="3:67">
      <c r="C561" s="541"/>
      <c r="D561" s="490"/>
      <c r="E561" s="490"/>
      <c r="F561" s="490"/>
      <c r="G561" s="490"/>
      <c r="H561" s="541"/>
      <c r="I561" s="490"/>
      <c r="J561" s="490"/>
      <c r="K561" s="490"/>
      <c r="L561" s="490"/>
      <c r="M561" s="541"/>
      <c r="N561" s="490"/>
      <c r="O561" s="490"/>
      <c r="P561" s="490"/>
      <c r="Q561" s="490"/>
      <c r="R561" s="541"/>
      <c r="S561" s="490"/>
      <c r="T561" s="490"/>
      <c r="U561" s="490"/>
      <c r="V561" s="490"/>
      <c r="W561" s="541"/>
      <c r="X561" s="490"/>
      <c r="Y561" s="490"/>
      <c r="Z561" s="490"/>
      <c r="AA561" s="490"/>
      <c r="AB561" s="541"/>
      <c r="AC561" s="490"/>
      <c r="AD561" s="490"/>
      <c r="AE561" s="490"/>
      <c r="AF561" s="490"/>
      <c r="AG561" s="541"/>
      <c r="AH561" s="490"/>
      <c r="AI561" s="490"/>
      <c r="AJ561" s="490"/>
      <c r="AK561" s="490"/>
      <c r="AL561" s="541"/>
      <c r="AM561" s="490"/>
      <c r="AN561" s="490"/>
      <c r="AO561" s="490"/>
      <c r="AP561" s="490"/>
      <c r="AQ561" s="541"/>
      <c r="AR561" s="490"/>
      <c r="AS561" s="490"/>
      <c r="AT561" s="490"/>
      <c r="AU561" s="490"/>
      <c r="AV561" s="541"/>
      <c r="AW561" s="490"/>
      <c r="AX561" s="490"/>
      <c r="AY561" s="490"/>
      <c r="AZ561" s="490"/>
      <c r="BA561" s="541"/>
      <c r="BB561" s="490"/>
      <c r="BC561" s="490"/>
      <c r="BD561" s="490"/>
      <c r="BE561" s="490"/>
      <c r="BF561" s="541"/>
      <c r="BG561" s="490"/>
      <c r="BH561" s="490"/>
      <c r="BI561" s="490"/>
      <c r="BJ561" s="490"/>
      <c r="BK561" s="541"/>
      <c r="BL561" s="490"/>
      <c r="BM561" s="490"/>
      <c r="BN561" s="490"/>
      <c r="BO561" s="490"/>
    </row>
  </sheetData>
  <pageMargins left="0.7" right="0.7" top="0.75" bottom="0.75" header="0.3" footer="0.3"/>
  <pageSetup orientation="portrait" r:id="rId1"/>
  <customProperties>
    <customPr name="Qube.Worksheet.Visibility" r:id="rId2"/>
    <customPr name="QXL_SHEET_ID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9BD2-8E52-49A6-B70B-AEB190828BBD}">
  <sheetPr>
    <tabColor theme="4"/>
  </sheetPr>
  <dimension ref="A1:BO533"/>
  <sheetViews>
    <sheetView showGridLines="0" zoomScaleNormal="100" workbookViewId="0">
      <pane xSplit="2" ySplit="8" topLeftCell="AQ9" activePane="bottomRight" state="frozen"/>
      <selection activeCell="A90" sqref="A90"/>
      <selection pane="topRight" activeCell="A90" sqref="A90"/>
      <selection pane="bottomLeft" activeCell="A90" sqref="A90"/>
      <selection pane="bottomRight"/>
    </sheetView>
  </sheetViews>
  <sheetFormatPr defaultRowHeight="12.75" outlineLevelRow="1" outlineLevelCol="1"/>
  <cols>
    <col min="1" max="1" width="3.7109375" style="107" customWidth="1"/>
    <col min="2" max="2" width="36.42578125" bestFit="1" customWidth="1"/>
    <col min="3" max="6" width="0" hidden="1" customWidth="1" outlineLevel="1"/>
    <col min="7" max="7" width="9.140625" collapsed="1"/>
    <col min="8" max="11" width="0" hidden="1" customWidth="1" outlineLevel="1"/>
    <col min="12" max="12" width="9.140625" collapsed="1"/>
    <col min="13" max="16" width="0" hidden="1" customWidth="1" outlineLevel="1"/>
    <col min="17" max="17" width="9.140625" collapsed="1"/>
    <col min="18" max="21" width="0" hidden="1" customWidth="1" outlineLevel="1"/>
    <col min="22" max="22" width="9.140625" collapsed="1"/>
    <col min="23" max="26" width="0" hidden="1" customWidth="1" outlineLevel="1"/>
    <col min="27" max="27" width="9.140625" collapsed="1"/>
    <col min="28" max="31" width="0" hidden="1" customWidth="1" outlineLevel="1"/>
    <col min="32" max="32" width="9.140625" collapsed="1"/>
    <col min="33" max="36" width="0" hidden="1" customWidth="1" outlineLevel="1"/>
    <col min="37" max="37" width="9.140625" collapsed="1"/>
    <col min="38" max="41" width="9.140625" hidden="1" customWidth="1" outlineLevel="1"/>
    <col min="42" max="42" width="9.140625" collapsed="1"/>
    <col min="43" max="46" width="9.140625" customWidth="1" outlineLevel="1"/>
    <col min="48" max="51" width="9.140625" customWidth="1" outlineLevel="1"/>
    <col min="53" max="56" width="9.140625" customWidth="1" outlineLevel="1"/>
    <col min="58" max="61" width="9.140625" hidden="1" customWidth="1" outlineLevel="1"/>
    <col min="62" max="62" width="9.140625" collapsed="1"/>
    <col min="63" max="66" width="0" hidden="1" customWidth="1" outlineLevel="1"/>
    <col min="67" max="67" width="9.140625" collapsed="1"/>
  </cols>
  <sheetData>
    <row r="1" spans="1:67" s="58" customFormat="1">
      <c r="A1" s="107"/>
      <c r="C1" s="362"/>
      <c r="D1" s="363"/>
      <c r="E1" s="363"/>
      <c r="F1" s="363"/>
      <c r="G1" s="363"/>
      <c r="H1" s="362"/>
      <c r="I1" s="363"/>
      <c r="J1" s="363"/>
      <c r="K1" s="363"/>
      <c r="L1" s="363"/>
      <c r="M1" s="362"/>
      <c r="N1" s="363"/>
      <c r="O1" s="363"/>
      <c r="P1" s="363"/>
      <c r="Q1" s="363"/>
      <c r="R1" s="362"/>
      <c r="S1" s="363"/>
      <c r="T1" s="363"/>
      <c r="U1" s="363"/>
      <c r="V1" s="363"/>
      <c r="W1" s="362"/>
      <c r="X1" s="363"/>
      <c r="Y1" s="363"/>
      <c r="Z1" s="363"/>
      <c r="AA1" s="363"/>
      <c r="AB1" s="362"/>
      <c r="AC1" s="363"/>
      <c r="AD1" s="363"/>
      <c r="AE1" s="363"/>
      <c r="AF1" s="363"/>
      <c r="AG1" s="362"/>
      <c r="AH1" s="363"/>
      <c r="AI1" s="363"/>
      <c r="AJ1" s="363"/>
      <c r="AK1" s="363"/>
      <c r="AL1" s="362"/>
      <c r="AM1" s="363"/>
      <c r="AN1" s="363"/>
      <c r="AO1" s="363"/>
      <c r="AP1" s="363"/>
      <c r="AQ1" s="362"/>
      <c r="AR1" s="363"/>
      <c r="AS1" s="363"/>
      <c r="AT1" s="363"/>
      <c r="AU1" s="363"/>
      <c r="AV1" s="362"/>
      <c r="AW1" s="363"/>
      <c r="AX1" s="363"/>
      <c r="AY1" s="363"/>
      <c r="AZ1" s="363"/>
      <c r="BA1" s="362"/>
      <c r="BB1" s="363"/>
      <c r="BC1" s="363"/>
      <c r="BD1" s="363"/>
      <c r="BE1" s="363"/>
      <c r="BF1" s="362"/>
      <c r="BG1" s="363"/>
      <c r="BH1" s="363"/>
      <c r="BI1" s="363"/>
      <c r="BJ1" s="363"/>
      <c r="BK1" s="362"/>
      <c r="BL1" s="363"/>
      <c r="BM1" s="363"/>
      <c r="BN1" s="363"/>
      <c r="BO1" s="363"/>
    </row>
    <row r="2" spans="1:67" s="58" customFormat="1">
      <c r="A2" s="107"/>
      <c r="B2" s="608" t="s">
        <v>29</v>
      </c>
      <c r="C2" s="362"/>
      <c r="D2" s="363"/>
      <c r="E2" s="363"/>
      <c r="F2" s="363"/>
      <c r="G2" s="363"/>
      <c r="H2" s="362"/>
      <c r="I2" s="363"/>
      <c r="J2" s="363"/>
      <c r="K2" s="363"/>
      <c r="L2" s="363"/>
      <c r="M2" s="362"/>
      <c r="N2" s="363"/>
      <c r="O2" s="363"/>
      <c r="P2" s="363"/>
      <c r="Q2" s="363"/>
      <c r="R2" s="362"/>
      <c r="S2" s="363"/>
      <c r="T2" s="363"/>
      <c r="U2" s="363"/>
      <c r="V2" s="363"/>
      <c r="W2" s="362"/>
      <c r="X2" s="363"/>
      <c r="Y2" s="363"/>
      <c r="Z2" s="363"/>
      <c r="AA2" s="363"/>
      <c r="AB2" s="362"/>
      <c r="AC2" s="363"/>
      <c r="AD2" s="363"/>
      <c r="AE2" s="363"/>
      <c r="AF2" s="363"/>
      <c r="AG2" s="362"/>
      <c r="AH2" s="363"/>
      <c r="AI2" s="363"/>
      <c r="AJ2" s="363"/>
      <c r="AK2" s="363"/>
      <c r="AL2" s="947"/>
      <c r="AM2" s="947"/>
      <c r="AN2" s="947"/>
      <c r="AO2" s="947"/>
      <c r="AP2" s="947"/>
      <c r="AQ2" s="947"/>
      <c r="AR2" s="363"/>
      <c r="AS2" s="363"/>
      <c r="AT2" s="363"/>
      <c r="AU2" s="363"/>
      <c r="AV2" s="362"/>
      <c r="AW2" s="363"/>
      <c r="AX2" s="363"/>
      <c r="AY2" s="363"/>
      <c r="AZ2" s="363"/>
      <c r="BA2" s="362"/>
      <c r="BB2" s="363"/>
      <c r="BC2" s="363"/>
      <c r="BD2" s="363"/>
      <c r="BE2" s="363"/>
      <c r="BF2" s="362"/>
      <c r="BG2" s="363"/>
      <c r="BH2" s="363"/>
      <c r="BI2" s="363"/>
      <c r="BJ2" s="363"/>
      <c r="BK2" s="362"/>
      <c r="BL2" s="363"/>
      <c r="BM2" s="363"/>
      <c r="BN2" s="363"/>
      <c r="BO2" s="363"/>
    </row>
    <row r="3" spans="1:67" s="58" customFormat="1">
      <c r="A3" s="107"/>
      <c r="B3" s="608" t="s">
        <v>198</v>
      </c>
      <c r="C3" s="362"/>
      <c r="D3" s="363"/>
      <c r="E3" s="363"/>
      <c r="F3" s="363"/>
      <c r="G3" s="363"/>
      <c r="H3" s="362"/>
      <c r="I3" s="363"/>
      <c r="J3" s="363"/>
      <c r="K3" s="363"/>
      <c r="L3" s="363"/>
      <c r="M3" s="362"/>
      <c r="N3" s="363"/>
      <c r="O3" s="363"/>
      <c r="P3" s="363"/>
      <c r="Q3" s="363"/>
      <c r="R3" s="362"/>
      <c r="S3" s="363"/>
      <c r="T3" s="363"/>
      <c r="U3" s="363"/>
      <c r="V3" s="363"/>
      <c r="W3" s="362"/>
      <c r="X3" s="363"/>
      <c r="Y3" s="363"/>
      <c r="Z3" s="363"/>
      <c r="AA3" s="363"/>
      <c r="AB3" s="362"/>
      <c r="AC3" s="363"/>
      <c r="AD3" s="363"/>
      <c r="AE3" s="363"/>
      <c r="AF3" s="363"/>
      <c r="AG3" s="362"/>
      <c r="AH3" s="363"/>
      <c r="AI3" s="363"/>
      <c r="AJ3" s="363"/>
      <c r="AK3" s="363"/>
      <c r="AL3" s="362"/>
      <c r="AM3" s="363"/>
      <c r="AN3" s="363"/>
      <c r="AO3" s="363"/>
      <c r="AP3" s="363"/>
      <c r="AQ3" s="362"/>
      <c r="AR3" s="363"/>
      <c r="AS3" s="363"/>
      <c r="AT3" s="363"/>
      <c r="AU3" s="363"/>
      <c r="AV3" s="469"/>
      <c r="AW3" s="469"/>
      <c r="AX3" s="469"/>
      <c r="AY3" s="469"/>
      <c r="AZ3" s="363"/>
      <c r="BA3" s="469"/>
      <c r="BB3" s="469"/>
      <c r="BC3" s="469"/>
      <c r="BD3" s="469"/>
      <c r="BE3" s="363"/>
      <c r="BF3" s="469"/>
      <c r="BG3" s="469"/>
      <c r="BH3" s="469"/>
      <c r="BI3" s="469"/>
      <c r="BJ3" s="363"/>
      <c r="BK3" s="469"/>
      <c r="BL3" s="469"/>
      <c r="BM3" s="469"/>
      <c r="BN3" s="469"/>
      <c r="BO3" s="363"/>
    </row>
    <row r="4" spans="1:67" s="58" customFormat="1">
      <c r="A4" s="107"/>
      <c r="B4" s="608" t="s">
        <v>28</v>
      </c>
      <c r="C4" s="362"/>
      <c r="D4" s="363"/>
      <c r="E4" s="363"/>
      <c r="F4" s="363"/>
      <c r="G4" s="363"/>
      <c r="H4" s="362"/>
      <c r="I4" s="363"/>
      <c r="J4" s="363"/>
      <c r="K4" s="363"/>
      <c r="L4" s="363"/>
      <c r="M4" s="362"/>
      <c r="N4" s="363"/>
      <c r="O4" s="363"/>
      <c r="P4" s="363"/>
      <c r="Q4" s="363"/>
      <c r="R4" s="362"/>
      <c r="S4" s="363"/>
      <c r="T4" s="363"/>
      <c r="U4" s="363"/>
      <c r="V4" s="363"/>
      <c r="W4" s="362"/>
      <c r="X4" s="363"/>
      <c r="Y4" s="363"/>
      <c r="Z4" s="363"/>
      <c r="AA4" s="363"/>
      <c r="AB4" s="362"/>
      <c r="AC4" s="363"/>
      <c r="AD4" s="363"/>
      <c r="AE4" s="363"/>
      <c r="AF4" s="363"/>
      <c r="AG4" s="362"/>
      <c r="AH4" s="363"/>
      <c r="AI4" s="363"/>
      <c r="AJ4" s="363"/>
      <c r="AK4" s="363"/>
      <c r="AL4" s="362"/>
      <c r="AM4" s="363"/>
      <c r="AN4" s="363"/>
      <c r="AO4" s="363"/>
      <c r="AP4" s="1248"/>
      <c r="AQ4" s="362"/>
      <c r="AR4" s="469"/>
      <c r="AS4" s="469"/>
      <c r="AT4" s="469"/>
      <c r="AU4" s="363"/>
      <c r="AV4" s="949"/>
      <c r="AW4" s="949"/>
      <c r="AX4" s="949"/>
      <c r="AY4" s="949"/>
      <c r="AZ4" s="363"/>
      <c r="BA4" s="949"/>
      <c r="BB4" s="949"/>
      <c r="BC4" s="949"/>
      <c r="BD4" s="949"/>
      <c r="BE4" s="363"/>
      <c r="BF4" s="949"/>
      <c r="BG4" s="949"/>
      <c r="BH4" s="949"/>
      <c r="BI4" s="949"/>
      <c r="BJ4" s="363"/>
      <c r="BK4" s="949"/>
      <c r="BL4" s="949"/>
      <c r="BM4" s="949"/>
      <c r="BN4" s="949"/>
      <c r="BO4" s="363"/>
    </row>
    <row r="5" spans="1:67" s="58" customFormat="1">
      <c r="A5" s="107"/>
      <c r="C5" s="362"/>
      <c r="D5" s="363"/>
      <c r="E5" s="363"/>
      <c r="F5" s="363"/>
      <c r="G5" s="363"/>
      <c r="H5" s="362"/>
      <c r="I5" s="363"/>
      <c r="J5" s="363"/>
      <c r="K5" s="363"/>
      <c r="L5" s="363"/>
      <c r="M5" s="362"/>
      <c r="N5" s="363"/>
      <c r="O5" s="363"/>
      <c r="P5" s="363"/>
      <c r="Q5" s="363"/>
      <c r="R5" s="362"/>
      <c r="S5" s="363"/>
      <c r="T5" s="363"/>
      <c r="U5" s="363"/>
      <c r="V5" s="363"/>
      <c r="W5" s="362"/>
      <c r="X5" s="363"/>
      <c r="Y5" s="363"/>
      <c r="Z5" s="363"/>
      <c r="AA5" s="363"/>
      <c r="AB5" s="362"/>
      <c r="AC5" s="363"/>
      <c r="AD5" s="363"/>
      <c r="AE5" s="363"/>
      <c r="AF5" s="363"/>
      <c r="AG5" s="362"/>
      <c r="AH5" s="363"/>
      <c r="AI5" s="363"/>
      <c r="AJ5" s="363"/>
      <c r="AK5" s="363"/>
      <c r="AL5" s="362"/>
      <c r="AM5" s="363"/>
      <c r="AN5" s="363"/>
      <c r="AO5" s="363"/>
      <c r="AP5" s="363"/>
      <c r="AQ5" s="362"/>
      <c r="AR5" s="363"/>
      <c r="AS5" s="363"/>
      <c r="AT5" s="363"/>
      <c r="AU5" s="363"/>
      <c r="AV5" s="362"/>
      <c r="AW5" s="363"/>
      <c r="AX5" s="363"/>
      <c r="AY5" s="363"/>
      <c r="AZ5" s="363"/>
      <c r="BA5" s="362"/>
      <c r="BB5" s="363"/>
      <c r="BC5" s="363"/>
      <c r="BD5" s="363"/>
      <c r="BE5" s="363"/>
      <c r="BF5" s="362"/>
      <c r="BG5" s="363"/>
      <c r="BH5" s="363"/>
      <c r="BI5" s="363"/>
      <c r="BJ5" s="363"/>
      <c r="BK5" s="362"/>
      <c r="BL5" s="363"/>
      <c r="BM5" s="363"/>
      <c r="BN5" s="363"/>
      <c r="BO5" s="363"/>
    </row>
    <row r="6" spans="1:67" s="58" customFormat="1" ht="15">
      <c r="A6" s="107"/>
      <c r="C6" s="60" t="str">
        <f>Dates!M3</f>
        <v>2018 (A)</v>
      </c>
      <c r="D6" s="60"/>
      <c r="E6" s="60"/>
      <c r="F6" s="60"/>
      <c r="H6" s="60" t="str">
        <f>Dates!R3</f>
        <v>2019 (A)</v>
      </c>
      <c r="I6" s="60"/>
      <c r="J6" s="60"/>
      <c r="K6" s="60"/>
      <c r="M6" s="60" t="str">
        <f>Dates!W3</f>
        <v>2020 (A)</v>
      </c>
      <c r="N6" s="60"/>
      <c r="O6" s="60"/>
      <c r="P6" s="60"/>
      <c r="R6" s="60" t="str">
        <f>Dates!AB3</f>
        <v>2021 (A)</v>
      </c>
      <c r="S6" s="60"/>
      <c r="T6" s="60"/>
      <c r="U6" s="60"/>
      <c r="W6" s="60" t="str">
        <f>Dates!AG3</f>
        <v>2022 (A)</v>
      </c>
      <c r="X6" s="60"/>
      <c r="Y6" s="60"/>
      <c r="Z6" s="60"/>
      <c r="AB6" s="60" t="str">
        <f>Dates!AL3</f>
        <v>2023 (A)</v>
      </c>
      <c r="AC6" s="60"/>
      <c r="AD6" s="60"/>
      <c r="AE6" s="60"/>
      <c r="AG6" s="60" t="str">
        <f>Dates!AQ3</f>
        <v>2024 (A)</v>
      </c>
      <c r="AH6" s="60"/>
      <c r="AI6" s="60"/>
      <c r="AJ6" s="60"/>
      <c r="AL6" s="60" t="str">
        <f>Dates!AV3</f>
        <v>2025 (A)</v>
      </c>
      <c r="AM6" s="60"/>
      <c r="AN6" s="60"/>
      <c r="AO6" s="60"/>
      <c r="AQ6" s="60" t="str">
        <f>Dates!BA3</f>
        <v>2026 (E)</v>
      </c>
      <c r="AR6" s="60"/>
      <c r="AS6" s="60"/>
      <c r="AT6" s="60"/>
      <c r="AV6" s="60" t="str">
        <f>Dates!BF3</f>
        <v>2027 (E)</v>
      </c>
      <c r="AW6" s="60"/>
      <c r="AX6" s="60"/>
      <c r="AY6" s="60"/>
      <c r="BA6" s="60" t="str">
        <f>Dates!BK3</f>
        <v>2028 (E)</v>
      </c>
      <c r="BB6" s="60"/>
      <c r="BC6" s="60"/>
      <c r="BD6" s="60"/>
      <c r="BF6" s="60" t="str">
        <f>Dates!BP3</f>
        <v>2029 (E)</v>
      </c>
      <c r="BG6" s="60"/>
      <c r="BH6" s="60"/>
      <c r="BI6" s="60"/>
      <c r="BK6" s="60" t="str">
        <f>Dates!BU3</f>
        <v>2030 (E)</v>
      </c>
      <c r="BL6" s="60"/>
      <c r="BM6" s="60"/>
      <c r="BN6" s="60"/>
    </row>
    <row r="7" spans="1:67" s="58" customFormat="1">
      <c r="A7" s="107"/>
      <c r="C7" s="366" t="str">
        <f>Dates!M4</f>
        <v>1Q18 (A)</v>
      </c>
      <c r="D7" s="366" t="str">
        <f>Dates!N4</f>
        <v>2Q18 (A)</v>
      </c>
      <c r="E7" s="366" t="str">
        <f>Dates!O4</f>
        <v>3Q18 (A)</v>
      </c>
      <c r="F7" s="366" t="str">
        <f>Dates!P4</f>
        <v>4Q18 (A)</v>
      </c>
      <c r="G7" s="367" t="str">
        <f>Dates!Q4</f>
        <v>FY18 (A)</v>
      </c>
      <c r="H7" s="366" t="str">
        <f>Dates!R4</f>
        <v>1Q19 (A)</v>
      </c>
      <c r="I7" s="366" t="str">
        <f>Dates!S4</f>
        <v>2Q19 (A)</v>
      </c>
      <c r="J7" s="366" t="str">
        <f>Dates!T4</f>
        <v>3Q19 (A)</v>
      </c>
      <c r="K7" s="366" t="str">
        <f>Dates!U4</f>
        <v>4Q19 (A)</v>
      </c>
      <c r="L7" s="367" t="str">
        <f>Dates!V4</f>
        <v>FY19 (A)</v>
      </c>
      <c r="M7" s="366" t="str">
        <f>Dates!W4</f>
        <v>1Q20 (A)</v>
      </c>
      <c r="N7" s="366" t="str">
        <f>Dates!X4</f>
        <v>2Q20 (A)</v>
      </c>
      <c r="O7" s="366" t="str">
        <f>Dates!Y4</f>
        <v>3Q20 (A)</v>
      </c>
      <c r="P7" s="366" t="str">
        <f>Dates!Z4</f>
        <v>4Q20 (A)</v>
      </c>
      <c r="Q7" s="367" t="str">
        <f>Dates!AA4</f>
        <v>FY20 (A)</v>
      </c>
      <c r="R7" s="366" t="str">
        <f>Dates!AB4</f>
        <v>1Q21 (A)</v>
      </c>
      <c r="S7" s="366" t="str">
        <f>Dates!AC4</f>
        <v>2Q21 (A)</v>
      </c>
      <c r="T7" s="366" t="str">
        <f>Dates!AD4</f>
        <v>3Q21 (A)</v>
      </c>
      <c r="U7" s="366" t="str">
        <f>Dates!AE4</f>
        <v>4Q21 (A)</v>
      </c>
      <c r="V7" s="367" t="str">
        <f>Dates!AF4</f>
        <v>FY21 (A)</v>
      </c>
      <c r="W7" s="366" t="str">
        <f>Dates!AG4</f>
        <v>1Q22 (A)</v>
      </c>
      <c r="X7" s="366" t="str">
        <f>Dates!AH4</f>
        <v>2Q22 (A)</v>
      </c>
      <c r="Y7" s="366" t="str">
        <f>Dates!AI4</f>
        <v>3Q22 (A)</v>
      </c>
      <c r="Z7" s="366" t="str">
        <f>Dates!AJ4</f>
        <v>4Q22 (A)</v>
      </c>
      <c r="AA7" s="367" t="str">
        <f>Dates!AK4</f>
        <v>FY22 (A)</v>
      </c>
      <c r="AB7" s="366" t="str">
        <f>Dates!AL4</f>
        <v>1Q23 (A)</v>
      </c>
      <c r="AC7" s="366" t="str">
        <f>Dates!AM4</f>
        <v>2Q23 (A)</v>
      </c>
      <c r="AD7" s="366" t="str">
        <f>Dates!AN4</f>
        <v>3Q23 (A)</v>
      </c>
      <c r="AE7" s="366" t="str">
        <f>Dates!AO4</f>
        <v>4Q23 (A)</v>
      </c>
      <c r="AF7" s="367" t="str">
        <f>Dates!AP4</f>
        <v>FY23 (A)</v>
      </c>
      <c r="AG7" s="366" t="str">
        <f>Dates!AQ4</f>
        <v>1Q24 (A)</v>
      </c>
      <c r="AH7" s="366" t="str">
        <f>Dates!AR4</f>
        <v>2Q24 (A)</v>
      </c>
      <c r="AI7" s="366" t="str">
        <f>Dates!AS4</f>
        <v>3Q24 (A)</v>
      </c>
      <c r="AJ7" s="366" t="str">
        <f>Dates!AT4</f>
        <v>4Q24 (A)</v>
      </c>
      <c r="AK7" s="367" t="str">
        <f>Dates!AU4</f>
        <v>FY24 (A)</v>
      </c>
      <c r="AL7" s="366" t="str">
        <f>Dates!AV4</f>
        <v>1Q25 (A)</v>
      </c>
      <c r="AM7" s="366" t="str">
        <f>Dates!AW4</f>
        <v>2Q25 (A)</v>
      </c>
      <c r="AN7" s="366" t="str">
        <f>Dates!AX4</f>
        <v>3Q25 (A)</v>
      </c>
      <c r="AO7" s="366" t="str">
        <f>Dates!AY4</f>
        <v>4Q25 (A)</v>
      </c>
      <c r="AP7" s="367" t="str">
        <f>Dates!AZ4</f>
        <v>FY25 (A)</v>
      </c>
      <c r="AQ7" s="366" t="str">
        <f>Dates!BA4</f>
        <v>1Q26 (A)</v>
      </c>
      <c r="AR7" s="366" t="str">
        <f>Dates!BB4</f>
        <v>2Q26 (A)</v>
      </c>
      <c r="AS7" s="366" t="str">
        <f>Dates!BC4</f>
        <v>3Q26 (A)</v>
      </c>
      <c r="AT7" s="366" t="str">
        <f>Dates!BD4</f>
        <v>4Q26 (E)</v>
      </c>
      <c r="AU7" s="367" t="str">
        <f>Dates!BE4</f>
        <v>FY26 (E)</v>
      </c>
      <c r="AV7" s="366" t="str">
        <f>Dates!BF4</f>
        <v>1Q27 (E)</v>
      </c>
      <c r="AW7" s="366" t="str">
        <f>Dates!BG4</f>
        <v>2Q27 (E)</v>
      </c>
      <c r="AX7" s="366" t="str">
        <f>Dates!BH4</f>
        <v>3Q27 (E)</v>
      </c>
      <c r="AY7" s="366" t="str">
        <f>Dates!BI4</f>
        <v>4Q27 (E)</v>
      </c>
      <c r="AZ7" s="367" t="str">
        <f>Dates!BJ4</f>
        <v>FY27 (E)</v>
      </c>
      <c r="BA7" s="366" t="str">
        <f>Dates!BK4</f>
        <v>1Q28 (E)</v>
      </c>
      <c r="BB7" s="366" t="str">
        <f>Dates!BL4</f>
        <v>2Q28 (E)</v>
      </c>
      <c r="BC7" s="366" t="str">
        <f>Dates!BM4</f>
        <v>3Q28 (E)</v>
      </c>
      <c r="BD7" s="366" t="str">
        <f>Dates!BN4</f>
        <v>4Q28 (E)</v>
      </c>
      <c r="BE7" s="367" t="str">
        <f>Dates!BO4</f>
        <v>FY28 (E)</v>
      </c>
      <c r="BF7" s="366" t="str">
        <f>Dates!BP4</f>
        <v>1Q29 (E)</v>
      </c>
      <c r="BG7" s="366" t="str">
        <f>Dates!BQ4</f>
        <v>2Q29 (E)</v>
      </c>
      <c r="BH7" s="366" t="str">
        <f>Dates!BR4</f>
        <v>3Q29 (E)</v>
      </c>
      <c r="BI7" s="366" t="str">
        <f>Dates!BS4</f>
        <v>4Q29 (E)</v>
      </c>
      <c r="BJ7" s="367" t="str">
        <f>Dates!BT4</f>
        <v>FY29 (E)</v>
      </c>
      <c r="BK7" s="366" t="str">
        <f>Dates!BU4</f>
        <v>1Q30 (E)</v>
      </c>
      <c r="BL7" s="366" t="str">
        <f>Dates!BV4</f>
        <v>2Q30 (E)</v>
      </c>
      <c r="BM7" s="366" t="str">
        <f>Dates!BW4</f>
        <v>3Q30 (E)</v>
      </c>
      <c r="BN7" s="366" t="str">
        <f>Dates!BX4</f>
        <v>4Q30 (E)</v>
      </c>
      <c r="BO7" s="367" t="str">
        <f>Dates!BY4</f>
        <v>FY30 (E)</v>
      </c>
    </row>
    <row r="8" spans="1:67" s="58" customFormat="1">
      <c r="A8" s="107"/>
      <c r="C8" s="368">
        <f>Dates!M5</f>
        <v>42855</v>
      </c>
      <c r="D8" s="368">
        <f>Dates!N5</f>
        <v>42947</v>
      </c>
      <c r="E8" s="368">
        <f>Dates!O5</f>
        <v>43039</v>
      </c>
      <c r="F8" s="368">
        <f>Dates!P5</f>
        <v>43131</v>
      </c>
      <c r="G8" s="369">
        <f>Dates!Q5</f>
        <v>43131</v>
      </c>
      <c r="H8" s="368">
        <f>Dates!R5</f>
        <v>43220</v>
      </c>
      <c r="I8" s="368">
        <f>Dates!S5</f>
        <v>43312</v>
      </c>
      <c r="J8" s="368">
        <f>Dates!T5</f>
        <v>43404</v>
      </c>
      <c r="K8" s="368">
        <f>Dates!U5</f>
        <v>43496</v>
      </c>
      <c r="L8" s="369">
        <f>Dates!V5</f>
        <v>43496</v>
      </c>
      <c r="M8" s="368">
        <f>Dates!W5</f>
        <v>43585</v>
      </c>
      <c r="N8" s="368">
        <f>Dates!X5</f>
        <v>43677</v>
      </c>
      <c r="O8" s="368">
        <f>Dates!Y5</f>
        <v>43769</v>
      </c>
      <c r="P8" s="368">
        <f>Dates!Z5</f>
        <v>43861</v>
      </c>
      <c r="Q8" s="369">
        <f>Dates!AA5</f>
        <v>43861</v>
      </c>
      <c r="R8" s="368">
        <f>Dates!AB5</f>
        <v>43951</v>
      </c>
      <c r="S8" s="368">
        <f>Dates!AC5</f>
        <v>44043</v>
      </c>
      <c r="T8" s="368">
        <f>Dates!AD5</f>
        <v>44135</v>
      </c>
      <c r="U8" s="368">
        <f>Dates!AE5</f>
        <v>44227</v>
      </c>
      <c r="V8" s="369">
        <f>Dates!AF5</f>
        <v>44227</v>
      </c>
      <c r="W8" s="368">
        <f>Dates!AG5</f>
        <v>44316</v>
      </c>
      <c r="X8" s="368">
        <f>Dates!AH5</f>
        <v>44408</v>
      </c>
      <c r="Y8" s="368">
        <f>Dates!AI5</f>
        <v>44500</v>
      </c>
      <c r="Z8" s="368">
        <f>Dates!AJ5</f>
        <v>44592</v>
      </c>
      <c r="AA8" s="369">
        <f>Dates!AK5</f>
        <v>44592</v>
      </c>
      <c r="AB8" s="368">
        <f>Dates!AL5</f>
        <v>44681</v>
      </c>
      <c r="AC8" s="368">
        <f>Dates!AM5</f>
        <v>44773</v>
      </c>
      <c r="AD8" s="368">
        <f>Dates!AN5</f>
        <v>44865</v>
      </c>
      <c r="AE8" s="368">
        <f>Dates!AO5</f>
        <v>44957</v>
      </c>
      <c r="AF8" s="369">
        <f>Dates!AP5</f>
        <v>44957</v>
      </c>
      <c r="AG8" s="368">
        <f>Dates!AQ5</f>
        <v>45046</v>
      </c>
      <c r="AH8" s="368">
        <f>Dates!AR5</f>
        <v>45138</v>
      </c>
      <c r="AI8" s="368">
        <f>Dates!AS5</f>
        <v>45230</v>
      </c>
      <c r="AJ8" s="368">
        <f>Dates!AT5</f>
        <v>45322</v>
      </c>
      <c r="AK8" s="369">
        <f>Dates!AU5</f>
        <v>45322</v>
      </c>
      <c r="AL8" s="368">
        <f>Dates!AV5</f>
        <v>45412</v>
      </c>
      <c r="AM8" s="368">
        <f>Dates!AW5</f>
        <v>45504</v>
      </c>
      <c r="AN8" s="368">
        <f>Dates!AX5</f>
        <v>45596</v>
      </c>
      <c r="AO8" s="368">
        <f>Dates!AY5</f>
        <v>45688</v>
      </c>
      <c r="AP8" s="369">
        <f>Dates!AZ5</f>
        <v>45688</v>
      </c>
      <c r="AQ8" s="368">
        <f>Dates!BA5</f>
        <v>45777</v>
      </c>
      <c r="AR8" s="368">
        <f>Dates!BB5</f>
        <v>45869</v>
      </c>
      <c r="AS8" s="368">
        <f>Dates!BC5</f>
        <v>45961</v>
      </c>
      <c r="AT8" s="368">
        <f>Dates!BD5</f>
        <v>46053</v>
      </c>
      <c r="AU8" s="369">
        <f>Dates!BE5</f>
        <v>46053</v>
      </c>
      <c r="AV8" s="368">
        <f>Dates!BF5</f>
        <v>46142</v>
      </c>
      <c r="AW8" s="368">
        <f>Dates!BG5</f>
        <v>46234</v>
      </c>
      <c r="AX8" s="368">
        <f>Dates!BH5</f>
        <v>46326</v>
      </c>
      <c r="AY8" s="368">
        <f>Dates!BI5</f>
        <v>46418</v>
      </c>
      <c r="AZ8" s="369">
        <f>Dates!BJ5</f>
        <v>46418</v>
      </c>
      <c r="BA8" s="368">
        <f>Dates!BK5</f>
        <v>46507</v>
      </c>
      <c r="BB8" s="368">
        <f>Dates!BL5</f>
        <v>46599</v>
      </c>
      <c r="BC8" s="368">
        <f>Dates!BM5</f>
        <v>46691</v>
      </c>
      <c r="BD8" s="368">
        <f>Dates!BN5</f>
        <v>46783</v>
      </c>
      <c r="BE8" s="369">
        <f>Dates!BO5</f>
        <v>46783</v>
      </c>
      <c r="BF8" s="368">
        <f>Dates!BP5</f>
        <v>46873</v>
      </c>
      <c r="BG8" s="368">
        <f>Dates!BQ5</f>
        <v>46965</v>
      </c>
      <c r="BH8" s="368">
        <f>Dates!BR5</f>
        <v>47057</v>
      </c>
      <c r="BI8" s="368">
        <f>Dates!BS5</f>
        <v>47149</v>
      </c>
      <c r="BJ8" s="369">
        <f>Dates!BT5</f>
        <v>47149</v>
      </c>
      <c r="BK8" s="368">
        <f>Dates!BU5</f>
        <v>47238</v>
      </c>
      <c r="BL8" s="368">
        <f>Dates!BV5</f>
        <v>47330</v>
      </c>
      <c r="BM8" s="368">
        <f>Dates!BW5</f>
        <v>47422</v>
      </c>
      <c r="BN8" s="368">
        <f>Dates!BX5</f>
        <v>47514</v>
      </c>
      <c r="BO8" s="369">
        <f>Dates!BY5</f>
        <v>47514</v>
      </c>
    </row>
    <row r="9" spans="1:67" s="58" customFormat="1">
      <c r="A9" s="107"/>
      <c r="C9" s="368"/>
      <c r="D9" s="368"/>
      <c r="E9" s="368"/>
      <c r="F9" s="368"/>
      <c r="G9" s="369"/>
      <c r="H9" s="368"/>
      <c r="I9" s="368"/>
      <c r="J9" s="368"/>
      <c r="K9" s="368"/>
      <c r="L9" s="369"/>
      <c r="M9" s="368"/>
      <c r="N9" s="368"/>
      <c r="O9" s="368"/>
      <c r="P9" s="368"/>
      <c r="Q9" s="369"/>
      <c r="R9" s="368"/>
      <c r="S9" s="368"/>
      <c r="T9" s="368"/>
      <c r="U9" s="368"/>
      <c r="V9" s="369"/>
      <c r="W9" s="368"/>
      <c r="X9" s="368"/>
      <c r="Y9" s="368"/>
      <c r="Z9" s="368"/>
      <c r="AA9" s="369"/>
      <c r="AB9" s="368"/>
      <c r="AC9" s="368"/>
      <c r="AD9" s="368"/>
      <c r="AE9" s="368"/>
      <c r="AF9" s="369"/>
      <c r="AG9" s="368"/>
      <c r="AH9" s="368"/>
      <c r="AI9" s="368"/>
      <c r="AJ9" s="368"/>
      <c r="AK9" s="369"/>
      <c r="AL9" s="368"/>
      <c r="AM9" s="368"/>
      <c r="AN9" s="368"/>
      <c r="AO9" s="368"/>
      <c r="AP9" s="369"/>
      <c r="AQ9" s="368"/>
      <c r="AR9" s="368"/>
      <c r="AS9" s="368"/>
      <c r="AT9" s="368"/>
      <c r="AU9" s="369"/>
      <c r="AV9" s="368"/>
      <c r="AW9" s="368"/>
      <c r="AX9" s="368"/>
      <c r="AY9" s="368"/>
      <c r="AZ9" s="369"/>
      <c r="BA9" s="368"/>
      <c r="BB9" s="368"/>
      <c r="BC9" s="368"/>
      <c r="BD9" s="368"/>
      <c r="BE9" s="369"/>
      <c r="BF9" s="368"/>
      <c r="BG9" s="368"/>
      <c r="BH9" s="368"/>
      <c r="BI9" s="368"/>
      <c r="BJ9" s="369"/>
      <c r="BK9" s="368"/>
      <c r="BL9" s="368"/>
      <c r="BM9" s="368"/>
      <c r="BN9" s="368"/>
      <c r="BO9" s="369"/>
    </row>
    <row r="10" spans="1:67" s="1416" customFormat="1">
      <c r="A10" s="425"/>
      <c r="B10" s="1413" t="s">
        <v>428</v>
      </c>
      <c r="C10" s="1414"/>
      <c r="D10" s="1414"/>
      <c r="E10" s="1414"/>
      <c r="F10" s="1414"/>
      <c r="G10" s="1415"/>
      <c r="H10" s="1414">
        <f>'IS (Non-GAAP)'!H10</f>
        <v>13.403</v>
      </c>
      <c r="I10" s="1414">
        <f>'IS (Non-GAAP)'!I10</f>
        <v>17.905000000000001</v>
      </c>
      <c r="J10" s="1414">
        <f>'IS (Non-GAAP)'!J10</f>
        <v>28.68</v>
      </c>
      <c r="K10" s="1414">
        <f>'IS (Non-GAAP)'!K10</f>
        <v>36.678000000000004</v>
      </c>
      <c r="L10" s="1415">
        <f>SUM(H10:K10)</f>
        <v>96.665999999999997</v>
      </c>
      <c r="M10" s="1414">
        <f>'IS (Non-GAAP)'!M10</f>
        <v>43.704999999999998</v>
      </c>
      <c r="N10" s="1414">
        <f>'IS (Non-GAAP)'!N10</f>
        <v>60.338999999999999</v>
      </c>
      <c r="O10" s="1414">
        <f>'IS (Non-GAAP)'!O10</f>
        <v>73.012</v>
      </c>
      <c r="P10" s="1414">
        <f>'IS (Non-GAAP)'!P10</f>
        <v>87.692000000000007</v>
      </c>
      <c r="Q10" s="1415">
        <f>SUM(M10:P10)</f>
        <v>264.74799999999999</v>
      </c>
      <c r="R10" s="1414">
        <f>'IS (Non-GAAP)'!R10</f>
        <v>108.815</v>
      </c>
      <c r="S10" s="1414">
        <f>'IS (Non-GAAP)'!S10</f>
        <v>133.14499999999998</v>
      </c>
      <c r="T10" s="1414">
        <f>'IS (Non-GAAP)'!T10</f>
        <v>159.62400000000002</v>
      </c>
      <c r="U10" s="1414">
        <f>'IS (Non-GAAP)'!U10</f>
        <v>190.465</v>
      </c>
      <c r="V10" s="1415">
        <f>SUM(R10:U10)</f>
        <v>592.04899999999998</v>
      </c>
      <c r="W10" s="1414">
        <f>'IS (Non-GAAP)'!W10</f>
        <v>228.91400000000002</v>
      </c>
      <c r="X10" s="1414">
        <f>'IS (Non-GAAP)'!X10</f>
        <v>272.19799999999998</v>
      </c>
      <c r="Y10" s="1414">
        <f>'IS (Non-GAAP)'!Y10</f>
        <v>334.44100000000003</v>
      </c>
      <c r="Z10" s="1414">
        <f>'IS (Non-GAAP)'!Z10</f>
        <v>383.774</v>
      </c>
      <c r="AA10" s="1415">
        <f>SUM(W10:Z10)</f>
        <v>1219.327</v>
      </c>
      <c r="AB10" s="1414">
        <f>'IS (Non-GAAP)'!AB10</f>
        <v>422.37100000000004</v>
      </c>
      <c r="AC10" s="1414">
        <f>'IS (Non-GAAP)'!AC10</f>
        <v>497.24799999999999</v>
      </c>
      <c r="AD10" s="1414">
        <f>'IS (Non-GAAP)'!AD10</f>
        <v>557.02799999999991</v>
      </c>
      <c r="AE10" s="1414">
        <f>'IS (Non-GAAP)'!AE10</f>
        <v>589.01199999999994</v>
      </c>
      <c r="AF10" s="1415">
        <f>SUM(AB10:AE10)</f>
        <v>2065.6589999999997</v>
      </c>
      <c r="AG10" s="1414">
        <f>'IS (Non-GAAP)'!AG10</f>
        <v>623.59900000000005</v>
      </c>
      <c r="AH10" s="1414">
        <f>'IS (Non-GAAP)'!AH10</f>
        <v>674.01799999999992</v>
      </c>
      <c r="AI10" s="1414">
        <f>'IS (Non-GAAP)'!AI10</f>
        <v>734.173</v>
      </c>
      <c r="AJ10" s="1414">
        <f>'IS (Non-GAAP)'!AJ10</f>
        <v>774.69900000000007</v>
      </c>
      <c r="AK10" s="1415">
        <f>SUM(AG10:AJ10)</f>
        <v>2806.489</v>
      </c>
      <c r="AL10" s="1414">
        <f>'IS (Non-GAAP)'!AL10</f>
        <v>828.70899999999995</v>
      </c>
      <c r="AM10" s="1414">
        <f>'IS (Non-GAAP)'!AM10</f>
        <v>868.82299999999998</v>
      </c>
      <c r="AN10" s="1414">
        <f>'IS (Non-GAAP)'!AN10</f>
        <v>942.09400000000005</v>
      </c>
      <c r="AO10" s="1414">
        <f>'IS (Non-GAAP)'!AO10</f>
        <v>986.77</v>
      </c>
      <c r="AP10" s="1415">
        <f>SUM(AL10:AO10)</f>
        <v>3626.3960000000002</v>
      </c>
      <c r="AQ10" s="1414">
        <f>'IS (Non-GAAP)'!AQ10</f>
        <v>1042.0740000000001</v>
      </c>
      <c r="AR10" s="1414">
        <f>'IS (Non-GAAP)'!AR10</f>
        <v>1144.9690000000001</v>
      </c>
      <c r="AS10" s="1414">
        <f>'IS (Non-GAAP)'!AS10</f>
        <v>1212.9089999999999</v>
      </c>
      <c r="AT10" s="1414">
        <f>'IS (Non-GAAP)'!AT10</f>
        <v>1248.8030560010045</v>
      </c>
      <c r="AU10" s="1415">
        <f>SUM(AQ10:AT10)</f>
        <v>4648.755056001005</v>
      </c>
      <c r="AV10" s="1414">
        <f>'IS (Non-GAAP)'!AV10</f>
        <v>1313.0109719722818</v>
      </c>
      <c r="AW10" s="1414">
        <f>'IS (Non-GAAP)'!AW10</f>
        <v>1415.0354199515693</v>
      </c>
      <c r="AX10" s="1414">
        <f>'IS (Non-GAAP)'!AX10</f>
        <v>1502.3143250154637</v>
      </c>
      <c r="AY10" s="1414">
        <f>'IS (Non-GAAP)'!AY10</f>
        <v>1549.2271503589259</v>
      </c>
      <c r="AZ10" s="1415">
        <f>SUM(AV10:AY10)</f>
        <v>5779.5878672982399</v>
      </c>
      <c r="BA10" s="1414">
        <f>'IS (Non-GAAP)'!BA10</f>
        <v>1629.2553267969927</v>
      </c>
      <c r="BB10" s="1414">
        <f>'IS (Non-GAAP)'!BB10</f>
        <v>1760.8179210723133</v>
      </c>
      <c r="BC10" s="1414">
        <f>'IS (Non-GAAP)'!BC10</f>
        <v>1874.5413502166089</v>
      </c>
      <c r="BD10" s="1414">
        <f>'IS (Non-GAAP)'!BD10</f>
        <v>1913.7313599297675</v>
      </c>
      <c r="BE10" s="1415">
        <f>SUM(BA10:BD10)</f>
        <v>7178.3459580156823</v>
      </c>
      <c r="BF10" s="1414">
        <f>'IS (Non-GAAP)'!BF10</f>
        <v>1996.5101842221654</v>
      </c>
      <c r="BG10" s="1414">
        <f>'IS (Non-GAAP)'!BG10</f>
        <v>2152.7279867089919</v>
      </c>
      <c r="BH10" s="1414">
        <f>'IS (Non-GAAP)'!BH10</f>
        <v>2332.7605630627686</v>
      </c>
      <c r="BI10" s="1414">
        <f>'IS (Non-GAAP)'!BI10</f>
        <v>2391.9908531909532</v>
      </c>
      <c r="BJ10" s="1415">
        <f>SUM(BF10:BI10)</f>
        <v>8873.9895871848785</v>
      </c>
      <c r="BK10" s="1414">
        <f>'IS (Non-GAAP)'!BK10</f>
        <v>2482.3191606008099</v>
      </c>
      <c r="BL10" s="1414">
        <f>'IS (Non-GAAP)'!BL10</f>
        <v>2642.738930392944</v>
      </c>
      <c r="BM10" s="1414">
        <f>'IS (Non-GAAP)'!BM10</f>
        <v>2883.1165247796034</v>
      </c>
      <c r="BN10" s="1414">
        <f>'IS (Non-GAAP)'!BN10</f>
        <v>2925.8127729876887</v>
      </c>
      <c r="BO10" s="1415">
        <f>SUM(BK10:BN10)</f>
        <v>10933.987388761047</v>
      </c>
    </row>
    <row r="11" spans="1:67" s="798" customFormat="1" outlineLevel="1">
      <c r="A11" s="319"/>
      <c r="B11" s="827" t="s">
        <v>32</v>
      </c>
      <c r="C11" s="611"/>
      <c r="D11" s="395"/>
      <c r="E11" s="395"/>
      <c r="F11" s="395"/>
      <c r="G11" s="828"/>
      <c r="H11" s="611" t="str">
        <f t="shared" ref="H11:AM11" si="0">IFERROR(H10/C10-1,"--")</f>
        <v>--</v>
      </c>
      <c r="I11" s="395" t="str">
        <f t="shared" si="0"/>
        <v>--</v>
      </c>
      <c r="J11" s="395" t="str">
        <f t="shared" si="0"/>
        <v>--</v>
      </c>
      <c r="K11" s="395" t="str">
        <f t="shared" si="0"/>
        <v>--</v>
      </c>
      <c r="L11" s="828" t="str">
        <f t="shared" si="0"/>
        <v>--</v>
      </c>
      <c r="M11" s="611">
        <f t="shared" si="0"/>
        <v>2.2608371260165634</v>
      </c>
      <c r="N11" s="395">
        <f t="shared" si="0"/>
        <v>2.3699525272270314</v>
      </c>
      <c r="O11" s="395">
        <f t="shared" si="0"/>
        <v>1.5457461645746164</v>
      </c>
      <c r="P11" s="395">
        <f t="shared" si="0"/>
        <v>1.3908610065979605</v>
      </c>
      <c r="Q11" s="828">
        <f t="shared" si="0"/>
        <v>1.7387913020089796</v>
      </c>
      <c r="R11" s="611">
        <f t="shared" si="0"/>
        <v>1.4897608969225491</v>
      </c>
      <c r="S11" s="395">
        <f t="shared" si="0"/>
        <v>1.2066159531977658</v>
      </c>
      <c r="T11" s="395">
        <f t="shared" si="0"/>
        <v>1.1862707500136969</v>
      </c>
      <c r="U11" s="395">
        <f t="shared" si="0"/>
        <v>1.1719769192172604</v>
      </c>
      <c r="V11" s="828">
        <f t="shared" si="0"/>
        <v>1.2362737395561063</v>
      </c>
      <c r="W11" s="611">
        <f t="shared" si="0"/>
        <v>1.1036989385654552</v>
      </c>
      <c r="X11" s="395">
        <f t="shared" si="0"/>
        <v>1.0443726764054229</v>
      </c>
      <c r="Y11" s="395">
        <f t="shared" si="0"/>
        <v>1.0951799228186236</v>
      </c>
      <c r="Z11" s="395">
        <f t="shared" si="0"/>
        <v>1.0149318772477884</v>
      </c>
      <c r="AA11" s="828">
        <f t="shared" si="0"/>
        <v>1.0595035208234456</v>
      </c>
      <c r="AB11" s="611">
        <f t="shared" si="0"/>
        <v>0.84510776973011703</v>
      </c>
      <c r="AC11" s="395">
        <f t="shared" si="0"/>
        <v>0.8267878529599777</v>
      </c>
      <c r="AD11" s="395">
        <f t="shared" si="0"/>
        <v>0.6655493794122127</v>
      </c>
      <c r="AE11" s="395">
        <f t="shared" si="0"/>
        <v>0.53478870376836363</v>
      </c>
      <c r="AF11" s="828">
        <f t="shared" si="0"/>
        <v>0.69409764566847088</v>
      </c>
      <c r="AG11" s="611">
        <f t="shared" si="0"/>
        <v>0.47642475454043964</v>
      </c>
      <c r="AH11" s="395">
        <f t="shared" si="0"/>
        <v>0.35549665358131133</v>
      </c>
      <c r="AI11" s="395">
        <f t="shared" si="0"/>
        <v>0.31801812476213076</v>
      </c>
      <c r="AJ11" s="395">
        <f t="shared" si="0"/>
        <v>0.31525164173225706</v>
      </c>
      <c r="AK11" s="828">
        <f t="shared" si="0"/>
        <v>0.35864099544019634</v>
      </c>
      <c r="AL11" s="611">
        <f t="shared" si="0"/>
        <v>0.32891329203542652</v>
      </c>
      <c r="AM11" s="395">
        <f t="shared" si="0"/>
        <v>0.28902047126337882</v>
      </c>
      <c r="AN11" s="395">
        <f t="shared" ref="AN11:BJ11" si="1">IFERROR(AN10/AI10-1,"--")</f>
        <v>0.2832043673630058</v>
      </c>
      <c r="AO11" s="395">
        <f>IFERROR(AO10/AJ10-1,"--")</f>
        <v>0.27374631953829787</v>
      </c>
      <c r="AP11" s="828">
        <f>IFERROR(AP10/AK10-1,"--")</f>
        <v>0.29214687818124352</v>
      </c>
      <c r="AQ11" s="611">
        <f t="shared" ref="AQ11:AR11" si="2">IFERROR(AQ10/AL10-1,"--")</f>
        <v>0.25746673440254675</v>
      </c>
      <c r="AR11" s="395">
        <f t="shared" si="2"/>
        <v>0.31783919164202623</v>
      </c>
      <c r="AS11" s="395">
        <f t="shared" si="1"/>
        <v>0.28746069925081774</v>
      </c>
      <c r="AT11" s="395">
        <f t="shared" si="1"/>
        <v>0.26554623265908428</v>
      </c>
      <c r="AU11" s="828">
        <f t="shared" si="1"/>
        <v>0.28192151546632105</v>
      </c>
      <c r="AV11" s="611">
        <f t="shared" si="1"/>
        <v>0.25999782354447154</v>
      </c>
      <c r="AW11" s="395">
        <f t="shared" si="1"/>
        <v>0.23587225501438835</v>
      </c>
      <c r="AX11" s="395">
        <f t="shared" si="1"/>
        <v>0.23860431822623451</v>
      </c>
      <c r="AY11" s="395">
        <f t="shared" si="1"/>
        <v>0.24056963419032473</v>
      </c>
      <c r="AZ11" s="828">
        <f t="shared" si="1"/>
        <v>0.24325497852106892</v>
      </c>
      <c r="BA11" s="611">
        <f t="shared" si="1"/>
        <v>0.24085431239746469</v>
      </c>
      <c r="BB11" s="395">
        <f t="shared" si="1"/>
        <v>0.2443631419011254</v>
      </c>
      <c r="BC11" s="395">
        <f t="shared" si="1"/>
        <v>0.24776907136082427</v>
      </c>
      <c r="BD11" s="395">
        <f t="shared" si="1"/>
        <v>0.23528132042250416</v>
      </c>
      <c r="BE11" s="828">
        <f t="shared" si="1"/>
        <v>0.24201692626421023</v>
      </c>
      <c r="BF11" s="611">
        <f t="shared" si="1"/>
        <v>0.22541270934321345</v>
      </c>
      <c r="BG11" s="395">
        <f t="shared" si="1"/>
        <v>0.22257273790012944</v>
      </c>
      <c r="BH11" s="395">
        <f t="shared" si="1"/>
        <v>0.24444337426496943</v>
      </c>
      <c r="BI11" s="395">
        <f t="shared" si="1"/>
        <v>0.24990941951159629</v>
      </c>
      <c r="BJ11" s="828">
        <f t="shared" si="1"/>
        <v>0.23621648205402535</v>
      </c>
      <c r="BK11" s="611">
        <f>IFERROR(BK10/BF10-1,"--")</f>
        <v>0.24332907501191348</v>
      </c>
      <c r="BL11" s="395">
        <f>IFERROR(BL10/BG10-1,"--")</f>
        <v>0.22762325138582051</v>
      </c>
      <c r="BM11" s="395">
        <f>IFERROR(BM10/BH10-1,"--")</f>
        <v>0.23592475388655054</v>
      </c>
      <c r="BN11" s="395">
        <f>IFERROR(BN10/BI10-1,"--")</f>
        <v>0.22317055229730864</v>
      </c>
      <c r="BO11" s="828">
        <f>IFERROR(BO10/BJ10-1,"--")</f>
        <v>0.23213885720026717</v>
      </c>
    </row>
    <row r="12" spans="1:67" s="798" customFormat="1" outlineLevel="1">
      <c r="A12" s="319"/>
      <c r="B12" s="827" t="s">
        <v>33</v>
      </c>
      <c r="C12" s="611"/>
      <c r="D12" s="436"/>
      <c r="E12" s="436"/>
      <c r="F12" s="436"/>
      <c r="G12" s="770"/>
      <c r="H12" s="611" t="str">
        <f>IFERROR(H10/F10-1,"--")</f>
        <v>--</v>
      </c>
      <c r="I12" s="436">
        <f>IFERROR(I10/H10-1,"--")</f>
        <v>0.33589494889203908</v>
      </c>
      <c r="J12" s="436">
        <f>IFERROR(J10/I10-1,"--")</f>
        <v>0.60178721027645898</v>
      </c>
      <c r="K12" s="436">
        <f>IFERROR(K10/J10-1,"--")</f>
        <v>0.27887029288702947</v>
      </c>
      <c r="L12" s="770"/>
      <c r="M12" s="611">
        <f>IFERROR(M10/K10-1,"--")</f>
        <v>0.1915862369812964</v>
      </c>
      <c r="N12" s="436">
        <f>IFERROR(N10/M10-1,"--")</f>
        <v>0.38059718567669609</v>
      </c>
      <c r="O12" s="436">
        <f>IFERROR(O10/N10-1,"--")</f>
        <v>0.21002999718258519</v>
      </c>
      <c r="P12" s="436">
        <f>IFERROR(P10/O10-1,"--")</f>
        <v>0.20106283898537236</v>
      </c>
      <c r="Q12" s="770"/>
      <c r="R12" s="611">
        <f>IFERROR(R10/P10-1,"--")</f>
        <v>0.24087716097249445</v>
      </c>
      <c r="S12" s="436">
        <f>IFERROR(S10/R10-1,"--")</f>
        <v>0.22359049763359806</v>
      </c>
      <c r="T12" s="436">
        <f>IFERROR(T10/S10-1,"--")</f>
        <v>0.19887340868977454</v>
      </c>
      <c r="U12" s="436">
        <f>IFERROR(U10/T10-1,"--")</f>
        <v>0.19321029419134961</v>
      </c>
      <c r="V12" s="770"/>
      <c r="W12" s="611">
        <f>IFERROR(W10/U10-1,"--")</f>
        <v>0.20186910981020145</v>
      </c>
      <c r="X12" s="436">
        <f>IFERROR(X10/W10-1,"--")</f>
        <v>0.18908411018985283</v>
      </c>
      <c r="Y12" s="436">
        <f>IFERROR(Y10/X10-1,"--")</f>
        <v>0.22866810189641384</v>
      </c>
      <c r="Z12" s="436">
        <f>IFERROR(Z10/Y10-1,"--")</f>
        <v>0.1475088281640109</v>
      </c>
      <c r="AA12" s="770"/>
      <c r="AB12" s="611">
        <f>IFERROR(AB10/Z10-1,"--")</f>
        <v>0.10057221177046927</v>
      </c>
      <c r="AC12" s="436">
        <f>IFERROR(AC10/AB10-1,"--")</f>
        <v>0.17727779606080896</v>
      </c>
      <c r="AD12" s="436">
        <f>IFERROR(AD10/AC10-1,"--")</f>
        <v>0.1202217002381103</v>
      </c>
      <c r="AE12" s="436">
        <f>IFERROR(AE10/AD10-1,"--")</f>
        <v>5.7419016638301956E-2</v>
      </c>
      <c r="AF12" s="770"/>
      <c r="AG12" s="611">
        <f>IFERROR(AG10/AE10-1,"--")</f>
        <v>5.8720365629223448E-2</v>
      </c>
      <c r="AH12" s="436">
        <f>IFERROR(AH10/AG10-1,"--")</f>
        <v>8.0851637029565326E-2</v>
      </c>
      <c r="AI12" s="436">
        <f>IFERROR(AI10/AH10-1,"--")</f>
        <v>8.924835835244771E-2</v>
      </c>
      <c r="AJ12" s="436">
        <f>IFERROR(AJ10/AI10-1,"--")</f>
        <v>5.5199523817955898E-2</v>
      </c>
      <c r="AK12" s="770"/>
      <c r="AL12" s="611">
        <f>IFERROR(AL10/AJ10-1,"--")</f>
        <v>6.9717399919194234E-2</v>
      </c>
      <c r="AM12" s="436">
        <f>IFERROR(AM10/AL10-1,"--")</f>
        <v>4.84054113084329E-2</v>
      </c>
      <c r="AN12" s="436">
        <f>IFERROR(AN10/AM10-1,"--")</f>
        <v>8.43336329724238E-2</v>
      </c>
      <c r="AO12" s="436">
        <f>IFERROR(AO10/AN10-1,"--")</f>
        <v>4.7422019458779996E-2</v>
      </c>
      <c r="AP12" s="770"/>
      <c r="AQ12" s="611">
        <f>IFERROR(AQ10/AO10-1,"--")</f>
        <v>5.6045481723197899E-2</v>
      </c>
      <c r="AR12" s="436">
        <f>IFERROR(AR10/AQ10-1,"--")</f>
        <v>9.8740588480280556E-2</v>
      </c>
      <c r="AS12" s="436">
        <f>IFERROR(AS10/AR10-1,"--")</f>
        <v>5.9337851068456793E-2</v>
      </c>
      <c r="AT12" s="436">
        <f>IFERROR(AT10/AS10-1,"--")</f>
        <v>2.9593362734553486E-2</v>
      </c>
      <c r="AU12" s="770"/>
      <c r="AV12" s="611">
        <f>IFERROR(AV10/AT10-1,"--")</f>
        <v>5.1415566019583636E-2</v>
      </c>
      <c r="AW12" s="436">
        <f>IFERROR(AW10/AV10-1,"--")</f>
        <v>7.7702662168950498E-2</v>
      </c>
      <c r="AX12" s="436">
        <f>IFERROR(AX10/AW10-1,"--")</f>
        <v>6.1679661041192491E-2</v>
      </c>
      <c r="AY12" s="436">
        <f>IFERROR(AY10/AX10-1,"--")</f>
        <v>3.1227037220043385E-2</v>
      </c>
      <c r="AZ12" s="770"/>
      <c r="BA12" s="611">
        <f>IFERROR(BA10/AY10-1,"--")</f>
        <v>5.1656838327114096E-2</v>
      </c>
      <c r="BB12" s="436">
        <f>IFERROR(BB10/BA10-1,"--")</f>
        <v>8.0750139104325713E-2</v>
      </c>
      <c r="BC12" s="436">
        <f>IFERROR(BC10/BB10-1,"--")</f>
        <v>6.4585570025911254E-2</v>
      </c>
      <c r="BD12" s="436">
        <f>IFERROR(BD10/BC10-1,"--")</f>
        <v>2.0906452508305584E-2</v>
      </c>
      <c r="BE12" s="770"/>
      <c r="BF12" s="611">
        <f>IFERROR(BF10/BD10-1,"--")</f>
        <v>4.3255195596228146E-2</v>
      </c>
      <c r="BG12" s="436">
        <f>IFERROR(BG10/BF10-1,"--")</f>
        <v>7.8245432315532382E-2</v>
      </c>
      <c r="BH12" s="436">
        <f>IFERROR(BH10/BG10-1,"--")</f>
        <v>8.3629969724602127E-2</v>
      </c>
      <c r="BI12" s="436">
        <f>IFERROR(BI10/BH10-1,"--")</f>
        <v>2.5390642771506267E-2</v>
      </c>
      <c r="BJ12" s="770"/>
      <c r="BK12" s="611">
        <f>IFERROR(BK10/BI10-1,"--")</f>
        <v>3.7762814723709015E-2</v>
      </c>
      <c r="BL12" s="436">
        <f>IFERROR(BL10/BK10-1,"--")</f>
        <v>6.4624957313428988E-2</v>
      </c>
      <c r="BM12" s="436">
        <f>IFERROR(BM10/BL10-1,"--")</f>
        <v>9.0957752815529869E-2</v>
      </c>
      <c r="BN12" s="436">
        <f>IFERROR(BN10/BM10-1,"--")</f>
        <v>1.4809060903755666E-2</v>
      </c>
      <c r="BO12" s="770"/>
    </row>
    <row r="13" spans="1:67" s="798" customFormat="1">
      <c r="A13" s="319"/>
      <c r="B13" s="827"/>
      <c r="C13" s="829"/>
      <c r="D13" s="829"/>
      <c r="E13" s="829"/>
      <c r="F13" s="829"/>
      <c r="G13" s="830"/>
      <c r="H13" s="829"/>
      <c r="I13" s="829"/>
      <c r="J13" s="829"/>
      <c r="K13" s="829"/>
      <c r="L13" s="830"/>
      <c r="M13" s="829"/>
      <c r="N13" s="829"/>
      <c r="O13" s="829"/>
      <c r="P13" s="829"/>
      <c r="Q13" s="830"/>
      <c r="R13" s="829"/>
      <c r="S13" s="829"/>
      <c r="T13" s="829"/>
      <c r="U13" s="829"/>
      <c r="V13" s="830"/>
      <c r="W13" s="829"/>
      <c r="X13" s="829"/>
      <c r="Y13" s="829"/>
      <c r="Z13" s="829"/>
      <c r="AA13" s="830"/>
      <c r="AB13" s="829"/>
      <c r="AC13" s="829"/>
      <c r="AD13" s="829"/>
      <c r="AE13" s="829"/>
      <c r="AF13" s="830"/>
      <c r="AG13" s="829"/>
      <c r="AH13" s="829"/>
      <c r="AI13" s="829"/>
      <c r="AJ13" s="829"/>
      <c r="AK13" s="830"/>
      <c r="AL13" s="829"/>
      <c r="AM13" s="829"/>
      <c r="AN13" s="829"/>
      <c r="AO13" s="829"/>
      <c r="AP13" s="830"/>
      <c r="AQ13" s="829"/>
      <c r="AR13" s="829"/>
      <c r="AS13" s="829"/>
      <c r="AT13" s="829"/>
      <c r="AU13" s="830"/>
      <c r="AV13" s="829"/>
      <c r="AW13" s="829"/>
      <c r="AX13" s="829"/>
      <c r="AY13" s="829"/>
      <c r="AZ13" s="830"/>
      <c r="BA13" s="829"/>
      <c r="BB13" s="829"/>
      <c r="BC13" s="829"/>
      <c r="BD13" s="829"/>
      <c r="BE13" s="830"/>
      <c r="BF13" s="829"/>
      <c r="BG13" s="829"/>
      <c r="BH13" s="829"/>
      <c r="BI13" s="829"/>
      <c r="BJ13" s="830"/>
      <c r="BK13" s="829"/>
      <c r="BL13" s="829"/>
      <c r="BM13" s="829"/>
      <c r="BN13" s="829"/>
      <c r="BO13" s="830"/>
    </row>
    <row r="14" spans="1:67" s="650" customFormat="1">
      <c r="A14" s="107"/>
      <c r="B14" s="831" t="s">
        <v>270</v>
      </c>
      <c r="C14" s="368"/>
      <c r="D14" s="368"/>
      <c r="E14" s="368"/>
      <c r="F14" s="368"/>
      <c r="G14" s="369"/>
      <c r="H14" s="368"/>
      <c r="I14" s="368"/>
      <c r="J14" s="368"/>
      <c r="K14" s="368"/>
      <c r="L14" s="369"/>
      <c r="M14" s="368"/>
      <c r="N14" s="368"/>
      <c r="O14" s="368"/>
      <c r="P14" s="368"/>
      <c r="Q14" s="369"/>
      <c r="R14" s="368"/>
      <c r="S14" s="368"/>
      <c r="T14" s="368"/>
      <c r="U14" s="368"/>
      <c r="V14" s="369"/>
      <c r="W14" s="368"/>
      <c r="X14" s="368"/>
      <c r="Y14" s="368"/>
      <c r="Z14" s="368"/>
      <c r="AA14" s="369"/>
      <c r="AB14" s="368"/>
      <c r="AC14" s="368"/>
      <c r="AD14" s="368"/>
      <c r="AE14" s="368"/>
      <c r="AF14" s="369"/>
      <c r="AG14" s="368"/>
      <c r="AH14" s="368"/>
      <c r="AI14" s="368"/>
      <c r="AJ14" s="368"/>
      <c r="AK14" s="369"/>
      <c r="AL14" s="368"/>
      <c r="AM14" s="368"/>
      <c r="AN14" s="368"/>
      <c r="AO14" s="368"/>
      <c r="AP14" s="369"/>
      <c r="AQ14" s="368"/>
      <c r="AR14" s="368"/>
      <c r="AS14" s="368"/>
      <c r="AT14" s="368"/>
      <c r="AU14" s="955"/>
      <c r="AV14" s="368"/>
      <c r="AW14" s="368"/>
      <c r="AX14" s="368"/>
      <c r="AY14" s="368"/>
      <c r="AZ14" s="369"/>
      <c r="BA14" s="368"/>
      <c r="BB14" s="368"/>
      <c r="BC14" s="368"/>
      <c r="BD14" s="368"/>
      <c r="BE14" s="369"/>
      <c r="BF14" s="368"/>
      <c r="BG14" s="368"/>
      <c r="BH14" s="368"/>
      <c r="BI14" s="368"/>
      <c r="BJ14" s="369"/>
      <c r="BK14" s="368"/>
      <c r="BL14" s="368"/>
      <c r="BM14" s="368"/>
      <c r="BN14" s="368"/>
      <c r="BO14" s="369"/>
    </row>
    <row r="15" spans="1:67" s="747" customFormat="1">
      <c r="A15" s="245" t="s">
        <v>131</v>
      </c>
      <c r="B15" s="824" t="s">
        <v>222</v>
      </c>
      <c r="C15" s="832"/>
      <c r="D15" s="833"/>
      <c r="E15" s="833"/>
      <c r="F15" s="833"/>
      <c r="G15" s="826"/>
      <c r="H15" s="832">
        <f>BS!H31</f>
        <v>36.182000000000002</v>
      </c>
      <c r="I15" s="833">
        <f>BS!I31</f>
        <v>57.658999999999999</v>
      </c>
      <c r="J15" s="833">
        <f>BS!J31</f>
        <v>64.605000000000004</v>
      </c>
      <c r="K15" s="833">
        <f>BS!K31</f>
        <v>104.02</v>
      </c>
      <c r="L15" s="826">
        <f>K15</f>
        <v>104.02</v>
      </c>
      <c r="M15" s="832">
        <f>BS!M31</f>
        <v>120.26300000000001</v>
      </c>
      <c r="N15" s="833">
        <f>BS!N31</f>
        <v>174.16900000000001</v>
      </c>
      <c r="O15" s="833">
        <f>BS!O31</f>
        <v>211.78700000000001</v>
      </c>
      <c r="P15" s="833">
        <f>BS!P31</f>
        <v>327.05799999999999</v>
      </c>
      <c r="Q15" s="826">
        <f>P15</f>
        <v>327.05799999999999</v>
      </c>
      <c r="R15" s="832">
        <f>BS!R31</f>
        <v>324.84300000000002</v>
      </c>
      <c r="S15" s="833">
        <f>BS!S31</f>
        <v>373.58499999999998</v>
      </c>
      <c r="T15" s="833">
        <f>BS!T31</f>
        <v>438.22699999999998</v>
      </c>
      <c r="U15" s="833">
        <f>BS!U31</f>
        <v>638.65200000000004</v>
      </c>
      <c r="V15" s="826">
        <f>U15</f>
        <v>638.65200000000004</v>
      </c>
      <c r="W15" s="832">
        <f>BS!W31</f>
        <v>635.08600000000001</v>
      </c>
      <c r="X15" s="833">
        <f>BS!X31</f>
        <v>701.75800000000004</v>
      </c>
      <c r="Y15" s="833">
        <f>BS!Y31</f>
        <v>759.74400000000003</v>
      </c>
      <c r="Z15" s="833">
        <f>BS!Z31</f>
        <v>1157.8869999999999</v>
      </c>
      <c r="AA15" s="826">
        <f>Z15</f>
        <v>1157.8869999999999</v>
      </c>
      <c r="AB15" s="832">
        <f>BS!AB31</f>
        <v>1132.6969999999999</v>
      </c>
      <c r="AC15" s="833">
        <f>BS!AC31</f>
        <v>1144.7729999999999</v>
      </c>
      <c r="AD15" s="833">
        <f>BS!AD31</f>
        <v>1199.701</v>
      </c>
      <c r="AE15" s="833">
        <f>BS!AE31</f>
        <v>1673.4749999999999</v>
      </c>
      <c r="AF15" s="826">
        <f>AE15</f>
        <v>1673.4749999999999</v>
      </c>
      <c r="AG15" s="832">
        <f>BS!AG31</f>
        <v>1560.4449999999999</v>
      </c>
      <c r="AH15" s="833">
        <f>BS!AH31</f>
        <v>1523.085</v>
      </c>
      <c r="AI15" s="833">
        <f>BS!AI31</f>
        <v>1605.587</v>
      </c>
      <c r="AJ15" s="833">
        <f>BS!AJ31</f>
        <v>2198.7049999999999</v>
      </c>
      <c r="AK15" s="826">
        <f>AJ15</f>
        <v>2198.7049999999999</v>
      </c>
      <c r="AL15" s="832">
        <f>BS!AL31</f>
        <v>1935.6420000000001</v>
      </c>
      <c r="AM15" s="833">
        <f>BS!AM31</f>
        <v>1848.376</v>
      </c>
      <c r="AN15" s="833">
        <f>BS!AN31</f>
        <v>1974.934</v>
      </c>
      <c r="AO15" s="833">
        <f>BS!AO31</f>
        <v>2580.0390000000002</v>
      </c>
      <c r="AP15" s="826">
        <f>AO15</f>
        <v>2580.0390000000002</v>
      </c>
      <c r="AQ15" s="832">
        <f>BS!AQ31</f>
        <v>2309.8029999999999</v>
      </c>
      <c r="AR15" s="833">
        <f>BS!AR31</f>
        <v>2268.3870000000002</v>
      </c>
      <c r="AS15" s="833">
        <f>BS!AS31</f>
        <v>2423.6219999999998</v>
      </c>
      <c r="AT15" s="834">
        <f>AS15*(1+AT18)</f>
        <v>3041.6456099999996</v>
      </c>
      <c r="AU15" s="826">
        <f>AT15</f>
        <v>3041.6456099999996</v>
      </c>
      <c r="AV15" s="841">
        <f>AT15*(1+AV18)</f>
        <v>2844.7262722904497</v>
      </c>
      <c r="AW15" s="834">
        <f>AV15*(1+AW18)</f>
        <v>2793.7188126529045</v>
      </c>
      <c r="AX15" s="834">
        <f>AW15*(1+AX18)</f>
        <v>2877.5303770324917</v>
      </c>
      <c r="AY15" s="834">
        <f>AX15*(1+AY18)</f>
        <v>3520.6584162992535</v>
      </c>
      <c r="AZ15" s="826">
        <f>AY15</f>
        <v>3520.6584162992535</v>
      </c>
      <c r="BA15" s="841">
        <f>AY15*(1+BA18)</f>
        <v>3292.7272854140874</v>
      </c>
      <c r="BB15" s="834">
        <f>BA15*(1+BB18)</f>
        <v>3233.6869286162528</v>
      </c>
      <c r="BC15" s="834">
        <f>BB15*(1+BC18)</f>
        <v>3330.6975364747404</v>
      </c>
      <c r="BD15" s="834">
        <f>BC15*(1+BD18)</f>
        <v>4075.1084358768449</v>
      </c>
      <c r="BE15" s="826">
        <f>BD15</f>
        <v>4075.1084358768449</v>
      </c>
      <c r="BF15" s="841">
        <f>BD15*(1+BF18)</f>
        <v>3811.2816272410196</v>
      </c>
      <c r="BG15" s="834">
        <f>BF15*(1+BG18)</f>
        <v>3742.9433144611794</v>
      </c>
      <c r="BH15" s="834">
        <f>BG15*(1+BH18)</f>
        <v>3855.231613895015</v>
      </c>
      <c r="BI15" s="834">
        <f>BH15*(1+BI18)</f>
        <v>4716.8758796005513</v>
      </c>
      <c r="BJ15" s="826">
        <f>BI15</f>
        <v>4716.8758796005513</v>
      </c>
      <c r="BK15" s="841">
        <f>BI15*(1+BK18)</f>
        <v>4411.5003712851394</v>
      </c>
      <c r="BL15" s="834">
        <f>BK15*(1+BL18)</f>
        <v>4332.3998162260523</v>
      </c>
      <c r="BM15" s="834">
        <f>BL15*(1+BM18)</f>
        <v>4462.3718107128343</v>
      </c>
      <c r="BN15" s="834">
        <f>BM15*(1+BN18)</f>
        <v>5459.7119104071526</v>
      </c>
      <c r="BO15" s="826">
        <f>BN15</f>
        <v>5459.7119104071526</v>
      </c>
    </row>
    <row r="16" spans="1:67" s="839" customFormat="1" outlineLevel="1">
      <c r="A16" s="245"/>
      <c r="B16" s="273" t="s">
        <v>429</v>
      </c>
      <c r="C16" s="835"/>
      <c r="D16" s="836"/>
      <c r="E16" s="836"/>
      <c r="F16" s="836"/>
      <c r="G16" s="837"/>
      <c r="H16" s="835">
        <f>IFERROR(H15-F15,"--")</f>
        <v>36.182000000000002</v>
      </c>
      <c r="I16" s="836">
        <f>IFERROR(I15-H15,"--")</f>
        <v>21.476999999999997</v>
      </c>
      <c r="J16" s="836">
        <f>IFERROR(J15-I15,"--")</f>
        <v>6.9460000000000051</v>
      </c>
      <c r="K16" s="836">
        <f>IFERROR(K15-J15,"--")</f>
        <v>39.414999999999992</v>
      </c>
      <c r="L16" s="838">
        <f>IFERROR(L15-G15,"--")</f>
        <v>104.02</v>
      </c>
      <c r="M16" s="835">
        <f>IFERROR(M15-K15,"--")</f>
        <v>16.243000000000009</v>
      </c>
      <c r="N16" s="836">
        <f>IFERROR(N15-M15,"--")</f>
        <v>53.906000000000006</v>
      </c>
      <c r="O16" s="836">
        <f>IFERROR(O15-N15,"--")</f>
        <v>37.617999999999995</v>
      </c>
      <c r="P16" s="836">
        <f>IFERROR(P15-O15,"--")</f>
        <v>115.27099999999999</v>
      </c>
      <c r="Q16" s="838">
        <f>IFERROR(Q15-L15,"--")</f>
        <v>223.03800000000001</v>
      </c>
      <c r="R16" s="835">
        <f>IFERROR(R15-P15,"--")</f>
        <v>-2.214999999999975</v>
      </c>
      <c r="S16" s="836">
        <f>IFERROR(S15-R15,"--")</f>
        <v>48.741999999999962</v>
      </c>
      <c r="T16" s="836">
        <f>IFERROR(T15-S15,"--")</f>
        <v>64.641999999999996</v>
      </c>
      <c r="U16" s="836">
        <f>IFERROR(U15-T15,"--")</f>
        <v>200.42500000000007</v>
      </c>
      <c r="V16" s="838">
        <f>IFERROR(V15-Q15,"--")</f>
        <v>311.59400000000005</v>
      </c>
      <c r="W16" s="835">
        <f>IFERROR(W15-U15,"--")</f>
        <v>-3.5660000000000309</v>
      </c>
      <c r="X16" s="836">
        <f>IFERROR(X15-W15,"--")</f>
        <v>66.672000000000025</v>
      </c>
      <c r="Y16" s="836">
        <f>IFERROR(Y15-X15,"--")</f>
        <v>57.98599999999999</v>
      </c>
      <c r="Z16" s="836">
        <f>IFERROR(Z15-Y15,"--")</f>
        <v>398.14299999999992</v>
      </c>
      <c r="AA16" s="838">
        <f>IFERROR(AA15-V15,"--")</f>
        <v>519.2349999999999</v>
      </c>
      <c r="AB16" s="835">
        <f>IFERROR(AB15-Z15,"--")</f>
        <v>-25.190000000000055</v>
      </c>
      <c r="AC16" s="836">
        <f>IFERROR(AC15-AB15,"--")</f>
        <v>12.076000000000022</v>
      </c>
      <c r="AD16" s="836">
        <f>IFERROR(AD15-AC15,"--")</f>
        <v>54.928000000000111</v>
      </c>
      <c r="AE16" s="836">
        <f>IFERROR(AE15-AD15,"--")</f>
        <v>473.77399999999989</v>
      </c>
      <c r="AF16" s="838">
        <f>IFERROR(AF15-AA15,"--")</f>
        <v>515.58799999999997</v>
      </c>
      <c r="AG16" s="835">
        <f>IFERROR(AG15-AE15,"--")</f>
        <v>-113.02999999999997</v>
      </c>
      <c r="AH16" s="836">
        <f>IFERROR(AH15-AG15,"--")</f>
        <v>-37.3599999999999</v>
      </c>
      <c r="AI16" s="836">
        <f>IFERROR(AI15-AH15,"--")</f>
        <v>82.501999999999953</v>
      </c>
      <c r="AJ16" s="836">
        <f>IFERROR(AJ15-AI15,"--")</f>
        <v>593.11799999999994</v>
      </c>
      <c r="AK16" s="838">
        <f>IFERROR(AK15-AF15,"--")</f>
        <v>525.23</v>
      </c>
      <c r="AL16" s="835">
        <f>IFERROR(AL15-AJ15,"--")</f>
        <v>-263.06299999999987</v>
      </c>
      <c r="AM16" s="836">
        <f>IFERROR(AM15-AL15,"--")</f>
        <v>-87.266000000000076</v>
      </c>
      <c r="AN16" s="836">
        <f>IFERROR(AN15-AM15,"--")</f>
        <v>126.55799999999999</v>
      </c>
      <c r="AO16" s="836">
        <f>IFERROR(AO15-AN15,"--")</f>
        <v>605.10500000000025</v>
      </c>
      <c r="AP16" s="838">
        <f>IFERROR(AP15-AK15,"--")</f>
        <v>381.33400000000029</v>
      </c>
      <c r="AQ16" s="835">
        <f>IFERROR(AQ15-AO15,"--")</f>
        <v>-270.23600000000033</v>
      </c>
      <c r="AR16" s="836">
        <f>IFERROR(AR15-AQ15,"--")</f>
        <v>-41.415999999999713</v>
      </c>
      <c r="AS16" s="836">
        <f>IFERROR(AS15-AR15,"--")</f>
        <v>155.23499999999967</v>
      </c>
      <c r="AT16" s="836">
        <f>IFERROR(AT15-AS15,"--")</f>
        <v>618.02360999999974</v>
      </c>
      <c r="AU16" s="838">
        <f>IFERROR(AU15-AP15,"--")</f>
        <v>461.60660999999936</v>
      </c>
      <c r="AV16" s="835">
        <f>IFERROR(AV15-AT15,"--")</f>
        <v>-196.91933770954984</v>
      </c>
      <c r="AW16" s="836">
        <f>IFERROR(AW15-AV15,"--")</f>
        <v>-51.007459637545253</v>
      </c>
      <c r="AX16" s="836">
        <f>IFERROR(AX15-AW15,"--")</f>
        <v>83.811564379587253</v>
      </c>
      <c r="AY16" s="836">
        <f>IFERROR(AY15-AX15,"--")</f>
        <v>643.12803926676179</v>
      </c>
      <c r="AZ16" s="838">
        <f>IFERROR(AZ15-AU15,"--")</f>
        <v>479.01280629925395</v>
      </c>
      <c r="BA16" s="835">
        <f>IFERROR(BA15-AY15,"--")</f>
        <v>-227.93113088516611</v>
      </c>
      <c r="BB16" s="836">
        <f>IFERROR(BB15-BA15,"--")</f>
        <v>-59.040356797834647</v>
      </c>
      <c r="BC16" s="836">
        <f>IFERROR(BC15-BB15,"--")</f>
        <v>97.010607858487674</v>
      </c>
      <c r="BD16" s="836">
        <f>IFERROR(BD15-BC15,"--")</f>
        <v>744.41089940210441</v>
      </c>
      <c r="BE16" s="838">
        <f>IFERROR(BE15-AZ15,"--")</f>
        <v>554.45001957759132</v>
      </c>
      <c r="BF16" s="835">
        <f>IFERROR(BF15-BD15,"--")</f>
        <v>-263.82680863582527</v>
      </c>
      <c r="BG16" s="836">
        <f>IFERROR(BG15-BF15,"--")</f>
        <v>-68.33831277984018</v>
      </c>
      <c r="BH16" s="836">
        <f>IFERROR(BH15-BG15,"--")</f>
        <v>112.28829943383562</v>
      </c>
      <c r="BI16" s="836">
        <f>IFERROR(BI15-BH15,"--")</f>
        <v>861.64426570553633</v>
      </c>
      <c r="BJ16" s="838">
        <f>IFERROR(BJ15-BE15,"--")</f>
        <v>641.76744372370649</v>
      </c>
      <c r="BK16" s="835">
        <f>IFERROR(BK15-BI15,"--")</f>
        <v>-305.37550831541193</v>
      </c>
      <c r="BL16" s="836">
        <f>IFERROR(BL15-BK15,"--")</f>
        <v>-79.100555059087128</v>
      </c>
      <c r="BM16" s="836">
        <f>IFERROR(BM15-BL15,"--")</f>
        <v>129.97199448678202</v>
      </c>
      <c r="BN16" s="836">
        <f>IFERROR(BN15-BM15,"--")</f>
        <v>997.34009969431827</v>
      </c>
      <c r="BO16" s="838">
        <f>IFERROR(BO15-BJ15,"--")</f>
        <v>742.83603080660123</v>
      </c>
    </row>
    <row r="17" spans="1:67" s="902" customFormat="1" outlineLevel="1">
      <c r="A17" s="964" t="s">
        <v>132</v>
      </c>
      <c r="B17" s="899" t="s">
        <v>32</v>
      </c>
      <c r="C17" s="691"/>
      <c r="D17" s="692"/>
      <c r="E17" s="692"/>
      <c r="F17" s="692"/>
      <c r="G17" s="900"/>
      <c r="H17" s="691" t="str">
        <f t="shared" ref="H17:AM17" si="3">IFERROR(H15/C15-1,"--")</f>
        <v>--</v>
      </c>
      <c r="I17" s="692" t="str">
        <f t="shared" si="3"/>
        <v>--</v>
      </c>
      <c r="J17" s="692" t="str">
        <f t="shared" si="3"/>
        <v>--</v>
      </c>
      <c r="K17" s="692" t="str">
        <f t="shared" si="3"/>
        <v>--</v>
      </c>
      <c r="L17" s="901" t="str">
        <f t="shared" si="3"/>
        <v>--</v>
      </c>
      <c r="M17" s="691">
        <f t="shared" si="3"/>
        <v>2.3238350561052457</v>
      </c>
      <c r="N17" s="692">
        <f t="shared" si="3"/>
        <v>2.0206732687004632</v>
      </c>
      <c r="O17" s="692">
        <f t="shared" si="3"/>
        <v>2.2781828031886078</v>
      </c>
      <c r="P17" s="692">
        <f t="shared" si="3"/>
        <v>2.1441838108056142</v>
      </c>
      <c r="Q17" s="901">
        <f t="shared" si="3"/>
        <v>2.1441838108056142</v>
      </c>
      <c r="R17" s="691">
        <f t="shared" si="3"/>
        <v>1.7011050780373016</v>
      </c>
      <c r="S17" s="692">
        <f t="shared" si="3"/>
        <v>1.1449569096681955</v>
      </c>
      <c r="T17" s="692">
        <f t="shared" si="3"/>
        <v>1.0691874383224653</v>
      </c>
      <c r="U17" s="692">
        <f t="shared" si="3"/>
        <v>0.95271786655577917</v>
      </c>
      <c r="V17" s="901">
        <f t="shared" si="3"/>
        <v>0.95271786655577917</v>
      </c>
      <c r="W17" s="691">
        <f t="shared" si="3"/>
        <v>0.95505521128668303</v>
      </c>
      <c r="X17" s="692">
        <f t="shared" si="3"/>
        <v>0.87844265695892521</v>
      </c>
      <c r="Y17" s="692">
        <f t="shared" si="3"/>
        <v>0.73367683871600797</v>
      </c>
      <c r="Z17" s="692">
        <f t="shared" si="3"/>
        <v>0.81301710477693612</v>
      </c>
      <c r="AA17" s="901">
        <f t="shared" si="3"/>
        <v>0.81301710477693612</v>
      </c>
      <c r="AB17" s="691">
        <f t="shared" si="3"/>
        <v>0.78353325376405691</v>
      </c>
      <c r="AC17" s="692">
        <f t="shared" si="3"/>
        <v>0.63129312384041203</v>
      </c>
      <c r="AD17" s="692">
        <f t="shared" si="3"/>
        <v>0.57908584997051626</v>
      </c>
      <c r="AE17" s="692">
        <f t="shared" si="3"/>
        <v>0.44528352075807054</v>
      </c>
      <c r="AF17" s="901">
        <f t="shared" si="3"/>
        <v>0.44528352075807054</v>
      </c>
      <c r="AG17" s="691">
        <f t="shared" si="3"/>
        <v>0.37763673780366691</v>
      </c>
      <c r="AH17" s="692">
        <f t="shared" si="3"/>
        <v>0.33046901001333895</v>
      </c>
      <c r="AI17" s="692">
        <f t="shared" si="3"/>
        <v>0.33832263205582058</v>
      </c>
      <c r="AJ17" s="692">
        <f t="shared" si="3"/>
        <v>0.31385589865399854</v>
      </c>
      <c r="AK17" s="901">
        <f t="shared" si="3"/>
        <v>0.31385589865399854</v>
      </c>
      <c r="AL17" s="691">
        <f t="shared" si="3"/>
        <v>0.24044230972575131</v>
      </c>
      <c r="AM17" s="692">
        <f t="shared" si="3"/>
        <v>0.21357376640174386</v>
      </c>
      <c r="AN17" s="692">
        <f t="shared" ref="AN17:BJ17" si="4">IFERROR(AN15/AI15-1,"--")</f>
        <v>0.230038608932434</v>
      </c>
      <c r="AO17" s="692">
        <f>IFERROR(AO15/AJ15-1,"--")</f>
        <v>0.17343572693926657</v>
      </c>
      <c r="AP17" s="901">
        <f>IFERROR(AP15/AK15-1,"--")</f>
        <v>0.17343572693926657</v>
      </c>
      <c r="AQ17" s="691">
        <f t="shared" ref="AQ17:AR17" si="5">IFERROR(AQ15/AL15-1,"--")</f>
        <v>0.19330072399751597</v>
      </c>
      <c r="AR17" s="692">
        <f t="shared" si="5"/>
        <v>0.22723244621224259</v>
      </c>
      <c r="AS17" s="692">
        <f t="shared" si="4"/>
        <v>0.22719138968694641</v>
      </c>
      <c r="AT17" s="692">
        <f t="shared" si="4"/>
        <v>0.17891458617485978</v>
      </c>
      <c r="AU17" s="901">
        <f>IFERROR(AU15/AP15-1,"--")</f>
        <v>0.17891458617485978</v>
      </c>
      <c r="AV17" s="691">
        <f t="shared" si="4"/>
        <v>0.23158826631121787</v>
      </c>
      <c r="AW17" s="692">
        <f t="shared" si="4"/>
        <v>0.23158826631121765</v>
      </c>
      <c r="AX17" s="692">
        <f t="shared" si="4"/>
        <v>0.18728513647445522</v>
      </c>
      <c r="AY17" s="692">
        <f t="shared" si="4"/>
        <v>0.1574847525709131</v>
      </c>
      <c r="AZ17" s="901">
        <f t="shared" si="4"/>
        <v>0.1574847525709131</v>
      </c>
      <c r="BA17" s="691">
        <f t="shared" si="4"/>
        <v>0.1574847525709131</v>
      </c>
      <c r="BB17" s="692">
        <f t="shared" si="4"/>
        <v>0.15748475257091332</v>
      </c>
      <c r="BC17" s="692">
        <f t="shared" si="4"/>
        <v>0.15748475257091332</v>
      </c>
      <c r="BD17" s="692">
        <f t="shared" si="4"/>
        <v>0.15748475257091332</v>
      </c>
      <c r="BE17" s="901">
        <f t="shared" si="4"/>
        <v>0.15748475257091332</v>
      </c>
      <c r="BF17" s="691">
        <f t="shared" si="4"/>
        <v>0.1574847525709131</v>
      </c>
      <c r="BG17" s="692">
        <f t="shared" si="4"/>
        <v>0.1574847525709131</v>
      </c>
      <c r="BH17" s="692">
        <f t="shared" si="4"/>
        <v>0.1574847525709131</v>
      </c>
      <c r="BI17" s="692">
        <f t="shared" si="4"/>
        <v>0.15748475257091332</v>
      </c>
      <c r="BJ17" s="901">
        <f t="shared" si="4"/>
        <v>0.15748475257091332</v>
      </c>
      <c r="BK17" s="691">
        <f>IFERROR(BK15/BF15-1,"--")</f>
        <v>0.15748475257091332</v>
      </c>
      <c r="BL17" s="692">
        <f>IFERROR(BL15/BG15-1,"--")</f>
        <v>0.15748475257091332</v>
      </c>
      <c r="BM17" s="692">
        <f>IFERROR(BM15/BH15-1,"--")</f>
        <v>0.15748475257091332</v>
      </c>
      <c r="BN17" s="692">
        <f>IFERROR(BN15/BI15-1,"--")</f>
        <v>0.1574847525709131</v>
      </c>
      <c r="BO17" s="901">
        <f>IFERROR(BO15/BJ15-1,"--")</f>
        <v>0.1574847525709131</v>
      </c>
    </row>
    <row r="18" spans="1:67" s="902" customFormat="1" outlineLevel="1">
      <c r="A18" s="245" t="s">
        <v>133</v>
      </c>
      <c r="B18" s="899" t="s">
        <v>33</v>
      </c>
      <c r="C18" s="691"/>
      <c r="D18" s="692"/>
      <c r="E18" s="692"/>
      <c r="F18" s="692"/>
      <c r="G18" s="903"/>
      <c r="H18" s="691" t="str">
        <f>IFERROR(H15/F15-1,"--")</f>
        <v>--</v>
      </c>
      <c r="I18" s="692">
        <f>IFERROR(I15/H15-1,"--")</f>
        <v>0.59358244430932494</v>
      </c>
      <c r="J18" s="692">
        <f>IFERROR(J15/H15-1,"--")</f>
        <v>0.78555635398817092</v>
      </c>
      <c r="K18" s="692">
        <f>IFERROR(K15/I15-1,"--")</f>
        <v>0.80405487434745648</v>
      </c>
      <c r="L18" s="901"/>
      <c r="M18" s="691">
        <f>IFERROR(M15/K15-1,"--")</f>
        <v>0.15615266294943297</v>
      </c>
      <c r="N18" s="692">
        <f>IFERROR(N15/M15-1,"--")</f>
        <v>0.44823428652203923</v>
      </c>
      <c r="O18" s="692">
        <f>IFERROR(O15/M15-1,"--")</f>
        <v>0.76103207137689899</v>
      </c>
      <c r="P18" s="692">
        <f>IFERROR(P15/N15-1,"--")</f>
        <v>0.87781981868185488</v>
      </c>
      <c r="Q18" s="901"/>
      <c r="R18" s="691">
        <f>IFERROR(R15/P15-1,"--")</f>
        <v>-6.7724990674435936E-3</v>
      </c>
      <c r="S18" s="692">
        <f>IFERROR(S15/R15-1,"--")</f>
        <v>0.15004786927838976</v>
      </c>
      <c r="T18" s="692">
        <f>IFERROR(T15/R15-1,"--")</f>
        <v>0.3490424605116933</v>
      </c>
      <c r="U18" s="692">
        <f>IFERROR(U15/S15-1,"--")</f>
        <v>0.70952259860540456</v>
      </c>
      <c r="V18" s="901"/>
      <c r="W18" s="691">
        <f>IFERROR(W15/U15-1,"--")</f>
        <v>-5.5836355323400921E-3</v>
      </c>
      <c r="X18" s="692">
        <f>IFERROR(X15/W15-1,"--")</f>
        <v>0.10498105768352639</v>
      </c>
      <c r="Y18" s="692">
        <f>IFERROR(Y15/W15-1,"--")</f>
        <v>0.19628522751249444</v>
      </c>
      <c r="Z18" s="692">
        <f>IFERROR(Z15/X15-1,"--")</f>
        <v>0.64998047760054023</v>
      </c>
      <c r="AA18" s="901"/>
      <c r="AB18" s="691">
        <f>IFERROR(AB15/Z15-1,"--")</f>
        <v>-2.1755145363925865E-2</v>
      </c>
      <c r="AC18" s="692">
        <f>IFERROR(AC15/AB15-1,"--")</f>
        <v>1.0661280112863381E-2</v>
      </c>
      <c r="AD18" s="692">
        <f>IFERROR(AD15/AB15-1,"--")</f>
        <v>5.9154389920693884E-2</v>
      </c>
      <c r="AE18" s="692">
        <f>IFERROR(AE15/AC15-1,"--")</f>
        <v>0.46184003291482245</v>
      </c>
      <c r="AF18" s="901"/>
      <c r="AG18" s="691">
        <f>IFERROR(AG15/AE15-1,"--")</f>
        <v>-6.7542090560062107E-2</v>
      </c>
      <c r="AH18" s="692">
        <f>IFERROR(AH15/AG15-1,"--")</f>
        <v>-2.3941888371586284E-2</v>
      </c>
      <c r="AI18" s="692">
        <f>IFERROR(AI15/AG15-1,"--")</f>
        <v>2.8928927325218234E-2</v>
      </c>
      <c r="AJ18" s="692">
        <f>IFERROR(AJ15/AH15-1,"--")</f>
        <v>0.44358653653604363</v>
      </c>
      <c r="AK18" s="901"/>
      <c r="AL18" s="691">
        <f>IFERROR(AL15/AJ15-1,"--")</f>
        <v>-0.11964451802310905</v>
      </c>
      <c r="AM18" s="692">
        <f>IFERROR(AM15/AL15-1,"--")</f>
        <v>-4.5083749990959099E-2</v>
      </c>
      <c r="AN18" s="692">
        <f>IFERROR(AN15/AL15-1,"--")</f>
        <v>2.0299208221354892E-2</v>
      </c>
      <c r="AO18" s="692">
        <f>IFERROR(AO15/AM15-1,"--")</f>
        <v>0.39584099771907888</v>
      </c>
      <c r="AP18" s="901"/>
      <c r="AQ18" s="691">
        <f>IFERROR(AQ15/AO15-1,"--")</f>
        <v>-0.10474105236393727</v>
      </c>
      <c r="AR18" s="692">
        <f>IFERROR(AR15/AQ15-1,"--")</f>
        <v>-1.7930533469737386E-2</v>
      </c>
      <c r="AS18" s="692">
        <f>IFERROR(AS15/AQ15-1,"--")</f>
        <v>4.9276496740198183E-2</v>
      </c>
      <c r="AT18" s="905">
        <v>0.255</v>
      </c>
      <c r="AU18" s="901"/>
      <c r="AV18" s="904">
        <f>AQ18+4%</f>
        <v>-6.4741052363937263E-2</v>
      </c>
      <c r="AW18" s="905">
        <f>AR18</f>
        <v>-1.7930533469737386E-2</v>
      </c>
      <c r="AX18" s="905">
        <v>0.03</v>
      </c>
      <c r="AY18" s="905">
        <v>0.2235</v>
      </c>
      <c r="AZ18" s="901"/>
      <c r="BA18" s="904">
        <f>AV18</f>
        <v>-6.4741052363937263E-2</v>
      </c>
      <c r="BB18" s="904">
        <f t="shared" ref="BB18:BD18" si="6">AW18</f>
        <v>-1.7930533469737386E-2</v>
      </c>
      <c r="BC18" s="904">
        <f t="shared" si="6"/>
        <v>0.03</v>
      </c>
      <c r="BD18" s="904">
        <f t="shared" si="6"/>
        <v>0.2235</v>
      </c>
      <c r="BE18" s="901"/>
      <c r="BF18" s="904">
        <f>BA18</f>
        <v>-6.4741052363937263E-2</v>
      </c>
      <c r="BG18" s="904">
        <f t="shared" ref="BG18" si="7">BB18</f>
        <v>-1.7930533469737386E-2</v>
      </c>
      <c r="BH18" s="904">
        <f t="shared" ref="BH18" si="8">BC18</f>
        <v>0.03</v>
      </c>
      <c r="BI18" s="904">
        <f t="shared" ref="BI18" si="9">BD18</f>
        <v>0.2235</v>
      </c>
      <c r="BJ18" s="901"/>
      <c r="BK18" s="904">
        <f>BF18</f>
        <v>-6.4741052363937263E-2</v>
      </c>
      <c r="BL18" s="904">
        <f t="shared" ref="BL18" si="10">BG18</f>
        <v>-1.7930533469737386E-2</v>
      </c>
      <c r="BM18" s="904">
        <f t="shared" ref="BM18" si="11">BH18</f>
        <v>0.03</v>
      </c>
      <c r="BN18" s="904">
        <f t="shared" ref="BN18" si="12">BI18</f>
        <v>0.2235</v>
      </c>
      <c r="BO18" s="901"/>
    </row>
    <row r="19" spans="1:67" s="798" customFormat="1" outlineLevel="1">
      <c r="A19" s="319"/>
      <c r="B19" s="827" t="s">
        <v>430</v>
      </c>
      <c r="C19" s="395"/>
      <c r="D19" s="395"/>
      <c r="E19" s="395"/>
      <c r="F19" s="395"/>
      <c r="G19" s="811"/>
      <c r="H19" s="395">
        <f t="shared" ref="H19:P19" si="13">IFERROR(H15/H$29,"--")</f>
        <v>0.99202149535272677</v>
      </c>
      <c r="I19" s="395">
        <f t="shared" si="13"/>
        <v>0.99892586753521251</v>
      </c>
      <c r="J19" s="395">
        <f t="shared" si="13"/>
        <v>0.99981429035702674</v>
      </c>
      <c r="K19" s="395">
        <f t="shared" si="13"/>
        <v>0.97211319203020452</v>
      </c>
      <c r="L19" s="811">
        <f t="shared" si="13"/>
        <v>0.97211319203020452</v>
      </c>
      <c r="M19" s="395">
        <f t="shared" si="13"/>
        <v>0.98094601097888234</v>
      </c>
      <c r="N19" s="395">
        <f t="shared" si="13"/>
        <v>0.98946728552518692</v>
      </c>
      <c r="O19" s="395">
        <f t="shared" si="13"/>
        <v>0.98625307931954609</v>
      </c>
      <c r="P19" s="395">
        <f t="shared" si="13"/>
        <v>0.99118997469428582</v>
      </c>
      <c r="Q19" s="811">
        <f t="shared" ref="Q19:AK19" si="14">IFERROR(Q15/Q$29,"--")</f>
        <v>0.99118997469428582</v>
      </c>
      <c r="R19" s="395">
        <f t="shared" si="14"/>
        <v>0.99244764217955184</v>
      </c>
      <c r="S19" s="395">
        <f t="shared" si="14"/>
        <v>0.99167816946273102</v>
      </c>
      <c r="T19" s="395">
        <f t="shared" si="14"/>
        <v>0.99212821255863659</v>
      </c>
      <c r="U19" s="395">
        <f t="shared" si="14"/>
        <v>0.99347588691537325</v>
      </c>
      <c r="V19" s="811">
        <f t="shared" si="14"/>
        <v>0.99347588691537325</v>
      </c>
      <c r="W19" s="395">
        <f t="shared" si="14"/>
        <v>0.99428558903835074</v>
      </c>
      <c r="X19" s="395">
        <f t="shared" si="14"/>
        <v>0.9899838895801415</v>
      </c>
      <c r="Y19" s="395">
        <f t="shared" si="14"/>
        <v>0.99069993062763739</v>
      </c>
      <c r="Z19" s="395">
        <f t="shared" si="14"/>
        <v>0.99043681842015896</v>
      </c>
      <c r="AA19" s="811">
        <f t="shared" si="14"/>
        <v>0.99043681842015896</v>
      </c>
      <c r="AB19" s="395">
        <f t="shared" si="14"/>
        <v>0.99087243719223783</v>
      </c>
      <c r="AC19" s="395">
        <f t="shared" si="14"/>
        <v>0.9923775492689626</v>
      </c>
      <c r="AD19" s="395">
        <f t="shared" si="14"/>
        <v>0.9939247775953286</v>
      </c>
      <c r="AE19" s="395">
        <f t="shared" si="14"/>
        <v>0.99319678231483888</v>
      </c>
      <c r="AF19" s="811">
        <f t="shared" si="14"/>
        <v>0.99319678231483888</v>
      </c>
      <c r="AG19" s="395">
        <f t="shared" si="14"/>
        <v>0.99101230346558511</v>
      </c>
      <c r="AH19" s="395">
        <f t="shared" si="14"/>
        <v>0.9918746361267079</v>
      </c>
      <c r="AI19" s="395">
        <f t="shared" si="14"/>
        <v>0.99253122857642684</v>
      </c>
      <c r="AJ19" s="395">
        <f t="shared" si="14"/>
        <v>0.99349240682895135</v>
      </c>
      <c r="AK19" s="811">
        <f t="shared" si="14"/>
        <v>0.99349240682895135</v>
      </c>
      <c r="AL19" s="395">
        <f t="shared" ref="AL19:AQ19" si="15">IFERROR(AL15/AL$29,"--")</f>
        <v>0.99246693130509955</v>
      </c>
      <c r="AM19" s="395">
        <f t="shared" si="15"/>
        <v>0.99340017714182527</v>
      </c>
      <c r="AN19" s="395">
        <f t="shared" si="15"/>
        <v>0.99397405112569437</v>
      </c>
      <c r="AO19" s="395">
        <f t="shared" si="15"/>
        <v>0.99402783235858427</v>
      </c>
      <c r="AP19" s="811">
        <f t="shared" si="15"/>
        <v>0.99402783235858427</v>
      </c>
      <c r="AQ19" s="395">
        <f t="shared" si="15"/>
        <v>0.99409346222359363</v>
      </c>
      <c r="AR19" s="395">
        <f t="shared" ref="AR19:AS19" si="16">IFERROR(AR15/AR$29,"--")</f>
        <v>0.99493843443233054</v>
      </c>
      <c r="AS19" s="395">
        <f t="shared" si="16"/>
        <v>0.99552927780831102</v>
      </c>
      <c r="AT19" s="395">
        <f t="shared" ref="AT19:BJ19" si="17">IFERROR(AT15/AT$29,"--")</f>
        <v>0.99643443262127762</v>
      </c>
      <c r="AU19" s="811">
        <f t="shared" si="17"/>
        <v>0.99643443262127762</v>
      </c>
      <c r="AV19" s="395">
        <f t="shared" si="17"/>
        <v>0.99618855552327523</v>
      </c>
      <c r="AW19" s="395">
        <f t="shared" si="17"/>
        <v>0.99611923658105983</v>
      </c>
      <c r="AX19" s="395">
        <f t="shared" si="17"/>
        <v>0.99623184260314401</v>
      </c>
      <c r="AY19" s="395">
        <f t="shared" si="17"/>
        <v>0.99691806051945842</v>
      </c>
      <c r="AZ19" s="811">
        <f t="shared" si="17"/>
        <v>0.99691806051945842</v>
      </c>
      <c r="BA19" s="395">
        <f t="shared" si="17"/>
        <v>0.99670542353210423</v>
      </c>
      <c r="BB19" s="395">
        <f t="shared" si="17"/>
        <v>0.99664547324146746</v>
      </c>
      <c r="BC19" s="395">
        <f t="shared" si="17"/>
        <v>0.99674285966653908</v>
      </c>
      <c r="BD19" s="395">
        <f t="shared" si="17"/>
        <v>0.99733626525971175</v>
      </c>
      <c r="BE19" s="811">
        <f t="shared" si="17"/>
        <v>0.99733626525971175</v>
      </c>
      <c r="BF19" s="395">
        <f t="shared" si="17"/>
        <v>0.99715239969654157</v>
      </c>
      <c r="BG19" s="395">
        <f t="shared" si="17"/>
        <v>0.99710055921910135</v>
      </c>
      <c r="BH19" s="395">
        <f t="shared" si="17"/>
        <v>0.99718477120526805</v>
      </c>
      <c r="BI19" s="395">
        <f t="shared" si="17"/>
        <v>0.9976978526242497</v>
      </c>
      <c r="BJ19" s="811">
        <f t="shared" si="17"/>
        <v>0.9976978526242497</v>
      </c>
      <c r="BK19" s="395">
        <f>IFERROR(BK15/BK$29,"--")</f>
        <v>0.99753888421127057</v>
      </c>
      <c r="BL19" s="395">
        <f>IFERROR(BL15/BL$29,"--")</f>
        <v>0.99749406199075952</v>
      </c>
      <c r="BM19" s="395">
        <f>IFERROR(BM15/BM$29,"--")</f>
        <v>0.99756687288620194</v>
      </c>
      <c r="BN19" s="395">
        <f>IFERROR(BN15/BN$29,"--")</f>
        <v>0.99801045440419123</v>
      </c>
      <c r="BO19" s="811">
        <f>IFERROR(BO15/BO$29,"--")</f>
        <v>0.99801045440419123</v>
      </c>
    </row>
    <row r="20" spans="1:67" s="798" customFormat="1" outlineLevel="1">
      <c r="A20" s="319"/>
      <c r="B20" s="827" t="s">
        <v>431</v>
      </c>
      <c r="C20" s="395"/>
      <c r="D20" s="395"/>
      <c r="E20" s="395"/>
      <c r="F20" s="395"/>
      <c r="G20" s="811"/>
      <c r="H20" s="395">
        <f t="shared" ref="H20:M20" si="18">IFERROR(H15/H$10,"--")</f>
        <v>2.6995448780123854</v>
      </c>
      <c r="I20" s="395">
        <f t="shared" si="18"/>
        <v>3.2202736665735827</v>
      </c>
      <c r="J20" s="395">
        <f t="shared" si="18"/>
        <v>2.2526150627615062</v>
      </c>
      <c r="K20" s="395">
        <f t="shared" si="18"/>
        <v>2.8360324990457491</v>
      </c>
      <c r="L20" s="811">
        <f t="shared" si="18"/>
        <v>1.0760763867337015</v>
      </c>
      <c r="M20" s="395">
        <f t="shared" si="18"/>
        <v>2.7516988902871526</v>
      </c>
      <c r="N20" s="395">
        <f t="shared" ref="N20:AK20" si="19">IFERROR(N15/N$10,"--")</f>
        <v>2.886507897048344</v>
      </c>
      <c r="O20" s="395">
        <f t="shared" si="19"/>
        <v>2.9007149509669645</v>
      </c>
      <c r="P20" s="395">
        <f t="shared" si="19"/>
        <v>3.7296218583223095</v>
      </c>
      <c r="Q20" s="811">
        <f t="shared" si="19"/>
        <v>1.2353558855968696</v>
      </c>
      <c r="R20" s="395">
        <f t="shared" si="19"/>
        <v>2.9852777650140148</v>
      </c>
      <c r="S20" s="395">
        <f t="shared" si="19"/>
        <v>2.8058507642044388</v>
      </c>
      <c r="T20" s="395">
        <f t="shared" si="19"/>
        <v>2.7453703703703698</v>
      </c>
      <c r="U20" s="395">
        <f t="shared" si="19"/>
        <v>3.3531199957997533</v>
      </c>
      <c r="V20" s="811">
        <f t="shared" si="19"/>
        <v>1.0787147685411176</v>
      </c>
      <c r="W20" s="395">
        <f t="shared" si="19"/>
        <v>2.7743432031243174</v>
      </c>
      <c r="X20" s="395">
        <f t="shared" si="19"/>
        <v>2.5781159303154326</v>
      </c>
      <c r="Y20" s="395">
        <f t="shared" si="19"/>
        <v>2.2716831967372419</v>
      </c>
      <c r="Z20" s="395">
        <f t="shared" si="19"/>
        <v>3.0171064220087862</v>
      </c>
      <c r="AA20" s="811">
        <f t="shared" si="19"/>
        <v>0.94961154800968073</v>
      </c>
      <c r="AB20" s="395">
        <f t="shared" si="19"/>
        <v>2.681758454060529</v>
      </c>
      <c r="AC20" s="395">
        <f t="shared" si="19"/>
        <v>2.3022174045948902</v>
      </c>
      <c r="AD20" s="395">
        <f t="shared" si="19"/>
        <v>2.1537534917454781</v>
      </c>
      <c r="AE20" s="395">
        <f t="shared" si="19"/>
        <v>2.8411560375679952</v>
      </c>
      <c r="AF20" s="811">
        <f t="shared" si="19"/>
        <v>0.81014097680207631</v>
      </c>
      <c r="AG20" s="395">
        <f t="shared" si="19"/>
        <v>2.5023212032091133</v>
      </c>
      <c r="AH20" s="395">
        <f t="shared" si="19"/>
        <v>2.2597096813438222</v>
      </c>
      <c r="AI20" s="395">
        <f t="shared" si="19"/>
        <v>2.1869327801485481</v>
      </c>
      <c r="AJ20" s="395">
        <f t="shared" si="19"/>
        <v>2.8381410070233728</v>
      </c>
      <c r="AK20" s="811">
        <f t="shared" si="19"/>
        <v>0.78343617238478391</v>
      </c>
      <c r="AL20" s="395">
        <f t="shared" ref="AL20:AQ20" si="20">IFERROR(AL15/AL$10,"--")</f>
        <v>2.3357318431439746</v>
      </c>
      <c r="AM20" s="395">
        <f t="shared" si="20"/>
        <v>2.1274482834823663</v>
      </c>
      <c r="AN20" s="395">
        <f t="shared" si="20"/>
        <v>2.0963237214120882</v>
      </c>
      <c r="AO20" s="395">
        <f t="shared" si="20"/>
        <v>2.6146305623397552</v>
      </c>
      <c r="AP20" s="811">
        <f t="shared" si="20"/>
        <v>0.7114609105017764</v>
      </c>
      <c r="AQ20" s="395">
        <f t="shared" si="20"/>
        <v>2.2165441225863036</v>
      </c>
      <c r="AR20" s="395">
        <f t="shared" ref="AR20:AS20" si="21">IFERROR(AR15/AR$10,"--")</f>
        <v>1.9811776563382939</v>
      </c>
      <c r="AS20" s="395">
        <f t="shared" si="21"/>
        <v>1.9981894767043531</v>
      </c>
      <c r="AT20" s="395">
        <f t="shared" ref="AT20:BJ20" si="22">IFERROR(AT15/AT$10,"--")</f>
        <v>2.4356487561298481</v>
      </c>
      <c r="AU20" s="811">
        <f t="shared" si="22"/>
        <v>0.65429250914684933</v>
      </c>
      <c r="AV20" s="395">
        <f t="shared" si="22"/>
        <v>2.1665670226786977</v>
      </c>
      <c r="AW20" s="395">
        <f t="shared" si="22"/>
        <v>1.9743101644399272</v>
      </c>
      <c r="AX20" s="395">
        <f t="shared" si="22"/>
        <v>1.9153983484800177</v>
      </c>
      <c r="AY20" s="395">
        <f t="shared" si="22"/>
        <v>2.2725256367238242</v>
      </c>
      <c r="AZ20" s="811">
        <f t="shared" si="22"/>
        <v>0.60915388729007092</v>
      </c>
      <c r="BA20" s="395">
        <f t="shared" si="22"/>
        <v>2.0210013932483926</v>
      </c>
      <c r="BB20" s="395">
        <f t="shared" si="22"/>
        <v>1.8364686603410891</v>
      </c>
      <c r="BC20" s="395">
        <f t="shared" si="22"/>
        <v>1.7768066498452373</v>
      </c>
      <c r="BD20" s="395">
        <f t="shared" si="22"/>
        <v>2.1294046391267782</v>
      </c>
      <c r="BE20" s="811">
        <f t="shared" si="22"/>
        <v>0.56769462766368695</v>
      </c>
      <c r="BF20" s="395">
        <f t="shared" si="22"/>
        <v>1.9089717935628181</v>
      </c>
      <c r="BG20" s="395">
        <f t="shared" si="22"/>
        <v>1.7386977535342252</v>
      </c>
      <c r="BH20" s="395">
        <f t="shared" si="22"/>
        <v>1.6526478006098222</v>
      </c>
      <c r="BI20" s="395">
        <f t="shared" si="22"/>
        <v>1.9719456173121086</v>
      </c>
      <c r="BJ20" s="811">
        <f t="shared" si="22"/>
        <v>0.53153948776458948</v>
      </c>
      <c r="BK20" s="395">
        <f>IFERROR(BK15/BK$10,"--")</f>
        <v>1.7771688835602424</v>
      </c>
      <c r="BL20" s="395">
        <f>IFERROR(BL15/BL$10,"--")</f>
        <v>1.6393597439387915</v>
      </c>
      <c r="BM20" s="395">
        <f>IFERROR(BM15/BM$10,"--")</f>
        <v>1.54775978437221</v>
      </c>
      <c r="BN20" s="395">
        <f>IFERROR(BN15/BN$10,"--")</f>
        <v>1.8660496532154984</v>
      </c>
      <c r="BO20" s="811">
        <f>IFERROR(BO15/BO$10,"--")</f>
        <v>0.49933402301333768</v>
      </c>
    </row>
    <row r="21" spans="1:67" s="650" customFormat="1">
      <c r="A21" s="107"/>
      <c r="B21" s="77"/>
      <c r="C21" s="368"/>
      <c r="D21" s="368"/>
      <c r="E21" s="368"/>
      <c r="F21" s="368"/>
      <c r="G21" s="369"/>
      <c r="H21" s="368"/>
      <c r="I21" s="368"/>
      <c r="J21" s="368"/>
      <c r="K21" s="368"/>
      <c r="L21" s="369"/>
      <c r="M21" s="368"/>
      <c r="N21" s="368"/>
      <c r="O21" s="368"/>
      <c r="P21" s="368"/>
      <c r="Q21" s="369"/>
      <c r="R21" s="368"/>
      <c r="S21" s="368"/>
      <c r="T21" s="368"/>
      <c r="U21" s="368"/>
      <c r="V21" s="369"/>
      <c r="W21" s="368"/>
      <c r="X21" s="368"/>
      <c r="Y21" s="368"/>
      <c r="Z21" s="368"/>
      <c r="AA21" s="369"/>
      <c r="AB21" s="368"/>
      <c r="AC21" s="368"/>
      <c r="AD21" s="368"/>
      <c r="AE21" s="368"/>
      <c r="AF21" s="369"/>
      <c r="AG21" s="368"/>
      <c r="AH21" s="368"/>
      <c r="AI21" s="368"/>
      <c r="AJ21" s="368"/>
      <c r="AK21" s="369"/>
      <c r="AL21" s="368"/>
      <c r="AM21" s="368"/>
      <c r="AN21" s="368"/>
      <c r="AO21" s="368"/>
      <c r="AP21" s="369"/>
      <c r="AQ21" s="368"/>
      <c r="AR21" s="368"/>
      <c r="AS21" s="368"/>
      <c r="AT21" s="368"/>
      <c r="AU21" s="369"/>
      <c r="AV21" s="368"/>
      <c r="AW21" s="368"/>
      <c r="AX21" s="368"/>
      <c r="AY21" s="368"/>
      <c r="AZ21" s="369"/>
      <c r="BA21" s="368"/>
      <c r="BB21" s="368"/>
      <c r="BC21" s="368"/>
      <c r="BD21" s="368"/>
      <c r="BE21" s="369"/>
      <c r="BF21" s="368"/>
      <c r="BG21" s="368"/>
      <c r="BH21" s="368"/>
      <c r="BI21" s="368"/>
      <c r="BJ21" s="369"/>
      <c r="BK21" s="368"/>
      <c r="BL21" s="368"/>
      <c r="BM21" s="368"/>
      <c r="BN21" s="368"/>
      <c r="BO21" s="369"/>
    </row>
    <row r="22" spans="1:67" s="255" customFormat="1">
      <c r="A22" s="245" t="s">
        <v>134</v>
      </c>
      <c r="B22" s="897" t="s">
        <v>223</v>
      </c>
      <c r="C22" s="825"/>
      <c r="D22" s="898"/>
      <c r="E22" s="898"/>
      <c r="F22" s="898"/>
      <c r="G22" s="848"/>
      <c r="H22" s="825">
        <f>BS!H36</f>
        <v>0.29099999999999998</v>
      </c>
      <c r="I22" s="825">
        <f>BS!I36</f>
        <v>6.2E-2</v>
      </c>
      <c r="J22" s="825">
        <f>BS!J36</f>
        <v>1.2E-2</v>
      </c>
      <c r="K22" s="825">
        <f>BS!K36</f>
        <v>2.984</v>
      </c>
      <c r="L22" s="848">
        <f>K22</f>
        <v>2.984</v>
      </c>
      <c r="M22" s="825">
        <f>BS!M36</f>
        <v>2.3359999999999999</v>
      </c>
      <c r="N22" s="825">
        <f>BS!N36</f>
        <v>1.8540000000000001</v>
      </c>
      <c r="O22" s="825">
        <f>BS!O36</f>
        <v>2.952</v>
      </c>
      <c r="P22" s="825">
        <f>BS!P36</f>
        <v>2.907</v>
      </c>
      <c r="Q22" s="848">
        <f>P22</f>
        <v>2.907</v>
      </c>
      <c r="R22" s="825">
        <f>BS!R36</f>
        <v>2.472</v>
      </c>
      <c r="S22" s="825">
        <f>BS!S36</f>
        <v>3.1349999999999998</v>
      </c>
      <c r="T22" s="825">
        <f>BS!T36</f>
        <v>3.4769999999999999</v>
      </c>
      <c r="U22" s="825">
        <f>BS!U36</f>
        <v>4.194</v>
      </c>
      <c r="V22" s="848">
        <f>U22</f>
        <v>4.194</v>
      </c>
      <c r="W22" s="825">
        <f>BS!W36</f>
        <v>3.65</v>
      </c>
      <c r="X22" s="825">
        <f>BS!X36</f>
        <v>7.1</v>
      </c>
      <c r="Y22" s="825">
        <f>BS!Y36</f>
        <v>7.1319999999999997</v>
      </c>
      <c r="Z22" s="825">
        <f>BS!Z36</f>
        <v>11.18</v>
      </c>
      <c r="AA22" s="848">
        <f>Z22</f>
        <v>11.18</v>
      </c>
      <c r="AB22" s="825">
        <f>BS!AB36</f>
        <v>10.433999999999999</v>
      </c>
      <c r="AC22" s="825">
        <f>BS!AC36</f>
        <v>8.7929999999999993</v>
      </c>
      <c r="AD22" s="825">
        <f>BS!AD36</f>
        <v>7.3330000000000002</v>
      </c>
      <c r="AE22" s="825">
        <f>BS!AE36</f>
        <v>11.462999999999999</v>
      </c>
      <c r="AF22" s="848">
        <f>AE22</f>
        <v>11.462999999999999</v>
      </c>
      <c r="AG22" s="825">
        <f>BS!AG36</f>
        <v>14.151999999999999</v>
      </c>
      <c r="AH22" s="825">
        <f>BS!AH36</f>
        <v>12.477</v>
      </c>
      <c r="AI22" s="825">
        <f>BS!AI36</f>
        <v>12.082000000000001</v>
      </c>
      <c r="AJ22" s="825">
        <f>BS!AJ36</f>
        <v>14.401999999999999</v>
      </c>
      <c r="AK22" s="848">
        <f>AJ22</f>
        <v>14.401999999999999</v>
      </c>
      <c r="AL22" s="825">
        <f>BS!AL36</f>
        <v>14.692</v>
      </c>
      <c r="AM22" s="825">
        <f>BS!AM36</f>
        <v>12.28</v>
      </c>
      <c r="AN22" s="825">
        <f>BS!AN36</f>
        <v>11.973000000000001</v>
      </c>
      <c r="AO22" s="825">
        <f>BS!AO36</f>
        <v>15.500999999999999</v>
      </c>
      <c r="AP22" s="848">
        <f>AO22</f>
        <v>15.500999999999999</v>
      </c>
      <c r="AQ22" s="825">
        <f>BS!AQ36</f>
        <v>13.724</v>
      </c>
      <c r="AR22" s="825">
        <f>BS!AR36</f>
        <v>11.54</v>
      </c>
      <c r="AS22" s="825">
        <f>BS!AS36</f>
        <v>10.884</v>
      </c>
      <c r="AT22" s="834">
        <f>AS22*(1+AT25)</f>
        <v>10.884</v>
      </c>
      <c r="AU22" s="826">
        <f>AT22</f>
        <v>10.884</v>
      </c>
      <c r="AV22" s="841">
        <f>AT22*(1+AV25)</f>
        <v>10.884</v>
      </c>
      <c r="AW22" s="834">
        <f>AV22*(1+AW25)</f>
        <v>10.884</v>
      </c>
      <c r="AX22" s="834">
        <f>AW22*(1+AX25)</f>
        <v>10.884</v>
      </c>
      <c r="AY22" s="834">
        <f>AX22*(1+AY25)</f>
        <v>10.884</v>
      </c>
      <c r="AZ22" s="826">
        <f>AY22</f>
        <v>10.884</v>
      </c>
      <c r="BA22" s="841">
        <f>AY22*(1+BA25)</f>
        <v>10.884</v>
      </c>
      <c r="BB22" s="834">
        <f>BA22*(1+BB25)</f>
        <v>10.884</v>
      </c>
      <c r="BC22" s="834">
        <f>BB22*(1+BC25)</f>
        <v>10.884</v>
      </c>
      <c r="BD22" s="834">
        <f>BC22*(1+BD25)</f>
        <v>10.884</v>
      </c>
      <c r="BE22" s="826">
        <f>BD22</f>
        <v>10.884</v>
      </c>
      <c r="BF22" s="841">
        <f>BD22*(1+BF25)</f>
        <v>10.884</v>
      </c>
      <c r="BG22" s="834">
        <f>BF22*(1+BG25)</f>
        <v>10.884</v>
      </c>
      <c r="BH22" s="834">
        <f>BG22*(1+BH25)</f>
        <v>10.884</v>
      </c>
      <c r="BI22" s="834">
        <f>BH22*(1+BI25)</f>
        <v>10.884</v>
      </c>
      <c r="BJ22" s="826">
        <f>BI22</f>
        <v>10.884</v>
      </c>
      <c r="BK22" s="841">
        <f>BI22*(1+BK25)</f>
        <v>10.884</v>
      </c>
      <c r="BL22" s="834">
        <f>BK22*(1+BL25)</f>
        <v>10.884</v>
      </c>
      <c r="BM22" s="834">
        <f>BL22*(1+BM25)</f>
        <v>10.884</v>
      </c>
      <c r="BN22" s="834">
        <f>BM22*(1+BN25)</f>
        <v>10.884</v>
      </c>
      <c r="BO22" s="826">
        <f>BN22</f>
        <v>10.884</v>
      </c>
    </row>
    <row r="23" spans="1:67" s="839" customFormat="1" outlineLevel="1">
      <c r="A23" s="245"/>
      <c r="B23" s="273" t="s">
        <v>429</v>
      </c>
      <c r="C23" s="835"/>
      <c r="D23" s="836"/>
      <c r="E23" s="836"/>
      <c r="F23" s="836"/>
      <c r="G23" s="837"/>
      <c r="H23" s="835">
        <f>IFERROR(H22-F22,"--")</f>
        <v>0.29099999999999998</v>
      </c>
      <c r="I23" s="836">
        <f>IFERROR(I22-H22,"--")</f>
        <v>-0.22899999999999998</v>
      </c>
      <c r="J23" s="836">
        <f>IFERROR(J22-I22,"--")</f>
        <v>-0.05</v>
      </c>
      <c r="K23" s="836">
        <f>IFERROR(K22-J22,"--")</f>
        <v>2.972</v>
      </c>
      <c r="L23" s="838">
        <f>IFERROR(L22-G22,"--")</f>
        <v>2.984</v>
      </c>
      <c r="M23" s="835">
        <f>IFERROR(M22-K22,"--")</f>
        <v>-0.64800000000000013</v>
      </c>
      <c r="N23" s="836">
        <f>IFERROR(N22-M22,"--")</f>
        <v>-0.48199999999999976</v>
      </c>
      <c r="O23" s="836">
        <f>IFERROR(O22-N22,"--")</f>
        <v>1.0979999999999999</v>
      </c>
      <c r="P23" s="836">
        <f>IFERROR(P22-O22,"--")</f>
        <v>-4.4999999999999929E-2</v>
      </c>
      <c r="Q23" s="838">
        <f>IFERROR(Q22-L22,"--")</f>
        <v>-7.6999999999999957E-2</v>
      </c>
      <c r="R23" s="835">
        <f>IFERROR(R22-P22,"--")</f>
        <v>-0.43500000000000005</v>
      </c>
      <c r="S23" s="836">
        <f>IFERROR(S22-R22,"--")</f>
        <v>0.66299999999999981</v>
      </c>
      <c r="T23" s="836">
        <f>IFERROR(T22-S22,"--")</f>
        <v>0.34200000000000008</v>
      </c>
      <c r="U23" s="836">
        <f>IFERROR(U22-T22,"--")</f>
        <v>0.71700000000000008</v>
      </c>
      <c r="V23" s="838">
        <f>IFERROR(V22-Q22,"--")</f>
        <v>1.2869999999999999</v>
      </c>
      <c r="W23" s="835">
        <f>IFERROR(W22-U22,"--")</f>
        <v>-0.54400000000000004</v>
      </c>
      <c r="X23" s="836">
        <f>IFERROR(X22-W22,"--")</f>
        <v>3.4499999999999997</v>
      </c>
      <c r="Y23" s="836">
        <f>IFERROR(Y22-X22,"--")</f>
        <v>3.2000000000000028E-2</v>
      </c>
      <c r="Z23" s="836">
        <f>IFERROR(Z22-Y22,"--")</f>
        <v>4.048</v>
      </c>
      <c r="AA23" s="838">
        <f>IFERROR(AA22-V22,"--")</f>
        <v>6.9859999999999998</v>
      </c>
      <c r="AB23" s="835">
        <f>IFERROR(AB22-Z22,"--")</f>
        <v>-0.74600000000000044</v>
      </c>
      <c r="AC23" s="836">
        <f>IFERROR(AC22-AB22,"--")</f>
        <v>-1.641</v>
      </c>
      <c r="AD23" s="836">
        <f>IFERROR(AD22-AC22,"--")</f>
        <v>-1.4599999999999991</v>
      </c>
      <c r="AE23" s="836">
        <f>IFERROR(AE22-AD22,"--")</f>
        <v>4.129999999999999</v>
      </c>
      <c r="AF23" s="838">
        <f>IFERROR(AF22-AA22,"--")</f>
        <v>0.28299999999999947</v>
      </c>
      <c r="AG23" s="835">
        <f>IFERROR(AG22-AE22,"--")</f>
        <v>2.6890000000000001</v>
      </c>
      <c r="AH23" s="836">
        <f>IFERROR(AH22-AG22,"--")</f>
        <v>-1.6749999999999989</v>
      </c>
      <c r="AI23" s="836">
        <f>IFERROR(AI22-AH22,"--")</f>
        <v>-0.39499999999999957</v>
      </c>
      <c r="AJ23" s="836">
        <f>IFERROR(AJ22-AI22,"--")</f>
        <v>2.3199999999999985</v>
      </c>
      <c r="AK23" s="838">
        <f>IFERROR(AK22-AF22,"--")</f>
        <v>2.9390000000000001</v>
      </c>
      <c r="AL23" s="835">
        <f>IFERROR(AL22-AJ22,"--")</f>
        <v>0.29000000000000092</v>
      </c>
      <c r="AM23" s="836">
        <f>IFERROR(AM22-AL22,"--")</f>
        <v>-2.4120000000000008</v>
      </c>
      <c r="AN23" s="836">
        <f>IFERROR(AN22-AM22,"--")</f>
        <v>-0.30699999999999861</v>
      </c>
      <c r="AO23" s="836">
        <f>IFERROR(AO22-AN22,"--")</f>
        <v>3.5279999999999987</v>
      </c>
      <c r="AP23" s="838">
        <f>IFERROR(AP22-AK22,"--")</f>
        <v>1.0990000000000002</v>
      </c>
      <c r="AQ23" s="835">
        <f>IFERROR(AQ22-AO22,"--")</f>
        <v>-1.7769999999999992</v>
      </c>
      <c r="AR23" s="836">
        <f>IFERROR(AR22-AQ22,"--")</f>
        <v>-2.1840000000000011</v>
      </c>
      <c r="AS23" s="836">
        <f>IFERROR(AS22-AR22,"--")</f>
        <v>-0.65599999999999881</v>
      </c>
      <c r="AT23" s="836">
        <f>IFERROR(AT22-AS22,"--")</f>
        <v>0</v>
      </c>
      <c r="AU23" s="838">
        <f>IFERROR(AU22-AP22,"--")</f>
        <v>-4.6169999999999991</v>
      </c>
      <c r="AV23" s="835">
        <f>IFERROR(AV22-AT22,"--")</f>
        <v>0</v>
      </c>
      <c r="AW23" s="836">
        <f>IFERROR(AW22-AV22,"--")</f>
        <v>0</v>
      </c>
      <c r="AX23" s="836">
        <f>IFERROR(AX22-AW22,"--")</f>
        <v>0</v>
      </c>
      <c r="AY23" s="836">
        <f>IFERROR(AY22-AX22,"--")</f>
        <v>0</v>
      </c>
      <c r="AZ23" s="838">
        <f>IFERROR(AZ22-AU22,"--")</f>
        <v>0</v>
      </c>
      <c r="BA23" s="835">
        <f>IFERROR(BA22-AY22,"--")</f>
        <v>0</v>
      </c>
      <c r="BB23" s="836">
        <f>IFERROR(BB22-BA22,"--")</f>
        <v>0</v>
      </c>
      <c r="BC23" s="836">
        <f>IFERROR(BC22-BB22,"--")</f>
        <v>0</v>
      </c>
      <c r="BD23" s="836">
        <f>IFERROR(BD22-BC22,"--")</f>
        <v>0</v>
      </c>
      <c r="BE23" s="838">
        <f>IFERROR(BE22-AZ22,"--")</f>
        <v>0</v>
      </c>
      <c r="BF23" s="835">
        <f>IFERROR(BF22-BD22,"--")</f>
        <v>0</v>
      </c>
      <c r="BG23" s="836">
        <f>IFERROR(BG22-BF22,"--")</f>
        <v>0</v>
      </c>
      <c r="BH23" s="836">
        <f>IFERROR(BH22-BG22,"--")</f>
        <v>0</v>
      </c>
      <c r="BI23" s="836">
        <f>IFERROR(BI22-BH22,"--")</f>
        <v>0</v>
      </c>
      <c r="BJ23" s="838">
        <f>IFERROR(BJ22-BE22,"--")</f>
        <v>0</v>
      </c>
      <c r="BK23" s="835">
        <f>IFERROR(BK22-BI22,"--")</f>
        <v>0</v>
      </c>
      <c r="BL23" s="836">
        <f>IFERROR(BL22-BK22,"--")</f>
        <v>0</v>
      </c>
      <c r="BM23" s="836">
        <f>IFERROR(BM22-BL22,"--")</f>
        <v>0</v>
      </c>
      <c r="BN23" s="836">
        <f>IFERROR(BN22-BM22,"--")</f>
        <v>0</v>
      </c>
      <c r="BO23" s="838">
        <f>IFERROR(BO22-BJ22,"--")</f>
        <v>0</v>
      </c>
    </row>
    <row r="24" spans="1:67" s="902" customFormat="1" outlineLevel="1">
      <c r="A24" s="245" t="s">
        <v>135</v>
      </c>
      <c r="B24" s="899" t="s">
        <v>32</v>
      </c>
      <c r="C24" s="691"/>
      <c r="D24" s="692"/>
      <c r="E24" s="692"/>
      <c r="F24" s="692"/>
      <c r="G24" s="900"/>
      <c r="H24" s="691" t="str">
        <f t="shared" ref="H24:AM24" si="23">IFERROR(H22/C22-1,"--")</f>
        <v>--</v>
      </c>
      <c r="I24" s="692" t="str">
        <f t="shared" si="23"/>
        <v>--</v>
      </c>
      <c r="J24" s="692" t="str">
        <f t="shared" si="23"/>
        <v>--</v>
      </c>
      <c r="K24" s="692" t="str">
        <f t="shared" si="23"/>
        <v>--</v>
      </c>
      <c r="L24" s="901" t="str">
        <f t="shared" si="23"/>
        <v>--</v>
      </c>
      <c r="M24" s="691">
        <f t="shared" si="23"/>
        <v>7.0274914089347078</v>
      </c>
      <c r="N24" s="692">
        <f t="shared" si="23"/>
        <v>28.903225806451616</v>
      </c>
      <c r="O24" s="692">
        <f t="shared" si="23"/>
        <v>245</v>
      </c>
      <c r="P24" s="692">
        <f t="shared" si="23"/>
        <v>-2.5804289544235859E-2</v>
      </c>
      <c r="Q24" s="901">
        <f t="shared" si="23"/>
        <v>-2.5804289544235859E-2</v>
      </c>
      <c r="R24" s="691">
        <f t="shared" si="23"/>
        <v>5.8219178082191902E-2</v>
      </c>
      <c r="S24" s="692">
        <f t="shared" si="23"/>
        <v>0.69093851132686068</v>
      </c>
      <c r="T24" s="692">
        <f t="shared" si="23"/>
        <v>0.17784552845528445</v>
      </c>
      <c r="U24" s="692">
        <f t="shared" si="23"/>
        <v>0.44272445820433437</v>
      </c>
      <c r="V24" s="901">
        <f t="shared" si="23"/>
        <v>0.44272445820433437</v>
      </c>
      <c r="W24" s="691">
        <f t="shared" si="23"/>
        <v>0.47653721682847894</v>
      </c>
      <c r="X24" s="692">
        <f t="shared" si="23"/>
        <v>1.2647527910685805</v>
      </c>
      <c r="Y24" s="692">
        <f t="shared" si="23"/>
        <v>1.0511935576646536</v>
      </c>
      <c r="Z24" s="692">
        <f t="shared" si="23"/>
        <v>1.6657129232236527</v>
      </c>
      <c r="AA24" s="901">
        <f t="shared" si="23"/>
        <v>1.6657129232236527</v>
      </c>
      <c r="AB24" s="691">
        <f t="shared" si="23"/>
        <v>1.8586301369863012</v>
      </c>
      <c r="AC24" s="692">
        <f t="shared" si="23"/>
        <v>0.23845070422535208</v>
      </c>
      <c r="AD24" s="692">
        <f t="shared" si="23"/>
        <v>2.8182837913628855E-2</v>
      </c>
      <c r="AE24" s="692">
        <f t="shared" si="23"/>
        <v>2.5313059033989171E-2</v>
      </c>
      <c r="AF24" s="901">
        <f t="shared" si="23"/>
        <v>2.5313059033989171E-2</v>
      </c>
      <c r="AG24" s="691">
        <f t="shared" si="23"/>
        <v>0.35633505846271807</v>
      </c>
      <c r="AH24" s="692">
        <f t="shared" si="23"/>
        <v>0.41896963493688166</v>
      </c>
      <c r="AI24" s="692">
        <f t="shared" si="23"/>
        <v>0.64762034637938104</v>
      </c>
      <c r="AJ24" s="692">
        <f t="shared" si="23"/>
        <v>0.25639012474919309</v>
      </c>
      <c r="AK24" s="901">
        <f t="shared" si="23"/>
        <v>0.25639012474919309</v>
      </c>
      <c r="AL24" s="691">
        <f t="shared" si="23"/>
        <v>3.8157150932730532E-2</v>
      </c>
      <c r="AM24" s="692">
        <f t="shared" si="23"/>
        <v>-1.5789051855414016E-2</v>
      </c>
      <c r="AN24" s="692">
        <f t="shared" ref="AN24:BJ24" si="24">IFERROR(AN22/AI22-1,"--")</f>
        <v>-9.0216851514649532E-3</v>
      </c>
      <c r="AO24" s="692">
        <f>IFERROR(AO22/AJ22-1,"--")</f>
        <v>7.6308845993612096E-2</v>
      </c>
      <c r="AP24" s="901">
        <f>IFERROR(AP22/AK22-1,"--")</f>
        <v>7.6308845993612096E-2</v>
      </c>
      <c r="AQ24" s="691">
        <f t="shared" ref="AQ24:AR24" si="25">IFERROR(AQ22/AL22-1,"--")</f>
        <v>-6.5886196569561628E-2</v>
      </c>
      <c r="AR24" s="692">
        <f t="shared" si="25"/>
        <v>-6.0260586319218268E-2</v>
      </c>
      <c r="AS24" s="692">
        <f t="shared" si="24"/>
        <v>-9.095464795790531E-2</v>
      </c>
      <c r="AT24" s="692">
        <f t="shared" si="24"/>
        <v>-0.29785175149990317</v>
      </c>
      <c r="AU24" s="901">
        <f t="shared" si="24"/>
        <v>-0.29785175149990317</v>
      </c>
      <c r="AV24" s="691">
        <f t="shared" si="24"/>
        <v>-0.20693675313319726</v>
      </c>
      <c r="AW24" s="692">
        <f t="shared" si="24"/>
        <v>-5.6845753899479989E-2</v>
      </c>
      <c r="AX24" s="692">
        <f t="shared" si="24"/>
        <v>0</v>
      </c>
      <c r="AY24" s="692">
        <f t="shared" si="24"/>
        <v>0</v>
      </c>
      <c r="AZ24" s="901">
        <f t="shared" si="24"/>
        <v>0</v>
      </c>
      <c r="BA24" s="691">
        <f t="shared" si="24"/>
        <v>0</v>
      </c>
      <c r="BB24" s="692">
        <f t="shared" si="24"/>
        <v>0</v>
      </c>
      <c r="BC24" s="692">
        <f t="shared" si="24"/>
        <v>0</v>
      </c>
      <c r="BD24" s="692">
        <f t="shared" si="24"/>
        <v>0</v>
      </c>
      <c r="BE24" s="901">
        <f t="shared" si="24"/>
        <v>0</v>
      </c>
      <c r="BF24" s="691">
        <f t="shared" si="24"/>
        <v>0</v>
      </c>
      <c r="BG24" s="692">
        <f t="shared" si="24"/>
        <v>0</v>
      </c>
      <c r="BH24" s="692">
        <f t="shared" si="24"/>
        <v>0</v>
      </c>
      <c r="BI24" s="692">
        <f t="shared" si="24"/>
        <v>0</v>
      </c>
      <c r="BJ24" s="901">
        <f t="shared" si="24"/>
        <v>0</v>
      </c>
      <c r="BK24" s="691">
        <f>IFERROR(BK22/BF22-1,"--")</f>
        <v>0</v>
      </c>
      <c r="BL24" s="692">
        <f>IFERROR(BL22/BG22-1,"--")</f>
        <v>0</v>
      </c>
      <c r="BM24" s="692">
        <f>IFERROR(BM22/BH22-1,"--")</f>
        <v>0</v>
      </c>
      <c r="BN24" s="692">
        <f>IFERROR(BN22/BI22-1,"--")</f>
        <v>0</v>
      </c>
      <c r="BO24" s="901">
        <f>IFERROR(BO22/BJ22-1,"--")</f>
        <v>0</v>
      </c>
    </row>
    <row r="25" spans="1:67" s="902" customFormat="1" outlineLevel="1">
      <c r="A25" s="245" t="s">
        <v>136</v>
      </c>
      <c r="B25" s="899" t="s">
        <v>33</v>
      </c>
      <c r="C25" s="691"/>
      <c r="D25" s="692"/>
      <c r="E25" s="692"/>
      <c r="F25" s="692"/>
      <c r="G25" s="903"/>
      <c r="H25" s="691" t="str">
        <f>IFERROR(H22/F22-1,"--")</f>
        <v>--</v>
      </c>
      <c r="I25" s="692">
        <f>IFERROR(I22/H22-1,"--")</f>
        <v>-0.78694158075601373</v>
      </c>
      <c r="J25" s="692">
        <f>IFERROR(J22/H22-1,"--")</f>
        <v>-0.95876288659793818</v>
      </c>
      <c r="K25" s="692">
        <f>IFERROR(K22/I22-1,"--")</f>
        <v>47.12903225806452</v>
      </c>
      <c r="L25" s="901"/>
      <c r="M25" s="691">
        <f>IFERROR(M22/K22-1,"--")</f>
        <v>-0.21715817694369977</v>
      </c>
      <c r="N25" s="692">
        <f>IFERROR(N22/M22-1,"--")</f>
        <v>-0.20633561643835607</v>
      </c>
      <c r="O25" s="692">
        <f>IFERROR(O22/M22-1,"--")</f>
        <v>0.26369863013698636</v>
      </c>
      <c r="P25" s="692">
        <f>IFERROR(P22/N22-1,"--")</f>
        <v>0.56796116504854366</v>
      </c>
      <c r="Q25" s="901"/>
      <c r="R25" s="691">
        <f>IFERROR(R22/P22-1,"--")</f>
        <v>-0.14963880288957687</v>
      </c>
      <c r="S25" s="692">
        <f>IFERROR(S22/R22-1,"--")</f>
        <v>0.26820388349514546</v>
      </c>
      <c r="T25" s="692">
        <f>IFERROR(T22/R22-1,"--")</f>
        <v>0.4065533980582523</v>
      </c>
      <c r="U25" s="692">
        <f>IFERROR(U22/S22-1,"--")</f>
        <v>0.3377990430622011</v>
      </c>
      <c r="V25" s="901"/>
      <c r="W25" s="691">
        <f>IFERROR(W22/U22-1,"--")</f>
        <v>-0.1297091082498808</v>
      </c>
      <c r="X25" s="692">
        <f>IFERROR(X22/W22-1,"--")</f>
        <v>0.9452054794520548</v>
      </c>
      <c r="Y25" s="692">
        <f>IFERROR(Y22/W22-1,"--")</f>
        <v>0.95397260273972595</v>
      </c>
      <c r="Z25" s="692">
        <f>IFERROR(Z22/X22-1,"--")</f>
        <v>0.57464788732394378</v>
      </c>
      <c r="AA25" s="901"/>
      <c r="AB25" s="691">
        <f>IFERROR(AB22/Z22-1,"--")</f>
        <v>-6.6726296958855125E-2</v>
      </c>
      <c r="AC25" s="692">
        <f>IFERROR(AC22/AB22-1,"--")</f>
        <v>-0.15727429557216788</v>
      </c>
      <c r="AD25" s="692">
        <f>IFERROR(AD22/AB22-1,"--")</f>
        <v>-0.2972014567759248</v>
      </c>
      <c r="AE25" s="692">
        <f>IFERROR(AE22/AC22-1,"--")</f>
        <v>0.30365063118389624</v>
      </c>
      <c r="AF25" s="901"/>
      <c r="AG25" s="691">
        <f>IFERROR(AG22/AE22-1,"--")</f>
        <v>0.23458082526389257</v>
      </c>
      <c r="AH25" s="692">
        <f>IFERROR(AH22/AG22-1,"--")</f>
        <v>-0.11835782928208016</v>
      </c>
      <c r="AI25" s="692">
        <f>IFERROR(AI22/AG22-1,"--")</f>
        <v>-0.14626907857546623</v>
      </c>
      <c r="AJ25" s="692">
        <f>IFERROR(AJ22/AH22-1,"--")</f>
        <v>0.15428388234351198</v>
      </c>
      <c r="AK25" s="901"/>
      <c r="AL25" s="691">
        <f>IFERROR(AL22/AJ22-1,"--")</f>
        <v>2.0136092209415368E-2</v>
      </c>
      <c r="AM25" s="692">
        <f>IFERROR(AM22/AL22-1,"--")</f>
        <v>-0.16417097740266817</v>
      </c>
      <c r="AN25" s="692">
        <f>IFERROR(AN22/AL22-1,"--")</f>
        <v>-0.18506670296760142</v>
      </c>
      <c r="AO25" s="692">
        <f>IFERROR(AO22/AM22-1,"--")</f>
        <v>0.26229641693811079</v>
      </c>
      <c r="AP25" s="901"/>
      <c r="AQ25" s="691">
        <f>IFERROR(AQ22/AO22-1,"--")</f>
        <v>-0.1146377653054641</v>
      </c>
      <c r="AR25" s="692">
        <f>IFERROR(AR22/AP22-1,"--")</f>
        <v>-0.25553190116766666</v>
      </c>
      <c r="AS25" s="692">
        <f>IFERROR(AS22/AQ22-1,"--")</f>
        <v>-0.20693675313319726</v>
      </c>
      <c r="AT25" s="905">
        <v>0</v>
      </c>
      <c r="AU25" s="901"/>
      <c r="AV25" s="904">
        <v>0</v>
      </c>
      <c r="AW25" s="905">
        <v>0</v>
      </c>
      <c r="AX25" s="905">
        <v>0</v>
      </c>
      <c r="AY25" s="905">
        <v>0</v>
      </c>
      <c r="AZ25" s="901"/>
      <c r="BA25" s="904">
        <v>0</v>
      </c>
      <c r="BB25" s="905">
        <v>0</v>
      </c>
      <c r="BC25" s="905">
        <v>0</v>
      </c>
      <c r="BD25" s="905">
        <v>0</v>
      </c>
      <c r="BE25" s="901"/>
      <c r="BF25" s="904">
        <v>0</v>
      </c>
      <c r="BG25" s="905">
        <v>0</v>
      </c>
      <c r="BH25" s="905">
        <v>0</v>
      </c>
      <c r="BI25" s="905">
        <v>0</v>
      </c>
      <c r="BJ25" s="901"/>
      <c r="BK25" s="904">
        <v>0</v>
      </c>
      <c r="BL25" s="905">
        <v>0</v>
      </c>
      <c r="BM25" s="905">
        <v>0</v>
      </c>
      <c r="BN25" s="905">
        <v>0</v>
      </c>
      <c r="BO25" s="901"/>
    </row>
    <row r="26" spans="1:67" s="798" customFormat="1" outlineLevel="1">
      <c r="A26" s="319"/>
      <c r="B26" s="827" t="s">
        <v>430</v>
      </c>
      <c r="C26" s="395"/>
      <c r="D26" s="395"/>
      <c r="E26" s="395"/>
      <c r="F26" s="395"/>
      <c r="G26" s="811"/>
      <c r="H26" s="395">
        <f t="shared" ref="H26:M26" si="26">IFERROR(H22/H$29,"--")</f>
        <v>7.9785046472733243E-3</v>
      </c>
      <c r="I26" s="395">
        <f t="shared" si="26"/>
        <v>1.0741324647875125E-3</v>
      </c>
      <c r="J26" s="395">
        <f t="shared" si="26"/>
        <v>1.8570964297321137E-4</v>
      </c>
      <c r="K26" s="395">
        <f t="shared" si="26"/>
        <v>2.7886807969795525E-2</v>
      </c>
      <c r="L26" s="811">
        <f t="shared" si="26"/>
        <v>2.7886807969795525E-2</v>
      </c>
      <c r="M26" s="395">
        <f t="shared" si="26"/>
        <v>1.9053989021117625E-2</v>
      </c>
      <c r="N26" s="395">
        <f t="shared" ref="N26:BJ26" si="27">IFERROR(N22/N$29,"--")</f>
        <v>1.053271447481295E-2</v>
      </c>
      <c r="O26" s="395">
        <f t="shared" si="27"/>
        <v>1.3746920680453946E-2</v>
      </c>
      <c r="P26" s="395">
        <f t="shared" si="27"/>
        <v>8.810025305714243E-3</v>
      </c>
      <c r="Q26" s="811">
        <f t="shared" si="27"/>
        <v>8.810025305714243E-3</v>
      </c>
      <c r="R26" s="395">
        <f t="shared" si="27"/>
        <v>7.552357820448192E-3</v>
      </c>
      <c r="S26" s="395">
        <f t="shared" si="27"/>
        <v>8.3218305372690596E-3</v>
      </c>
      <c r="T26" s="395">
        <f t="shared" si="27"/>
        <v>7.8717874413634474E-3</v>
      </c>
      <c r="U26" s="395">
        <f t="shared" si="27"/>
        <v>6.5241130846268001E-3</v>
      </c>
      <c r="V26" s="811">
        <f t="shared" si="27"/>
        <v>6.5241130846268001E-3</v>
      </c>
      <c r="W26" s="395">
        <f t="shared" si="27"/>
        <v>5.7144109616492572E-3</v>
      </c>
      <c r="X26" s="395">
        <f t="shared" si="27"/>
        <v>1.0016110419858419E-2</v>
      </c>
      <c r="Y26" s="395">
        <f t="shared" si="27"/>
        <v>9.3000693723626765E-3</v>
      </c>
      <c r="Z26" s="395">
        <f t="shared" si="27"/>
        <v>9.5631815798410177E-3</v>
      </c>
      <c r="AA26" s="811">
        <f t="shared" si="27"/>
        <v>9.5631815798410177E-3</v>
      </c>
      <c r="AB26" s="395">
        <f t="shared" si="27"/>
        <v>9.127562807762191E-3</v>
      </c>
      <c r="AC26" s="395">
        <f t="shared" si="27"/>
        <v>7.6224507310374964E-3</v>
      </c>
      <c r="AD26" s="395">
        <f t="shared" si="27"/>
        <v>6.0752224046712851E-3</v>
      </c>
      <c r="AE26" s="395">
        <f t="shared" si="27"/>
        <v>6.8032176851611156E-3</v>
      </c>
      <c r="AF26" s="811">
        <f t="shared" si="27"/>
        <v>6.8032176851611156E-3</v>
      </c>
      <c r="AG26" s="395">
        <f t="shared" si="27"/>
        <v>8.9876965344148369E-3</v>
      </c>
      <c r="AH26" s="395">
        <f t="shared" si="27"/>
        <v>8.1253638732919926E-3</v>
      </c>
      <c r="AI26" s="395">
        <f t="shared" si="27"/>
        <v>7.468771423573055E-3</v>
      </c>
      <c r="AJ26" s="395">
        <f t="shared" si="27"/>
        <v>6.5075931710486656E-3</v>
      </c>
      <c r="AK26" s="811">
        <f t="shared" si="27"/>
        <v>6.5075931710486656E-3</v>
      </c>
      <c r="AL26" s="395">
        <f t="shared" ref="AL26:AQ26" si="28">IFERROR(AL22/AL$29,"--")</f>
        <v>7.5330686949004631E-3</v>
      </c>
      <c r="AM26" s="395">
        <f t="shared" si="28"/>
        <v>6.5998228581747509E-3</v>
      </c>
      <c r="AN26" s="395">
        <f t="shared" si="28"/>
        <v>6.0259488743056424E-3</v>
      </c>
      <c r="AO26" s="395">
        <f t="shared" si="28"/>
        <v>5.972167641415658E-3</v>
      </c>
      <c r="AP26" s="811">
        <f t="shared" si="28"/>
        <v>5.972167641415658E-3</v>
      </c>
      <c r="AQ26" s="395">
        <f t="shared" si="28"/>
        <v>5.9065377764062994E-3</v>
      </c>
      <c r="AR26" s="395">
        <f t="shared" ref="AR26:AS26" si="29">IFERROR(AR22/AR$29,"--")</f>
        <v>5.0615655676694909E-3</v>
      </c>
      <c r="AS26" s="395">
        <f t="shared" si="29"/>
        <v>4.4707221916889918E-3</v>
      </c>
      <c r="AT26" s="395">
        <f t="shared" si="27"/>
        <v>3.5655673787223317E-3</v>
      </c>
      <c r="AU26" s="811">
        <f t="shared" si="27"/>
        <v>3.5655673787223317E-3</v>
      </c>
      <c r="AV26" s="395">
        <f t="shared" si="27"/>
        <v>3.811444476724787E-3</v>
      </c>
      <c r="AW26" s="395">
        <f t="shared" si="27"/>
        <v>3.8807634189401336E-3</v>
      </c>
      <c r="AX26" s="395" t="s">
        <v>489</v>
      </c>
      <c r="AY26" s="395">
        <f t="shared" si="27"/>
        <v>3.0819394805416149E-3</v>
      </c>
      <c r="AZ26" s="811">
        <f t="shared" si="27"/>
        <v>3.0819394805416149E-3</v>
      </c>
      <c r="BA26" s="395">
        <f t="shared" si="27"/>
        <v>3.2945764678957252E-3</v>
      </c>
      <c r="BB26" s="395">
        <f t="shared" si="27"/>
        <v>3.3545267585325428E-3</v>
      </c>
      <c r="BC26" s="395">
        <f t="shared" si="27"/>
        <v>3.2571403334608635E-3</v>
      </c>
      <c r="BD26" s="395">
        <f t="shared" si="27"/>
        <v>2.6637347402882106E-3</v>
      </c>
      <c r="BE26" s="811">
        <f t="shared" si="27"/>
        <v>2.6637347402882106E-3</v>
      </c>
      <c r="BF26" s="395">
        <f t="shared" si="27"/>
        <v>2.8476003034584542E-3</v>
      </c>
      <c r="BG26" s="395">
        <f t="shared" si="27"/>
        <v>2.8994407808986488E-3</v>
      </c>
      <c r="BH26" s="395">
        <f t="shared" si="27"/>
        <v>2.8152287947319408E-3</v>
      </c>
      <c r="BI26" s="395">
        <f t="shared" si="27"/>
        <v>2.3021473757503077E-3</v>
      </c>
      <c r="BJ26" s="811">
        <f t="shared" si="27"/>
        <v>2.3021473757503077E-3</v>
      </c>
      <c r="BK26" s="395">
        <f>IFERROR(BK22/BK$29,"--")</f>
        <v>2.4611157887294006E-3</v>
      </c>
      <c r="BL26" s="395">
        <f>IFERROR(BL22/BL$29,"--")</f>
        <v>2.5059380092405012E-3</v>
      </c>
      <c r="BM26" s="395">
        <f>IFERROR(BM22/BM$29,"--")</f>
        <v>2.4331271137980333E-3</v>
      </c>
      <c r="BN26" s="395">
        <f>IFERROR(BN22/BN$29,"--")</f>
        <v>1.9895455958087666E-3</v>
      </c>
      <c r="BO26" s="811">
        <f>IFERROR(BO22/BO$29,"--")</f>
        <v>1.9895455958087666E-3</v>
      </c>
    </row>
    <row r="27" spans="1:67" s="798" customFormat="1" outlineLevel="1">
      <c r="A27" s="319"/>
      <c r="B27" s="827" t="s">
        <v>431</v>
      </c>
      <c r="C27" s="395"/>
      <c r="D27" s="395"/>
      <c r="E27" s="395"/>
      <c r="F27" s="395"/>
      <c r="G27" s="811"/>
      <c r="H27" s="395">
        <f t="shared" ref="H27:M27" si="30">IFERROR(H22/H$10,"--")</f>
        <v>2.1711557114078937E-2</v>
      </c>
      <c r="I27" s="395">
        <f t="shared" si="30"/>
        <v>3.4627199106394861E-3</v>
      </c>
      <c r="J27" s="395">
        <f t="shared" si="30"/>
        <v>4.1841004184100421E-4</v>
      </c>
      <c r="K27" s="395">
        <f t="shared" si="30"/>
        <v>8.1356671574240674E-2</v>
      </c>
      <c r="L27" s="811">
        <f t="shared" si="30"/>
        <v>3.0869178408126953E-2</v>
      </c>
      <c r="M27" s="395">
        <f t="shared" si="30"/>
        <v>5.3449262098158104E-2</v>
      </c>
      <c r="N27" s="395">
        <f t="shared" ref="N27:BJ27" si="31">IFERROR(N22/N$10,"--")</f>
        <v>3.072639586337195E-2</v>
      </c>
      <c r="O27" s="395">
        <f t="shared" si="31"/>
        <v>4.0431709855914093E-2</v>
      </c>
      <c r="P27" s="395">
        <f t="shared" si="31"/>
        <v>3.3150116316197596E-2</v>
      </c>
      <c r="Q27" s="811">
        <f t="shared" si="31"/>
        <v>1.0980252919757657E-2</v>
      </c>
      <c r="R27" s="395">
        <f t="shared" si="31"/>
        <v>2.2717456233056106E-2</v>
      </c>
      <c r="S27" s="395">
        <f t="shared" si="31"/>
        <v>2.3545758383717003E-2</v>
      </c>
      <c r="T27" s="395">
        <f t="shared" si="31"/>
        <v>2.1782438731017886E-2</v>
      </c>
      <c r="U27" s="395">
        <f t="shared" si="31"/>
        <v>2.2019793662877693E-2</v>
      </c>
      <c r="V27" s="811">
        <f t="shared" si="31"/>
        <v>7.0838731253663129E-3</v>
      </c>
      <c r="W27" s="395">
        <f t="shared" si="31"/>
        <v>1.5944852652087681E-2</v>
      </c>
      <c r="X27" s="395">
        <f t="shared" si="31"/>
        <v>2.6083953592605385E-2</v>
      </c>
      <c r="Y27" s="395">
        <f t="shared" si="31"/>
        <v>2.1325136571173985E-2</v>
      </c>
      <c r="Z27" s="395">
        <f t="shared" si="31"/>
        <v>2.9131728569418459E-2</v>
      </c>
      <c r="AA27" s="811">
        <f t="shared" si="31"/>
        <v>9.168992403186348E-3</v>
      </c>
      <c r="AB27" s="395">
        <f t="shared" si="31"/>
        <v>2.4703400564906206E-2</v>
      </c>
      <c r="AC27" s="395">
        <f t="shared" si="31"/>
        <v>1.7683329043052962E-2</v>
      </c>
      <c r="AD27" s="395">
        <f t="shared" si="31"/>
        <v>1.3164508785913817E-2</v>
      </c>
      <c r="AE27" s="395">
        <f t="shared" si="31"/>
        <v>1.9461403163263228E-2</v>
      </c>
      <c r="AF27" s="811">
        <f t="shared" si="31"/>
        <v>5.5493186435902541E-3</v>
      </c>
      <c r="AG27" s="395">
        <f t="shared" si="31"/>
        <v>2.2694071029619994E-2</v>
      </c>
      <c r="AH27" s="395">
        <f t="shared" si="31"/>
        <v>1.8511375067134708E-2</v>
      </c>
      <c r="AI27" s="395">
        <f t="shared" si="31"/>
        <v>1.6456611725029387E-2</v>
      </c>
      <c r="AJ27" s="395">
        <f t="shared" si="31"/>
        <v>1.8590446095838511E-2</v>
      </c>
      <c r="AK27" s="811">
        <f t="shared" si="31"/>
        <v>5.1316787630380873E-3</v>
      </c>
      <c r="AL27" s="395">
        <f t="shared" ref="AL27:AQ27" si="32">IFERROR(AL22/AL$10,"--")</f>
        <v>1.7728780549022639E-2</v>
      </c>
      <c r="AM27" s="395">
        <f t="shared" si="32"/>
        <v>1.4134064130438535E-2</v>
      </c>
      <c r="AN27" s="395">
        <f t="shared" si="32"/>
        <v>1.2708922888798782E-2</v>
      </c>
      <c r="AO27" s="395">
        <f t="shared" si="32"/>
        <v>1.570882779168398E-2</v>
      </c>
      <c r="AP27" s="811">
        <f t="shared" si="32"/>
        <v>4.2744918094990174E-3</v>
      </c>
      <c r="AQ27" s="395">
        <f t="shared" si="32"/>
        <v>1.3169890046196335E-2</v>
      </c>
      <c r="AR27" s="395">
        <f t="shared" ref="AR27:AS27" si="33">IFERROR(AR22/AR$10,"--")</f>
        <v>1.0078875497939245E-2</v>
      </c>
      <c r="AS27" s="395">
        <f t="shared" si="33"/>
        <v>8.9734679188628336E-3</v>
      </c>
      <c r="AT27" s="395">
        <f t="shared" si="31"/>
        <v>8.7155456160184514E-3</v>
      </c>
      <c r="AU27" s="811">
        <f t="shared" si="31"/>
        <v>2.3412719897878929E-3</v>
      </c>
      <c r="AV27" s="395">
        <f t="shared" si="31"/>
        <v>8.2893442875432155E-3</v>
      </c>
      <c r="AW27" s="395">
        <f t="shared" si="31"/>
        <v>7.6916802551645763E-3</v>
      </c>
      <c r="AX27" s="395">
        <f t="shared" si="31"/>
        <v>7.2448220846778972E-3</v>
      </c>
      <c r="AY27" s="395">
        <f t="shared" si="31"/>
        <v>7.0254384565093557E-3</v>
      </c>
      <c r="AZ27" s="811">
        <f t="shared" si="31"/>
        <v>1.8831792594733747E-3</v>
      </c>
      <c r="BA27" s="395">
        <f t="shared" si="31"/>
        <v>6.6803525641356771E-3</v>
      </c>
      <c r="BB27" s="395">
        <f t="shared" si="31"/>
        <v>6.1812183245907662E-3</v>
      </c>
      <c r="BC27" s="395">
        <f t="shared" si="31"/>
        <v>5.8062202782255623E-3</v>
      </c>
      <c r="BD27" s="395">
        <f t="shared" si="31"/>
        <v>5.6873186215642283E-3</v>
      </c>
      <c r="BE27" s="811">
        <f t="shared" si="31"/>
        <v>1.5162267273906476E-3</v>
      </c>
      <c r="BF27" s="395">
        <f t="shared" si="31"/>
        <v>5.4515123869705558E-3</v>
      </c>
      <c r="BG27" s="395">
        <f t="shared" si="31"/>
        <v>5.0559104852996514E-3</v>
      </c>
      <c r="BH27" s="395">
        <f t="shared" si="31"/>
        <v>4.6657167359302363E-3</v>
      </c>
      <c r="BI27" s="395">
        <f t="shared" si="31"/>
        <v>4.5501846236078091E-3</v>
      </c>
      <c r="BJ27" s="811">
        <f t="shared" si="31"/>
        <v>1.2265058340521181E-3</v>
      </c>
      <c r="BK27" s="395">
        <f>IFERROR(BK22/BK$10,"--")</f>
        <v>4.3846094300644574E-3</v>
      </c>
      <c r="BL27" s="395">
        <f>IFERROR(BL22/BL$10,"--")</f>
        <v>4.1184544847877496E-3</v>
      </c>
      <c r="BM27" s="395">
        <f>IFERROR(BM22/BM$10,"--")</f>
        <v>3.7750815502790042E-3</v>
      </c>
      <c r="BN27" s="395">
        <f>IFERROR(BN22/BN$10,"--")</f>
        <v>3.719991962741287E-3</v>
      </c>
      <c r="BO27" s="811">
        <f>IFERROR(BO22/BO$10,"--")</f>
        <v>9.9542825622677897E-4</v>
      </c>
    </row>
    <row r="28" spans="1:67" s="58" customFormat="1">
      <c r="A28" s="107"/>
      <c r="B28" s="77"/>
      <c r="C28" s="368"/>
      <c r="D28" s="368"/>
      <c r="E28" s="368"/>
      <c r="F28" s="368"/>
      <c r="G28" s="369"/>
      <c r="H28" s="368"/>
      <c r="I28" s="368"/>
      <c r="J28" s="368"/>
      <c r="K28" s="368"/>
      <c r="L28" s="369"/>
      <c r="M28" s="368"/>
      <c r="N28" s="368"/>
      <c r="O28" s="368"/>
      <c r="P28" s="368"/>
      <c r="Q28" s="369"/>
      <c r="R28" s="368"/>
      <c r="S28" s="368"/>
      <c r="T28" s="368"/>
      <c r="U28" s="368"/>
      <c r="V28" s="369"/>
      <c r="W28" s="368"/>
      <c r="X28" s="368"/>
      <c r="Y28" s="368"/>
      <c r="Z28" s="368"/>
      <c r="AA28" s="369"/>
      <c r="AB28" s="368"/>
      <c r="AC28" s="368"/>
      <c r="AD28" s="368"/>
      <c r="AE28" s="368"/>
      <c r="AF28" s="369"/>
      <c r="AG28" s="368"/>
      <c r="AH28" s="368"/>
      <c r="AI28" s="368"/>
      <c r="AJ28" s="368"/>
      <c r="AK28" s="369"/>
      <c r="AL28" s="368"/>
      <c r="AM28" s="368"/>
      <c r="AN28" s="368"/>
      <c r="AO28" s="368"/>
      <c r="AP28" s="369"/>
      <c r="AQ28" s="368"/>
      <c r="AR28" s="368"/>
      <c r="AS28" s="368"/>
      <c r="AT28" s="368"/>
      <c r="AU28" s="369"/>
      <c r="AV28" s="368"/>
      <c r="AW28" s="368"/>
      <c r="AX28" s="368"/>
      <c r="AY28" s="368"/>
      <c r="AZ28" s="369"/>
      <c r="BA28" s="368"/>
      <c r="BB28" s="368"/>
      <c r="BC28" s="368"/>
      <c r="BD28" s="368"/>
      <c r="BE28" s="369"/>
      <c r="BF28" s="368"/>
      <c r="BG28" s="368"/>
      <c r="BH28" s="368"/>
      <c r="BI28" s="368"/>
      <c r="BJ28" s="369"/>
      <c r="BK28" s="368"/>
      <c r="BL28" s="368"/>
      <c r="BM28" s="368"/>
      <c r="BN28" s="368"/>
      <c r="BO28" s="369"/>
    </row>
    <row r="29" spans="1:67" s="277" customFormat="1">
      <c r="A29" s="107" t="s">
        <v>137</v>
      </c>
      <c r="B29" s="840" t="s">
        <v>145</v>
      </c>
      <c r="C29" s="841"/>
      <c r="D29" s="834"/>
      <c r="E29" s="834"/>
      <c r="F29" s="834"/>
      <c r="G29" s="826"/>
      <c r="H29" s="841">
        <f>SUM(H15,H22)</f>
        <v>36.472999999999999</v>
      </c>
      <c r="I29" s="834">
        <f>SUM(I15,I22)</f>
        <v>57.720999999999997</v>
      </c>
      <c r="J29" s="834">
        <f>SUM(J15,J22)</f>
        <v>64.617000000000004</v>
      </c>
      <c r="K29" s="834">
        <f>SUM(K15,K22)</f>
        <v>107.00399999999999</v>
      </c>
      <c r="L29" s="826">
        <f>K29</f>
        <v>107.00399999999999</v>
      </c>
      <c r="M29" s="841">
        <f>SUM(M15,M22)</f>
        <v>122.599</v>
      </c>
      <c r="N29" s="834">
        <f>SUM(N15,N22)</f>
        <v>176.02300000000002</v>
      </c>
      <c r="O29" s="834">
        <f>SUM(O15,O22)</f>
        <v>214.739</v>
      </c>
      <c r="P29" s="834">
        <f>SUM(P15,P22)</f>
        <v>329.96499999999997</v>
      </c>
      <c r="Q29" s="826">
        <f>P29</f>
        <v>329.96499999999997</v>
      </c>
      <c r="R29" s="841">
        <f>SUM(R15,R22)</f>
        <v>327.315</v>
      </c>
      <c r="S29" s="834">
        <f>SUM(S15,S22)</f>
        <v>376.71999999999997</v>
      </c>
      <c r="T29" s="834">
        <f>SUM(T15,T22)</f>
        <v>441.70399999999995</v>
      </c>
      <c r="U29" s="834">
        <f>SUM(U15,U22)</f>
        <v>642.846</v>
      </c>
      <c r="V29" s="826">
        <f>U29</f>
        <v>642.846</v>
      </c>
      <c r="W29" s="841">
        <f>SUM(W15,W22)</f>
        <v>638.73599999999999</v>
      </c>
      <c r="X29" s="834">
        <f>SUM(X15,X22)</f>
        <v>708.85800000000006</v>
      </c>
      <c r="Y29" s="834">
        <f>SUM(Y15,Y22)</f>
        <v>766.87599999999998</v>
      </c>
      <c r="Z29" s="834">
        <f>SUM(Z15,Z22)</f>
        <v>1169.067</v>
      </c>
      <c r="AA29" s="826">
        <f>Z29</f>
        <v>1169.067</v>
      </c>
      <c r="AB29" s="841">
        <f>SUM(AB15,AB22)</f>
        <v>1143.1309999999999</v>
      </c>
      <c r="AC29" s="834">
        <f>SUM(AC15,AC22)</f>
        <v>1153.5659999999998</v>
      </c>
      <c r="AD29" s="834">
        <f>SUM(AD15,AD22)</f>
        <v>1207.0340000000001</v>
      </c>
      <c r="AE29" s="834">
        <f>SUM(AE15,AE22)</f>
        <v>1684.9379999999999</v>
      </c>
      <c r="AF29" s="826">
        <f>AE29</f>
        <v>1684.9379999999999</v>
      </c>
      <c r="AG29" s="841">
        <f>SUM(AG15,AG22)</f>
        <v>1574.597</v>
      </c>
      <c r="AH29" s="834">
        <f>SUM(AH15,AH22)</f>
        <v>1535.5620000000001</v>
      </c>
      <c r="AI29" s="834">
        <f>SUM(AI15,AI22)</f>
        <v>1617.6690000000001</v>
      </c>
      <c r="AJ29" s="834">
        <f>SUM(AJ15,AJ22)</f>
        <v>2213.107</v>
      </c>
      <c r="AK29" s="826">
        <f>AJ29</f>
        <v>2213.107</v>
      </c>
      <c r="AL29" s="841">
        <f>SUM(AL15,AL22)</f>
        <v>1950.3340000000001</v>
      </c>
      <c r="AM29" s="834">
        <f>SUM(AM15,AM22)</f>
        <v>1860.6559999999999</v>
      </c>
      <c r="AN29" s="834">
        <f>SUM(AN15,AN22)</f>
        <v>1986.9069999999999</v>
      </c>
      <c r="AO29" s="834">
        <f>SUM(AO15,AO22)</f>
        <v>2595.5400000000004</v>
      </c>
      <c r="AP29" s="826">
        <f>AO29</f>
        <v>2595.5400000000004</v>
      </c>
      <c r="AQ29" s="841">
        <f>SUM(AQ15,AQ22)</f>
        <v>2323.527</v>
      </c>
      <c r="AR29" s="834">
        <f>SUM(AR15,AR22)</f>
        <v>2279.9270000000001</v>
      </c>
      <c r="AS29" s="834">
        <f>SUM(AS15,AS22)</f>
        <v>2434.5059999999999</v>
      </c>
      <c r="AT29" s="834">
        <f>SUM(AT15,AT22)</f>
        <v>3052.5296099999996</v>
      </c>
      <c r="AU29" s="826">
        <f>AT29</f>
        <v>3052.5296099999996</v>
      </c>
      <c r="AV29" s="841">
        <f>SUM(AV15,AV22)</f>
        <v>2855.6102722904498</v>
      </c>
      <c r="AW29" s="834">
        <f>SUM(AW15,AW22)</f>
        <v>2804.6028126529045</v>
      </c>
      <c r="AX29" s="834">
        <f>SUM(AX15,AX22)</f>
        <v>2888.4143770324918</v>
      </c>
      <c r="AY29" s="834">
        <f>SUM(AY15,AY22)</f>
        <v>3531.5424162992535</v>
      </c>
      <c r="AZ29" s="826">
        <f>AY29</f>
        <v>3531.5424162992535</v>
      </c>
      <c r="BA29" s="841">
        <f>SUM(BA15,BA22)</f>
        <v>3303.6112854140874</v>
      </c>
      <c r="BB29" s="834">
        <f>SUM(BB15,BB22)</f>
        <v>3244.5709286162528</v>
      </c>
      <c r="BC29" s="834">
        <f>SUM(BC15,BC22)</f>
        <v>3341.5815364747405</v>
      </c>
      <c r="BD29" s="834">
        <f>SUM(BD15,BD22)</f>
        <v>4085.9924358768449</v>
      </c>
      <c r="BE29" s="826">
        <f>BD29</f>
        <v>4085.9924358768449</v>
      </c>
      <c r="BF29" s="841">
        <f>SUM(BF15,BF22)</f>
        <v>3822.1656272410196</v>
      </c>
      <c r="BG29" s="834">
        <f>SUM(BG15,BG22)</f>
        <v>3753.8273144611794</v>
      </c>
      <c r="BH29" s="834">
        <f>SUM(BH15,BH22)</f>
        <v>3866.115613895015</v>
      </c>
      <c r="BI29" s="834">
        <f>SUM(BI15,BI22)</f>
        <v>4727.7598796005514</v>
      </c>
      <c r="BJ29" s="826">
        <f>BI29</f>
        <v>4727.7598796005514</v>
      </c>
      <c r="BK29" s="841">
        <f>SUM(BK15,BK22)</f>
        <v>4422.3843712851394</v>
      </c>
      <c r="BL29" s="834">
        <f>SUM(BL15,BL22)</f>
        <v>4343.2838162260523</v>
      </c>
      <c r="BM29" s="834">
        <f>SUM(BM15,BM22)</f>
        <v>4473.2558107128343</v>
      </c>
      <c r="BN29" s="834">
        <f>SUM(BN15,BN22)</f>
        <v>5470.5959104071526</v>
      </c>
      <c r="BO29" s="826">
        <f>BN29</f>
        <v>5470.5959104071526</v>
      </c>
    </row>
    <row r="30" spans="1:67" s="843" customFormat="1" outlineLevel="1">
      <c r="A30" s="107"/>
      <c r="B30" s="842" t="s">
        <v>429</v>
      </c>
      <c r="C30" s="835"/>
      <c r="D30" s="836"/>
      <c r="E30" s="836"/>
      <c r="F30" s="836"/>
      <c r="G30" s="837"/>
      <c r="H30" s="835">
        <f>IFERROR(H29-F29,"--")</f>
        <v>36.472999999999999</v>
      </c>
      <c r="I30" s="836">
        <f>IFERROR(I29-H29,"--")</f>
        <v>21.247999999999998</v>
      </c>
      <c r="J30" s="836">
        <f>IFERROR(J29-I29,"--")</f>
        <v>6.8960000000000079</v>
      </c>
      <c r="K30" s="836">
        <f>IFERROR(K29-J29,"--")</f>
        <v>42.386999999999986</v>
      </c>
      <c r="L30" s="838">
        <f>IFERROR(L29-G29,"--")</f>
        <v>107.00399999999999</v>
      </c>
      <c r="M30" s="835">
        <f>IFERROR(M29-K29,"--")</f>
        <v>15.595000000000013</v>
      </c>
      <c r="N30" s="836">
        <f>IFERROR(N29-M29,"--")</f>
        <v>53.424000000000021</v>
      </c>
      <c r="O30" s="836">
        <f>IFERROR(O29-N29,"--")</f>
        <v>38.71599999999998</v>
      </c>
      <c r="P30" s="836">
        <f>IFERROR(P29-O29,"--")</f>
        <v>115.22599999999997</v>
      </c>
      <c r="Q30" s="838">
        <f>IFERROR(Q29-L29,"--")</f>
        <v>222.96099999999998</v>
      </c>
      <c r="R30" s="835">
        <f>IFERROR(R29-P29,"--")</f>
        <v>-2.6499999999999773</v>
      </c>
      <c r="S30" s="836">
        <f>IFERROR(S29-R29,"--")</f>
        <v>49.404999999999973</v>
      </c>
      <c r="T30" s="836">
        <f>IFERROR(T29-S29,"--")</f>
        <v>64.98399999999998</v>
      </c>
      <c r="U30" s="836">
        <f>IFERROR(U29-T29,"--")</f>
        <v>201.14200000000005</v>
      </c>
      <c r="V30" s="838">
        <f>IFERROR(V29-Q29,"--")</f>
        <v>312.88100000000003</v>
      </c>
      <c r="W30" s="835">
        <f>IFERROR(W29-U29,"--")</f>
        <v>-4.1100000000000136</v>
      </c>
      <c r="X30" s="836">
        <f>IFERROR(X29-W29,"--")</f>
        <v>70.122000000000071</v>
      </c>
      <c r="Y30" s="836">
        <f>IFERROR(Y29-X29,"--")</f>
        <v>58.017999999999915</v>
      </c>
      <c r="Z30" s="836">
        <f>IFERROR(Z29-Y29,"--")</f>
        <v>402.19100000000003</v>
      </c>
      <c r="AA30" s="838">
        <f>IFERROR(AA29-V29,"--")</f>
        <v>526.221</v>
      </c>
      <c r="AB30" s="835">
        <f>IFERROR(AB29-Z29,"--")</f>
        <v>-25.936000000000149</v>
      </c>
      <c r="AC30" s="836">
        <f>IFERROR(AC29-AB29,"--")</f>
        <v>10.434999999999945</v>
      </c>
      <c r="AD30" s="836">
        <f>IFERROR(AD29-AC29,"--")</f>
        <v>53.468000000000302</v>
      </c>
      <c r="AE30" s="836">
        <f>IFERROR(AE29-AD29,"--")</f>
        <v>477.90399999999977</v>
      </c>
      <c r="AF30" s="838">
        <f>IFERROR(AF29-AA29,"--")</f>
        <v>515.87099999999987</v>
      </c>
      <c r="AG30" s="835">
        <f>IFERROR(AG29-AE29,"--")</f>
        <v>-110.34099999999989</v>
      </c>
      <c r="AH30" s="836">
        <f>IFERROR(AH29-AG29,"--")</f>
        <v>-39.034999999999854</v>
      </c>
      <c r="AI30" s="836">
        <f>IFERROR(AI29-AH29,"--")</f>
        <v>82.106999999999971</v>
      </c>
      <c r="AJ30" s="836">
        <f>IFERROR(AJ29-AI29,"--")</f>
        <v>595.43799999999987</v>
      </c>
      <c r="AK30" s="838">
        <f>IFERROR(AK29-AF29,"--")</f>
        <v>528.1690000000001</v>
      </c>
      <c r="AL30" s="835">
        <f>IFERROR(AL29-AJ29,"--")</f>
        <v>-262.77299999999991</v>
      </c>
      <c r="AM30" s="836">
        <f>IFERROR(AM29-AL29,"--")</f>
        <v>-89.678000000000111</v>
      </c>
      <c r="AN30" s="836">
        <f>IFERROR(AN29-AM29,"--")</f>
        <v>126.25099999999998</v>
      </c>
      <c r="AO30" s="836">
        <f>IFERROR(AO29-AN29,"--")</f>
        <v>608.63300000000049</v>
      </c>
      <c r="AP30" s="838">
        <f>IFERROR(AP29-AK29,"--")</f>
        <v>382.43300000000045</v>
      </c>
      <c r="AQ30" s="835">
        <f>IFERROR(AQ29-AO29,"--")</f>
        <v>-272.01300000000037</v>
      </c>
      <c r="AR30" s="836">
        <f>IFERROR(AR29-AQ29,"--")</f>
        <v>-43.599999999999909</v>
      </c>
      <c r="AS30" s="836">
        <f>IFERROR(AS29-AR29,"--")</f>
        <v>154.57899999999972</v>
      </c>
      <c r="AT30" s="836">
        <f>IFERROR(AT29-AS29,"--")</f>
        <v>618.02360999999974</v>
      </c>
      <c r="AU30" s="838">
        <f>IFERROR(AU29-AP29,"--")</f>
        <v>456.98960999999917</v>
      </c>
      <c r="AV30" s="835">
        <f>IFERROR(AV29-AT29,"--")</f>
        <v>-196.91933770954984</v>
      </c>
      <c r="AW30" s="836">
        <f>IFERROR(AW29-AV29,"--")</f>
        <v>-51.007459637545253</v>
      </c>
      <c r="AX30" s="836">
        <f>IFERROR(AX29-AW29,"--")</f>
        <v>83.811564379587253</v>
      </c>
      <c r="AY30" s="836">
        <f>IFERROR(AY29-AX29,"--")</f>
        <v>643.12803926676179</v>
      </c>
      <c r="AZ30" s="838">
        <f>IFERROR(AZ29-AU29,"--")</f>
        <v>479.01280629925395</v>
      </c>
      <c r="BA30" s="835">
        <f>IFERROR(BA29-AY29,"--")</f>
        <v>-227.93113088516611</v>
      </c>
      <c r="BB30" s="836">
        <f>IFERROR(BB29-BA29,"--")</f>
        <v>-59.040356797834647</v>
      </c>
      <c r="BC30" s="836">
        <f>IFERROR(BC29-BB29,"--")</f>
        <v>97.010607858487674</v>
      </c>
      <c r="BD30" s="836">
        <f>IFERROR(BD29-BC29,"--")</f>
        <v>744.41089940210441</v>
      </c>
      <c r="BE30" s="838">
        <f>IFERROR(BE29-AZ29,"--")</f>
        <v>554.45001957759132</v>
      </c>
      <c r="BF30" s="835">
        <f>IFERROR(BF29-BD29,"--")</f>
        <v>-263.82680863582527</v>
      </c>
      <c r="BG30" s="836">
        <f>IFERROR(BG29-BF29,"--")</f>
        <v>-68.33831277984018</v>
      </c>
      <c r="BH30" s="836">
        <f>IFERROR(BH29-BG29,"--")</f>
        <v>112.28829943383562</v>
      </c>
      <c r="BI30" s="836">
        <f>IFERROR(BI29-BH29,"--")</f>
        <v>861.64426570553633</v>
      </c>
      <c r="BJ30" s="838">
        <f>IFERROR(BJ29-BE29,"--")</f>
        <v>641.76744372370649</v>
      </c>
      <c r="BK30" s="835">
        <f>IFERROR(BK29-BI29,"--")</f>
        <v>-305.37550831541193</v>
      </c>
      <c r="BL30" s="836">
        <f>IFERROR(BL29-BK29,"--")</f>
        <v>-79.100555059087128</v>
      </c>
      <c r="BM30" s="836">
        <f>IFERROR(BM29-BL29,"--")</f>
        <v>129.97199448678202</v>
      </c>
      <c r="BN30" s="836">
        <f>IFERROR(BN29-BM29,"--")</f>
        <v>997.34009969431827</v>
      </c>
      <c r="BO30" s="838">
        <f>IFERROR(BO29-BJ29,"--")</f>
        <v>742.83603080660123</v>
      </c>
    </row>
    <row r="31" spans="1:67" s="902" customFormat="1" outlineLevel="1">
      <c r="A31" s="598" t="s">
        <v>138</v>
      </c>
      <c r="B31" s="899" t="s">
        <v>32</v>
      </c>
      <c r="C31" s="691"/>
      <c r="D31" s="692"/>
      <c r="E31" s="692"/>
      <c r="F31" s="692"/>
      <c r="G31" s="900"/>
      <c r="H31" s="691" t="str">
        <f t="shared" ref="H31:AM31" si="34">IFERROR(H29/C29-1,"--")</f>
        <v>--</v>
      </c>
      <c r="I31" s="692" t="str">
        <f t="shared" si="34"/>
        <v>--</v>
      </c>
      <c r="J31" s="692" t="str">
        <f t="shared" si="34"/>
        <v>--</v>
      </c>
      <c r="K31" s="692" t="str">
        <f t="shared" si="34"/>
        <v>--</v>
      </c>
      <c r="L31" s="901" t="str">
        <f t="shared" si="34"/>
        <v>--</v>
      </c>
      <c r="M31" s="691">
        <f t="shared" si="34"/>
        <v>2.3613632001754725</v>
      </c>
      <c r="N31" s="692">
        <f t="shared" si="34"/>
        <v>2.0495486911176179</v>
      </c>
      <c r="O31" s="692">
        <f t="shared" si="34"/>
        <v>2.3232585852020367</v>
      </c>
      <c r="P31" s="692">
        <f t="shared" si="34"/>
        <v>2.0836697693544166</v>
      </c>
      <c r="Q31" s="901">
        <f t="shared" si="34"/>
        <v>2.0836697693544166</v>
      </c>
      <c r="R31" s="691">
        <f t="shared" si="34"/>
        <v>1.6698015481366077</v>
      </c>
      <c r="S31" s="692">
        <f t="shared" si="34"/>
        <v>1.1401748635121542</v>
      </c>
      <c r="T31" s="692">
        <f t="shared" si="34"/>
        <v>1.0569342317883565</v>
      </c>
      <c r="U31" s="692">
        <f t="shared" si="34"/>
        <v>0.94822481172245565</v>
      </c>
      <c r="V31" s="901">
        <f t="shared" si="34"/>
        <v>0.94822481172245565</v>
      </c>
      <c r="W31" s="691">
        <f t="shared" si="34"/>
        <v>0.95144127216901153</v>
      </c>
      <c r="X31" s="692">
        <f t="shared" si="34"/>
        <v>0.88165746442981563</v>
      </c>
      <c r="Y31" s="692">
        <f t="shared" si="34"/>
        <v>0.73617626283665083</v>
      </c>
      <c r="Z31" s="692">
        <f t="shared" si="34"/>
        <v>0.8185801887232711</v>
      </c>
      <c r="AA31" s="901">
        <f t="shared" si="34"/>
        <v>0.8185801887232711</v>
      </c>
      <c r="AB31" s="691">
        <f t="shared" si="34"/>
        <v>0.78967679917837708</v>
      </c>
      <c r="AC31" s="692">
        <f t="shared" si="34"/>
        <v>0.6273583707879431</v>
      </c>
      <c r="AD31" s="692">
        <f t="shared" si="34"/>
        <v>0.57396241374094403</v>
      </c>
      <c r="AE31" s="692">
        <f t="shared" si="34"/>
        <v>0.4412672669744333</v>
      </c>
      <c r="AF31" s="901">
        <f t="shared" si="34"/>
        <v>0.4412672669744333</v>
      </c>
      <c r="AG31" s="691">
        <f t="shared" si="34"/>
        <v>0.37744230538757173</v>
      </c>
      <c r="AH31" s="692">
        <f t="shared" si="34"/>
        <v>0.33114360166648504</v>
      </c>
      <c r="AI31" s="692">
        <f t="shared" si="34"/>
        <v>0.34020168445959276</v>
      </c>
      <c r="AJ31" s="692">
        <f t="shared" si="34"/>
        <v>0.31346494648467793</v>
      </c>
      <c r="AK31" s="901">
        <f t="shared" si="34"/>
        <v>0.31346494648467793</v>
      </c>
      <c r="AL31" s="691">
        <f t="shared" si="34"/>
        <v>0.23862423210510375</v>
      </c>
      <c r="AM31" s="692">
        <f t="shared" si="34"/>
        <v>0.21171011004440055</v>
      </c>
      <c r="AN31" s="692">
        <f t="shared" ref="AN31:BJ31" si="35">IFERROR(AN29/AI29-1,"--")</f>
        <v>0.22825312223946925</v>
      </c>
      <c r="AO31" s="692">
        <f>IFERROR(AO29/AJ29-1,"--")</f>
        <v>0.17280366471209962</v>
      </c>
      <c r="AP31" s="901">
        <f>IFERROR(AP29/AK29-1,"--")</f>
        <v>0.17280366471209962</v>
      </c>
      <c r="AQ31" s="691">
        <f t="shared" ref="AQ31:AR31" si="36">IFERROR(AQ29/AL29-1,"--")</f>
        <v>0.19134825112006459</v>
      </c>
      <c r="AR31" s="692">
        <f t="shared" si="36"/>
        <v>0.22533504312457553</v>
      </c>
      <c r="AS31" s="692">
        <f t="shared" si="35"/>
        <v>0.2252742579295357</v>
      </c>
      <c r="AT31" s="692">
        <f t="shared" si="35"/>
        <v>0.17606725768048226</v>
      </c>
      <c r="AU31" s="901">
        <f t="shared" si="35"/>
        <v>0.17606725768048226</v>
      </c>
      <c r="AV31" s="691">
        <f t="shared" si="35"/>
        <v>0.22899810171797008</v>
      </c>
      <c r="AW31" s="692">
        <f t="shared" si="35"/>
        <v>0.2301283386059747</v>
      </c>
      <c r="AX31" s="692">
        <f t="shared" si="35"/>
        <v>0.18644783665864528</v>
      </c>
      <c r="AY31" s="692">
        <f t="shared" si="35"/>
        <v>0.15692323007450004</v>
      </c>
      <c r="AZ31" s="901">
        <f t="shared" si="35"/>
        <v>0.15692323007450004</v>
      </c>
      <c r="BA31" s="691">
        <f t="shared" si="35"/>
        <v>0.15688450818055832</v>
      </c>
      <c r="BB31" s="692">
        <f t="shared" si="35"/>
        <v>0.1568735915040953</v>
      </c>
      <c r="BC31" s="692">
        <f t="shared" si="35"/>
        <v>0.15689132523562122</v>
      </c>
      <c r="BD31" s="692">
        <f t="shared" si="35"/>
        <v>0.15699939409438168</v>
      </c>
      <c r="BE31" s="901">
        <f t="shared" si="35"/>
        <v>0.15699939409438168</v>
      </c>
      <c r="BF31" s="691">
        <f t="shared" si="35"/>
        <v>0.15696590701104074</v>
      </c>
      <c r="BG31" s="692">
        <f t="shared" si="35"/>
        <v>0.15695646575435318</v>
      </c>
      <c r="BH31" s="692">
        <f t="shared" si="35"/>
        <v>0.15697180263140931</v>
      </c>
      <c r="BI31" s="692">
        <f t="shared" si="35"/>
        <v>0.15706525496442447</v>
      </c>
      <c r="BJ31" s="901">
        <f t="shared" si="35"/>
        <v>0.15706525496442447</v>
      </c>
      <c r="BK31" s="691">
        <f>IFERROR(BK29/BF29-1,"--")</f>
        <v>0.15703629894170223</v>
      </c>
      <c r="BL31" s="692">
        <f>IFERROR(BL29/BG29-1,"--")</f>
        <v>0.15702813485693934</v>
      </c>
      <c r="BM31" s="692">
        <f>IFERROR(BM29/BH29-1,"--")</f>
        <v>0.15704139696074448</v>
      </c>
      <c r="BN31" s="692">
        <f>IFERROR(BN29/BI29-1,"--")</f>
        <v>0.15712219946106143</v>
      </c>
      <c r="BO31" s="901">
        <f>IFERROR(BO29/BJ29-1,"--")</f>
        <v>0.15712219946106143</v>
      </c>
    </row>
    <row r="32" spans="1:67" s="902" customFormat="1" outlineLevel="1">
      <c r="A32" s="598" t="s">
        <v>139</v>
      </c>
      <c r="B32" s="899" t="s">
        <v>33</v>
      </c>
      <c r="C32" s="691"/>
      <c r="D32" s="692"/>
      <c r="E32" s="692"/>
      <c r="F32" s="692"/>
      <c r="G32" s="903"/>
      <c r="H32" s="691" t="str">
        <f>IFERROR(H29/F29-1,"--")</f>
        <v>--</v>
      </c>
      <c r="I32" s="692" t="str">
        <f>IFERROR(I29/G29-1,"--")</f>
        <v>--</v>
      </c>
      <c r="J32" s="692">
        <f>IFERROR(J29/H29-1,"--")</f>
        <v>0.7716392948208266</v>
      </c>
      <c r="K32" s="692">
        <f>IFERROR(K29/I29-1,"--")</f>
        <v>0.85381403648585441</v>
      </c>
      <c r="L32" s="901"/>
      <c r="M32" s="691">
        <f>IFERROR(M29/K29-1,"--")</f>
        <v>0.14574221524428999</v>
      </c>
      <c r="N32" s="692">
        <f>IFERROR(N29/L29-1,"--")</f>
        <v>0.64501327053194313</v>
      </c>
      <c r="O32" s="692">
        <f>IFERROR(O29/M29-1,"--")</f>
        <v>0.75155588544767893</v>
      </c>
      <c r="P32" s="692">
        <f>IFERROR(P29/N29-1,"--")</f>
        <v>0.87455616595558494</v>
      </c>
      <c r="Q32" s="901"/>
      <c r="R32" s="691">
        <f>IFERROR(R29/P29-1,"--")</f>
        <v>-8.0311548194504923E-3</v>
      </c>
      <c r="S32" s="692">
        <f>IFERROR(S29/Q29-1,"--")</f>
        <v>0.14169684663524929</v>
      </c>
      <c r="T32" s="692">
        <f>IFERROR(T29/R29-1,"--")</f>
        <v>0.34947680369063416</v>
      </c>
      <c r="U32" s="692">
        <f>IFERROR(U29/S29-1,"--")</f>
        <v>0.70642917816946293</v>
      </c>
      <c r="V32" s="901"/>
      <c r="W32" s="691">
        <f>IFERROR(W29/U29-1,"--")</f>
        <v>-6.3934441530320019E-3</v>
      </c>
      <c r="X32" s="692">
        <f>IFERROR(X29/V29-1,"--")</f>
        <v>0.10268711324329627</v>
      </c>
      <c r="Y32" s="692">
        <f>IFERROR(Y29/W29-1,"--")</f>
        <v>0.20061496455499617</v>
      </c>
      <c r="Z32" s="692">
        <f>IFERROR(Z29/X29-1,"--")</f>
        <v>0.64922593805811579</v>
      </c>
      <c r="AA32" s="901"/>
      <c r="AB32" s="691">
        <f>IFERROR(AB29/Z29-1,"--")</f>
        <v>-2.2185212652482855E-2</v>
      </c>
      <c r="AC32" s="692">
        <f>IFERROR(AC29/AA29-1,"--")</f>
        <v>-1.3259291383642013E-2</v>
      </c>
      <c r="AD32" s="692">
        <f>IFERROR(AD29/AB29-1,"--")</f>
        <v>5.5901729548057277E-2</v>
      </c>
      <c r="AE32" s="692">
        <f>IFERROR(AE29/AC29-1,"--")</f>
        <v>0.46063424199395619</v>
      </c>
      <c r="AF32" s="901"/>
      <c r="AG32" s="691">
        <f>IFERROR(AG29/AE29-1,"--")</f>
        <v>-6.5486682596036072E-2</v>
      </c>
      <c r="AH32" s="692">
        <f>IFERROR(AH29/AF29-1,"--")</f>
        <v>-8.8653707139372373E-2</v>
      </c>
      <c r="AI32" s="692">
        <f>IFERROR(AI29/AG29-1,"--")</f>
        <v>2.7354300814748322E-2</v>
      </c>
      <c r="AJ32" s="692">
        <f>IFERROR(AJ29/AH29-1,"--")</f>
        <v>0.44123584720122011</v>
      </c>
      <c r="AK32" s="901"/>
      <c r="AL32" s="691">
        <f>IFERROR(AL29/AJ29-1,"--")</f>
        <v>-0.11873488267851484</v>
      </c>
      <c r="AM32" s="692">
        <f>IFERROR(AM29/AK29-1,"--")</f>
        <v>-0.15925619502355737</v>
      </c>
      <c r="AN32" s="692">
        <f>IFERROR(AN29/AL29-1,"--")</f>
        <v>1.8752172704777692E-2</v>
      </c>
      <c r="AO32" s="692">
        <f>IFERROR(AO29/AM29-1,"--")</f>
        <v>0.39495962714225552</v>
      </c>
      <c r="AP32" s="901"/>
      <c r="AQ32" s="691">
        <f>IFERROR(AQ29/AO29-1,"--")</f>
        <v>-0.10480015719272306</v>
      </c>
      <c r="AR32" s="692">
        <f>IFERROR(AR29/AP29-1,"--")</f>
        <v>-0.12159820307142266</v>
      </c>
      <c r="AS32" s="692">
        <f>IFERROR(AS29/AQ29-1,"--")</f>
        <v>4.7763163501005179E-2</v>
      </c>
      <c r="AT32" s="692">
        <f>IFERROR(AT29/AR29-1,"--")</f>
        <v>0.33887164369736378</v>
      </c>
      <c r="AU32" s="901"/>
      <c r="AV32" s="691">
        <f>IFERROR(AV29/AT29-1,"--")</f>
        <v>-6.4510213779564229E-2</v>
      </c>
      <c r="AW32" s="692">
        <f>IFERROR(AW29/AU29-1,"--")</f>
        <v>-8.1220112176764503E-2</v>
      </c>
      <c r="AX32" s="692">
        <f>IFERROR(AX29/AV29-1,"--")</f>
        <v>1.1487598661609422E-2</v>
      </c>
      <c r="AY32" s="692">
        <f>IFERROR(AY29/AW29-1,"--")</f>
        <v>0.25919520595457479</v>
      </c>
      <c r="AZ32" s="901"/>
      <c r="BA32" s="691">
        <f>IFERROR(BA29/AY29-1,"--")</f>
        <v>-6.4541524358644908E-2</v>
      </c>
      <c r="BB32" s="692">
        <f>IFERROR(BB29/AZ29-1,"--")</f>
        <v>-8.1259533046674215E-2</v>
      </c>
      <c r="BC32" s="692">
        <f>IFERROR(BC29/BA29-1,"--")</f>
        <v>1.1493558951168659E-2</v>
      </c>
      <c r="BD32" s="692">
        <f>IFERROR(BD29/BB29-1,"--")</f>
        <v>0.25933213536479616</v>
      </c>
      <c r="BE32" s="901"/>
      <c r="BF32" s="691">
        <f>IFERROR(BF29/BD29-1,"--")</f>
        <v>-6.4568599373632574E-2</v>
      </c>
      <c r="BG32" s="692">
        <f>IFERROR(BG29/BE29-1,"--")</f>
        <v>-8.1293621226291801E-2</v>
      </c>
      <c r="BH32" s="692">
        <f>IFERROR(BH29/BF29-1,"--")</f>
        <v>1.1498713279392891E-2</v>
      </c>
      <c r="BI32" s="692">
        <f>IFERROR(BI29/BG29-1,"--")</f>
        <v>0.25945055101160652</v>
      </c>
      <c r="BJ32" s="901"/>
      <c r="BK32" s="691">
        <f>IFERROR(BK29/BI29-1,"--")</f>
        <v>-6.4592008920134281E-2</v>
      </c>
      <c r="BL32" s="692">
        <f>IFERROR(BL29/BJ29-1,"--")</f>
        <v>-8.1323094481478453E-2</v>
      </c>
      <c r="BM32" s="692">
        <f>IFERROR(BM29/BK29-1,"--")</f>
        <v>1.150317004510204E-2</v>
      </c>
      <c r="BN32" s="692">
        <f>IFERROR(BN29/BL29-1,"--")</f>
        <v>0.25955294240030558</v>
      </c>
      <c r="BO32" s="901"/>
    </row>
    <row r="33" spans="1:67" s="798" customFormat="1" outlineLevel="1">
      <c r="A33" s="319"/>
      <c r="B33" s="827" t="s">
        <v>431</v>
      </c>
      <c r="C33" s="395"/>
      <c r="D33" s="395"/>
      <c r="E33" s="395"/>
      <c r="F33" s="395"/>
      <c r="G33" s="811"/>
      <c r="H33" s="395">
        <f t="shared" ref="H33:M33" si="37">IFERROR(H29/H10,"--")</f>
        <v>2.7212564351264641</v>
      </c>
      <c r="I33" s="395">
        <f t="shared" si="37"/>
        <v>3.2237363864842217</v>
      </c>
      <c r="J33" s="395">
        <f t="shared" si="37"/>
        <v>2.2530334728033474</v>
      </c>
      <c r="K33" s="395">
        <f t="shared" si="37"/>
        <v>2.9173891706199897</v>
      </c>
      <c r="L33" s="811">
        <f t="shared" si="37"/>
        <v>1.1069455651418285</v>
      </c>
      <c r="M33" s="395">
        <f t="shared" si="37"/>
        <v>2.805148152385311</v>
      </c>
      <c r="N33" s="395">
        <f t="shared" ref="N33:AK33" si="38">IFERROR(N29/N10,"--")</f>
        <v>2.9172342929117159</v>
      </c>
      <c r="O33" s="395">
        <f t="shared" si="38"/>
        <v>2.9411466608228785</v>
      </c>
      <c r="P33" s="395">
        <f t="shared" si="38"/>
        <v>3.7627719746385071</v>
      </c>
      <c r="Q33" s="811">
        <f t="shared" si="38"/>
        <v>1.2463361385166272</v>
      </c>
      <c r="R33" s="395">
        <f t="shared" si="38"/>
        <v>3.0079952212470706</v>
      </c>
      <c r="S33" s="395">
        <f t="shared" si="38"/>
        <v>2.8293965225881559</v>
      </c>
      <c r="T33" s="395">
        <f t="shared" si="38"/>
        <v>2.7671528091013875</v>
      </c>
      <c r="U33" s="395">
        <f t="shared" si="38"/>
        <v>3.3751397894626307</v>
      </c>
      <c r="V33" s="811">
        <f t="shared" si="38"/>
        <v>1.0857986416664838</v>
      </c>
      <c r="W33" s="395">
        <f t="shared" si="38"/>
        <v>2.7902880557764047</v>
      </c>
      <c r="X33" s="395">
        <f t="shared" si="38"/>
        <v>2.6041998839080378</v>
      </c>
      <c r="Y33" s="395">
        <f t="shared" si="38"/>
        <v>2.2930083333084159</v>
      </c>
      <c r="Z33" s="395">
        <f t="shared" si="38"/>
        <v>3.0462381505782048</v>
      </c>
      <c r="AA33" s="811">
        <f t="shared" si="38"/>
        <v>0.95878054041286709</v>
      </c>
      <c r="AB33" s="395">
        <f t="shared" si="38"/>
        <v>2.7064618546254353</v>
      </c>
      <c r="AC33" s="395">
        <f t="shared" si="38"/>
        <v>2.3199007336379429</v>
      </c>
      <c r="AD33" s="395">
        <f t="shared" si="38"/>
        <v>2.1669180005313922</v>
      </c>
      <c r="AE33" s="395">
        <f t="shared" si="38"/>
        <v>2.8606174407312586</v>
      </c>
      <c r="AF33" s="811">
        <f t="shared" si="38"/>
        <v>0.81569029544566662</v>
      </c>
      <c r="AG33" s="395">
        <f t="shared" si="38"/>
        <v>2.5250152742387333</v>
      </c>
      <c r="AH33" s="395">
        <f t="shared" si="38"/>
        <v>2.2782210564109571</v>
      </c>
      <c r="AI33" s="395">
        <f t="shared" si="38"/>
        <v>2.2033893918735776</v>
      </c>
      <c r="AJ33" s="395">
        <f t="shared" si="38"/>
        <v>2.856731453119211</v>
      </c>
      <c r="AK33" s="811">
        <f t="shared" si="38"/>
        <v>0.78856785114782202</v>
      </c>
      <c r="AL33" s="395">
        <f t="shared" ref="AL33:AQ33" si="39">IFERROR(AL29/AL10,"--")</f>
        <v>2.3534606236929974</v>
      </c>
      <c r="AM33" s="395">
        <f t="shared" si="39"/>
        <v>2.1415823476128049</v>
      </c>
      <c r="AN33" s="395">
        <f t="shared" si="39"/>
        <v>2.1090326443008869</v>
      </c>
      <c r="AO33" s="395">
        <f t="shared" si="39"/>
        <v>2.6303393901314394</v>
      </c>
      <c r="AP33" s="811">
        <f t="shared" si="39"/>
        <v>0.71573540231127553</v>
      </c>
      <c r="AQ33" s="395">
        <f t="shared" si="39"/>
        <v>2.2297140126324999</v>
      </c>
      <c r="AR33" s="395">
        <f t="shared" ref="AR33:AS33" si="40">IFERROR(AR29/AR10,"--")</f>
        <v>1.9912565318362332</v>
      </c>
      <c r="AS33" s="395">
        <f t="shared" si="40"/>
        <v>2.0071629446232158</v>
      </c>
      <c r="AT33" s="395">
        <f t="shared" ref="AT33:BJ33" si="41">IFERROR(AT29/AT10,"--")</f>
        <v>2.4443643017458663</v>
      </c>
      <c r="AU33" s="811">
        <f t="shared" si="41"/>
        <v>0.65663378113663717</v>
      </c>
      <c r="AV33" s="395">
        <f t="shared" si="41"/>
        <v>2.1748563669662411</v>
      </c>
      <c r="AW33" s="395">
        <f t="shared" si="41"/>
        <v>1.982001844695092</v>
      </c>
      <c r="AX33" s="395">
        <f t="shared" si="41"/>
        <v>1.9226431705646956</v>
      </c>
      <c r="AY33" s="395">
        <f t="shared" si="41"/>
        <v>2.2795510751803336</v>
      </c>
      <c r="AZ33" s="811">
        <f t="shared" si="41"/>
        <v>0.61103706654954437</v>
      </c>
      <c r="BA33" s="395">
        <f t="shared" si="41"/>
        <v>2.0276817458125285</v>
      </c>
      <c r="BB33" s="395">
        <f t="shared" si="41"/>
        <v>1.84264987866568</v>
      </c>
      <c r="BC33" s="395">
        <f t="shared" si="41"/>
        <v>1.7826128701234629</v>
      </c>
      <c r="BD33" s="395">
        <f t="shared" si="41"/>
        <v>2.1350919577483425</v>
      </c>
      <c r="BE33" s="811">
        <f t="shared" si="41"/>
        <v>0.56921085439107755</v>
      </c>
      <c r="BF33" s="395">
        <f t="shared" si="41"/>
        <v>1.9144233059497886</v>
      </c>
      <c r="BG33" s="395">
        <f t="shared" si="41"/>
        <v>1.7437536640195248</v>
      </c>
      <c r="BH33" s="395">
        <f t="shared" si="41"/>
        <v>1.6573135173457525</v>
      </c>
      <c r="BI33" s="395">
        <f t="shared" si="41"/>
        <v>1.9764958019357164</v>
      </c>
      <c r="BJ33" s="811">
        <f t="shared" si="41"/>
        <v>0.53276599359864163</v>
      </c>
      <c r="BK33" s="395">
        <f>IFERROR(BK29/BK10,"--")</f>
        <v>1.7815534929903067</v>
      </c>
      <c r="BL33" s="395">
        <f>IFERROR(BL29/BL10,"--")</f>
        <v>1.6434781984235791</v>
      </c>
      <c r="BM33" s="395">
        <f>IFERROR(BM29/BM10,"--")</f>
        <v>1.551534865922489</v>
      </c>
      <c r="BN33" s="395">
        <f>IFERROR(BN29/BN10,"--")</f>
        <v>1.8697696451782397</v>
      </c>
      <c r="BO33" s="811">
        <f>IFERROR(BO29/BO10,"--")</f>
        <v>0.50032945126956452</v>
      </c>
    </row>
    <row r="34" spans="1:67" s="58" customFormat="1">
      <c r="A34" s="107"/>
      <c r="B34" s="59"/>
      <c r="C34" s="368"/>
      <c r="D34" s="368"/>
      <c r="E34" s="368"/>
      <c r="F34" s="368"/>
      <c r="G34" s="369"/>
      <c r="H34" s="368"/>
      <c r="I34" s="368"/>
      <c r="J34" s="368"/>
      <c r="K34" s="368"/>
      <c r="L34" s="369"/>
      <c r="M34" s="368"/>
      <c r="N34" s="368"/>
      <c r="O34" s="368"/>
      <c r="P34" s="368"/>
      <c r="Q34" s="369"/>
      <c r="R34" s="368"/>
      <c r="S34" s="368"/>
      <c r="T34" s="368"/>
      <c r="U34" s="368"/>
      <c r="V34" s="369"/>
      <c r="W34" s="368"/>
      <c r="X34" s="368"/>
      <c r="Y34" s="368"/>
      <c r="Z34" s="368"/>
      <c r="AA34" s="369"/>
      <c r="AB34" s="368"/>
      <c r="AC34" s="368"/>
      <c r="AD34" s="368"/>
      <c r="AE34" s="368"/>
      <c r="AF34" s="369"/>
      <c r="AG34" s="368"/>
      <c r="AH34" s="368"/>
      <c r="AI34" s="368"/>
      <c r="AJ34" s="368"/>
      <c r="AK34" s="369"/>
      <c r="AL34" s="368"/>
      <c r="AM34" s="368"/>
      <c r="AN34" s="368"/>
      <c r="AO34" s="368"/>
      <c r="AP34" s="369"/>
      <c r="AQ34" s="368"/>
      <c r="AR34" s="368"/>
      <c r="AS34" s="368"/>
      <c r="AT34" s="368"/>
      <c r="AU34" s="369"/>
      <c r="AV34" s="368"/>
      <c r="AW34" s="368"/>
      <c r="AX34" s="368"/>
      <c r="AY34" s="368"/>
      <c r="AZ34" s="369"/>
      <c r="BA34" s="368"/>
      <c r="BB34" s="368"/>
      <c r="BC34" s="368"/>
      <c r="BD34" s="368"/>
      <c r="BE34" s="369"/>
      <c r="BF34" s="368"/>
      <c r="BG34" s="368"/>
      <c r="BH34" s="368"/>
      <c r="BI34" s="368"/>
      <c r="BJ34" s="369"/>
      <c r="BK34" s="368"/>
      <c r="BL34" s="368"/>
      <c r="BM34" s="368"/>
      <c r="BN34" s="368"/>
      <c r="BO34" s="369"/>
    </row>
    <row r="35" spans="1:67" s="58" customFormat="1">
      <c r="A35" s="107"/>
      <c r="B35" s="59" t="s">
        <v>113</v>
      </c>
      <c r="C35" s="368"/>
      <c r="D35" s="368"/>
      <c r="E35" s="368"/>
      <c r="F35" s="368"/>
      <c r="G35" s="369"/>
      <c r="H35" s="368"/>
      <c r="I35" s="368"/>
      <c r="J35" s="368"/>
      <c r="K35" s="368"/>
      <c r="L35" s="369"/>
      <c r="M35" s="368"/>
      <c r="N35" s="368"/>
      <c r="O35" s="368"/>
      <c r="P35" s="368"/>
      <c r="Q35" s="369"/>
      <c r="R35" s="368"/>
      <c r="S35" s="368"/>
      <c r="T35" s="368"/>
      <c r="U35" s="368"/>
      <c r="V35" s="369"/>
      <c r="W35" s="368"/>
      <c r="X35" s="368"/>
      <c r="Y35" s="368"/>
      <c r="Z35" s="368"/>
      <c r="AA35" s="369"/>
      <c r="AB35" s="368"/>
      <c r="AC35" s="368"/>
      <c r="AD35" s="368"/>
      <c r="AE35" s="368"/>
      <c r="AF35" s="369"/>
      <c r="AG35" s="368"/>
      <c r="AH35" s="368"/>
      <c r="AI35" s="368"/>
      <c r="AJ35" s="368"/>
      <c r="AK35" s="369"/>
      <c r="AL35" s="368"/>
      <c r="AM35" s="368"/>
      <c r="AN35" s="368"/>
      <c r="AO35" s="368"/>
      <c r="AP35" s="369"/>
      <c r="AQ35" s="368"/>
      <c r="AR35" s="368"/>
      <c r="AS35" s="368"/>
      <c r="AT35" s="368"/>
      <c r="AU35" s="369"/>
      <c r="AV35" s="368"/>
      <c r="AW35" s="368"/>
      <c r="AX35" s="368"/>
      <c r="AY35" s="368"/>
      <c r="AZ35" s="369"/>
      <c r="BA35" s="368"/>
      <c r="BB35" s="368"/>
      <c r="BC35" s="368"/>
      <c r="BD35" s="368"/>
      <c r="BE35" s="369"/>
      <c r="BF35" s="368"/>
      <c r="BG35" s="368"/>
      <c r="BH35" s="368"/>
      <c r="BI35" s="368"/>
      <c r="BJ35" s="369"/>
      <c r="BK35" s="368"/>
      <c r="BL35" s="368"/>
      <c r="BM35" s="368"/>
      <c r="BN35" s="368"/>
      <c r="BO35" s="369"/>
    </row>
    <row r="36" spans="1:67" s="1420" customFormat="1" outlineLevel="1">
      <c r="A36" s="425"/>
      <c r="B36" s="1417" t="s">
        <v>2</v>
      </c>
      <c r="C36" s="1418"/>
      <c r="D36" s="1418"/>
      <c r="E36" s="1418"/>
      <c r="F36" s="1418"/>
      <c r="G36" s="1419"/>
      <c r="H36" s="1418">
        <f>H10</f>
        <v>13.403</v>
      </c>
      <c r="I36" s="1418">
        <f>I10</f>
        <v>17.905000000000001</v>
      </c>
      <c r="J36" s="1418">
        <f>J10</f>
        <v>28.68</v>
      </c>
      <c r="K36" s="1418">
        <f>K10</f>
        <v>36.678000000000004</v>
      </c>
      <c r="L36" s="1419">
        <f>SUM(H36:K36)</f>
        <v>96.665999999999997</v>
      </c>
      <c r="M36" s="1418">
        <f>M10</f>
        <v>43.704999999999998</v>
      </c>
      <c r="N36" s="1418">
        <f>N10</f>
        <v>60.338999999999999</v>
      </c>
      <c r="O36" s="1418">
        <f>O10</f>
        <v>73.012</v>
      </c>
      <c r="P36" s="1418">
        <f>P10</f>
        <v>87.692000000000007</v>
      </c>
      <c r="Q36" s="1419">
        <f>SUM(M36:P36)</f>
        <v>264.74799999999999</v>
      </c>
      <c r="R36" s="1418">
        <f>R10</f>
        <v>108.815</v>
      </c>
      <c r="S36" s="1418">
        <f>S10</f>
        <v>133.14499999999998</v>
      </c>
      <c r="T36" s="1418">
        <f>T10</f>
        <v>159.62400000000002</v>
      </c>
      <c r="U36" s="1418">
        <f>U10</f>
        <v>190.465</v>
      </c>
      <c r="V36" s="1419">
        <f>SUM(R36:U36)</f>
        <v>592.04899999999998</v>
      </c>
      <c r="W36" s="1418">
        <f>W10</f>
        <v>228.91400000000002</v>
      </c>
      <c r="X36" s="1418">
        <f>X10</f>
        <v>272.19799999999998</v>
      </c>
      <c r="Y36" s="1418">
        <f>Y10</f>
        <v>334.44100000000003</v>
      </c>
      <c r="Z36" s="1418">
        <f>Z10</f>
        <v>383.774</v>
      </c>
      <c r="AA36" s="1419">
        <f>SUM(W36:Z36)</f>
        <v>1219.327</v>
      </c>
      <c r="AB36" s="1418">
        <f>AB10</f>
        <v>422.37100000000004</v>
      </c>
      <c r="AC36" s="1418">
        <f>AC10</f>
        <v>497.24799999999999</v>
      </c>
      <c r="AD36" s="1418">
        <f>AD10</f>
        <v>557.02799999999991</v>
      </c>
      <c r="AE36" s="1418">
        <f>AE10</f>
        <v>589.01199999999994</v>
      </c>
      <c r="AF36" s="1419">
        <f>SUM(AB36:AE36)</f>
        <v>2065.6589999999997</v>
      </c>
      <c r="AG36" s="1418">
        <f>AG10</f>
        <v>623.59900000000005</v>
      </c>
      <c r="AH36" s="1418">
        <f>AH10</f>
        <v>674.01799999999992</v>
      </c>
      <c r="AI36" s="1418">
        <f>AI10</f>
        <v>734.173</v>
      </c>
      <c r="AJ36" s="1418">
        <f>AJ10</f>
        <v>774.69900000000007</v>
      </c>
      <c r="AK36" s="1419">
        <f>SUM(AG36:AJ36)</f>
        <v>2806.489</v>
      </c>
      <c r="AL36" s="1418">
        <f>AL10</f>
        <v>828.70899999999995</v>
      </c>
      <c r="AM36" s="1418">
        <f>AM10</f>
        <v>868.82299999999998</v>
      </c>
      <c r="AN36" s="1418">
        <f>AN10</f>
        <v>942.09400000000005</v>
      </c>
      <c r="AO36" s="1418">
        <f>AO10</f>
        <v>986.77</v>
      </c>
      <c r="AP36" s="1419">
        <f>SUM(AL36:AO36)</f>
        <v>3626.3960000000002</v>
      </c>
      <c r="AQ36" s="1418">
        <f>AQ10</f>
        <v>1042.0740000000001</v>
      </c>
      <c r="AR36" s="1418">
        <f>AR10</f>
        <v>1144.9690000000001</v>
      </c>
      <c r="AS36" s="1418">
        <f>AS10</f>
        <v>1212.9089999999999</v>
      </c>
      <c r="AT36" s="1418">
        <f>AT10</f>
        <v>1248.8030560010045</v>
      </c>
      <c r="AU36" s="1419">
        <f>SUM(AQ36:AT36)</f>
        <v>4648.755056001005</v>
      </c>
      <c r="AV36" s="1418">
        <f>AV10</f>
        <v>1313.0109719722818</v>
      </c>
      <c r="AW36" s="1418">
        <f>AW10</f>
        <v>1415.0354199515693</v>
      </c>
      <c r="AX36" s="1418">
        <f>AX10</f>
        <v>1502.3143250154637</v>
      </c>
      <c r="AY36" s="1418">
        <f>AY10</f>
        <v>1549.2271503589259</v>
      </c>
      <c r="AZ36" s="1419">
        <f>SUM(AV36:AY36)</f>
        <v>5779.5878672982399</v>
      </c>
      <c r="BA36" s="1418">
        <f>BA10</f>
        <v>1629.2553267969927</v>
      </c>
      <c r="BB36" s="1418">
        <f>BB10</f>
        <v>1760.8179210723133</v>
      </c>
      <c r="BC36" s="1418">
        <f>BC10</f>
        <v>1874.5413502166089</v>
      </c>
      <c r="BD36" s="1418">
        <f>BD10</f>
        <v>1913.7313599297675</v>
      </c>
      <c r="BE36" s="1419">
        <f>SUM(BA36:BD36)</f>
        <v>7178.3459580156823</v>
      </c>
      <c r="BF36" s="1418">
        <f>BF10</f>
        <v>1996.5101842221654</v>
      </c>
      <c r="BG36" s="1418">
        <f>BG10</f>
        <v>2152.7279867089919</v>
      </c>
      <c r="BH36" s="1418">
        <f>BH10</f>
        <v>2332.7605630627686</v>
      </c>
      <c r="BI36" s="1418">
        <f>BI10</f>
        <v>2391.9908531909532</v>
      </c>
      <c r="BJ36" s="1419">
        <f>SUM(BF36:BI36)</f>
        <v>8873.9895871848785</v>
      </c>
      <c r="BK36" s="1418">
        <f>BK10</f>
        <v>2482.3191606008099</v>
      </c>
      <c r="BL36" s="1418">
        <f>BL10</f>
        <v>2642.738930392944</v>
      </c>
      <c r="BM36" s="1418">
        <f>BM10</f>
        <v>2883.1165247796034</v>
      </c>
      <c r="BN36" s="1418">
        <f>BN10</f>
        <v>2925.8127729876887</v>
      </c>
      <c r="BO36" s="1419">
        <f>SUM(BK36:BN36)</f>
        <v>10933.987388761047</v>
      </c>
    </row>
    <row r="37" spans="1:67" s="847" customFormat="1" outlineLevel="1">
      <c r="A37" s="844"/>
      <c r="B37" s="845" t="s">
        <v>32</v>
      </c>
      <c r="C37" s="835"/>
      <c r="D37" s="821"/>
      <c r="E37" s="821"/>
      <c r="F37" s="821"/>
      <c r="G37" s="846"/>
      <c r="H37" s="611" t="str">
        <f t="shared" ref="H37:AM37" si="42">IFERROR(H36/C36-1,"--")</f>
        <v>--</v>
      </c>
      <c r="I37" s="395" t="str">
        <f t="shared" si="42"/>
        <v>--</v>
      </c>
      <c r="J37" s="395" t="str">
        <f t="shared" si="42"/>
        <v>--</v>
      </c>
      <c r="K37" s="395" t="str">
        <f t="shared" si="42"/>
        <v>--</v>
      </c>
      <c r="L37" s="828" t="str">
        <f t="shared" si="42"/>
        <v>--</v>
      </c>
      <c r="M37" s="611">
        <f t="shared" si="42"/>
        <v>2.2608371260165634</v>
      </c>
      <c r="N37" s="395">
        <f t="shared" si="42"/>
        <v>2.3699525272270314</v>
      </c>
      <c r="O37" s="395">
        <f t="shared" si="42"/>
        <v>1.5457461645746164</v>
      </c>
      <c r="P37" s="395">
        <f t="shared" si="42"/>
        <v>1.3908610065979605</v>
      </c>
      <c r="Q37" s="828">
        <f t="shared" si="42"/>
        <v>1.7387913020089796</v>
      </c>
      <c r="R37" s="611">
        <f t="shared" si="42"/>
        <v>1.4897608969225491</v>
      </c>
      <c r="S37" s="395">
        <f t="shared" si="42"/>
        <v>1.2066159531977658</v>
      </c>
      <c r="T37" s="395">
        <f t="shared" si="42"/>
        <v>1.1862707500136969</v>
      </c>
      <c r="U37" s="395">
        <f t="shared" si="42"/>
        <v>1.1719769192172604</v>
      </c>
      <c r="V37" s="828">
        <f t="shared" si="42"/>
        <v>1.2362737395561063</v>
      </c>
      <c r="W37" s="611">
        <f t="shared" si="42"/>
        <v>1.1036989385654552</v>
      </c>
      <c r="X37" s="395">
        <f t="shared" si="42"/>
        <v>1.0443726764054229</v>
      </c>
      <c r="Y37" s="395">
        <f t="shared" si="42"/>
        <v>1.0951799228186236</v>
      </c>
      <c r="Z37" s="395">
        <f t="shared" si="42"/>
        <v>1.0149318772477884</v>
      </c>
      <c r="AA37" s="828">
        <f t="shared" si="42"/>
        <v>1.0595035208234456</v>
      </c>
      <c r="AB37" s="611">
        <f t="shared" si="42"/>
        <v>0.84510776973011703</v>
      </c>
      <c r="AC37" s="395">
        <f t="shared" si="42"/>
        <v>0.8267878529599777</v>
      </c>
      <c r="AD37" s="395">
        <f t="shared" si="42"/>
        <v>0.6655493794122127</v>
      </c>
      <c r="AE37" s="395">
        <f t="shared" si="42"/>
        <v>0.53478870376836363</v>
      </c>
      <c r="AF37" s="828">
        <f t="shared" si="42"/>
        <v>0.69409764566847088</v>
      </c>
      <c r="AG37" s="611">
        <f t="shared" si="42"/>
        <v>0.47642475454043964</v>
      </c>
      <c r="AH37" s="395">
        <f t="shared" si="42"/>
        <v>0.35549665358131133</v>
      </c>
      <c r="AI37" s="395">
        <f t="shared" si="42"/>
        <v>0.31801812476213076</v>
      </c>
      <c r="AJ37" s="395">
        <f t="shared" si="42"/>
        <v>0.31525164173225706</v>
      </c>
      <c r="AK37" s="828">
        <f t="shared" si="42"/>
        <v>0.35864099544019634</v>
      </c>
      <c r="AL37" s="611">
        <f t="shared" si="42"/>
        <v>0.32891329203542652</v>
      </c>
      <c r="AM37" s="395">
        <f t="shared" si="42"/>
        <v>0.28902047126337882</v>
      </c>
      <c r="AN37" s="395">
        <f t="shared" ref="AN37:BJ37" si="43">IFERROR(AN36/AI36-1,"--")</f>
        <v>0.2832043673630058</v>
      </c>
      <c r="AO37" s="395">
        <f>IFERROR(AO36/AJ36-1,"--")</f>
        <v>0.27374631953829787</v>
      </c>
      <c r="AP37" s="828">
        <f>IFERROR(AP36/AK36-1,"--")</f>
        <v>0.29214687818124352</v>
      </c>
      <c r="AQ37" s="611">
        <f t="shared" ref="AQ37:AR37" si="44">IFERROR(AQ36/AL36-1,"--")</f>
        <v>0.25746673440254675</v>
      </c>
      <c r="AR37" s="395">
        <f t="shared" si="44"/>
        <v>0.31783919164202623</v>
      </c>
      <c r="AS37" s="395">
        <f t="shared" si="43"/>
        <v>0.28746069925081774</v>
      </c>
      <c r="AT37" s="395">
        <f t="shared" si="43"/>
        <v>0.26554623265908428</v>
      </c>
      <c r="AU37" s="828">
        <f t="shared" si="43"/>
        <v>0.28192151546632105</v>
      </c>
      <c r="AV37" s="611">
        <f t="shared" si="43"/>
        <v>0.25999782354447154</v>
      </c>
      <c r="AW37" s="395">
        <f t="shared" si="43"/>
        <v>0.23587225501438835</v>
      </c>
      <c r="AX37" s="395">
        <f t="shared" si="43"/>
        <v>0.23860431822623451</v>
      </c>
      <c r="AY37" s="395">
        <f t="shared" si="43"/>
        <v>0.24056963419032473</v>
      </c>
      <c r="AZ37" s="828">
        <f t="shared" si="43"/>
        <v>0.24325497852106892</v>
      </c>
      <c r="BA37" s="611">
        <f t="shared" si="43"/>
        <v>0.24085431239746469</v>
      </c>
      <c r="BB37" s="395">
        <f t="shared" si="43"/>
        <v>0.2443631419011254</v>
      </c>
      <c r="BC37" s="395">
        <f t="shared" si="43"/>
        <v>0.24776907136082427</v>
      </c>
      <c r="BD37" s="395">
        <f t="shared" si="43"/>
        <v>0.23528132042250416</v>
      </c>
      <c r="BE37" s="828">
        <f t="shared" si="43"/>
        <v>0.24201692626421023</v>
      </c>
      <c r="BF37" s="611">
        <f t="shared" si="43"/>
        <v>0.22541270934321345</v>
      </c>
      <c r="BG37" s="395">
        <f t="shared" si="43"/>
        <v>0.22257273790012944</v>
      </c>
      <c r="BH37" s="395">
        <f t="shared" si="43"/>
        <v>0.24444337426496943</v>
      </c>
      <c r="BI37" s="395">
        <f t="shared" si="43"/>
        <v>0.24990941951159629</v>
      </c>
      <c r="BJ37" s="828">
        <f t="shared" si="43"/>
        <v>0.23621648205402535</v>
      </c>
      <c r="BK37" s="611">
        <f>IFERROR(BK36/BF36-1,"--")</f>
        <v>0.24332907501191348</v>
      </c>
      <c r="BL37" s="395">
        <f>IFERROR(BL36/BG36-1,"--")</f>
        <v>0.22762325138582051</v>
      </c>
      <c r="BM37" s="395">
        <f>IFERROR(BM36/BH36-1,"--")</f>
        <v>0.23592475388655054</v>
      </c>
      <c r="BN37" s="395">
        <f>IFERROR(BN36/BI36-1,"--")</f>
        <v>0.22317055229730864</v>
      </c>
      <c r="BO37" s="828">
        <f>IFERROR(BO36/BJ36-1,"--")</f>
        <v>0.23213885720026717</v>
      </c>
    </row>
    <row r="38" spans="1:67" s="1423" customFormat="1" outlineLevel="1">
      <c r="A38" s="425"/>
      <c r="B38" s="1417" t="s">
        <v>426</v>
      </c>
      <c r="C38" s="1421"/>
      <c r="D38" s="1421"/>
      <c r="E38" s="1421"/>
      <c r="F38" s="1421"/>
      <c r="G38" s="1419"/>
      <c r="H38" s="1422">
        <f>CF!H30</f>
        <v>9.1</v>
      </c>
      <c r="I38" s="1422">
        <f>CF!I30</f>
        <v>21.248000000000001</v>
      </c>
      <c r="J38" s="1422">
        <f>CF!J30</f>
        <v>6.8959999999999999</v>
      </c>
      <c r="K38" s="1422">
        <f>CF!K30</f>
        <v>42.387</v>
      </c>
      <c r="L38" s="1419">
        <f>SUM(H38:K38)</f>
        <v>79.631</v>
      </c>
      <c r="M38" s="1422">
        <f>CF!M30</f>
        <v>15.595000000000001</v>
      </c>
      <c r="N38" s="1422">
        <f>CF!N30</f>
        <v>53.423999999999999</v>
      </c>
      <c r="O38" s="1422">
        <f>CF!O30</f>
        <v>38.716000000000001</v>
      </c>
      <c r="P38" s="1422">
        <f>CF!P30</f>
        <v>115.226</v>
      </c>
      <c r="Q38" s="1419">
        <f>SUM(M38:P38)</f>
        <v>222.96100000000001</v>
      </c>
      <c r="R38" s="1422">
        <f>CF!R30</f>
        <v>-2.65</v>
      </c>
      <c r="S38" s="1422">
        <f>CF!S30</f>
        <v>49.405000000000001</v>
      </c>
      <c r="T38" s="1422">
        <f>CF!T30</f>
        <v>64.983999999999995</v>
      </c>
      <c r="U38" s="1422">
        <f>CF!U30</f>
        <v>201.142</v>
      </c>
      <c r="V38" s="1419">
        <f>SUM(R38:U38)</f>
        <v>312.88099999999997</v>
      </c>
      <c r="W38" s="1422">
        <f>CF!W30</f>
        <v>-4.1100000000000003</v>
      </c>
      <c r="X38" s="1422">
        <f>CF!X30</f>
        <v>70.122</v>
      </c>
      <c r="Y38" s="1422">
        <f>CF!Y30</f>
        <v>58.018000000000001</v>
      </c>
      <c r="Z38" s="1422">
        <f>CF!Z30</f>
        <v>402.19099999999997</v>
      </c>
      <c r="AA38" s="1419">
        <f>SUM(W38:Z38)</f>
        <v>526.221</v>
      </c>
      <c r="AB38" s="1422">
        <f>CF!AB30</f>
        <v>-21.440999999999999</v>
      </c>
      <c r="AC38" s="1422">
        <f>CF!AC30</f>
        <v>12.792</v>
      </c>
      <c r="AD38" s="1422">
        <f>CF!AD30</f>
        <v>55.316000000000003</v>
      </c>
      <c r="AE38" s="1422">
        <f>CF!AE30</f>
        <v>467.63400000000001</v>
      </c>
      <c r="AF38" s="1419">
        <f>SUM(AB38:AE38)</f>
        <v>514.30100000000004</v>
      </c>
      <c r="AG38" s="1422">
        <f>CF!AG30</f>
        <v>-110.48</v>
      </c>
      <c r="AH38" s="1422">
        <f>CF!AH30</f>
        <v>-39.034999999999997</v>
      </c>
      <c r="AI38" s="1422">
        <f>CF!AI30</f>
        <v>82.105999999999995</v>
      </c>
      <c r="AJ38" s="1422">
        <f>CF!AJ30</f>
        <v>595.43799999999999</v>
      </c>
      <c r="AK38" s="1419">
        <f>SUM(AG38:AJ38)</f>
        <v>528.029</v>
      </c>
      <c r="AL38" s="1422">
        <f>CF!AL30</f>
        <v>-261.18099999999998</v>
      </c>
      <c r="AM38" s="1422">
        <f>CF!AM30</f>
        <v>-88.278000000000006</v>
      </c>
      <c r="AN38" s="1422">
        <f>CF!AN30</f>
        <v>122.773</v>
      </c>
      <c r="AO38" s="1422">
        <f>CF!AO30</f>
        <v>609.44100000000003</v>
      </c>
      <c r="AP38" s="1419">
        <f>SUM(AL38:AO38)</f>
        <v>382.755</v>
      </c>
      <c r="AQ38" s="1422">
        <f>CF!AQ30</f>
        <v>-271.36</v>
      </c>
      <c r="AR38" s="1422">
        <f>CF!AR30</f>
        <v>-52.511000000000003</v>
      </c>
      <c r="AS38" s="1422">
        <f>CF!AS30</f>
        <v>151.452</v>
      </c>
      <c r="AT38" s="1422">
        <f>CF!AT30</f>
        <v>618.02360999999974</v>
      </c>
      <c r="AU38" s="1419">
        <f>SUM(AQ38:AT38)</f>
        <v>445.6046099999997</v>
      </c>
      <c r="AV38" s="1422">
        <f>CF!AV30</f>
        <v>-196.91933770954984</v>
      </c>
      <c r="AW38" s="1422">
        <f>CF!AW30</f>
        <v>-51.007459637545253</v>
      </c>
      <c r="AX38" s="1422">
        <f>CF!AX30</f>
        <v>83.811564379587253</v>
      </c>
      <c r="AY38" s="1422">
        <f>CF!AY30</f>
        <v>643.12803926676179</v>
      </c>
      <c r="AZ38" s="1419">
        <f>SUM(AV38:AY38)</f>
        <v>479.01280629925395</v>
      </c>
      <c r="BA38" s="1422">
        <f>CF!BA30</f>
        <v>-227.93113088516611</v>
      </c>
      <c r="BB38" s="1422">
        <f>CF!BB30</f>
        <v>-59.040356797834647</v>
      </c>
      <c r="BC38" s="1422">
        <f>CF!BC30</f>
        <v>97.010607858487674</v>
      </c>
      <c r="BD38" s="1422">
        <f>CF!BD30</f>
        <v>744.41089940210441</v>
      </c>
      <c r="BE38" s="1419">
        <f>SUM(BA38:BD38)</f>
        <v>554.45001957759132</v>
      </c>
      <c r="BF38" s="1422">
        <f>CF!BF30</f>
        <v>-263.82680863582527</v>
      </c>
      <c r="BG38" s="1422">
        <f>CF!BG30</f>
        <v>-68.33831277984018</v>
      </c>
      <c r="BH38" s="1422">
        <f>CF!BH30</f>
        <v>112.28829943383562</v>
      </c>
      <c r="BI38" s="1422">
        <f>CF!BI30</f>
        <v>861.64426570553633</v>
      </c>
      <c r="BJ38" s="1419">
        <f>SUM(BF38:BI38)</f>
        <v>641.76744372370649</v>
      </c>
      <c r="BK38" s="1422">
        <f>CF!BK30</f>
        <v>-305.37550831541193</v>
      </c>
      <c r="BL38" s="1422">
        <f>CF!BL30</f>
        <v>-79.100555059087128</v>
      </c>
      <c r="BM38" s="1422">
        <f>CF!BM30</f>
        <v>129.97199448678202</v>
      </c>
      <c r="BN38" s="1422">
        <f>CF!BN30</f>
        <v>997.34009969431827</v>
      </c>
      <c r="BO38" s="1419">
        <f>SUM(BK38:BN38)</f>
        <v>742.83603080660123</v>
      </c>
    </row>
    <row r="39" spans="1:67" s="58" customFormat="1">
      <c r="A39" s="107"/>
      <c r="B39" s="77"/>
      <c r="C39" s="368"/>
      <c r="D39" s="368"/>
      <c r="E39" s="368"/>
      <c r="F39" s="368"/>
      <c r="G39" s="369"/>
      <c r="H39" s="368"/>
      <c r="I39" s="368"/>
      <c r="J39" s="368"/>
      <c r="K39" s="368"/>
      <c r="L39" s="369"/>
      <c r="M39" s="368"/>
      <c r="N39" s="368"/>
      <c r="O39" s="368"/>
      <c r="P39" s="368"/>
      <c r="Q39" s="369"/>
      <c r="R39" s="368"/>
      <c r="S39" s="368"/>
      <c r="T39" s="368"/>
      <c r="U39" s="368"/>
      <c r="V39" s="369"/>
      <c r="W39" s="368"/>
      <c r="X39" s="368"/>
      <c r="Y39" s="368"/>
      <c r="Z39" s="368"/>
      <c r="AA39" s="369"/>
      <c r="AB39" s="368"/>
      <c r="AC39" s="368"/>
      <c r="AD39" s="368"/>
      <c r="AE39" s="368"/>
      <c r="AF39" s="369"/>
      <c r="AG39" s="368"/>
      <c r="AH39" s="368"/>
      <c r="AI39" s="368"/>
      <c r="AJ39" s="368"/>
      <c r="AK39" s="369"/>
      <c r="AL39" s="368"/>
      <c r="AM39" s="368"/>
      <c r="AN39" s="368"/>
      <c r="AO39" s="368"/>
      <c r="AP39" s="369"/>
      <c r="AQ39" s="368"/>
      <c r="AR39" s="368"/>
      <c r="AS39" s="368"/>
      <c r="AT39" s="368"/>
      <c r="AU39" s="369"/>
      <c r="AV39" s="368"/>
      <c r="AW39" s="368"/>
      <c r="AX39" s="368"/>
      <c r="AY39" s="368"/>
      <c r="AZ39" s="369"/>
      <c r="BA39" s="368"/>
      <c r="BB39" s="368"/>
      <c r="BC39" s="368"/>
      <c r="BD39" s="368"/>
      <c r="BE39" s="369"/>
      <c r="BF39" s="368"/>
      <c r="BG39" s="368"/>
      <c r="BH39" s="368"/>
      <c r="BI39" s="368"/>
      <c r="BJ39" s="369"/>
      <c r="BK39" s="368"/>
      <c r="BL39" s="368"/>
      <c r="BM39" s="368"/>
      <c r="BN39" s="368"/>
      <c r="BO39" s="369"/>
    </row>
    <row r="40" spans="1:67" s="1417" customFormat="1" ht="14.25">
      <c r="A40" s="1424" t="s">
        <v>79</v>
      </c>
      <c r="B40" s="1425" t="s">
        <v>221</v>
      </c>
      <c r="C40" s="1426"/>
      <c r="D40" s="1426"/>
      <c r="E40" s="1426"/>
      <c r="F40" s="1426"/>
      <c r="G40" s="1415"/>
      <c r="H40" s="1426">
        <f t="shared" ref="H40:M40" si="45">SUM(H36,H38)</f>
        <v>22.503</v>
      </c>
      <c r="I40" s="1426">
        <f t="shared" si="45"/>
        <v>39.153000000000006</v>
      </c>
      <c r="J40" s="1426">
        <f t="shared" si="45"/>
        <v>35.576000000000001</v>
      </c>
      <c r="K40" s="1426">
        <f t="shared" si="45"/>
        <v>79.064999999999998</v>
      </c>
      <c r="L40" s="1415">
        <f t="shared" si="45"/>
        <v>176.297</v>
      </c>
      <c r="M40" s="1426">
        <f t="shared" si="45"/>
        <v>59.3</v>
      </c>
      <c r="N40" s="1426">
        <f t="shared" ref="N40:AK40" si="46">SUM(N36,N38)</f>
        <v>113.76300000000001</v>
      </c>
      <c r="O40" s="1426">
        <f t="shared" si="46"/>
        <v>111.72800000000001</v>
      </c>
      <c r="P40" s="1426">
        <f t="shared" si="46"/>
        <v>202.91800000000001</v>
      </c>
      <c r="Q40" s="1415">
        <f t="shared" si="46"/>
        <v>487.709</v>
      </c>
      <c r="R40" s="1426">
        <f t="shared" si="46"/>
        <v>106.16499999999999</v>
      </c>
      <c r="S40" s="1426">
        <f t="shared" si="46"/>
        <v>182.54999999999998</v>
      </c>
      <c r="T40" s="1426">
        <f t="shared" si="46"/>
        <v>224.608</v>
      </c>
      <c r="U40" s="1426">
        <f t="shared" si="46"/>
        <v>391.60699999999997</v>
      </c>
      <c r="V40" s="1415">
        <f t="shared" si="46"/>
        <v>904.93</v>
      </c>
      <c r="W40" s="1426">
        <f t="shared" si="46"/>
        <v>224.804</v>
      </c>
      <c r="X40" s="1426">
        <f t="shared" si="46"/>
        <v>342.32</v>
      </c>
      <c r="Y40" s="1426">
        <f t="shared" si="46"/>
        <v>392.45900000000006</v>
      </c>
      <c r="Z40" s="1426">
        <f t="shared" si="46"/>
        <v>785.96499999999992</v>
      </c>
      <c r="AA40" s="1415">
        <f t="shared" si="46"/>
        <v>1745.548</v>
      </c>
      <c r="AB40" s="1426">
        <f t="shared" si="46"/>
        <v>400.93000000000006</v>
      </c>
      <c r="AC40" s="1426">
        <f t="shared" si="46"/>
        <v>510.03999999999996</v>
      </c>
      <c r="AD40" s="1426">
        <f t="shared" si="46"/>
        <v>612.34399999999994</v>
      </c>
      <c r="AE40" s="1426">
        <f t="shared" si="46"/>
        <v>1056.646</v>
      </c>
      <c r="AF40" s="1415">
        <f t="shared" si="46"/>
        <v>2579.9599999999996</v>
      </c>
      <c r="AG40" s="1426">
        <f t="shared" si="46"/>
        <v>513.11900000000003</v>
      </c>
      <c r="AH40" s="1426">
        <f t="shared" si="46"/>
        <v>634.98299999999995</v>
      </c>
      <c r="AI40" s="1426">
        <f t="shared" si="46"/>
        <v>816.279</v>
      </c>
      <c r="AJ40" s="1426">
        <f t="shared" si="46"/>
        <v>1370.1370000000002</v>
      </c>
      <c r="AK40" s="1415">
        <f t="shared" si="46"/>
        <v>3334.518</v>
      </c>
      <c r="AL40" s="1426">
        <f t="shared" ref="AL40:AQ40" si="47">SUM(AL36,AL38)</f>
        <v>567.52800000000002</v>
      </c>
      <c r="AM40" s="1426">
        <f t="shared" si="47"/>
        <v>780.54499999999996</v>
      </c>
      <c r="AN40" s="1426">
        <f t="shared" si="47"/>
        <v>1064.867</v>
      </c>
      <c r="AO40" s="1426">
        <f t="shared" si="47"/>
        <v>1596.211</v>
      </c>
      <c r="AP40" s="1415">
        <f t="shared" si="47"/>
        <v>4009.1510000000003</v>
      </c>
      <c r="AQ40" s="1426">
        <f t="shared" si="47"/>
        <v>770.71400000000006</v>
      </c>
      <c r="AR40" s="1426">
        <f t="shared" ref="AR40:AS40" si="48">SUM(AR36,AR38)</f>
        <v>1092.4580000000001</v>
      </c>
      <c r="AS40" s="1426">
        <f t="shared" si="48"/>
        <v>1364.3609999999999</v>
      </c>
      <c r="AT40" s="1426">
        <f t="shared" ref="AT40:BJ40" si="49">SUM(AT36,AT38)</f>
        <v>1866.8266660010042</v>
      </c>
      <c r="AU40" s="1415">
        <f t="shared" si="49"/>
        <v>5094.3596660010044</v>
      </c>
      <c r="AV40" s="1426">
        <f t="shared" si="49"/>
        <v>1116.091634262732</v>
      </c>
      <c r="AW40" s="1426">
        <f t="shared" si="49"/>
        <v>1364.0279603140241</v>
      </c>
      <c r="AX40" s="1426">
        <f t="shared" si="49"/>
        <v>1586.125889395051</v>
      </c>
      <c r="AY40" s="1426">
        <f t="shared" si="49"/>
        <v>2192.3551896256877</v>
      </c>
      <c r="AZ40" s="1415">
        <f t="shared" si="49"/>
        <v>6258.6006735974934</v>
      </c>
      <c r="BA40" s="1426">
        <f t="shared" si="49"/>
        <v>1401.3241959118266</v>
      </c>
      <c r="BB40" s="1426">
        <f t="shared" si="49"/>
        <v>1701.7775642744787</v>
      </c>
      <c r="BC40" s="1426">
        <f t="shared" si="49"/>
        <v>1971.5519580750965</v>
      </c>
      <c r="BD40" s="1426">
        <f t="shared" si="49"/>
        <v>2658.1422593318721</v>
      </c>
      <c r="BE40" s="1415">
        <f t="shared" si="49"/>
        <v>7732.7959775932741</v>
      </c>
      <c r="BF40" s="1426">
        <f t="shared" si="49"/>
        <v>1732.6833755863402</v>
      </c>
      <c r="BG40" s="1426">
        <f t="shared" si="49"/>
        <v>2084.3896739291517</v>
      </c>
      <c r="BH40" s="1426">
        <f t="shared" si="49"/>
        <v>2445.0488624966042</v>
      </c>
      <c r="BI40" s="1426">
        <f t="shared" si="49"/>
        <v>3253.6351188964895</v>
      </c>
      <c r="BJ40" s="1415">
        <f t="shared" si="49"/>
        <v>9515.7570309085859</v>
      </c>
      <c r="BK40" s="1426">
        <f>SUM(BK36,BK38)</f>
        <v>2176.943652285398</v>
      </c>
      <c r="BL40" s="1426">
        <f>SUM(BL36,BL38)</f>
        <v>2563.6383753338569</v>
      </c>
      <c r="BM40" s="1426">
        <f>SUM(BM36,BM38)</f>
        <v>3013.0885192663854</v>
      </c>
      <c r="BN40" s="1426">
        <f>SUM(BN36,BN38)</f>
        <v>3923.152872682007</v>
      </c>
      <c r="BO40" s="1415">
        <f>SUM(BO36,BO38)</f>
        <v>11676.823419567649</v>
      </c>
    </row>
    <row r="41" spans="1:67" s="435" customFormat="1" ht="14.25" outlineLevel="1">
      <c r="A41" s="129" t="s">
        <v>80</v>
      </c>
      <c r="B41" s="827" t="s">
        <v>32</v>
      </c>
      <c r="C41" s="611"/>
      <c r="D41" s="395"/>
      <c r="E41" s="395"/>
      <c r="F41" s="395"/>
      <c r="G41" s="828"/>
      <c r="H41" s="611" t="str">
        <f t="shared" ref="H41:AM41" si="50">IFERROR(H40/C40-1,"--")</f>
        <v>--</v>
      </c>
      <c r="I41" s="395" t="str">
        <f t="shared" si="50"/>
        <v>--</v>
      </c>
      <c r="J41" s="395" t="str">
        <f t="shared" si="50"/>
        <v>--</v>
      </c>
      <c r="K41" s="395" t="str">
        <f t="shared" si="50"/>
        <v>--</v>
      </c>
      <c r="L41" s="828" t="str">
        <f t="shared" si="50"/>
        <v>--</v>
      </c>
      <c r="M41" s="611">
        <f t="shared" si="50"/>
        <v>1.6352041949962226</v>
      </c>
      <c r="N41" s="395">
        <f t="shared" si="50"/>
        <v>1.9056011033637268</v>
      </c>
      <c r="O41" s="395">
        <f t="shared" si="50"/>
        <v>2.1405441870924222</v>
      </c>
      <c r="P41" s="395">
        <f t="shared" si="50"/>
        <v>1.5664706254347691</v>
      </c>
      <c r="Q41" s="828">
        <f t="shared" si="50"/>
        <v>1.7664055542635442</v>
      </c>
      <c r="R41" s="611">
        <f t="shared" si="50"/>
        <v>0.79030354131534564</v>
      </c>
      <c r="S41" s="395">
        <f t="shared" si="50"/>
        <v>0.60465177606075771</v>
      </c>
      <c r="T41" s="395">
        <f t="shared" si="50"/>
        <v>1.0103107546899612</v>
      </c>
      <c r="U41" s="395">
        <f t="shared" si="50"/>
        <v>0.92987807882987195</v>
      </c>
      <c r="V41" s="828">
        <f t="shared" si="50"/>
        <v>0.85547119286295703</v>
      </c>
      <c r="W41" s="611">
        <f t="shared" si="50"/>
        <v>1.1174963500211934</v>
      </c>
      <c r="X41" s="395">
        <f t="shared" si="50"/>
        <v>0.87521227061079165</v>
      </c>
      <c r="Y41" s="395">
        <f t="shared" si="50"/>
        <v>0.74730641829320432</v>
      </c>
      <c r="Z41" s="395">
        <f t="shared" si="50"/>
        <v>1.0070248999634837</v>
      </c>
      <c r="AA41" s="828">
        <f t="shared" si="50"/>
        <v>0.92893151956504938</v>
      </c>
      <c r="AB41" s="611">
        <f t="shared" si="50"/>
        <v>0.78346470703368287</v>
      </c>
      <c r="AC41" s="395">
        <f t="shared" si="50"/>
        <v>0.48995092311287669</v>
      </c>
      <c r="AD41" s="395">
        <f t="shared" si="50"/>
        <v>0.5602750860599448</v>
      </c>
      <c r="AE41" s="395">
        <f t="shared" si="50"/>
        <v>0.34439319817040204</v>
      </c>
      <c r="AF41" s="828">
        <f t="shared" si="50"/>
        <v>0.47802294752135133</v>
      </c>
      <c r="AG41" s="611">
        <f t="shared" si="50"/>
        <v>0.27982191404983392</v>
      </c>
      <c r="AH41" s="395">
        <f t="shared" si="50"/>
        <v>0.24496706140694835</v>
      </c>
      <c r="AI41" s="395">
        <f t="shared" si="50"/>
        <v>0.33303992527076298</v>
      </c>
      <c r="AJ41" s="395">
        <f t="shared" si="50"/>
        <v>0.29668498248230746</v>
      </c>
      <c r="AK41" s="828">
        <f t="shared" si="50"/>
        <v>0.29246887548644196</v>
      </c>
      <c r="AL41" s="611">
        <f t="shared" si="50"/>
        <v>0.10603583184407506</v>
      </c>
      <c r="AM41" s="395">
        <f t="shared" si="50"/>
        <v>0.22923763313348555</v>
      </c>
      <c r="AN41" s="395">
        <f t="shared" ref="AN41:BJ41" si="51">IFERROR(AN40/AI40-1,"--")</f>
        <v>0.30453803172689731</v>
      </c>
      <c r="AO41" s="395">
        <f>IFERROR(AO40/AJ40-1,"--")</f>
        <v>0.16500101814636037</v>
      </c>
      <c r="AP41" s="828">
        <f>IFERROR(AP40/AK40-1,"--")</f>
        <v>0.20231799618415613</v>
      </c>
      <c r="AQ41" s="611">
        <f t="shared" ref="AQ41:AR41" si="52">IFERROR(AQ40/AL40-1,"--")</f>
        <v>0.35801934001494207</v>
      </c>
      <c r="AR41" s="395">
        <f t="shared" si="52"/>
        <v>0.39960924738484027</v>
      </c>
      <c r="AS41" s="395">
        <f t="shared" si="51"/>
        <v>0.28125014673193927</v>
      </c>
      <c r="AT41" s="395">
        <f t="shared" si="51"/>
        <v>0.16953627434029972</v>
      </c>
      <c r="AU41" s="828">
        <f t="shared" si="51"/>
        <v>0.2706829116690801</v>
      </c>
      <c r="AV41" s="611">
        <f t="shared" si="51"/>
        <v>0.44812684635640698</v>
      </c>
      <c r="AW41" s="395">
        <f t="shared" si="51"/>
        <v>0.24858617934421634</v>
      </c>
      <c r="AX41" s="395">
        <f t="shared" si="51"/>
        <v>0.16254121115676212</v>
      </c>
      <c r="AY41" s="395">
        <f t="shared" si="51"/>
        <v>0.17437533411819617</v>
      </c>
      <c r="AZ41" s="828">
        <f t="shared" si="51"/>
        <v>0.2285352986296707</v>
      </c>
      <c r="BA41" s="611">
        <f t="shared" si="51"/>
        <v>0.25556374843496932</v>
      </c>
      <c r="BB41" s="395">
        <f t="shared" si="51"/>
        <v>0.24761193596258724</v>
      </c>
      <c r="BC41" s="395">
        <f t="shared" si="51"/>
        <v>0.2429984096830089</v>
      </c>
      <c r="BD41" s="395">
        <f t="shared" si="51"/>
        <v>0.21245967437681057</v>
      </c>
      <c r="BE41" s="828">
        <f t="shared" si="51"/>
        <v>0.23554711042914356</v>
      </c>
      <c r="BF41" s="611">
        <f t="shared" si="51"/>
        <v>0.23646147025878039</v>
      </c>
      <c r="BG41" s="395">
        <f t="shared" si="51"/>
        <v>0.22483085785526424</v>
      </c>
      <c r="BH41" s="395">
        <f t="shared" si="51"/>
        <v>0.24016455791700331</v>
      </c>
      <c r="BI41" s="395">
        <f t="shared" si="51"/>
        <v>0.22402595552365034</v>
      </c>
      <c r="BJ41" s="828">
        <f t="shared" si="51"/>
        <v>0.23057133001849017</v>
      </c>
      <c r="BK41" s="611">
        <f>IFERROR(BK40/BF40-1,"--")</f>
        <v>0.25640014959381729</v>
      </c>
      <c r="BL41" s="395">
        <f>IFERROR(BL40/BG40-1,"--")</f>
        <v>0.22992279581835739</v>
      </c>
      <c r="BM41" s="395">
        <f>IFERROR(BM40/BH40-1,"--")</f>
        <v>0.23232241509879858</v>
      </c>
      <c r="BN41" s="395">
        <f>IFERROR(BN40/BI40-1,"--")</f>
        <v>0.20577530341281558</v>
      </c>
      <c r="BO41" s="828">
        <f>IFERROR(BO40/BJ40-1,"--")</f>
        <v>0.22710398990218006</v>
      </c>
    </row>
    <row r="42" spans="1:67" s="435" customFormat="1" ht="14.25" outlineLevel="1">
      <c r="A42" s="129" t="s">
        <v>86</v>
      </c>
      <c r="B42" s="827" t="s">
        <v>33</v>
      </c>
      <c r="C42" s="611"/>
      <c r="D42" s="436"/>
      <c r="E42" s="436"/>
      <c r="F42" s="436"/>
      <c r="G42" s="770"/>
      <c r="H42" s="611" t="str">
        <f>IFERROR(H40/F40-1,"--")</f>
        <v>--</v>
      </c>
      <c r="I42" s="436">
        <f>IFERROR(I40/H40-1,"--")</f>
        <v>0.73990134648713535</v>
      </c>
      <c r="J42" s="436">
        <f>IFERROR(J40/I40-1,"--")</f>
        <v>-9.1359538221847725E-2</v>
      </c>
      <c r="K42" s="436">
        <f>IFERROR(K40/J40-1,"--")</f>
        <v>1.2224252304924668</v>
      </c>
      <c r="L42" s="770"/>
      <c r="M42" s="611">
        <f>IFERROR(M40/K40-1,"--")</f>
        <v>-0.24998419022323404</v>
      </c>
      <c r="N42" s="436">
        <f>IFERROR(N40/M40-1,"--")</f>
        <v>0.91843170320404743</v>
      </c>
      <c r="O42" s="436">
        <f>IFERROR(O40/N40-1,"--")</f>
        <v>-1.788806553976241E-2</v>
      </c>
      <c r="P42" s="436">
        <f>IFERROR(P40/O40-1,"--")</f>
        <v>0.81617857654303294</v>
      </c>
      <c r="Q42" s="770"/>
      <c r="R42" s="611">
        <f>IFERROR(R40/P40-1,"--")</f>
        <v>-0.47680836594092202</v>
      </c>
      <c r="S42" s="436">
        <f>IFERROR(S40/R40-1,"--")</f>
        <v>0.71949324165214512</v>
      </c>
      <c r="T42" s="436">
        <f>IFERROR(T40/S40-1,"--")</f>
        <v>0.23039167351410583</v>
      </c>
      <c r="U42" s="436">
        <f>IFERROR(U40/T40-1,"--")</f>
        <v>0.74351314289784853</v>
      </c>
      <c r="V42" s="770"/>
      <c r="W42" s="611">
        <f>IFERROR(W40/U40-1,"--")</f>
        <v>-0.42594488862558633</v>
      </c>
      <c r="X42" s="436">
        <f>IFERROR(X40/W40-1,"--")</f>
        <v>0.5227487055390474</v>
      </c>
      <c r="Y42" s="436">
        <f>IFERROR(Y40/X40-1,"--")</f>
        <v>0.1464682168731013</v>
      </c>
      <c r="Z42" s="436">
        <f>IFERROR(Z40/Y40-1,"--")</f>
        <v>1.0026677945976519</v>
      </c>
      <c r="AA42" s="770"/>
      <c r="AB42" s="611">
        <f>IFERROR(AB40/Z40-1,"--")</f>
        <v>-0.48988822657497455</v>
      </c>
      <c r="AC42" s="436">
        <f>IFERROR(AC40/AB40-1,"--")</f>
        <v>0.27214226922405382</v>
      </c>
      <c r="AD42" s="436">
        <f>IFERROR(AD40/AC40-1,"--")</f>
        <v>0.20058034663947932</v>
      </c>
      <c r="AE42" s="436">
        <f>IFERROR(AE40/AD40-1,"--")</f>
        <v>0.72557582012724886</v>
      </c>
      <c r="AF42" s="770"/>
      <c r="AG42" s="611">
        <f>IFERROR(AG40/AE40-1,"--")</f>
        <v>-0.51438892495689181</v>
      </c>
      <c r="AH42" s="436">
        <f>IFERROR(AH40/AG40-1,"--")</f>
        <v>0.23749656512426931</v>
      </c>
      <c r="AI42" s="436">
        <f>IFERROR(AI40/AH40-1,"--")</f>
        <v>0.28551315547030409</v>
      </c>
      <c r="AJ42" s="436">
        <f>IFERROR(AJ40/AI40-1,"--")</f>
        <v>0.67851555656828144</v>
      </c>
      <c r="AK42" s="770"/>
      <c r="AL42" s="611">
        <f>IFERROR(AL40/AJ40-1,"--")</f>
        <v>-0.58578740666079376</v>
      </c>
      <c r="AM42" s="436">
        <f>IFERROR(AM40/AL40-1,"--")</f>
        <v>0.37534183335447757</v>
      </c>
      <c r="AN42" s="436">
        <f>IFERROR(AN40/AM40-1,"--")</f>
        <v>0.36426086900819299</v>
      </c>
      <c r="AO42" s="436">
        <f>IFERROR(AO40/AN40-1,"--")</f>
        <v>0.49897686753369208</v>
      </c>
      <c r="AP42" s="770"/>
      <c r="AQ42" s="611">
        <f>IFERROR(AQ40/AO40-1,"--")</f>
        <v>-0.51716032529534006</v>
      </c>
      <c r="AR42" s="436">
        <f>IFERROR(AR40/AQ40-1,"--")</f>
        <v>0.41746224929091724</v>
      </c>
      <c r="AS42" s="436">
        <f>IFERROR(AS40/AR40-1,"--")</f>
        <v>0.24889103288181302</v>
      </c>
      <c r="AT42" s="436">
        <f>IFERROR(AT40/AS40-1,"--")</f>
        <v>0.36827911821065284</v>
      </c>
      <c r="AU42" s="770"/>
      <c r="AV42" s="611">
        <f>IFERROR(AV40/AT40-1,"--")</f>
        <v>-0.40214501185932194</v>
      </c>
      <c r="AW42" s="436">
        <f>IFERROR(AW40/AV40-1,"--")</f>
        <v>0.22214692632749089</v>
      </c>
      <c r="AX42" s="436">
        <f>IFERROR(AX40/AW40-1,"--")</f>
        <v>0.16282505604203013</v>
      </c>
      <c r="AY42" s="436">
        <f>IFERROR(AY40/AX40-1,"--")</f>
        <v>0.38220755633832626</v>
      </c>
      <c r="AZ42" s="770"/>
      <c r="BA42" s="611">
        <f>IFERROR(BA40/AY40-1,"--")</f>
        <v>-0.36081333784646363</v>
      </c>
      <c r="BB42" s="436">
        <f>IFERROR(BB40/BA40-1,"--")</f>
        <v>0.21440675129936682</v>
      </c>
      <c r="BC42" s="436">
        <f>IFERROR(BC40/BB40-1,"--")</f>
        <v>0.15852506194934546</v>
      </c>
      <c r="BD42" s="436">
        <f>IFERROR(BD40/BC40-1,"--")</f>
        <v>0.34824864667889388</v>
      </c>
      <c r="BE42" s="770"/>
      <c r="BF42" s="611">
        <f>IFERROR(BF40/BD40-1,"--")</f>
        <v>-0.3481600281160826</v>
      </c>
      <c r="BG42" s="436">
        <f>IFERROR(BG40/BF40-1,"--")</f>
        <v>0.20298359371272556</v>
      </c>
      <c r="BH42" s="436">
        <f>IFERROR(BH40/BG40-1,"--")</f>
        <v>0.17302867744858696</v>
      </c>
      <c r="BI42" s="436">
        <f>IFERROR(BI40/BH40-1,"--")</f>
        <v>0.33070351631919914</v>
      </c>
      <c r="BJ42" s="770"/>
      <c r="BK42" s="611">
        <f>IFERROR(BK40/BI40-1,"--")</f>
        <v>-0.33091954913993693</v>
      </c>
      <c r="BL42" s="436">
        <f>IFERROR(BL40/BK40-1,"--")</f>
        <v>0.17763193945902045</v>
      </c>
      <c r="BM42" s="436">
        <f>IFERROR(BM40/BL40-1,"--")</f>
        <v>0.17531729445811473</v>
      </c>
      <c r="BN42" s="436">
        <f>IFERROR(BN40/BM40-1,"--")</f>
        <v>0.30203704524326436</v>
      </c>
      <c r="BO42" s="770"/>
    </row>
    <row r="43" spans="1:67" s="58" customFormat="1">
      <c r="A43" s="107"/>
      <c r="B43" s="77"/>
      <c r="C43" s="368"/>
      <c r="D43" s="368"/>
      <c r="E43" s="368"/>
      <c r="F43" s="368"/>
      <c r="G43" s="369"/>
      <c r="H43" s="368"/>
      <c r="I43" s="368"/>
      <c r="J43" s="368"/>
      <c r="K43" s="368"/>
      <c r="L43" s="369"/>
      <c r="M43" s="368"/>
      <c r="N43" s="368"/>
      <c r="O43" s="368"/>
      <c r="P43" s="368"/>
      <c r="Q43" s="369"/>
      <c r="R43" s="368"/>
      <c r="S43" s="368"/>
      <c r="T43" s="368"/>
      <c r="U43" s="368"/>
      <c r="V43" s="369"/>
      <c r="W43" s="368"/>
      <c r="X43" s="368"/>
      <c r="Y43" s="368"/>
      <c r="Z43" s="368"/>
      <c r="AA43" s="369"/>
      <c r="AB43" s="368"/>
      <c r="AC43" s="368"/>
      <c r="AD43" s="368"/>
      <c r="AE43" s="368"/>
      <c r="AF43" s="369"/>
      <c r="AG43" s="368"/>
      <c r="AH43" s="368"/>
      <c r="AI43" s="368"/>
      <c r="AJ43" s="368"/>
      <c r="AK43" s="369"/>
      <c r="AL43" s="368"/>
      <c r="AM43" s="368"/>
      <c r="AN43" s="368"/>
      <c r="AO43" s="368"/>
      <c r="AP43" s="369"/>
      <c r="AQ43" s="368"/>
      <c r="AR43" s="368"/>
      <c r="AS43" s="368"/>
      <c r="AT43" s="368"/>
      <c r="AU43" s="369"/>
      <c r="AV43" s="368"/>
      <c r="AW43" s="368"/>
      <c r="AX43" s="368"/>
      <c r="AY43" s="368"/>
      <c r="AZ43" s="369"/>
      <c r="BA43" s="368"/>
      <c r="BB43" s="368"/>
      <c r="BC43" s="368"/>
      <c r="BD43" s="368"/>
      <c r="BE43" s="369"/>
      <c r="BF43" s="368"/>
      <c r="BG43" s="368"/>
      <c r="BH43" s="368"/>
      <c r="BI43" s="368"/>
      <c r="BJ43" s="369"/>
      <c r="BK43" s="368"/>
      <c r="BL43" s="368"/>
      <c r="BM43" s="368"/>
      <c r="BN43" s="368"/>
      <c r="BO43" s="369"/>
    </row>
    <row r="44" spans="1:67" s="1417" customFormat="1">
      <c r="A44" s="425" t="s">
        <v>141</v>
      </c>
      <c r="B44" s="1425" t="s">
        <v>427</v>
      </c>
      <c r="C44" s="1427"/>
      <c r="D44" s="1426"/>
      <c r="E44" s="1426"/>
      <c r="F44" s="1426"/>
      <c r="G44" s="1415"/>
      <c r="H44" s="1427">
        <f>H10+H30</f>
        <v>49.875999999999998</v>
      </c>
      <c r="I44" s="1426">
        <f>I10+I30</f>
        <v>39.152999999999999</v>
      </c>
      <c r="J44" s="1426">
        <f>J10+J30</f>
        <v>35.576000000000008</v>
      </c>
      <c r="K44" s="1426">
        <f>K10+K30</f>
        <v>79.064999999999998</v>
      </c>
      <c r="L44" s="1415">
        <f>L10+L30</f>
        <v>203.67</v>
      </c>
      <c r="M44" s="1427">
        <f t="shared" ref="M44:AK44" si="53">M10+M30</f>
        <v>59.300000000000011</v>
      </c>
      <c r="N44" s="1426">
        <f t="shared" si="53"/>
        <v>113.76300000000002</v>
      </c>
      <c r="O44" s="1426">
        <f t="shared" si="53"/>
        <v>111.72799999999998</v>
      </c>
      <c r="P44" s="1426">
        <f t="shared" si="53"/>
        <v>202.91799999999998</v>
      </c>
      <c r="Q44" s="1415">
        <f t="shared" si="53"/>
        <v>487.70899999999995</v>
      </c>
      <c r="R44" s="1427">
        <f t="shared" si="53"/>
        <v>106.16500000000002</v>
      </c>
      <c r="S44" s="1426">
        <f t="shared" si="53"/>
        <v>182.54999999999995</v>
      </c>
      <c r="T44" s="1426">
        <f t="shared" si="53"/>
        <v>224.608</v>
      </c>
      <c r="U44" s="1426">
        <f t="shared" si="53"/>
        <v>391.60700000000008</v>
      </c>
      <c r="V44" s="1415">
        <f t="shared" si="53"/>
        <v>904.93000000000006</v>
      </c>
      <c r="W44" s="1427">
        <f t="shared" si="53"/>
        <v>224.804</v>
      </c>
      <c r="X44" s="1426">
        <f t="shared" si="53"/>
        <v>342.32000000000005</v>
      </c>
      <c r="Y44" s="1426">
        <f t="shared" si="53"/>
        <v>392.45899999999995</v>
      </c>
      <c r="Z44" s="1426">
        <f t="shared" si="53"/>
        <v>785.96500000000003</v>
      </c>
      <c r="AA44" s="1415">
        <f t="shared" si="53"/>
        <v>1745.548</v>
      </c>
      <c r="AB44" s="1427">
        <f t="shared" si="53"/>
        <v>396.43499999999989</v>
      </c>
      <c r="AC44" s="1426">
        <f t="shared" si="53"/>
        <v>507.68299999999994</v>
      </c>
      <c r="AD44" s="1426">
        <f t="shared" si="53"/>
        <v>610.49600000000021</v>
      </c>
      <c r="AE44" s="1426">
        <f t="shared" si="53"/>
        <v>1066.9159999999997</v>
      </c>
      <c r="AF44" s="1415">
        <f t="shared" si="53"/>
        <v>2581.5299999999997</v>
      </c>
      <c r="AG44" s="1427">
        <f t="shared" si="53"/>
        <v>513.25800000000015</v>
      </c>
      <c r="AH44" s="1426">
        <f t="shared" si="53"/>
        <v>634.98300000000006</v>
      </c>
      <c r="AI44" s="1426">
        <f t="shared" si="53"/>
        <v>816.28</v>
      </c>
      <c r="AJ44" s="1426">
        <f t="shared" si="53"/>
        <v>1370.1369999999999</v>
      </c>
      <c r="AK44" s="1415">
        <f t="shared" si="53"/>
        <v>3334.6580000000004</v>
      </c>
      <c r="AL44" s="1427">
        <f t="shared" ref="AL44:AQ44" si="54">AL10+AL30</f>
        <v>565.93600000000004</v>
      </c>
      <c r="AM44" s="1426">
        <f t="shared" si="54"/>
        <v>779.14499999999987</v>
      </c>
      <c r="AN44" s="1426">
        <f t="shared" si="54"/>
        <v>1068.345</v>
      </c>
      <c r="AO44" s="1426">
        <f t="shared" si="54"/>
        <v>1595.4030000000005</v>
      </c>
      <c r="AP44" s="1415">
        <f t="shared" si="54"/>
        <v>4008.8290000000006</v>
      </c>
      <c r="AQ44" s="1427">
        <f t="shared" si="54"/>
        <v>770.06099999999969</v>
      </c>
      <c r="AR44" s="1426">
        <f t="shared" ref="AR44:AS44" si="55">AR10+AR30</f>
        <v>1101.3690000000001</v>
      </c>
      <c r="AS44" s="1426">
        <f t="shared" si="55"/>
        <v>1367.4879999999996</v>
      </c>
      <c r="AT44" s="1426">
        <f t="shared" ref="AT44:BJ44" si="56">AT10+AT30</f>
        <v>1866.8266660010042</v>
      </c>
      <c r="AU44" s="1415">
        <f t="shared" si="56"/>
        <v>5105.7446660010046</v>
      </c>
      <c r="AV44" s="1427">
        <f t="shared" si="56"/>
        <v>1116.091634262732</v>
      </c>
      <c r="AW44" s="1426">
        <f t="shared" si="56"/>
        <v>1364.0279603140241</v>
      </c>
      <c r="AX44" s="1426">
        <f t="shared" si="56"/>
        <v>1586.125889395051</v>
      </c>
      <c r="AY44" s="1426">
        <f t="shared" si="56"/>
        <v>2192.3551896256877</v>
      </c>
      <c r="AZ44" s="1415">
        <f t="shared" si="56"/>
        <v>6258.6006735974934</v>
      </c>
      <c r="BA44" s="1427">
        <f t="shared" si="56"/>
        <v>1401.3241959118266</v>
      </c>
      <c r="BB44" s="1426">
        <f t="shared" si="56"/>
        <v>1701.7775642744787</v>
      </c>
      <c r="BC44" s="1426">
        <f t="shared" si="56"/>
        <v>1971.5519580750965</v>
      </c>
      <c r="BD44" s="1426">
        <f t="shared" si="56"/>
        <v>2658.1422593318721</v>
      </c>
      <c r="BE44" s="1415">
        <f t="shared" si="56"/>
        <v>7732.7959775932741</v>
      </c>
      <c r="BF44" s="1427">
        <f t="shared" si="56"/>
        <v>1732.6833755863402</v>
      </c>
      <c r="BG44" s="1426">
        <f t="shared" si="56"/>
        <v>2084.3896739291517</v>
      </c>
      <c r="BH44" s="1426">
        <f t="shared" si="56"/>
        <v>2445.0488624966042</v>
      </c>
      <c r="BI44" s="1426">
        <f t="shared" si="56"/>
        <v>3253.6351188964895</v>
      </c>
      <c r="BJ44" s="1415">
        <f t="shared" si="56"/>
        <v>9515.7570309085859</v>
      </c>
      <c r="BK44" s="1427">
        <f>BK10+BK30</f>
        <v>2176.943652285398</v>
      </c>
      <c r="BL44" s="1426">
        <f>BL10+BL30</f>
        <v>2563.6383753338569</v>
      </c>
      <c r="BM44" s="1426">
        <f>BM10+BM30</f>
        <v>3013.0885192663854</v>
      </c>
      <c r="BN44" s="1426">
        <f>BN10+BN30</f>
        <v>3923.152872682007</v>
      </c>
      <c r="BO44" s="1415">
        <f>BO10+BO30</f>
        <v>11676.823419567649</v>
      </c>
    </row>
    <row r="45" spans="1:67" s="58" customFormat="1" outlineLevel="1">
      <c r="A45" s="107" t="s">
        <v>142</v>
      </c>
      <c r="B45" s="827" t="s">
        <v>32</v>
      </c>
      <c r="C45" s="611"/>
      <c r="D45" s="395"/>
      <c r="E45" s="395"/>
      <c r="F45" s="395"/>
      <c r="G45" s="828"/>
      <c r="H45" s="611" t="str">
        <f t="shared" ref="H45:AM45" si="57">IFERROR(H44/C44-1,"--")</f>
        <v>--</v>
      </c>
      <c r="I45" s="395" t="str">
        <f t="shared" si="57"/>
        <v>--</v>
      </c>
      <c r="J45" s="395" t="str">
        <f t="shared" si="57"/>
        <v>--</v>
      </c>
      <c r="K45" s="395" t="str">
        <f t="shared" si="57"/>
        <v>--</v>
      </c>
      <c r="L45" s="828" t="str">
        <f t="shared" si="57"/>
        <v>--</v>
      </c>
      <c r="M45" s="611">
        <f t="shared" si="57"/>
        <v>0.18894859250942364</v>
      </c>
      <c r="N45" s="395">
        <f t="shared" si="57"/>
        <v>1.9056011033637277</v>
      </c>
      <c r="O45" s="395">
        <f t="shared" si="57"/>
        <v>2.1405441870924204</v>
      </c>
      <c r="P45" s="395">
        <f t="shared" si="57"/>
        <v>1.5664706254347687</v>
      </c>
      <c r="Q45" s="828">
        <f t="shared" si="57"/>
        <v>1.3946040163008786</v>
      </c>
      <c r="R45" s="611">
        <f t="shared" si="57"/>
        <v>0.79030354131534564</v>
      </c>
      <c r="S45" s="395">
        <f t="shared" si="57"/>
        <v>0.60465177606075726</v>
      </c>
      <c r="T45" s="395">
        <f t="shared" si="57"/>
        <v>1.0103107546899617</v>
      </c>
      <c r="U45" s="395">
        <f t="shared" si="57"/>
        <v>0.92987807882987283</v>
      </c>
      <c r="V45" s="828">
        <f t="shared" si="57"/>
        <v>0.85547119286295747</v>
      </c>
      <c r="W45" s="611">
        <f t="shared" si="57"/>
        <v>1.117496350021193</v>
      </c>
      <c r="X45" s="395">
        <f t="shared" si="57"/>
        <v>0.87521227061079232</v>
      </c>
      <c r="Y45" s="395">
        <f t="shared" si="57"/>
        <v>0.74730641829320388</v>
      </c>
      <c r="Z45" s="395">
        <f t="shared" si="57"/>
        <v>1.0070248999634837</v>
      </c>
      <c r="AA45" s="828">
        <f t="shared" si="57"/>
        <v>0.92893151956504916</v>
      </c>
      <c r="AB45" s="611">
        <f t="shared" si="57"/>
        <v>0.76346951121866113</v>
      </c>
      <c r="AC45" s="395">
        <f t="shared" si="57"/>
        <v>0.48306555269922846</v>
      </c>
      <c r="AD45" s="395">
        <f t="shared" si="57"/>
        <v>0.55556631393343081</v>
      </c>
      <c r="AE45" s="395">
        <f t="shared" si="57"/>
        <v>0.35745993778348861</v>
      </c>
      <c r="AF45" s="828">
        <f t="shared" si="57"/>
        <v>0.47892237853098263</v>
      </c>
      <c r="AG45" s="611">
        <f t="shared" si="57"/>
        <v>0.29468386999129814</v>
      </c>
      <c r="AH45" s="395">
        <f t="shared" si="57"/>
        <v>0.25074702127114779</v>
      </c>
      <c r="AI45" s="395">
        <f t="shared" si="57"/>
        <v>0.33707673760352197</v>
      </c>
      <c r="AJ45" s="395">
        <f t="shared" si="57"/>
        <v>0.28420325498914667</v>
      </c>
      <c r="AK45" s="828">
        <f t="shared" si="57"/>
        <v>0.29173707065190047</v>
      </c>
      <c r="AL45" s="611">
        <f t="shared" si="57"/>
        <v>0.10263454247181714</v>
      </c>
      <c r="AM45" s="395">
        <f t="shared" si="57"/>
        <v>0.22703284969833804</v>
      </c>
      <c r="AN45" s="395">
        <f t="shared" ref="AN45:BJ45" si="58">IFERROR(AN44/AI44-1,"--")</f>
        <v>0.30879722644190721</v>
      </c>
      <c r="AO45" s="395">
        <f>IFERROR(AO44/AJ44-1,"--")</f>
        <v>0.16441129609666816</v>
      </c>
      <c r="AP45" s="828">
        <f>IFERROR(AP44/AK44-1,"--")</f>
        <v>0.20217095726158441</v>
      </c>
      <c r="AQ45" s="611">
        <f t="shared" ref="AQ45:AR45" si="59">IFERROR(AQ44/AL44-1,"--")</f>
        <v>0.36068566056939244</v>
      </c>
      <c r="AR45" s="395">
        <f t="shared" si="59"/>
        <v>0.41356101880907969</v>
      </c>
      <c r="AS45" s="395">
        <f t="shared" si="58"/>
        <v>0.28000599057420539</v>
      </c>
      <c r="AT45" s="395">
        <f t="shared" si="58"/>
        <v>0.17012859196140639</v>
      </c>
      <c r="AU45" s="828">
        <f t="shared" si="58"/>
        <v>0.27362495781212015</v>
      </c>
      <c r="AV45" s="611">
        <f t="shared" si="58"/>
        <v>0.4493548358672006</v>
      </c>
      <c r="AW45" s="395">
        <f t="shared" si="58"/>
        <v>0.23848406874900596</v>
      </c>
      <c r="AX45" s="395">
        <f t="shared" si="58"/>
        <v>0.15988285776186073</v>
      </c>
      <c r="AY45" s="395">
        <f t="shared" si="58"/>
        <v>0.17437533411819617</v>
      </c>
      <c r="AZ45" s="828">
        <f t="shared" si="58"/>
        <v>0.22579585996011931</v>
      </c>
      <c r="BA45" s="611">
        <f t="shared" si="58"/>
        <v>0.25556374843496932</v>
      </c>
      <c r="BB45" s="395">
        <f t="shared" si="58"/>
        <v>0.24761193596258724</v>
      </c>
      <c r="BC45" s="395">
        <f t="shared" si="58"/>
        <v>0.2429984096830089</v>
      </c>
      <c r="BD45" s="395">
        <f t="shared" si="58"/>
        <v>0.21245967437681057</v>
      </c>
      <c r="BE45" s="828">
        <f t="shared" si="58"/>
        <v>0.23554711042914356</v>
      </c>
      <c r="BF45" s="611">
        <f t="shared" si="58"/>
        <v>0.23646147025878039</v>
      </c>
      <c r="BG45" s="395">
        <f t="shared" si="58"/>
        <v>0.22483085785526424</v>
      </c>
      <c r="BH45" s="395">
        <f t="shared" si="58"/>
        <v>0.24016455791700331</v>
      </c>
      <c r="BI45" s="395">
        <f t="shared" si="58"/>
        <v>0.22402595552365034</v>
      </c>
      <c r="BJ45" s="828">
        <f t="shared" si="58"/>
        <v>0.23057133001849017</v>
      </c>
      <c r="BK45" s="611">
        <f>IFERROR(BK44/BF44-1,"--")</f>
        <v>0.25640014959381729</v>
      </c>
      <c r="BL45" s="395">
        <f>IFERROR(BL44/BG44-1,"--")</f>
        <v>0.22992279581835739</v>
      </c>
      <c r="BM45" s="395">
        <f>IFERROR(BM44/BH44-1,"--")</f>
        <v>0.23232241509879858</v>
      </c>
      <c r="BN45" s="395">
        <f>IFERROR(BN44/BI44-1,"--")</f>
        <v>0.20577530341281558</v>
      </c>
      <c r="BO45" s="828">
        <f>IFERROR(BO44/BJ44-1,"--")</f>
        <v>0.22710398990218006</v>
      </c>
    </row>
    <row r="46" spans="1:67" s="58" customFormat="1" outlineLevel="1">
      <c r="A46" s="107" t="s">
        <v>143</v>
      </c>
      <c r="B46" s="827" t="s">
        <v>33</v>
      </c>
      <c r="C46" s="611"/>
      <c r="D46" s="395"/>
      <c r="E46" s="436"/>
      <c r="F46" s="436"/>
      <c r="G46" s="770"/>
      <c r="H46" s="611" t="str">
        <f>IFERROR(H44/F44-1,"--")</f>
        <v>--</v>
      </c>
      <c r="I46" s="436">
        <f>IFERROR(I44/H44-1,"--")</f>
        <v>-0.21499318309407334</v>
      </c>
      <c r="J46" s="436">
        <f>IFERROR(J44/I44-1,"--")</f>
        <v>-9.1359538221847392E-2</v>
      </c>
      <c r="K46" s="436">
        <f>IFERROR(K44/J44-1,"--")</f>
        <v>1.2224252304924663</v>
      </c>
      <c r="L46" s="770"/>
      <c r="M46" s="611">
        <f>IFERROR(M44/K44-1,"--")</f>
        <v>-0.24998419022323393</v>
      </c>
      <c r="N46" s="436">
        <f>IFERROR(N44/M44-1,"--")</f>
        <v>0.91843170320404721</v>
      </c>
      <c r="O46" s="436">
        <f>IFERROR(O44/N44-1,"--")</f>
        <v>-1.7888065539762854E-2</v>
      </c>
      <c r="P46" s="436">
        <f>IFERROR(P44/O44-1,"--")</f>
        <v>0.81617857654303316</v>
      </c>
      <c r="Q46" s="770"/>
      <c r="R46" s="611">
        <f>IFERROR(R44/P44-1,"--")</f>
        <v>-0.4768083659409218</v>
      </c>
      <c r="S46" s="436">
        <f>IFERROR(S44/R44-1,"--")</f>
        <v>0.71949324165214446</v>
      </c>
      <c r="T46" s="436">
        <f>IFERROR(T44/S44-1,"--")</f>
        <v>0.23039167351410605</v>
      </c>
      <c r="U46" s="436">
        <f>IFERROR(U44/T44-1,"--")</f>
        <v>0.74351314289784898</v>
      </c>
      <c r="V46" s="770"/>
      <c r="W46" s="611">
        <f>IFERROR(W44/U44-1,"--")</f>
        <v>-0.42594488862558644</v>
      </c>
      <c r="X46" s="436">
        <f>IFERROR(X44/W44-1,"--")</f>
        <v>0.52274870553904762</v>
      </c>
      <c r="Y46" s="436">
        <f>IFERROR(Y44/X44-1,"--")</f>
        <v>0.14646821687310085</v>
      </c>
      <c r="Z46" s="436">
        <f>IFERROR(Z44/Y44-1,"--")</f>
        <v>1.0026677945976528</v>
      </c>
      <c r="AA46" s="770"/>
      <c r="AB46" s="611">
        <f>IFERROR(AB44/Z44-1,"--")</f>
        <v>-0.49560731075811282</v>
      </c>
      <c r="AC46" s="436">
        <f>IFERROR(AC44/AB44-1,"--")</f>
        <v>0.28062103497420776</v>
      </c>
      <c r="AD46" s="436">
        <f>IFERROR(AD44/AC44-1,"--")</f>
        <v>0.20251416730518912</v>
      </c>
      <c r="AE46" s="436">
        <f>IFERROR(AE44/AD44-1,"--")</f>
        <v>0.7476216060383678</v>
      </c>
      <c r="AF46" s="770"/>
      <c r="AG46" s="611">
        <f>IFERROR(AG44/AE44-1,"--")</f>
        <v>-0.51893307439386016</v>
      </c>
      <c r="AH46" s="436">
        <f>IFERROR(AH44/AG44-1,"--")</f>
        <v>0.23716142758612602</v>
      </c>
      <c r="AI46" s="436">
        <f>IFERROR(AI44/AH44-1,"--")</f>
        <v>0.28551473031561447</v>
      </c>
      <c r="AJ46" s="436">
        <f>IFERROR(AJ44/AI44-1,"--")</f>
        <v>0.67851350026951529</v>
      </c>
      <c r="AK46" s="770"/>
      <c r="AL46" s="611">
        <f>IFERROR(AL44/AJ44-1,"--")</f>
        <v>-0.58694933426365381</v>
      </c>
      <c r="AM46" s="436">
        <f>IFERROR(AM44/AL44-1,"--")</f>
        <v>0.37673694552034109</v>
      </c>
      <c r="AN46" s="436">
        <f>IFERROR(AN44/AM44-1,"--")</f>
        <v>0.37117609687542141</v>
      </c>
      <c r="AO46" s="436">
        <f>IFERROR(AO44/AN44-1,"--")</f>
        <v>0.49334063434564723</v>
      </c>
      <c r="AP46" s="770"/>
      <c r="AQ46" s="611">
        <f>IFERROR(AQ44/AO44-1,"--")</f>
        <v>-0.51732508964819579</v>
      </c>
      <c r="AR46" s="436">
        <f>IFERROR(AR44/AQ44-1,"--")</f>
        <v>0.43023604623529899</v>
      </c>
      <c r="AS46" s="436">
        <f>IFERROR(AS44/AR44-1,"--")</f>
        <v>0.24162564953253574</v>
      </c>
      <c r="AT46" s="436">
        <f>IFERROR(AT44/AS44-1,"--")</f>
        <v>0.36515030918077884</v>
      </c>
      <c r="AU46" s="770"/>
      <c r="AV46" s="611">
        <f>IFERROR(AV44/AT44-1,"--")</f>
        <v>-0.40214501185932194</v>
      </c>
      <c r="AW46" s="436">
        <f>IFERROR(AW44/AV44-1,"--")</f>
        <v>0.22214692632749089</v>
      </c>
      <c r="AX46" s="436">
        <f>IFERROR(AX44/AW44-1,"--")</f>
        <v>0.16282505604203013</v>
      </c>
      <c r="AY46" s="436">
        <f>IFERROR(AY44/AX44-1,"--")</f>
        <v>0.38220755633832626</v>
      </c>
      <c r="AZ46" s="770"/>
      <c r="BA46" s="611">
        <f>IFERROR(BA44/AY44-1,"--")</f>
        <v>-0.36081333784646363</v>
      </c>
      <c r="BB46" s="436">
        <f>IFERROR(BB44/BA44-1,"--")</f>
        <v>0.21440675129936682</v>
      </c>
      <c r="BC46" s="436">
        <f>IFERROR(BC44/BB44-1,"--")</f>
        <v>0.15852506194934546</v>
      </c>
      <c r="BD46" s="436">
        <f>IFERROR(BD44/BC44-1,"--")</f>
        <v>0.34824864667889388</v>
      </c>
      <c r="BE46" s="770"/>
      <c r="BF46" s="611">
        <f>IFERROR(BF44/BD44-1,"--")</f>
        <v>-0.3481600281160826</v>
      </c>
      <c r="BG46" s="436">
        <f>IFERROR(BG44/BF44-1,"--")</f>
        <v>0.20298359371272556</v>
      </c>
      <c r="BH46" s="436">
        <f>IFERROR(BH44/BG44-1,"--")</f>
        <v>0.17302867744858696</v>
      </c>
      <c r="BI46" s="436">
        <f>IFERROR(BI44/BH44-1,"--")</f>
        <v>0.33070351631919914</v>
      </c>
      <c r="BJ46" s="770"/>
      <c r="BK46" s="611">
        <f>IFERROR(BK44/BI44-1,"--")</f>
        <v>-0.33091954913993693</v>
      </c>
      <c r="BL46" s="436">
        <f>IFERROR(BL44/BK44-1,"--")</f>
        <v>0.17763193945902045</v>
      </c>
      <c r="BM46" s="436">
        <f>IFERROR(BM44/BL44-1,"--")</f>
        <v>0.17531729445811473</v>
      </c>
      <c r="BN46" s="436">
        <f>IFERROR(BN44/BM44-1,"--")</f>
        <v>0.30203704524326436</v>
      </c>
      <c r="BO46" s="770"/>
    </row>
    <row r="47" spans="1:67" s="58" customFormat="1">
      <c r="A47" s="107"/>
      <c r="B47" s="827"/>
      <c r="C47" s="368"/>
      <c r="D47" s="368"/>
      <c r="E47" s="368"/>
      <c r="F47" s="368"/>
      <c r="G47" s="369"/>
      <c r="H47" s="368"/>
      <c r="I47" s="368"/>
      <c r="J47" s="368"/>
      <c r="K47" s="368"/>
      <c r="L47" s="369"/>
      <c r="M47" s="368"/>
      <c r="N47" s="368"/>
      <c r="O47" s="368"/>
      <c r="P47" s="368"/>
      <c r="Q47" s="369"/>
      <c r="R47" s="368"/>
      <c r="S47" s="368"/>
      <c r="T47" s="368"/>
      <c r="U47" s="368"/>
      <c r="V47" s="369"/>
      <c r="W47" s="368"/>
      <c r="X47" s="368"/>
      <c r="Y47" s="368"/>
      <c r="Z47" s="368"/>
      <c r="AA47" s="369"/>
      <c r="AB47" s="368"/>
      <c r="AC47" s="368"/>
      <c r="AD47" s="368"/>
      <c r="AE47" s="368"/>
      <c r="AF47" s="369"/>
      <c r="AG47" s="368"/>
      <c r="AH47" s="368"/>
      <c r="AI47" s="368"/>
      <c r="AJ47" s="368"/>
      <c r="AK47" s="369"/>
      <c r="AL47" s="368"/>
      <c r="AM47" s="368"/>
      <c r="AN47" s="368"/>
      <c r="AO47" s="368"/>
      <c r="AP47" s="369"/>
      <c r="AQ47" s="368"/>
      <c r="AR47" s="368"/>
      <c r="AS47" s="368"/>
      <c r="AT47" s="368"/>
      <c r="AU47" s="369"/>
      <c r="AV47" s="368"/>
      <c r="AW47" s="368"/>
      <c r="AX47" s="368"/>
      <c r="AY47" s="368"/>
      <c r="AZ47" s="369"/>
      <c r="BA47" s="368"/>
      <c r="BB47" s="368"/>
      <c r="BC47" s="368"/>
      <c r="BD47" s="368"/>
      <c r="BE47" s="369"/>
      <c r="BF47" s="368"/>
      <c r="BG47" s="368"/>
      <c r="BH47" s="368"/>
      <c r="BI47" s="368"/>
      <c r="BJ47" s="369"/>
      <c r="BK47" s="368"/>
      <c r="BL47" s="368"/>
      <c r="BM47" s="368"/>
      <c r="BN47" s="368"/>
      <c r="BO47" s="369"/>
    </row>
    <row r="48" spans="1:67" s="766" customFormat="1">
      <c r="A48" s="431"/>
      <c r="B48" s="766" t="s">
        <v>432</v>
      </c>
      <c r="C48" s="768"/>
      <c r="D48" s="768"/>
      <c r="E48" s="768"/>
      <c r="F48" s="768"/>
      <c r="G48" s="769"/>
      <c r="H48" s="768"/>
      <c r="I48" s="768"/>
      <c r="J48" s="768"/>
      <c r="K48" s="768"/>
      <c r="L48" s="769"/>
      <c r="M48" s="768"/>
      <c r="N48" s="768"/>
      <c r="O48" s="768"/>
      <c r="P48" s="768"/>
      <c r="Q48" s="769"/>
      <c r="R48" s="768"/>
      <c r="S48" s="768"/>
      <c r="T48" s="768"/>
      <c r="U48" s="768"/>
      <c r="V48" s="769"/>
      <c r="W48" s="768"/>
      <c r="X48" s="768"/>
      <c r="Y48" s="768"/>
      <c r="Z48" s="768"/>
      <c r="AA48" s="769"/>
      <c r="AB48" s="768"/>
      <c r="AC48" s="768"/>
      <c r="AD48" s="768"/>
      <c r="AE48" s="768"/>
      <c r="AF48" s="769"/>
      <c r="AG48" s="768"/>
      <c r="AH48" s="768"/>
      <c r="AI48" s="768"/>
      <c r="AJ48" s="768"/>
      <c r="AK48" s="769"/>
      <c r="AL48" s="768"/>
      <c r="AM48" s="768"/>
      <c r="AN48" s="768"/>
      <c r="AO48" s="768"/>
      <c r="AP48" s="769"/>
      <c r="AQ48" s="768"/>
      <c r="AR48" s="768"/>
      <c r="AS48" s="768"/>
      <c r="AT48" s="768"/>
      <c r="AU48" s="769"/>
      <c r="AV48" s="768"/>
      <c r="AW48" s="768"/>
      <c r="AX48" s="768"/>
      <c r="AY48" s="768"/>
      <c r="AZ48" s="769"/>
      <c r="BA48" s="768"/>
      <c r="BB48" s="768"/>
      <c r="BC48" s="768"/>
      <c r="BD48" s="768"/>
      <c r="BE48" s="769"/>
      <c r="BF48" s="768"/>
      <c r="BG48" s="768"/>
      <c r="BH48" s="768"/>
      <c r="BI48" s="768"/>
      <c r="BJ48" s="769"/>
      <c r="BK48" s="768"/>
      <c r="BL48" s="768"/>
      <c r="BM48" s="768"/>
      <c r="BN48" s="768"/>
      <c r="BO48" s="769"/>
    </row>
    <row r="49" spans="1:67" s="1417" customFormat="1">
      <c r="A49" s="425"/>
      <c r="B49" s="1425" t="s">
        <v>433</v>
      </c>
      <c r="C49" s="1427"/>
      <c r="D49" s="1426"/>
      <c r="E49" s="1426"/>
      <c r="F49" s="1426"/>
      <c r="G49" s="1415"/>
      <c r="H49" s="1427">
        <f t="shared" ref="H49:M49" si="60">H10+H16</f>
        <v>49.585000000000001</v>
      </c>
      <c r="I49" s="1426">
        <f t="shared" si="60"/>
        <v>39.381999999999998</v>
      </c>
      <c r="J49" s="1426">
        <f t="shared" si="60"/>
        <v>35.626000000000005</v>
      </c>
      <c r="K49" s="1426">
        <f t="shared" si="60"/>
        <v>76.092999999999989</v>
      </c>
      <c r="L49" s="1415">
        <f t="shared" si="60"/>
        <v>200.68599999999998</v>
      </c>
      <c r="M49" s="1427">
        <f t="shared" si="60"/>
        <v>59.948000000000008</v>
      </c>
      <c r="N49" s="1426">
        <f t="shared" ref="N49:AK49" si="61">N10+N16</f>
        <v>114.245</v>
      </c>
      <c r="O49" s="1426">
        <f t="shared" si="61"/>
        <v>110.63</v>
      </c>
      <c r="P49" s="1426">
        <f t="shared" si="61"/>
        <v>202.96299999999999</v>
      </c>
      <c r="Q49" s="1415">
        <f t="shared" si="61"/>
        <v>487.786</v>
      </c>
      <c r="R49" s="1427">
        <f t="shared" si="61"/>
        <v>106.60000000000002</v>
      </c>
      <c r="S49" s="1426">
        <f t="shared" si="61"/>
        <v>181.88699999999994</v>
      </c>
      <c r="T49" s="1426">
        <f t="shared" si="61"/>
        <v>224.26600000000002</v>
      </c>
      <c r="U49" s="1426">
        <f t="shared" si="61"/>
        <v>390.8900000000001</v>
      </c>
      <c r="V49" s="1415">
        <f t="shared" si="61"/>
        <v>903.64300000000003</v>
      </c>
      <c r="W49" s="1427">
        <f t="shared" si="61"/>
        <v>225.34799999999998</v>
      </c>
      <c r="X49" s="1426">
        <f t="shared" si="61"/>
        <v>338.87</v>
      </c>
      <c r="Y49" s="1426">
        <f t="shared" si="61"/>
        <v>392.42700000000002</v>
      </c>
      <c r="Z49" s="1426">
        <f t="shared" si="61"/>
        <v>781.91699999999992</v>
      </c>
      <c r="AA49" s="1415">
        <f t="shared" si="61"/>
        <v>1738.5619999999999</v>
      </c>
      <c r="AB49" s="1427">
        <f t="shared" si="61"/>
        <v>397.18099999999998</v>
      </c>
      <c r="AC49" s="1426">
        <f t="shared" si="61"/>
        <v>509.32400000000001</v>
      </c>
      <c r="AD49" s="1426">
        <f t="shared" si="61"/>
        <v>611.95600000000002</v>
      </c>
      <c r="AE49" s="1426">
        <f t="shared" si="61"/>
        <v>1062.7859999999998</v>
      </c>
      <c r="AF49" s="1415">
        <f t="shared" si="61"/>
        <v>2581.2469999999994</v>
      </c>
      <c r="AG49" s="1427">
        <f t="shared" si="61"/>
        <v>510.56900000000007</v>
      </c>
      <c r="AH49" s="1426">
        <f t="shared" si="61"/>
        <v>636.65800000000002</v>
      </c>
      <c r="AI49" s="1426">
        <f t="shared" si="61"/>
        <v>816.67499999999995</v>
      </c>
      <c r="AJ49" s="1426">
        <f t="shared" si="61"/>
        <v>1367.817</v>
      </c>
      <c r="AK49" s="1415">
        <f t="shared" si="61"/>
        <v>3331.7190000000001</v>
      </c>
      <c r="AL49" s="1427">
        <f t="shared" ref="AL49:AQ49" si="62">AL10+AL16</f>
        <v>565.64600000000007</v>
      </c>
      <c r="AM49" s="1426">
        <f t="shared" si="62"/>
        <v>781.5569999999999</v>
      </c>
      <c r="AN49" s="1426">
        <f t="shared" si="62"/>
        <v>1068.652</v>
      </c>
      <c r="AO49" s="1426">
        <f t="shared" si="62"/>
        <v>1591.8750000000002</v>
      </c>
      <c r="AP49" s="1415">
        <f t="shared" si="62"/>
        <v>4007.7300000000005</v>
      </c>
      <c r="AQ49" s="1427">
        <f t="shared" si="62"/>
        <v>771.83799999999974</v>
      </c>
      <c r="AR49" s="1426">
        <f t="shared" ref="AR49:AS49" si="63">AR10+AR16</f>
        <v>1103.5530000000003</v>
      </c>
      <c r="AS49" s="1426">
        <f t="shared" si="63"/>
        <v>1368.1439999999996</v>
      </c>
      <c r="AT49" s="1426">
        <f t="shared" ref="AT49:BJ49" si="64">AT10+AT16</f>
        <v>1866.8266660010042</v>
      </c>
      <c r="AU49" s="1415">
        <f t="shared" si="64"/>
        <v>5110.3616660010048</v>
      </c>
      <c r="AV49" s="1427">
        <f t="shared" si="64"/>
        <v>1116.091634262732</v>
      </c>
      <c r="AW49" s="1426">
        <f t="shared" si="64"/>
        <v>1364.0279603140241</v>
      </c>
      <c r="AX49" s="1426">
        <f t="shared" si="64"/>
        <v>1586.125889395051</v>
      </c>
      <c r="AY49" s="1426">
        <f t="shared" si="64"/>
        <v>2192.3551896256877</v>
      </c>
      <c r="AZ49" s="1415">
        <f t="shared" si="64"/>
        <v>6258.6006735974934</v>
      </c>
      <c r="BA49" s="1427">
        <f t="shared" si="64"/>
        <v>1401.3241959118266</v>
      </c>
      <c r="BB49" s="1426">
        <f t="shared" si="64"/>
        <v>1701.7775642744787</v>
      </c>
      <c r="BC49" s="1426">
        <f t="shared" si="64"/>
        <v>1971.5519580750965</v>
      </c>
      <c r="BD49" s="1426">
        <f t="shared" si="64"/>
        <v>2658.1422593318721</v>
      </c>
      <c r="BE49" s="1415">
        <f t="shared" si="64"/>
        <v>7732.7959775932741</v>
      </c>
      <c r="BF49" s="1427">
        <f t="shared" si="64"/>
        <v>1732.6833755863402</v>
      </c>
      <c r="BG49" s="1426">
        <f t="shared" si="64"/>
        <v>2084.3896739291517</v>
      </c>
      <c r="BH49" s="1426">
        <f t="shared" si="64"/>
        <v>2445.0488624966042</v>
      </c>
      <c r="BI49" s="1426">
        <f t="shared" si="64"/>
        <v>3253.6351188964895</v>
      </c>
      <c r="BJ49" s="1415">
        <f t="shared" si="64"/>
        <v>9515.7570309085859</v>
      </c>
      <c r="BK49" s="1427">
        <f>BK10+BK16</f>
        <v>2176.943652285398</v>
      </c>
      <c r="BL49" s="1426">
        <f>BL10+BL16</f>
        <v>2563.6383753338569</v>
      </c>
      <c r="BM49" s="1426">
        <f>BM10+BM16</f>
        <v>3013.0885192663854</v>
      </c>
      <c r="BN49" s="1426">
        <f>BN10+BN16</f>
        <v>3923.152872682007</v>
      </c>
      <c r="BO49" s="1415">
        <f>BO10+BO16</f>
        <v>11676.823419567649</v>
      </c>
    </row>
    <row r="50" spans="1:67" s="58" customFormat="1" outlineLevel="1">
      <c r="A50" s="107"/>
      <c r="B50" s="827" t="s">
        <v>32</v>
      </c>
      <c r="C50" s="611"/>
      <c r="D50" s="395"/>
      <c r="E50" s="395"/>
      <c r="F50" s="395"/>
      <c r="G50" s="828"/>
      <c r="H50" s="611" t="str">
        <f t="shared" ref="H50:AM50" si="65">IFERROR(H49/C49-1,"--")</f>
        <v>--</v>
      </c>
      <c r="I50" s="395" t="str">
        <f t="shared" si="65"/>
        <v>--</v>
      </c>
      <c r="J50" s="395" t="str">
        <f t="shared" si="65"/>
        <v>--</v>
      </c>
      <c r="K50" s="395" t="str">
        <f t="shared" si="65"/>
        <v>--</v>
      </c>
      <c r="L50" s="828" t="str">
        <f t="shared" si="65"/>
        <v>--</v>
      </c>
      <c r="M50" s="611">
        <f t="shared" si="65"/>
        <v>0.2089946556418274</v>
      </c>
      <c r="N50" s="395">
        <f t="shared" si="65"/>
        <v>1.900944593976944</v>
      </c>
      <c r="O50" s="395">
        <f t="shared" si="65"/>
        <v>2.1053163419974172</v>
      </c>
      <c r="P50" s="395">
        <f t="shared" si="65"/>
        <v>1.6673018543098581</v>
      </c>
      <c r="Q50" s="828">
        <f t="shared" si="65"/>
        <v>1.4305930657843597</v>
      </c>
      <c r="R50" s="611">
        <f t="shared" si="65"/>
        <v>0.77820778007606606</v>
      </c>
      <c r="S50" s="395">
        <f t="shared" si="65"/>
        <v>0.59207842793995313</v>
      </c>
      <c r="T50" s="395">
        <f t="shared" si="65"/>
        <v>1.0271716532586099</v>
      </c>
      <c r="U50" s="395">
        <f t="shared" si="65"/>
        <v>0.92591753176687441</v>
      </c>
      <c r="V50" s="828">
        <f t="shared" si="65"/>
        <v>0.85253984329193555</v>
      </c>
      <c r="W50" s="611">
        <f t="shared" si="65"/>
        <v>1.1139587242026261</v>
      </c>
      <c r="X50" s="395">
        <f t="shared" si="65"/>
        <v>0.86307982428650809</v>
      </c>
      <c r="Y50" s="395">
        <f t="shared" si="65"/>
        <v>0.74982832885947936</v>
      </c>
      <c r="Z50" s="395">
        <f t="shared" si="65"/>
        <v>1.0003504822328524</v>
      </c>
      <c r="AA50" s="828">
        <f t="shared" si="65"/>
        <v>0.92394784223415649</v>
      </c>
      <c r="AB50" s="611">
        <f t="shared" si="65"/>
        <v>0.76252285354207716</v>
      </c>
      <c r="AC50" s="395">
        <f t="shared" si="65"/>
        <v>0.50300705285212621</v>
      </c>
      <c r="AD50" s="395">
        <f t="shared" si="65"/>
        <v>0.55941359794305678</v>
      </c>
      <c r="AE50" s="395">
        <f t="shared" si="65"/>
        <v>0.35920564458887583</v>
      </c>
      <c r="AF50" s="828">
        <f t="shared" si="65"/>
        <v>0.48470229994673741</v>
      </c>
      <c r="AG50" s="611">
        <f t="shared" si="65"/>
        <v>0.28548193392936749</v>
      </c>
      <c r="AH50" s="395">
        <f t="shared" si="65"/>
        <v>0.25000589016029084</v>
      </c>
      <c r="AI50" s="395">
        <f t="shared" si="65"/>
        <v>0.33453222127081017</v>
      </c>
      <c r="AJ50" s="395">
        <f t="shared" si="65"/>
        <v>0.28701074346105448</v>
      </c>
      <c r="AK50" s="828">
        <f t="shared" si="65"/>
        <v>0.29074009577541426</v>
      </c>
      <c r="AL50" s="611">
        <f t="shared" si="65"/>
        <v>0.10787376436877283</v>
      </c>
      <c r="AM50" s="395">
        <f t="shared" si="65"/>
        <v>0.22759315048267648</v>
      </c>
      <c r="AN50" s="395">
        <f t="shared" ref="AN50:BJ50" si="66">IFERROR(AN49/AI49-1,"--")</f>
        <v>0.30854011693758232</v>
      </c>
      <c r="AO50" s="395">
        <f>IFERROR(AO49/AJ49-1,"--")</f>
        <v>0.16380700049787378</v>
      </c>
      <c r="AP50" s="828">
        <f>IFERROR(AP49/AK49-1,"--")</f>
        <v>0.20290156522804015</v>
      </c>
      <c r="AQ50" s="611">
        <f t="shared" ref="AQ50:AR50" si="67">IFERROR(AQ49/AL49-1,"--")</f>
        <v>0.36452480880267801</v>
      </c>
      <c r="AR50" s="395">
        <f t="shared" si="67"/>
        <v>0.41199298323730771</v>
      </c>
      <c r="AS50" s="395">
        <f t="shared" si="66"/>
        <v>0.28025213072169386</v>
      </c>
      <c r="AT50" s="395">
        <f t="shared" si="66"/>
        <v>0.17272189462175347</v>
      </c>
      <c r="AU50" s="828">
        <f t="shared" si="66"/>
        <v>0.27512623505101486</v>
      </c>
      <c r="AV50" s="611">
        <f t="shared" si="66"/>
        <v>0.44601799116230656</v>
      </c>
      <c r="AW50" s="395">
        <f t="shared" si="66"/>
        <v>0.23603303177466217</v>
      </c>
      <c r="AX50" s="395">
        <f t="shared" si="66"/>
        <v>0.15932671516671593</v>
      </c>
      <c r="AY50" s="395">
        <f t="shared" si="66"/>
        <v>0.17437533411819617</v>
      </c>
      <c r="AZ50" s="828">
        <f t="shared" si="66"/>
        <v>0.22468840419566938</v>
      </c>
      <c r="BA50" s="611">
        <f t="shared" si="66"/>
        <v>0.25556374843496932</v>
      </c>
      <c r="BB50" s="395">
        <f t="shared" si="66"/>
        <v>0.24761193596258724</v>
      </c>
      <c r="BC50" s="395">
        <f t="shared" si="66"/>
        <v>0.2429984096830089</v>
      </c>
      <c r="BD50" s="395">
        <f t="shared" si="66"/>
        <v>0.21245967437681057</v>
      </c>
      <c r="BE50" s="828">
        <f t="shared" si="66"/>
        <v>0.23554711042914356</v>
      </c>
      <c r="BF50" s="611">
        <f t="shared" si="66"/>
        <v>0.23646147025878039</v>
      </c>
      <c r="BG50" s="395">
        <f t="shared" si="66"/>
        <v>0.22483085785526424</v>
      </c>
      <c r="BH50" s="395">
        <f t="shared" si="66"/>
        <v>0.24016455791700331</v>
      </c>
      <c r="BI50" s="395">
        <f t="shared" si="66"/>
        <v>0.22402595552365034</v>
      </c>
      <c r="BJ50" s="828">
        <f t="shared" si="66"/>
        <v>0.23057133001849017</v>
      </c>
      <c r="BK50" s="611">
        <f>IFERROR(BK49/BF49-1,"--")</f>
        <v>0.25640014959381729</v>
      </c>
      <c r="BL50" s="395">
        <f>IFERROR(BL49/BG49-1,"--")</f>
        <v>0.22992279581835739</v>
      </c>
      <c r="BM50" s="395">
        <f>IFERROR(BM49/BH49-1,"--")</f>
        <v>0.23232241509879858</v>
      </c>
      <c r="BN50" s="395">
        <f>IFERROR(BN49/BI49-1,"--")</f>
        <v>0.20577530341281558</v>
      </c>
      <c r="BO50" s="828">
        <f>IFERROR(BO49/BJ49-1,"--")</f>
        <v>0.22710398990218006</v>
      </c>
    </row>
    <row r="51" spans="1:67" s="58" customFormat="1" outlineLevel="1">
      <c r="A51" s="107"/>
      <c r="B51" s="827" t="s">
        <v>33</v>
      </c>
      <c r="C51" s="611"/>
      <c r="D51" s="395"/>
      <c r="E51" s="436"/>
      <c r="F51" s="436"/>
      <c r="G51" s="770"/>
      <c r="H51" s="611" t="str">
        <f>IFERROR(H49/F49-1,"--")</f>
        <v>--</v>
      </c>
      <c r="I51" s="436">
        <f>IFERROR(I49/H49-1,"--")</f>
        <v>-0.20576787334879509</v>
      </c>
      <c r="J51" s="436">
        <f>IFERROR(J49/I49-1,"--")</f>
        <v>-9.5373520897871988E-2</v>
      </c>
      <c r="K51" s="436">
        <f>IFERROR(K49/J49-1,"--")</f>
        <v>1.1358839050131921</v>
      </c>
      <c r="L51" s="770"/>
      <c r="M51" s="611">
        <f>IFERROR(M49/K49-1,"--")</f>
        <v>-0.21217457584797528</v>
      </c>
      <c r="N51" s="436">
        <f>IFERROR(N49/M49-1,"--")</f>
        <v>0.90573497030759986</v>
      </c>
      <c r="O51" s="436">
        <f>IFERROR(O49/N49-1,"--")</f>
        <v>-3.1642522648693716E-2</v>
      </c>
      <c r="P51" s="436">
        <f>IFERROR(P49/O49-1,"--")</f>
        <v>0.83461086504564763</v>
      </c>
      <c r="Q51" s="770"/>
      <c r="R51" s="611">
        <f>IFERROR(R49/P49-1,"--")</f>
        <v>-0.47478111774067178</v>
      </c>
      <c r="S51" s="436">
        <f>IFERROR(S49/R49-1,"--")</f>
        <v>0.7062570356472786</v>
      </c>
      <c r="T51" s="436">
        <f>IFERROR(T49/S49-1,"--")</f>
        <v>0.23299631089632622</v>
      </c>
      <c r="U51" s="436">
        <f>IFERROR(U49/T49-1,"--")</f>
        <v>0.74297486021064296</v>
      </c>
      <c r="V51" s="770"/>
      <c r="W51" s="611">
        <f>IFERROR(W49/U49-1,"--")</f>
        <v>-0.42350021745248045</v>
      </c>
      <c r="X51" s="436">
        <f>IFERROR(X49/W49-1,"--")</f>
        <v>0.50376306867600351</v>
      </c>
      <c r="Y51" s="436">
        <f>IFERROR(Y49/X49-1,"--")</f>
        <v>0.15804585829374096</v>
      </c>
      <c r="Z51" s="436">
        <f>IFERROR(Z49/Y49-1,"--")</f>
        <v>0.99251580548738971</v>
      </c>
      <c r="AA51" s="770"/>
      <c r="AB51" s="611">
        <f>IFERROR(AB49/Z49-1,"--")</f>
        <v>-0.49204199422700867</v>
      </c>
      <c r="AC51" s="436">
        <f>IFERROR(AC49/AB49-1,"--")</f>
        <v>0.28234734289908126</v>
      </c>
      <c r="AD51" s="436">
        <f>IFERROR(AD49/AC49-1,"--")</f>
        <v>0.20150631032505828</v>
      </c>
      <c r="AE51" s="436">
        <f>IFERROR(AE49/AD49-1,"--")</f>
        <v>0.73670329239357035</v>
      </c>
      <c r="AF51" s="770"/>
      <c r="AG51" s="611">
        <f>IFERROR(AG49/AE49-1,"--")</f>
        <v>-0.51959378463773498</v>
      </c>
      <c r="AH51" s="436">
        <f>IFERROR(AH49/AG49-1,"--")</f>
        <v>0.24695780589890881</v>
      </c>
      <c r="AI51" s="436">
        <f>IFERROR(AI49/AH49-1,"--")</f>
        <v>0.28275306365426944</v>
      </c>
      <c r="AJ51" s="436">
        <f>IFERROR(AJ49/AI49-1,"--")</f>
        <v>0.67486086876664531</v>
      </c>
      <c r="AK51" s="770"/>
      <c r="AL51" s="611">
        <f>IFERROR(AL49/AJ49-1,"--")</f>
        <v>-0.5864607619294101</v>
      </c>
      <c r="AM51" s="436">
        <f>IFERROR(AM49/AL49-1,"--")</f>
        <v>0.38170693331164696</v>
      </c>
      <c r="AN51" s="436">
        <f>IFERROR(AN49/AM49-1,"--")</f>
        <v>0.3673372511537869</v>
      </c>
      <c r="AO51" s="436">
        <f>IFERROR(AO49/AN49-1,"--")</f>
        <v>0.48961027537495849</v>
      </c>
      <c r="AP51" s="770"/>
      <c r="AQ51" s="611">
        <f>IFERROR(AQ49/AO49-1,"--")</f>
        <v>-0.51513906556733435</v>
      </c>
      <c r="AR51" s="436">
        <f>IFERROR(AR49/AQ49-1,"--")</f>
        <v>0.42977282797685623</v>
      </c>
      <c r="AS51" s="436">
        <f>IFERROR(AS49/AR49-1,"--")</f>
        <v>0.23976283875808324</v>
      </c>
      <c r="AT51" s="436">
        <f>IFERROR(AT49/AS49-1,"--")</f>
        <v>0.36449574460071799</v>
      </c>
      <c r="AU51" s="770"/>
      <c r="AV51" s="611">
        <f>IFERROR(AV49/AT49-1,"--")</f>
        <v>-0.40214501185932194</v>
      </c>
      <c r="AW51" s="436">
        <f>IFERROR(AW49/AV49-1,"--")</f>
        <v>0.22214692632749089</v>
      </c>
      <c r="AX51" s="436">
        <f>IFERROR(AX49/AW49-1,"--")</f>
        <v>0.16282505604203013</v>
      </c>
      <c r="AY51" s="436">
        <f>IFERROR(AY49/AX49-1,"--")</f>
        <v>0.38220755633832626</v>
      </c>
      <c r="AZ51" s="770"/>
      <c r="BA51" s="611">
        <f>IFERROR(BA49/AY49-1,"--")</f>
        <v>-0.36081333784646363</v>
      </c>
      <c r="BB51" s="436">
        <f>IFERROR(BB49/BA49-1,"--")</f>
        <v>0.21440675129936682</v>
      </c>
      <c r="BC51" s="436">
        <f>IFERROR(BC49/BB49-1,"--")</f>
        <v>0.15852506194934546</v>
      </c>
      <c r="BD51" s="436">
        <f>IFERROR(BD49/BC49-1,"--")</f>
        <v>0.34824864667889388</v>
      </c>
      <c r="BE51" s="770"/>
      <c r="BF51" s="611">
        <f>IFERROR(BF49/BD49-1,"--")</f>
        <v>-0.3481600281160826</v>
      </c>
      <c r="BG51" s="436">
        <f>IFERROR(BG49/BF49-1,"--")</f>
        <v>0.20298359371272556</v>
      </c>
      <c r="BH51" s="436">
        <f>IFERROR(BH49/BG49-1,"--")</f>
        <v>0.17302867744858696</v>
      </c>
      <c r="BI51" s="436">
        <f>IFERROR(BI49/BH49-1,"--")</f>
        <v>0.33070351631919914</v>
      </c>
      <c r="BJ51" s="770"/>
      <c r="BK51" s="611">
        <f>IFERROR(BK49/BI49-1,"--")</f>
        <v>-0.33091954913993693</v>
      </c>
      <c r="BL51" s="436">
        <f>IFERROR(BL49/BK49-1,"--")</f>
        <v>0.17763193945902045</v>
      </c>
      <c r="BM51" s="436">
        <f>IFERROR(BM49/BL49-1,"--")</f>
        <v>0.17531729445811473</v>
      </c>
      <c r="BN51" s="436">
        <f>IFERROR(BN49/BM49-1,"--")</f>
        <v>0.30203704524326436</v>
      </c>
      <c r="BO51" s="770"/>
    </row>
    <row r="52" spans="1:67" s="58" customFormat="1">
      <c r="A52" s="107"/>
      <c r="B52" s="77"/>
      <c r="C52" s="368"/>
      <c r="D52" s="368"/>
      <c r="E52" s="368"/>
      <c r="F52" s="368"/>
      <c r="G52" s="369"/>
      <c r="H52" s="368"/>
      <c r="I52" s="368"/>
      <c r="J52" s="368"/>
      <c r="K52" s="368"/>
      <c r="L52" s="369"/>
      <c r="M52" s="368"/>
      <c r="N52" s="368"/>
      <c r="O52" s="368"/>
      <c r="P52" s="368"/>
      <c r="Q52" s="369"/>
      <c r="R52" s="368"/>
      <c r="S52" s="368"/>
      <c r="T52" s="368"/>
      <c r="U52" s="368"/>
      <c r="V52" s="369"/>
      <c r="W52" s="368"/>
      <c r="X52" s="368"/>
      <c r="Y52" s="368"/>
      <c r="Z52" s="368"/>
      <c r="AA52" s="369"/>
      <c r="AB52" s="368"/>
      <c r="AC52" s="368"/>
      <c r="AD52" s="368"/>
      <c r="AE52" s="368"/>
      <c r="AF52" s="369"/>
      <c r="AG52" s="368"/>
      <c r="AH52" s="368"/>
      <c r="AI52" s="368"/>
      <c r="AJ52" s="368"/>
      <c r="AK52" s="369"/>
      <c r="AL52" s="368"/>
      <c r="AM52" s="368"/>
      <c r="AN52" s="368"/>
      <c r="AO52" s="368"/>
      <c r="AP52" s="369"/>
      <c r="AQ52" s="368"/>
      <c r="AR52" s="368"/>
      <c r="AS52" s="368"/>
      <c r="AT52" s="368"/>
      <c r="AU52" s="369"/>
      <c r="AV52" s="368"/>
      <c r="AW52" s="368"/>
      <c r="AX52" s="368"/>
      <c r="AY52" s="368"/>
      <c r="AZ52" s="369"/>
      <c r="BA52" s="368"/>
      <c r="BB52" s="368"/>
      <c r="BC52" s="368"/>
      <c r="BD52" s="368"/>
      <c r="BE52" s="369"/>
      <c r="BF52" s="368"/>
      <c r="BG52" s="368"/>
      <c r="BH52" s="368"/>
      <c r="BI52" s="368"/>
      <c r="BJ52" s="369"/>
      <c r="BK52" s="368"/>
      <c r="BL52" s="368"/>
      <c r="BM52" s="368"/>
      <c r="BN52" s="368"/>
      <c r="BO52" s="369"/>
    </row>
    <row r="53" spans="1:67" s="766" customFormat="1">
      <c r="A53" s="431"/>
      <c r="B53" s="766" t="s">
        <v>434</v>
      </c>
      <c r="C53" s="768"/>
      <c r="D53" s="768"/>
      <c r="E53" s="768"/>
      <c r="F53" s="768"/>
      <c r="G53" s="769"/>
      <c r="H53" s="768"/>
      <c r="I53" s="768"/>
      <c r="J53" s="768"/>
      <c r="K53" s="768"/>
      <c r="L53" s="769"/>
      <c r="M53" s="768"/>
      <c r="N53" s="768"/>
      <c r="O53" s="768"/>
      <c r="P53" s="768"/>
      <c r="Q53" s="769"/>
      <c r="R53" s="768"/>
      <c r="S53" s="768"/>
      <c r="T53" s="768"/>
      <c r="U53" s="768"/>
      <c r="V53" s="769"/>
      <c r="W53" s="768"/>
      <c r="X53" s="768"/>
      <c r="Y53" s="768"/>
      <c r="Z53" s="768"/>
      <c r="AA53" s="769"/>
      <c r="AB53" s="768"/>
      <c r="AC53" s="768"/>
      <c r="AD53" s="768"/>
      <c r="AE53" s="768"/>
      <c r="AF53" s="769"/>
      <c r="AG53" s="768"/>
      <c r="AH53" s="768"/>
      <c r="AI53" s="768"/>
      <c r="AJ53" s="768"/>
      <c r="AK53" s="769"/>
      <c r="AL53" s="768"/>
      <c r="AM53" s="768"/>
      <c r="AN53" s="768"/>
      <c r="AO53" s="768"/>
      <c r="AP53" s="769"/>
      <c r="AQ53" s="768"/>
      <c r="AR53" s="768"/>
      <c r="AS53" s="768"/>
      <c r="AT53" s="768"/>
      <c r="AU53" s="769"/>
      <c r="AV53" s="768"/>
      <c r="AW53" s="768"/>
      <c r="AX53" s="768"/>
      <c r="AY53" s="768"/>
      <c r="AZ53" s="769"/>
      <c r="BA53" s="768"/>
      <c r="BB53" s="768"/>
      <c r="BC53" s="768"/>
      <c r="BD53" s="768"/>
      <c r="BE53" s="769"/>
      <c r="BF53" s="768"/>
      <c r="BG53" s="768"/>
      <c r="BH53" s="768"/>
      <c r="BI53" s="768"/>
      <c r="BJ53" s="769"/>
      <c r="BK53" s="768"/>
      <c r="BL53" s="768"/>
      <c r="BM53" s="768"/>
      <c r="BN53" s="768"/>
      <c r="BO53" s="769"/>
    </row>
    <row r="54" spans="1:67" s="1417" customFormat="1">
      <c r="A54" s="425"/>
      <c r="B54" s="1425" t="s">
        <v>435</v>
      </c>
      <c r="C54" s="1427"/>
      <c r="D54" s="1426"/>
      <c r="E54" s="1426"/>
      <c r="F54" s="1426"/>
      <c r="G54" s="1415"/>
      <c r="H54" s="1427">
        <f t="shared" ref="H54:M54" si="68">H10+H23</f>
        <v>13.694000000000001</v>
      </c>
      <c r="I54" s="1426">
        <f t="shared" si="68"/>
        <v>17.676000000000002</v>
      </c>
      <c r="J54" s="1426">
        <f t="shared" si="68"/>
        <v>28.63</v>
      </c>
      <c r="K54" s="1426">
        <f t="shared" si="68"/>
        <v>39.650000000000006</v>
      </c>
      <c r="L54" s="1415">
        <f t="shared" si="68"/>
        <v>99.649999999999991</v>
      </c>
      <c r="M54" s="1427">
        <f t="shared" si="68"/>
        <v>43.056999999999995</v>
      </c>
      <c r="N54" s="1426">
        <f t="shared" ref="N54:AK54" si="69">N10+N23</f>
        <v>59.856999999999999</v>
      </c>
      <c r="O54" s="1426">
        <f t="shared" si="69"/>
        <v>74.11</v>
      </c>
      <c r="P54" s="1426">
        <f t="shared" si="69"/>
        <v>87.647000000000006</v>
      </c>
      <c r="Q54" s="1415">
        <f t="shared" si="69"/>
        <v>264.67099999999999</v>
      </c>
      <c r="R54" s="1427">
        <f t="shared" si="69"/>
        <v>108.38</v>
      </c>
      <c r="S54" s="1426">
        <f t="shared" si="69"/>
        <v>133.80799999999999</v>
      </c>
      <c r="T54" s="1426">
        <f t="shared" si="69"/>
        <v>159.96600000000004</v>
      </c>
      <c r="U54" s="1426">
        <f t="shared" si="69"/>
        <v>191.18200000000002</v>
      </c>
      <c r="V54" s="1415">
        <f t="shared" si="69"/>
        <v>593.33600000000001</v>
      </c>
      <c r="W54" s="1427">
        <f t="shared" si="69"/>
        <v>228.37</v>
      </c>
      <c r="X54" s="1426">
        <f t="shared" si="69"/>
        <v>275.64799999999997</v>
      </c>
      <c r="Y54" s="1426">
        <f t="shared" si="69"/>
        <v>334.47300000000001</v>
      </c>
      <c r="Z54" s="1426">
        <f t="shared" si="69"/>
        <v>387.822</v>
      </c>
      <c r="AA54" s="1415">
        <f t="shared" si="69"/>
        <v>1226.3130000000001</v>
      </c>
      <c r="AB54" s="1427">
        <f t="shared" si="69"/>
        <v>421.62500000000006</v>
      </c>
      <c r="AC54" s="1426">
        <f t="shared" si="69"/>
        <v>495.60699999999997</v>
      </c>
      <c r="AD54" s="1426">
        <f t="shared" si="69"/>
        <v>555.56799999999987</v>
      </c>
      <c r="AE54" s="1426">
        <f t="shared" si="69"/>
        <v>593.14199999999994</v>
      </c>
      <c r="AF54" s="1415">
        <f t="shared" si="69"/>
        <v>2065.9419999999996</v>
      </c>
      <c r="AG54" s="1427">
        <f t="shared" si="69"/>
        <v>626.28800000000001</v>
      </c>
      <c r="AH54" s="1426">
        <f t="shared" si="69"/>
        <v>672.34299999999996</v>
      </c>
      <c r="AI54" s="1426">
        <f t="shared" si="69"/>
        <v>733.77800000000002</v>
      </c>
      <c r="AJ54" s="1426">
        <f t="shared" si="69"/>
        <v>777.01900000000012</v>
      </c>
      <c r="AK54" s="1415">
        <f t="shared" si="69"/>
        <v>2809.4279999999999</v>
      </c>
      <c r="AL54" s="1427">
        <f t="shared" ref="AL54:AQ54" si="70">AL10+AL23</f>
        <v>828.99899999999991</v>
      </c>
      <c r="AM54" s="1426">
        <f t="shared" si="70"/>
        <v>866.41099999999994</v>
      </c>
      <c r="AN54" s="1426">
        <f t="shared" si="70"/>
        <v>941.78700000000003</v>
      </c>
      <c r="AO54" s="1426">
        <f t="shared" si="70"/>
        <v>990.298</v>
      </c>
      <c r="AP54" s="1415">
        <f t="shared" si="70"/>
        <v>3627.4950000000003</v>
      </c>
      <c r="AQ54" s="1427">
        <f t="shared" si="70"/>
        <v>1040.297</v>
      </c>
      <c r="AR54" s="1426">
        <f t="shared" ref="AR54:AS54" si="71">AR10+AR23</f>
        <v>1142.7850000000001</v>
      </c>
      <c r="AS54" s="1426">
        <f t="shared" si="71"/>
        <v>1212.2529999999999</v>
      </c>
      <c r="AT54" s="1426">
        <f t="shared" ref="AT54:BJ54" si="72">AT10+AT23</f>
        <v>1248.8030560010045</v>
      </c>
      <c r="AU54" s="1415">
        <f t="shared" si="72"/>
        <v>4644.1380560010048</v>
      </c>
      <c r="AV54" s="1427">
        <f t="shared" si="72"/>
        <v>1313.0109719722818</v>
      </c>
      <c r="AW54" s="1426">
        <f t="shared" si="72"/>
        <v>1415.0354199515693</v>
      </c>
      <c r="AX54" s="1426">
        <f t="shared" si="72"/>
        <v>1502.3143250154637</v>
      </c>
      <c r="AY54" s="1426">
        <f t="shared" si="72"/>
        <v>1549.2271503589259</v>
      </c>
      <c r="AZ54" s="1415">
        <f t="shared" si="72"/>
        <v>5779.5878672982399</v>
      </c>
      <c r="BA54" s="1427">
        <f t="shared" si="72"/>
        <v>1629.2553267969927</v>
      </c>
      <c r="BB54" s="1426">
        <f t="shared" si="72"/>
        <v>1760.8179210723133</v>
      </c>
      <c r="BC54" s="1426">
        <f t="shared" si="72"/>
        <v>1874.5413502166089</v>
      </c>
      <c r="BD54" s="1426">
        <f t="shared" si="72"/>
        <v>1913.7313599297675</v>
      </c>
      <c r="BE54" s="1415">
        <f t="shared" si="72"/>
        <v>7178.3459580156823</v>
      </c>
      <c r="BF54" s="1427">
        <f t="shared" si="72"/>
        <v>1996.5101842221654</v>
      </c>
      <c r="BG54" s="1426">
        <f t="shared" si="72"/>
        <v>2152.7279867089919</v>
      </c>
      <c r="BH54" s="1426">
        <f t="shared" si="72"/>
        <v>2332.7605630627686</v>
      </c>
      <c r="BI54" s="1426">
        <f t="shared" si="72"/>
        <v>2391.9908531909532</v>
      </c>
      <c r="BJ54" s="1415">
        <f t="shared" si="72"/>
        <v>8873.9895871848785</v>
      </c>
      <c r="BK54" s="1427">
        <f>BK10+BK23</f>
        <v>2482.3191606008099</v>
      </c>
      <c r="BL54" s="1426">
        <f>BL10+BL23</f>
        <v>2642.738930392944</v>
      </c>
      <c r="BM54" s="1426">
        <f>BM10+BM23</f>
        <v>2883.1165247796034</v>
      </c>
      <c r="BN54" s="1426">
        <f>BN10+BN23</f>
        <v>2925.8127729876887</v>
      </c>
      <c r="BO54" s="1415">
        <f>BO10+BO23</f>
        <v>10933.987388761047</v>
      </c>
    </row>
    <row r="55" spans="1:67" s="58" customFormat="1" outlineLevel="1">
      <c r="A55" s="107"/>
      <c r="B55" s="827" t="s">
        <v>32</v>
      </c>
      <c r="C55" s="611"/>
      <c r="D55" s="395"/>
      <c r="E55" s="395"/>
      <c r="F55" s="395"/>
      <c r="G55" s="828"/>
      <c r="H55" s="611" t="str">
        <f t="shared" ref="H55:AM55" si="73">IFERROR(H54/C54-1,"--")</f>
        <v>--</v>
      </c>
      <c r="I55" s="395" t="str">
        <f t="shared" si="73"/>
        <v>--</v>
      </c>
      <c r="J55" s="395" t="str">
        <f t="shared" si="73"/>
        <v>--</v>
      </c>
      <c r="K55" s="395" t="str">
        <f t="shared" si="73"/>
        <v>--</v>
      </c>
      <c r="L55" s="828" t="str">
        <f t="shared" si="73"/>
        <v>--</v>
      </c>
      <c r="M55" s="611">
        <f t="shared" si="73"/>
        <v>2.1442237476266972</v>
      </c>
      <c r="N55" s="395">
        <f t="shared" si="73"/>
        <v>2.3863430640416379</v>
      </c>
      <c r="O55" s="395">
        <f t="shared" si="73"/>
        <v>1.5885434858539993</v>
      </c>
      <c r="P55" s="395">
        <f t="shared" si="73"/>
        <v>1.2105170239596466</v>
      </c>
      <c r="Q55" s="828">
        <f t="shared" si="73"/>
        <v>1.6560060210737584</v>
      </c>
      <c r="R55" s="611">
        <f t="shared" si="73"/>
        <v>1.5171284576259381</v>
      </c>
      <c r="S55" s="395">
        <f t="shared" si="73"/>
        <v>1.2354611824849222</v>
      </c>
      <c r="T55" s="395">
        <f t="shared" si="73"/>
        <v>1.1584941303467824</v>
      </c>
      <c r="U55" s="395">
        <f t="shared" si="73"/>
        <v>1.181272604880943</v>
      </c>
      <c r="V55" s="828">
        <f t="shared" si="73"/>
        <v>1.2417869732611431</v>
      </c>
      <c r="W55" s="611">
        <f t="shared" si="73"/>
        <v>1.1071230854401182</v>
      </c>
      <c r="X55" s="395">
        <f t="shared" si="73"/>
        <v>1.0600263063493962</v>
      </c>
      <c r="Y55" s="395">
        <f t="shared" si="73"/>
        <v>1.0909005663703533</v>
      </c>
      <c r="Z55" s="395">
        <f t="shared" si="73"/>
        <v>1.0285487127449233</v>
      </c>
      <c r="AA55" s="828">
        <f t="shared" si="73"/>
        <v>1.0668103738859602</v>
      </c>
      <c r="AB55" s="611">
        <f t="shared" si="73"/>
        <v>0.84623637080176928</v>
      </c>
      <c r="AC55" s="395">
        <f t="shared" si="73"/>
        <v>0.79797060018574428</v>
      </c>
      <c r="AD55" s="395">
        <f t="shared" si="73"/>
        <v>0.66102495567654151</v>
      </c>
      <c r="AE55" s="395">
        <f t="shared" si="73"/>
        <v>0.52941813512384539</v>
      </c>
      <c r="AF55" s="828">
        <f t="shared" si="73"/>
        <v>0.68467756600476326</v>
      </c>
      <c r="AG55" s="611">
        <f t="shared" si="73"/>
        <v>0.48541476430477304</v>
      </c>
      <c r="AH55" s="395">
        <f t="shared" si="73"/>
        <v>0.35660513269586591</v>
      </c>
      <c r="AI55" s="395">
        <f t="shared" si="73"/>
        <v>0.32077081473375024</v>
      </c>
      <c r="AJ55" s="395">
        <f t="shared" si="73"/>
        <v>0.31000502409203889</v>
      </c>
      <c r="AK55" s="828">
        <f t="shared" si="73"/>
        <v>0.35987747961946681</v>
      </c>
      <c r="AL55" s="611">
        <f t="shared" si="73"/>
        <v>0.32367057966941704</v>
      </c>
      <c r="AM55" s="395">
        <f t="shared" si="73"/>
        <v>0.2886443377859218</v>
      </c>
      <c r="AN55" s="395">
        <f t="shared" ref="AN55:BJ55" si="74">IFERROR(AN54/AI54-1,"--")</f>
        <v>0.28347674637288112</v>
      </c>
      <c r="AO55" s="395">
        <f>IFERROR(AO54/AJ54-1,"--")</f>
        <v>0.27448363553529553</v>
      </c>
      <c r="AP55" s="828">
        <f>IFERROR(AP54/AK54-1,"--")</f>
        <v>0.29118631977754927</v>
      </c>
      <c r="AQ55" s="611">
        <f t="shared" ref="AQ55:AR55" si="75">IFERROR(AQ54/AL54-1,"--")</f>
        <v>0.2548832990148362</v>
      </c>
      <c r="AR55" s="395">
        <f t="shared" si="75"/>
        <v>0.3189871781406286</v>
      </c>
      <c r="AS55" s="395">
        <f t="shared" si="74"/>
        <v>0.28718383243769541</v>
      </c>
      <c r="AT55" s="395">
        <f t="shared" si="74"/>
        <v>0.26103764321548106</v>
      </c>
      <c r="AU55" s="828">
        <f t="shared" si="74"/>
        <v>0.28026036038671442</v>
      </c>
      <c r="AV55" s="611">
        <f t="shared" si="74"/>
        <v>0.26215010902875013</v>
      </c>
      <c r="AW55" s="395">
        <f t="shared" si="74"/>
        <v>0.23823415598871978</v>
      </c>
      <c r="AX55" s="395">
        <f t="shared" si="74"/>
        <v>0.23927457800926355</v>
      </c>
      <c r="AY55" s="395">
        <f t="shared" si="74"/>
        <v>0.24056963419032473</v>
      </c>
      <c r="AZ55" s="828">
        <f t="shared" si="74"/>
        <v>0.244490968529681</v>
      </c>
      <c r="BA55" s="611">
        <f t="shared" si="74"/>
        <v>0.24085431239746469</v>
      </c>
      <c r="BB55" s="395">
        <f t="shared" si="74"/>
        <v>0.2443631419011254</v>
      </c>
      <c r="BC55" s="395">
        <f t="shared" si="74"/>
        <v>0.24776907136082427</v>
      </c>
      <c r="BD55" s="395">
        <f t="shared" si="74"/>
        <v>0.23528132042250416</v>
      </c>
      <c r="BE55" s="828">
        <f t="shared" si="74"/>
        <v>0.24201692626421023</v>
      </c>
      <c r="BF55" s="611">
        <f t="shared" si="74"/>
        <v>0.22541270934321345</v>
      </c>
      <c r="BG55" s="395">
        <f t="shared" si="74"/>
        <v>0.22257273790012944</v>
      </c>
      <c r="BH55" s="395">
        <f t="shared" si="74"/>
        <v>0.24444337426496943</v>
      </c>
      <c r="BI55" s="395">
        <f t="shared" si="74"/>
        <v>0.24990941951159629</v>
      </c>
      <c r="BJ55" s="828">
        <f t="shared" si="74"/>
        <v>0.23621648205402535</v>
      </c>
      <c r="BK55" s="611">
        <f>IFERROR(BK54/BF54-1,"--")</f>
        <v>0.24332907501191348</v>
      </c>
      <c r="BL55" s="395">
        <f>IFERROR(BL54/BG54-1,"--")</f>
        <v>0.22762325138582051</v>
      </c>
      <c r="BM55" s="395">
        <f>IFERROR(BM54/BH54-1,"--")</f>
        <v>0.23592475388655054</v>
      </c>
      <c r="BN55" s="395">
        <f>IFERROR(BN54/BI54-1,"--")</f>
        <v>0.22317055229730864</v>
      </c>
      <c r="BO55" s="828">
        <f>IFERROR(BO54/BJ54-1,"--")</f>
        <v>0.23213885720026717</v>
      </c>
    </row>
    <row r="56" spans="1:67" s="58" customFormat="1" outlineLevel="1">
      <c r="A56" s="107"/>
      <c r="B56" s="827" t="s">
        <v>33</v>
      </c>
      <c r="C56" s="611"/>
      <c r="D56" s="395"/>
      <c r="E56" s="395"/>
      <c r="F56" s="395"/>
      <c r="G56" s="770"/>
      <c r="H56" s="611" t="str">
        <f>IFERROR(H54/F54-1,"--")</f>
        <v>--</v>
      </c>
      <c r="I56" s="436">
        <f>IFERROR(I54/H54-1,"--")</f>
        <v>0.29078428508835996</v>
      </c>
      <c r="J56" s="436">
        <f>IFERROR(J54/I54-1,"--")</f>
        <v>0.61971034170626815</v>
      </c>
      <c r="K56" s="436">
        <f>IFERROR(K54/J54-1,"--")</f>
        <v>0.38491093258819453</v>
      </c>
      <c r="L56" s="770"/>
      <c r="M56" s="611">
        <f>IFERROR(M54/K54-1,"--")</f>
        <v>8.592686002522032E-2</v>
      </c>
      <c r="N56" s="436">
        <f>IFERROR(N54/M54-1,"--")</f>
        <v>0.39018045846203875</v>
      </c>
      <c r="O56" s="436">
        <f>IFERROR(O54/N54-1,"--")</f>
        <v>0.23811751340695331</v>
      </c>
      <c r="P56" s="436">
        <f>IFERROR(P54/O54-1,"--")</f>
        <v>0.18266090945891245</v>
      </c>
      <c r="Q56" s="770"/>
      <c r="R56" s="611">
        <f>IFERROR(R54/P54-1,"--")</f>
        <v>0.23655116547058075</v>
      </c>
      <c r="S56" s="436">
        <f>IFERROR(S54/R54-1,"--")</f>
        <v>0.2346189333825428</v>
      </c>
      <c r="T56" s="436">
        <f>IFERROR(T54/S54-1,"--")</f>
        <v>0.19548905895013791</v>
      </c>
      <c r="U56" s="436">
        <f>IFERROR(U54/T54-1,"--")</f>
        <v>0.1951414675618568</v>
      </c>
      <c r="V56" s="770"/>
      <c r="W56" s="611">
        <f>IFERROR(W54/U54-1,"--")</f>
        <v>0.19451622014624803</v>
      </c>
      <c r="X56" s="436">
        <f>IFERROR(X54/W54-1,"--")</f>
        <v>0.20702368962648321</v>
      </c>
      <c r="Y56" s="436">
        <f>IFERROR(Y54/X54-1,"--")</f>
        <v>0.21340622823310906</v>
      </c>
      <c r="Z56" s="436">
        <f>IFERROR(Z54/Y54-1,"--")</f>
        <v>0.15950166381142861</v>
      </c>
      <c r="AA56" s="770"/>
      <c r="AB56" s="611">
        <f>IFERROR(AB54/Z54-1,"--")</f>
        <v>8.7161120307770235E-2</v>
      </c>
      <c r="AC56" s="436">
        <f>IFERROR(AC54/AB54-1,"--")</f>
        <v>0.17546872220575138</v>
      </c>
      <c r="AD56" s="436">
        <f>IFERROR(AD54/AC54-1,"--")</f>
        <v>0.1209849739814004</v>
      </c>
      <c r="AE56" s="436">
        <f>IFERROR(AE54/AD54-1,"--")</f>
        <v>6.7631685050254964E-2</v>
      </c>
      <c r="AF56" s="770"/>
      <c r="AG56" s="611">
        <f>IFERROR(AG54/AE54-1,"--")</f>
        <v>5.5882065340171705E-2</v>
      </c>
      <c r="AH56" s="436">
        <f>IFERROR(AH54/AG54-1,"--")</f>
        <v>7.3536456071328082E-2</v>
      </c>
      <c r="AI56" s="436">
        <f>IFERROR(AI54/AH54-1,"--")</f>
        <v>9.1374491888812859E-2</v>
      </c>
      <c r="AJ56" s="436">
        <f>IFERROR(AJ54/AI54-1,"--")</f>
        <v>5.8929267435109844E-2</v>
      </c>
      <c r="AK56" s="770"/>
      <c r="AL56" s="611">
        <f>IFERROR(AL54/AJ54-1,"--")</f>
        <v>6.6896691071903991E-2</v>
      </c>
      <c r="AM56" s="436">
        <f>IFERROR(AM54/AL54-1,"--")</f>
        <v>4.5129125608112997E-2</v>
      </c>
      <c r="AN56" s="436">
        <f>IFERROR(AN54/AM54-1,"--")</f>
        <v>8.6997972094075449E-2</v>
      </c>
      <c r="AO56" s="436">
        <f>IFERROR(AO54/AN54-1,"--")</f>
        <v>5.1509523915704847E-2</v>
      </c>
      <c r="AP56" s="770"/>
      <c r="AQ56" s="611">
        <f>IFERROR(AQ54/AO54-1,"--")</f>
        <v>5.0488842752383745E-2</v>
      </c>
      <c r="AR56" s="436">
        <f>IFERROR(AR54/AQ54-1,"--")</f>
        <v>9.8518019373313725E-2</v>
      </c>
      <c r="AS56" s="436">
        <f>IFERROR(AS54/AR54-1,"--")</f>
        <v>6.0788337263789627E-2</v>
      </c>
      <c r="AT56" s="436">
        <f>IFERROR(AT54/AS54-1,"--")</f>
        <v>3.0150518085749978E-2</v>
      </c>
      <c r="AU56" s="770"/>
      <c r="AV56" s="611">
        <f>IFERROR(AV54/AT54-1,"--")</f>
        <v>5.1415566019583636E-2</v>
      </c>
      <c r="AW56" s="436">
        <f>IFERROR(AW54/AV54-1,"--")</f>
        <v>7.7702662168950498E-2</v>
      </c>
      <c r="AX56" s="436">
        <f>IFERROR(AX54/AW54-1,"--")</f>
        <v>6.1679661041192491E-2</v>
      </c>
      <c r="AY56" s="436">
        <f>IFERROR(AY54/AX54-1,"--")</f>
        <v>3.1227037220043385E-2</v>
      </c>
      <c r="AZ56" s="770"/>
      <c r="BA56" s="611">
        <f>IFERROR(BA54/AY54-1,"--")</f>
        <v>5.1656838327114096E-2</v>
      </c>
      <c r="BB56" s="436">
        <f>IFERROR(BB54/BA54-1,"--")</f>
        <v>8.0750139104325713E-2</v>
      </c>
      <c r="BC56" s="436">
        <f>IFERROR(BC54/BB54-1,"--")</f>
        <v>6.4585570025911254E-2</v>
      </c>
      <c r="BD56" s="436">
        <f>IFERROR(BD54/BC54-1,"--")</f>
        <v>2.0906452508305584E-2</v>
      </c>
      <c r="BE56" s="770"/>
      <c r="BF56" s="611">
        <f>IFERROR(BF54/BD54-1,"--")</f>
        <v>4.3255195596228146E-2</v>
      </c>
      <c r="BG56" s="436">
        <f>IFERROR(BG54/BF54-1,"--")</f>
        <v>7.8245432315532382E-2</v>
      </c>
      <c r="BH56" s="436">
        <f>IFERROR(BH54/BG54-1,"--")</f>
        <v>8.3629969724602127E-2</v>
      </c>
      <c r="BI56" s="436">
        <f>IFERROR(BI54/BH54-1,"--")</f>
        <v>2.5390642771506267E-2</v>
      </c>
      <c r="BJ56" s="770"/>
      <c r="BK56" s="611">
        <f>IFERROR(BK54/BI54-1,"--")</f>
        <v>3.7762814723709015E-2</v>
      </c>
      <c r="BL56" s="436">
        <f>IFERROR(BL54/BK54-1,"--")</f>
        <v>6.4624957313428988E-2</v>
      </c>
      <c r="BM56" s="436">
        <f>IFERROR(BM54/BL54-1,"--")</f>
        <v>9.0957752815529869E-2</v>
      </c>
      <c r="BN56" s="436">
        <f>IFERROR(BN54/BM54-1,"--")</f>
        <v>1.4809060903755666E-2</v>
      </c>
      <c r="BO56" s="770"/>
    </row>
    <row r="57" spans="1:67" s="853" customFormat="1">
      <c r="A57" s="849"/>
      <c r="B57" s="644"/>
      <c r="C57" s="850"/>
      <c r="D57" s="851"/>
      <c r="E57" s="851"/>
      <c r="F57" s="851"/>
      <c r="G57" s="852"/>
      <c r="H57" s="850"/>
      <c r="I57" s="851"/>
      <c r="J57" s="851"/>
      <c r="K57" s="851"/>
      <c r="L57" s="852"/>
      <c r="M57" s="850"/>
      <c r="N57" s="851"/>
      <c r="O57" s="851"/>
      <c r="P57" s="851"/>
      <c r="Q57" s="852"/>
      <c r="R57" s="850"/>
      <c r="S57" s="851"/>
      <c r="T57" s="851"/>
      <c r="U57" s="851"/>
      <c r="V57" s="852"/>
      <c r="W57" s="850"/>
      <c r="X57" s="851"/>
      <c r="Y57" s="851"/>
      <c r="Z57" s="851"/>
      <c r="AA57" s="852"/>
      <c r="AB57" s="850"/>
      <c r="AC57" s="851"/>
      <c r="AD57" s="851"/>
      <c r="AE57" s="851"/>
      <c r="AF57" s="852"/>
      <c r="AG57" s="850"/>
      <c r="AH57" s="851"/>
      <c r="AI57" s="851"/>
      <c r="AJ57" s="851"/>
      <c r="AK57" s="852"/>
      <c r="AL57" s="850"/>
      <c r="AM57" s="851"/>
      <c r="AN57" s="851"/>
      <c r="AO57" s="851"/>
      <c r="AP57" s="852"/>
      <c r="AQ57" s="850"/>
      <c r="AR57" s="851"/>
      <c r="AS57" s="851"/>
      <c r="AT57" s="851"/>
      <c r="AU57" s="852"/>
      <c r="AV57" s="850"/>
      <c r="AW57" s="851"/>
      <c r="AX57" s="851"/>
      <c r="AY57" s="851"/>
      <c r="AZ57" s="852"/>
      <c r="BA57" s="850"/>
      <c r="BB57" s="851"/>
      <c r="BC57" s="851"/>
      <c r="BD57" s="851"/>
      <c r="BE57" s="852"/>
      <c r="BF57" s="850"/>
      <c r="BG57" s="851"/>
      <c r="BH57" s="851"/>
      <c r="BI57" s="851"/>
      <c r="BJ57" s="852"/>
      <c r="BK57" s="850"/>
      <c r="BL57" s="851"/>
      <c r="BM57" s="851"/>
      <c r="BN57" s="851"/>
      <c r="BO57" s="852"/>
    </row>
    <row r="58" spans="1:67" s="58" customFormat="1">
      <c r="A58" s="107"/>
      <c r="B58" s="59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68"/>
      <c r="P58" s="568"/>
      <c r="Q58" s="568"/>
      <c r="R58" s="568"/>
      <c r="S58" s="568"/>
      <c r="T58" s="568"/>
      <c r="U58" s="568"/>
      <c r="V58" s="568"/>
      <c r="W58" s="568"/>
      <c r="X58" s="568"/>
      <c r="Y58" s="568"/>
      <c r="Z58" s="568"/>
      <c r="AA58" s="568"/>
      <c r="AB58" s="568"/>
      <c r="AC58" s="568"/>
      <c r="AD58" s="568"/>
      <c r="AE58" s="568"/>
      <c r="AF58" s="568"/>
      <c r="AG58" s="568"/>
      <c r="AH58" s="568"/>
      <c r="AI58" s="568"/>
      <c r="AJ58" s="568"/>
      <c r="AK58" s="568"/>
      <c r="AL58" s="568"/>
      <c r="AM58" s="568"/>
      <c r="AN58" s="568"/>
      <c r="AO58" s="568"/>
      <c r="AP58" s="568"/>
      <c r="AQ58" s="568"/>
      <c r="AR58" s="568"/>
      <c r="AS58" s="568"/>
      <c r="AT58" s="568"/>
      <c r="AU58" s="568"/>
      <c r="AV58" s="568"/>
      <c r="AW58" s="568"/>
      <c r="AX58" s="568"/>
      <c r="AY58" s="568"/>
      <c r="AZ58" s="568"/>
      <c r="BA58" s="568"/>
      <c r="BB58" s="568"/>
      <c r="BC58" s="568"/>
      <c r="BD58" s="568"/>
      <c r="BE58" s="568"/>
      <c r="BF58" s="568"/>
      <c r="BG58" s="568"/>
      <c r="BH58" s="568"/>
      <c r="BI58" s="568"/>
      <c r="BJ58" s="568"/>
      <c r="BK58" s="568"/>
      <c r="BL58" s="568"/>
      <c r="BM58" s="568"/>
      <c r="BN58" s="568"/>
      <c r="BO58" s="568"/>
    </row>
    <row r="59" spans="1:67" s="92" customFormat="1">
      <c r="A59" s="575"/>
      <c r="C59" s="854"/>
      <c r="D59" s="854"/>
      <c r="E59" s="854"/>
      <c r="F59" s="854"/>
      <c r="G59" s="854"/>
      <c r="H59" s="854"/>
      <c r="I59" s="854"/>
      <c r="J59" s="854"/>
      <c r="K59" s="854"/>
      <c r="L59" s="854"/>
      <c r="M59" s="854"/>
      <c r="N59" s="854"/>
      <c r="O59" s="854"/>
      <c r="P59" s="854"/>
      <c r="Q59" s="854"/>
      <c r="R59" s="854"/>
      <c r="S59" s="854"/>
      <c r="T59" s="854"/>
      <c r="U59" s="854"/>
      <c r="V59" s="854"/>
      <c r="W59" s="854"/>
      <c r="X59" s="854"/>
      <c r="Y59" s="854"/>
      <c r="Z59" s="854"/>
      <c r="AA59" s="854"/>
      <c r="AB59" s="854"/>
      <c r="AC59" s="854"/>
      <c r="AD59" s="854"/>
      <c r="AE59" s="854"/>
      <c r="AF59" s="854"/>
      <c r="AG59" s="854"/>
      <c r="AH59" s="854"/>
      <c r="AI59" s="854"/>
      <c r="AJ59" s="854"/>
      <c r="AK59" s="854"/>
      <c r="AL59" s="854"/>
      <c r="AM59" s="854"/>
      <c r="AN59" s="854"/>
      <c r="AO59" s="854"/>
      <c r="AP59" s="854"/>
      <c r="AQ59" s="854"/>
      <c r="AR59" s="854"/>
      <c r="AS59" s="854"/>
      <c r="AT59" s="854"/>
      <c r="AU59" s="854"/>
      <c r="AV59" s="854"/>
      <c r="AW59" s="854"/>
      <c r="AX59" s="854"/>
      <c r="AY59" s="854"/>
      <c r="AZ59" s="854"/>
      <c r="BA59" s="854"/>
      <c r="BB59" s="854"/>
      <c r="BC59" s="854"/>
      <c r="BD59" s="854"/>
      <c r="BE59" s="854"/>
      <c r="BF59" s="854"/>
      <c r="BG59" s="854"/>
      <c r="BH59" s="854"/>
      <c r="BI59" s="854"/>
      <c r="BJ59" s="854"/>
      <c r="BK59" s="854"/>
      <c r="BL59" s="854"/>
      <c r="BM59" s="854"/>
      <c r="BN59" s="854"/>
      <c r="BO59" s="854"/>
    </row>
    <row r="60" spans="1:67" s="857" customFormat="1">
      <c r="A60" s="855"/>
      <c r="B60" s="621"/>
      <c r="C60" s="394"/>
      <c r="D60" s="395"/>
      <c r="E60" s="395"/>
      <c r="F60" s="395"/>
      <c r="G60" s="856"/>
      <c r="H60" s="394"/>
      <c r="I60" s="395"/>
      <c r="J60" s="395"/>
      <c r="K60" s="395"/>
      <c r="L60" s="856"/>
      <c r="M60" s="394"/>
      <c r="N60" s="395"/>
      <c r="O60" s="395"/>
      <c r="P60" s="395"/>
      <c r="Q60" s="856"/>
      <c r="R60" s="394"/>
      <c r="S60" s="395"/>
      <c r="T60" s="395"/>
      <c r="U60" s="395"/>
      <c r="V60" s="856"/>
      <c r="W60" s="394"/>
      <c r="X60" s="395"/>
      <c r="Y60" s="395"/>
      <c r="Z60" s="395"/>
      <c r="AA60" s="856"/>
      <c r="AB60" s="394"/>
      <c r="AC60" s="395"/>
      <c r="AD60" s="395"/>
      <c r="AE60" s="395"/>
      <c r="AF60" s="856"/>
      <c r="AG60" s="394"/>
      <c r="AH60" s="395"/>
      <c r="AI60" s="395"/>
      <c r="AJ60" s="395"/>
      <c r="AK60" s="856"/>
      <c r="AL60" s="394"/>
      <c r="AM60" s="395"/>
      <c r="AN60" s="395"/>
      <c r="AO60" s="395"/>
      <c r="AP60" s="856"/>
      <c r="AQ60" s="394"/>
      <c r="AR60" s="395"/>
      <c r="AS60" s="395"/>
      <c r="AT60" s="395"/>
      <c r="AU60" s="856"/>
      <c r="AV60" s="394"/>
      <c r="AW60" s="395"/>
      <c r="AX60" s="395"/>
      <c r="AY60" s="395"/>
      <c r="AZ60" s="856"/>
      <c r="BA60" s="394"/>
      <c r="BB60" s="395"/>
      <c r="BC60" s="395"/>
      <c r="BD60" s="395"/>
      <c r="BE60" s="856"/>
      <c r="BF60" s="394"/>
      <c r="BG60" s="395"/>
      <c r="BH60" s="395"/>
      <c r="BI60" s="395"/>
      <c r="BJ60" s="856"/>
      <c r="BK60" s="394"/>
      <c r="BL60" s="395"/>
      <c r="BM60" s="395"/>
      <c r="BN60" s="395"/>
      <c r="BO60" s="856"/>
    </row>
    <row r="61" spans="1:67" s="860" customFormat="1">
      <c r="A61" s="400"/>
      <c r="B61" s="401"/>
      <c r="C61" s="858"/>
      <c r="D61" s="859"/>
      <c r="E61" s="859"/>
      <c r="F61" s="859"/>
      <c r="G61" s="402"/>
      <c r="H61" s="858"/>
      <c r="I61" s="859"/>
      <c r="J61" s="859"/>
      <c r="K61" s="859"/>
      <c r="L61" s="402"/>
      <c r="M61" s="858"/>
      <c r="N61" s="859"/>
      <c r="O61" s="859"/>
      <c r="P61" s="859"/>
      <c r="Q61" s="402"/>
      <c r="R61" s="858"/>
      <c r="S61" s="859"/>
      <c r="T61" s="859"/>
      <c r="U61" s="859"/>
      <c r="V61" s="402"/>
      <c r="W61" s="858"/>
      <c r="X61" s="859"/>
      <c r="Y61" s="859"/>
      <c r="Z61" s="859"/>
      <c r="AA61" s="402"/>
      <c r="AB61" s="858"/>
      <c r="AC61" s="859"/>
      <c r="AD61" s="859"/>
      <c r="AE61" s="859"/>
      <c r="AF61" s="402"/>
      <c r="AG61" s="858"/>
      <c r="AH61" s="859"/>
      <c r="AI61" s="859"/>
      <c r="AJ61" s="859"/>
      <c r="AK61" s="402"/>
      <c r="AL61" s="858"/>
      <c r="AM61" s="859"/>
      <c r="AN61" s="859"/>
      <c r="AO61" s="859"/>
      <c r="AP61" s="402"/>
      <c r="AQ61" s="858"/>
      <c r="AR61" s="859"/>
      <c r="AS61" s="859"/>
      <c r="AT61" s="859"/>
      <c r="AU61" s="402"/>
      <c r="AV61" s="858"/>
      <c r="AW61" s="859"/>
      <c r="AX61" s="859"/>
      <c r="AY61" s="859"/>
      <c r="AZ61" s="402"/>
      <c r="BA61" s="858"/>
      <c r="BB61" s="859"/>
      <c r="BC61" s="859"/>
      <c r="BD61" s="859"/>
      <c r="BE61" s="402"/>
      <c r="BF61" s="858"/>
      <c r="BG61" s="859"/>
      <c r="BH61" s="859"/>
      <c r="BI61" s="859"/>
      <c r="BJ61" s="402"/>
      <c r="BK61" s="858"/>
      <c r="BL61" s="859"/>
      <c r="BM61" s="859"/>
      <c r="BN61" s="859"/>
      <c r="BO61" s="402"/>
    </row>
    <row r="62" spans="1:67" s="865" customFormat="1">
      <c r="A62" s="386"/>
      <c r="B62" s="861"/>
      <c r="C62" s="862"/>
      <c r="D62" s="863"/>
      <c r="E62" s="863"/>
      <c r="F62" s="863"/>
      <c r="G62" s="864"/>
      <c r="H62" s="862"/>
      <c r="I62" s="863"/>
      <c r="J62" s="863"/>
      <c r="K62" s="863"/>
      <c r="L62" s="864"/>
      <c r="M62" s="862"/>
      <c r="N62" s="863"/>
      <c r="O62" s="863"/>
      <c r="P62" s="863"/>
      <c r="Q62" s="864"/>
      <c r="R62" s="862"/>
      <c r="S62" s="863"/>
      <c r="T62" s="863"/>
      <c r="U62" s="863"/>
      <c r="V62" s="864"/>
      <c r="W62" s="862"/>
      <c r="X62" s="863"/>
      <c r="Y62" s="863"/>
      <c r="Z62" s="863"/>
      <c r="AA62" s="864"/>
      <c r="AB62" s="862"/>
      <c r="AC62" s="863"/>
      <c r="AD62" s="863"/>
      <c r="AE62" s="863"/>
      <c r="AF62" s="864"/>
      <c r="AG62" s="862"/>
      <c r="AH62" s="863"/>
      <c r="AI62" s="863"/>
      <c r="AJ62" s="863"/>
      <c r="AK62" s="864"/>
      <c r="AL62" s="862"/>
      <c r="AM62" s="863"/>
      <c r="AN62" s="863"/>
      <c r="AO62" s="863"/>
      <c r="AP62" s="864"/>
      <c r="AQ62" s="862"/>
      <c r="AR62" s="863"/>
      <c r="AS62" s="863"/>
      <c r="AT62" s="863"/>
      <c r="AU62" s="864"/>
      <c r="AV62" s="862"/>
      <c r="AW62" s="863"/>
      <c r="AX62" s="863"/>
      <c r="AY62" s="863"/>
      <c r="AZ62" s="864"/>
      <c r="BA62" s="862"/>
      <c r="BB62" s="863"/>
      <c r="BC62" s="863"/>
      <c r="BD62" s="863"/>
      <c r="BE62" s="864"/>
      <c r="BF62" s="862"/>
      <c r="BG62" s="863"/>
      <c r="BH62" s="863"/>
      <c r="BI62" s="863"/>
      <c r="BJ62" s="864"/>
      <c r="BK62" s="862"/>
      <c r="BL62" s="863"/>
      <c r="BM62" s="863"/>
      <c r="BN62" s="863"/>
      <c r="BO62" s="864"/>
    </row>
    <row r="63" spans="1:67" s="868" customFormat="1">
      <c r="A63" s="855"/>
      <c r="B63" s="866"/>
      <c r="C63" s="383"/>
      <c r="D63" s="384"/>
      <c r="E63" s="384"/>
      <c r="F63" s="384"/>
      <c r="G63" s="867"/>
      <c r="H63" s="383"/>
      <c r="I63" s="384"/>
      <c r="J63" s="384"/>
      <c r="K63" s="384"/>
      <c r="L63" s="867"/>
      <c r="M63" s="383"/>
      <c r="N63" s="384"/>
      <c r="O63" s="384"/>
      <c r="P63" s="384"/>
      <c r="Q63" s="867"/>
      <c r="R63" s="383"/>
      <c r="S63" s="384"/>
      <c r="T63" s="384"/>
      <c r="U63" s="384"/>
      <c r="V63" s="867"/>
      <c r="W63" s="383"/>
      <c r="X63" s="384"/>
      <c r="Y63" s="384"/>
      <c r="Z63" s="384"/>
      <c r="AA63" s="867"/>
      <c r="AB63" s="383"/>
      <c r="AC63" s="384"/>
      <c r="AD63" s="384"/>
      <c r="AE63" s="384"/>
      <c r="AF63" s="867"/>
      <c r="AG63" s="383"/>
      <c r="AH63" s="384"/>
      <c r="AI63" s="384"/>
      <c r="AJ63" s="384"/>
      <c r="AK63" s="867"/>
      <c r="AL63" s="383"/>
      <c r="AM63" s="384"/>
      <c r="AN63" s="384"/>
      <c r="AO63" s="384"/>
      <c r="AP63" s="867"/>
      <c r="AQ63" s="383"/>
      <c r="AR63" s="384"/>
      <c r="AS63" s="384"/>
      <c r="AT63" s="384"/>
      <c r="AU63" s="867"/>
      <c r="AV63" s="383"/>
      <c r="AW63" s="384"/>
      <c r="AX63" s="384"/>
      <c r="AY63" s="384"/>
      <c r="AZ63" s="867"/>
      <c r="BA63" s="383"/>
      <c r="BB63" s="384"/>
      <c r="BC63" s="384"/>
      <c r="BD63" s="384"/>
      <c r="BE63" s="867"/>
      <c r="BF63" s="383"/>
      <c r="BG63" s="384"/>
      <c r="BH63" s="384"/>
      <c r="BI63" s="384"/>
      <c r="BJ63" s="867"/>
      <c r="BK63" s="383"/>
      <c r="BL63" s="384"/>
      <c r="BM63" s="384"/>
      <c r="BN63" s="384"/>
      <c r="BO63" s="867"/>
    </row>
    <row r="64" spans="1:67" s="650" customFormat="1">
      <c r="A64" s="107"/>
      <c r="B64" s="58"/>
      <c r="C64" s="536"/>
      <c r="D64" s="537"/>
      <c r="E64" s="537"/>
      <c r="F64" s="537"/>
      <c r="G64" s="58"/>
      <c r="H64" s="536"/>
      <c r="I64" s="537"/>
      <c r="J64" s="537"/>
      <c r="K64" s="537"/>
      <c r="L64" s="58"/>
      <c r="M64" s="536"/>
      <c r="N64" s="537"/>
      <c r="O64" s="537"/>
      <c r="P64" s="537"/>
      <c r="Q64" s="58"/>
      <c r="R64" s="536"/>
      <c r="S64" s="537"/>
      <c r="T64" s="537"/>
      <c r="U64" s="537"/>
      <c r="V64" s="58"/>
      <c r="W64" s="536"/>
      <c r="X64" s="537"/>
      <c r="Y64" s="537"/>
      <c r="Z64" s="537"/>
      <c r="AA64" s="58"/>
      <c r="AB64" s="536"/>
      <c r="AC64" s="537"/>
      <c r="AD64" s="537"/>
      <c r="AE64" s="537"/>
      <c r="AF64" s="58"/>
      <c r="AG64" s="536"/>
      <c r="AH64" s="537"/>
      <c r="AI64" s="537"/>
      <c r="AJ64" s="537"/>
      <c r="AK64" s="58"/>
      <c r="AL64" s="536"/>
      <c r="AM64" s="537"/>
      <c r="AN64" s="537"/>
      <c r="AO64" s="537"/>
      <c r="AP64" s="58"/>
      <c r="AQ64" s="536"/>
      <c r="AR64" s="537"/>
      <c r="AS64" s="537"/>
      <c r="AT64" s="537"/>
      <c r="AU64" s="58"/>
      <c r="AV64" s="536"/>
      <c r="AW64" s="537"/>
      <c r="AX64" s="537"/>
      <c r="AY64" s="537"/>
      <c r="AZ64" s="58"/>
      <c r="BA64" s="536"/>
      <c r="BB64" s="537"/>
      <c r="BC64" s="537"/>
      <c r="BD64" s="537"/>
      <c r="BE64" s="58"/>
      <c r="BF64" s="536"/>
      <c r="BG64" s="537"/>
      <c r="BH64" s="537"/>
      <c r="BI64" s="537"/>
      <c r="BJ64" s="58"/>
      <c r="BK64" s="536"/>
      <c r="BL64" s="537"/>
      <c r="BM64" s="537"/>
      <c r="BN64" s="537"/>
      <c r="BO64" s="58"/>
    </row>
    <row r="65" spans="1:67" s="650" customFormat="1">
      <c r="A65" s="107"/>
      <c r="B65" s="58"/>
      <c r="C65" s="362"/>
      <c r="D65" s="466"/>
      <c r="E65" s="466"/>
      <c r="F65" s="466"/>
      <c r="G65" s="58"/>
      <c r="H65" s="362"/>
      <c r="I65" s="466"/>
      <c r="J65" s="466"/>
      <c r="K65" s="466"/>
      <c r="L65" s="58"/>
      <c r="M65" s="362"/>
      <c r="N65" s="466"/>
      <c r="O65" s="466"/>
      <c r="P65" s="466"/>
      <c r="Q65" s="58"/>
      <c r="R65" s="362"/>
      <c r="S65" s="466"/>
      <c r="T65" s="466"/>
      <c r="U65" s="466"/>
      <c r="V65" s="58"/>
      <c r="W65" s="362"/>
      <c r="X65" s="466"/>
      <c r="Y65" s="466"/>
      <c r="Z65" s="466"/>
      <c r="AA65" s="58"/>
      <c r="AB65" s="362"/>
      <c r="AC65" s="466"/>
      <c r="AD65" s="466"/>
      <c r="AE65" s="466"/>
      <c r="AF65" s="58"/>
      <c r="AG65" s="362"/>
      <c r="AH65" s="466"/>
      <c r="AI65" s="466"/>
      <c r="AJ65" s="466"/>
      <c r="AK65" s="58"/>
      <c r="AL65" s="362"/>
      <c r="AM65" s="466"/>
      <c r="AN65" s="466"/>
      <c r="AO65" s="466"/>
      <c r="AP65" s="58"/>
      <c r="AQ65" s="362"/>
      <c r="AR65" s="466"/>
      <c r="AS65" s="466"/>
      <c r="AT65" s="466"/>
      <c r="AU65" s="58"/>
      <c r="AV65" s="362"/>
      <c r="AW65" s="466"/>
      <c r="AX65" s="466"/>
      <c r="AY65" s="466"/>
      <c r="AZ65" s="58"/>
      <c r="BA65" s="362"/>
      <c r="BB65" s="466"/>
      <c r="BC65" s="466"/>
      <c r="BD65" s="466"/>
      <c r="BE65" s="58"/>
      <c r="BF65" s="362"/>
      <c r="BG65" s="466"/>
      <c r="BH65" s="466"/>
      <c r="BI65" s="466"/>
      <c r="BJ65" s="58"/>
      <c r="BK65" s="362"/>
      <c r="BL65" s="466"/>
      <c r="BM65" s="466"/>
      <c r="BN65" s="466"/>
      <c r="BO65" s="58"/>
    </row>
    <row r="66" spans="1:67" s="650" customFormat="1">
      <c r="A66" s="107"/>
      <c r="B66" s="58"/>
      <c r="C66" s="383"/>
      <c r="D66" s="384"/>
      <c r="E66" s="384"/>
      <c r="F66" s="384"/>
      <c r="G66" s="867"/>
      <c r="H66" s="383"/>
      <c r="I66" s="384"/>
      <c r="J66" s="384"/>
      <c r="K66" s="384"/>
      <c r="L66" s="867"/>
      <c r="M66" s="383"/>
      <c r="N66" s="384"/>
      <c r="O66" s="384"/>
      <c r="P66" s="384"/>
      <c r="Q66" s="867"/>
      <c r="R66" s="383"/>
      <c r="S66" s="384"/>
      <c r="T66" s="384"/>
      <c r="U66" s="384"/>
      <c r="V66" s="867"/>
      <c r="W66" s="383"/>
      <c r="X66" s="384"/>
      <c r="Y66" s="384"/>
      <c r="Z66" s="384"/>
      <c r="AA66" s="867"/>
      <c r="AB66" s="383"/>
      <c r="AC66" s="384"/>
      <c r="AD66" s="384"/>
      <c r="AE66" s="384"/>
      <c r="AF66" s="867"/>
      <c r="AG66" s="383"/>
      <c r="AH66" s="384"/>
      <c r="AI66" s="384"/>
      <c r="AJ66" s="384"/>
      <c r="AK66" s="867"/>
      <c r="AL66" s="383"/>
      <c r="AM66" s="384"/>
      <c r="AN66" s="384"/>
      <c r="AO66" s="384"/>
      <c r="AP66" s="867"/>
      <c r="AQ66" s="383"/>
      <c r="AR66" s="384"/>
      <c r="AS66" s="384"/>
      <c r="AT66" s="384"/>
      <c r="AU66" s="867"/>
      <c r="AV66" s="383"/>
      <c r="AW66" s="384"/>
      <c r="AX66" s="384"/>
      <c r="AY66" s="384"/>
      <c r="AZ66" s="867"/>
      <c r="BA66" s="383"/>
      <c r="BB66" s="384"/>
      <c r="BC66" s="384"/>
      <c r="BD66" s="384"/>
      <c r="BE66" s="867"/>
      <c r="BF66" s="383"/>
      <c r="BG66" s="384"/>
      <c r="BH66" s="384"/>
      <c r="BI66" s="384"/>
      <c r="BJ66" s="867"/>
      <c r="BK66" s="383"/>
      <c r="BL66" s="384"/>
      <c r="BM66" s="384"/>
      <c r="BN66" s="384"/>
      <c r="BO66" s="867"/>
    </row>
    <row r="67" spans="1:67" s="868" customFormat="1">
      <c r="A67" s="855"/>
      <c r="B67" s="58"/>
      <c r="C67" s="383"/>
      <c r="D67" s="384"/>
      <c r="E67" s="384"/>
      <c r="F67" s="384"/>
      <c r="G67" s="867"/>
      <c r="H67" s="383"/>
      <c r="I67" s="384"/>
      <c r="J67" s="384"/>
      <c r="K67" s="384"/>
      <c r="L67" s="867"/>
      <c r="M67" s="383"/>
      <c r="N67" s="384"/>
      <c r="O67" s="384"/>
      <c r="P67" s="384"/>
      <c r="Q67" s="867"/>
      <c r="R67" s="383"/>
      <c r="S67" s="384"/>
      <c r="T67" s="384"/>
      <c r="U67" s="384"/>
      <c r="V67" s="867"/>
      <c r="W67" s="383"/>
      <c r="X67" s="384"/>
      <c r="Y67" s="384"/>
      <c r="Z67" s="384"/>
      <c r="AA67" s="867"/>
      <c r="AB67" s="383"/>
      <c r="AC67" s="384"/>
      <c r="AD67" s="384"/>
      <c r="AE67" s="384"/>
      <c r="AF67" s="867"/>
      <c r="AG67" s="383"/>
      <c r="AH67" s="384"/>
      <c r="AI67" s="384"/>
      <c r="AJ67" s="384"/>
      <c r="AK67" s="867"/>
      <c r="AL67" s="383"/>
      <c r="AM67" s="384"/>
      <c r="AN67" s="384"/>
      <c r="AO67" s="384"/>
      <c r="AP67" s="867"/>
      <c r="AQ67" s="383"/>
      <c r="AR67" s="384"/>
      <c r="AS67" s="384"/>
      <c r="AT67" s="384"/>
      <c r="AU67" s="867"/>
      <c r="AV67" s="383"/>
      <c r="AW67" s="384"/>
      <c r="AX67" s="384"/>
      <c r="AY67" s="384"/>
      <c r="AZ67" s="867"/>
      <c r="BA67" s="383"/>
      <c r="BB67" s="384"/>
      <c r="BC67" s="384"/>
      <c r="BD67" s="384"/>
      <c r="BE67" s="867"/>
      <c r="BF67" s="383"/>
      <c r="BG67" s="384"/>
      <c r="BH67" s="384"/>
      <c r="BI67" s="384"/>
      <c r="BJ67" s="867"/>
      <c r="BK67" s="383"/>
      <c r="BL67" s="384"/>
      <c r="BM67" s="384"/>
      <c r="BN67" s="384"/>
      <c r="BO67" s="867"/>
    </row>
    <row r="68" spans="1:67" s="650" customFormat="1">
      <c r="A68" s="107"/>
      <c r="B68" s="58"/>
      <c r="C68" s="536"/>
      <c r="D68" s="537"/>
      <c r="E68" s="537"/>
      <c r="F68" s="537"/>
      <c r="G68" s="58"/>
      <c r="H68" s="536"/>
      <c r="I68" s="537"/>
      <c r="J68" s="537"/>
      <c r="K68" s="537"/>
      <c r="L68" s="58"/>
      <c r="M68" s="536"/>
      <c r="N68" s="537"/>
      <c r="O68" s="537"/>
      <c r="P68" s="537"/>
      <c r="Q68" s="58"/>
      <c r="R68" s="536"/>
      <c r="S68" s="537"/>
      <c r="T68" s="537"/>
      <c r="U68" s="537"/>
      <c r="V68" s="58"/>
      <c r="W68" s="536"/>
      <c r="X68" s="537"/>
      <c r="Y68" s="537"/>
      <c r="Z68" s="537"/>
      <c r="AA68" s="58"/>
      <c r="AB68" s="536"/>
      <c r="AC68" s="537"/>
      <c r="AD68" s="537"/>
      <c r="AE68" s="537"/>
      <c r="AF68" s="58"/>
      <c r="AG68" s="536"/>
      <c r="AH68" s="537"/>
      <c r="AI68" s="537"/>
      <c r="AJ68" s="537"/>
      <c r="AK68" s="58"/>
      <c r="AL68" s="536"/>
      <c r="AM68" s="537"/>
      <c r="AN68" s="537"/>
      <c r="AO68" s="537"/>
      <c r="AP68" s="58"/>
      <c r="AQ68" s="536"/>
      <c r="AR68" s="537"/>
      <c r="AS68" s="537"/>
      <c r="AT68" s="537"/>
      <c r="AU68" s="58"/>
      <c r="AV68" s="536"/>
      <c r="AW68" s="537"/>
      <c r="AX68" s="537"/>
      <c r="AY68" s="537"/>
      <c r="AZ68" s="58"/>
      <c r="BA68" s="536"/>
      <c r="BB68" s="537"/>
      <c r="BC68" s="537"/>
      <c r="BD68" s="537"/>
      <c r="BE68" s="58"/>
      <c r="BF68" s="536"/>
      <c r="BG68" s="537"/>
      <c r="BH68" s="537"/>
      <c r="BI68" s="537"/>
      <c r="BJ68" s="58"/>
      <c r="BK68" s="536"/>
      <c r="BL68" s="537"/>
      <c r="BM68" s="537"/>
      <c r="BN68" s="537"/>
      <c r="BO68" s="58"/>
    </row>
    <row r="69" spans="1:67" s="650" customFormat="1">
      <c r="A69" s="107"/>
      <c r="B69" s="58"/>
      <c r="C69" s="495"/>
      <c r="D69" s="496"/>
      <c r="E69" s="496"/>
      <c r="F69" s="496"/>
      <c r="G69" s="869"/>
      <c r="H69" s="495"/>
      <c r="I69" s="496"/>
      <c r="J69" s="496"/>
      <c r="K69" s="496"/>
      <c r="L69" s="869"/>
      <c r="M69" s="495"/>
      <c r="N69" s="496"/>
      <c r="O69" s="496"/>
      <c r="P69" s="496"/>
      <c r="Q69" s="869"/>
      <c r="R69" s="495"/>
      <c r="S69" s="496"/>
      <c r="T69" s="496"/>
      <c r="U69" s="496"/>
      <c r="V69" s="869"/>
      <c r="W69" s="495"/>
      <c r="X69" s="496"/>
      <c r="Y69" s="496"/>
      <c r="Z69" s="496"/>
      <c r="AA69" s="869"/>
      <c r="AB69" s="495"/>
      <c r="AC69" s="496"/>
      <c r="AD69" s="496"/>
      <c r="AE69" s="496"/>
      <c r="AF69" s="869"/>
      <c r="AG69" s="495"/>
      <c r="AH69" s="496"/>
      <c r="AI69" s="496"/>
      <c r="AJ69" s="496"/>
      <c r="AK69" s="869"/>
      <c r="AL69" s="495"/>
      <c r="AM69" s="496"/>
      <c r="AN69" s="496"/>
      <c r="AO69" s="496"/>
      <c r="AP69" s="869"/>
      <c r="AQ69" s="495"/>
      <c r="AR69" s="496"/>
      <c r="AS69" s="496"/>
      <c r="AT69" s="496"/>
      <c r="AU69" s="869"/>
      <c r="AV69" s="495"/>
      <c r="AW69" s="496"/>
      <c r="AX69" s="496"/>
      <c r="AY69" s="496"/>
      <c r="AZ69" s="869"/>
      <c r="BA69" s="495"/>
      <c r="BB69" s="496"/>
      <c r="BC69" s="496"/>
      <c r="BD69" s="496"/>
      <c r="BE69" s="869"/>
      <c r="BF69" s="495"/>
      <c r="BG69" s="496"/>
      <c r="BH69" s="496"/>
      <c r="BI69" s="496"/>
      <c r="BJ69" s="869"/>
      <c r="BK69" s="495"/>
      <c r="BL69" s="496"/>
      <c r="BM69" s="496"/>
      <c r="BN69" s="496"/>
      <c r="BO69" s="869"/>
    </row>
    <row r="70" spans="1:67" s="650" customFormat="1">
      <c r="A70" s="107"/>
      <c r="B70" s="58"/>
      <c r="C70" s="536"/>
      <c r="D70" s="537"/>
      <c r="E70" s="537"/>
      <c r="F70" s="537"/>
      <c r="G70" s="58"/>
      <c r="H70" s="536"/>
      <c r="I70" s="537"/>
      <c r="J70" s="537"/>
      <c r="K70" s="537"/>
      <c r="L70" s="58"/>
      <c r="M70" s="536"/>
      <c r="N70" s="537"/>
      <c r="O70" s="537"/>
      <c r="P70" s="537"/>
      <c r="Q70" s="58"/>
      <c r="R70" s="536"/>
      <c r="S70" s="537"/>
      <c r="T70" s="537"/>
      <c r="U70" s="537"/>
      <c r="V70" s="58"/>
      <c r="W70" s="536"/>
      <c r="X70" s="537"/>
      <c r="Y70" s="537"/>
      <c r="Z70" s="537"/>
      <c r="AA70" s="58"/>
      <c r="AB70" s="536"/>
      <c r="AC70" s="537"/>
      <c r="AD70" s="537"/>
      <c r="AE70" s="537"/>
      <c r="AF70" s="58"/>
      <c r="AG70" s="536"/>
      <c r="AH70" s="537"/>
      <c r="AI70" s="537"/>
      <c r="AJ70" s="537"/>
      <c r="AK70" s="58"/>
      <c r="AL70" s="536"/>
      <c r="AM70" s="537"/>
      <c r="AN70" s="537"/>
      <c r="AO70" s="537"/>
      <c r="AP70" s="58"/>
      <c r="AQ70" s="536"/>
      <c r="AR70" s="537"/>
      <c r="AS70" s="537"/>
      <c r="AT70" s="537"/>
      <c r="AU70" s="58"/>
      <c r="AV70" s="536"/>
      <c r="AW70" s="537"/>
      <c r="AX70" s="537"/>
      <c r="AY70" s="537"/>
      <c r="AZ70" s="58"/>
      <c r="BA70" s="536"/>
      <c r="BB70" s="537"/>
      <c r="BC70" s="537"/>
      <c r="BD70" s="537"/>
      <c r="BE70" s="58"/>
      <c r="BF70" s="536"/>
      <c r="BG70" s="537"/>
      <c r="BH70" s="537"/>
      <c r="BI70" s="537"/>
      <c r="BJ70" s="58"/>
      <c r="BK70" s="536"/>
      <c r="BL70" s="537"/>
      <c r="BM70" s="537"/>
      <c r="BN70" s="537"/>
      <c r="BO70" s="58"/>
    </row>
    <row r="71" spans="1:67" s="650" customFormat="1">
      <c r="A71" s="107"/>
      <c r="B71" s="58"/>
      <c r="C71" s="362"/>
      <c r="D71" s="466"/>
      <c r="E71" s="466"/>
      <c r="F71" s="466"/>
      <c r="G71" s="58"/>
      <c r="H71" s="362"/>
      <c r="I71" s="466"/>
      <c r="J71" s="466"/>
      <c r="K71" s="466"/>
      <c r="L71" s="58"/>
      <c r="M71" s="362"/>
      <c r="N71" s="466"/>
      <c r="O71" s="466"/>
      <c r="P71" s="466"/>
      <c r="Q71" s="58"/>
      <c r="R71" s="362"/>
      <c r="S71" s="466"/>
      <c r="T71" s="466"/>
      <c r="U71" s="466"/>
      <c r="V71" s="58"/>
      <c r="W71" s="362"/>
      <c r="X71" s="466"/>
      <c r="Y71" s="466"/>
      <c r="Z71" s="466"/>
      <c r="AA71" s="58"/>
      <c r="AB71" s="362"/>
      <c r="AC71" s="466"/>
      <c r="AD71" s="466"/>
      <c r="AE71" s="466"/>
      <c r="AF71" s="58"/>
      <c r="AG71" s="362"/>
      <c r="AH71" s="466"/>
      <c r="AI71" s="466"/>
      <c r="AJ71" s="466"/>
      <c r="AK71" s="58"/>
      <c r="AL71" s="362"/>
      <c r="AM71" s="466"/>
      <c r="AN71" s="466"/>
      <c r="AO71" s="466"/>
      <c r="AP71" s="58"/>
      <c r="AQ71" s="362"/>
      <c r="AR71" s="466"/>
      <c r="AS71" s="466"/>
      <c r="AT71" s="466"/>
      <c r="AU71" s="58"/>
      <c r="AV71" s="362"/>
      <c r="AW71" s="466"/>
      <c r="AX71" s="466"/>
      <c r="AY71" s="466"/>
      <c r="AZ71" s="58"/>
      <c r="BA71" s="362"/>
      <c r="BB71" s="466"/>
      <c r="BC71" s="466"/>
      <c r="BD71" s="466"/>
      <c r="BE71" s="58"/>
      <c r="BF71" s="362"/>
      <c r="BG71" s="466"/>
      <c r="BH71" s="466"/>
      <c r="BI71" s="466"/>
      <c r="BJ71" s="58"/>
      <c r="BK71" s="362"/>
      <c r="BL71" s="466"/>
      <c r="BM71" s="466"/>
      <c r="BN71" s="466"/>
      <c r="BO71" s="58"/>
    </row>
    <row r="72" spans="1:67" s="650" customFormat="1">
      <c r="A72" s="107"/>
      <c r="B72" s="58"/>
      <c r="C72" s="383"/>
      <c r="D72" s="384"/>
      <c r="E72" s="384"/>
      <c r="F72" s="384"/>
      <c r="G72" s="867"/>
      <c r="H72" s="383"/>
      <c r="I72" s="384"/>
      <c r="J72" s="384"/>
      <c r="K72" s="384"/>
      <c r="L72" s="867"/>
      <c r="M72" s="383"/>
      <c r="N72" s="384"/>
      <c r="O72" s="384"/>
      <c r="P72" s="384"/>
      <c r="Q72" s="867"/>
      <c r="R72" s="383"/>
      <c r="S72" s="384"/>
      <c r="T72" s="384"/>
      <c r="U72" s="384"/>
      <c r="V72" s="867"/>
      <c r="W72" s="383"/>
      <c r="X72" s="384"/>
      <c r="Y72" s="384"/>
      <c r="Z72" s="384"/>
      <c r="AA72" s="867"/>
      <c r="AB72" s="383"/>
      <c r="AC72" s="384"/>
      <c r="AD72" s="384"/>
      <c r="AE72" s="384"/>
      <c r="AF72" s="867"/>
      <c r="AG72" s="383"/>
      <c r="AH72" s="384"/>
      <c r="AI72" s="384"/>
      <c r="AJ72" s="384"/>
      <c r="AK72" s="867"/>
      <c r="AL72" s="383"/>
      <c r="AM72" s="384"/>
      <c r="AN72" s="384"/>
      <c r="AO72" s="384"/>
      <c r="AP72" s="867"/>
      <c r="AQ72" s="383"/>
      <c r="AR72" s="384"/>
      <c r="AS72" s="384"/>
      <c r="AT72" s="384"/>
      <c r="AU72" s="867"/>
      <c r="AV72" s="383"/>
      <c r="AW72" s="384"/>
      <c r="AX72" s="384"/>
      <c r="AY72" s="384"/>
      <c r="AZ72" s="867"/>
      <c r="BA72" s="383"/>
      <c r="BB72" s="384"/>
      <c r="BC72" s="384"/>
      <c r="BD72" s="384"/>
      <c r="BE72" s="867"/>
      <c r="BF72" s="383"/>
      <c r="BG72" s="384"/>
      <c r="BH72" s="384"/>
      <c r="BI72" s="384"/>
      <c r="BJ72" s="867"/>
      <c r="BK72" s="383"/>
      <c r="BL72" s="384"/>
      <c r="BM72" s="384"/>
      <c r="BN72" s="384"/>
      <c r="BO72" s="867"/>
    </row>
    <row r="73" spans="1:67" s="868" customFormat="1">
      <c r="A73" s="855"/>
      <c r="B73" s="58"/>
      <c r="C73" s="383"/>
      <c r="D73" s="384"/>
      <c r="E73" s="384"/>
      <c r="F73" s="384"/>
      <c r="G73" s="867"/>
      <c r="H73" s="383"/>
      <c r="I73" s="384"/>
      <c r="J73" s="384"/>
      <c r="K73" s="384"/>
      <c r="L73" s="867"/>
      <c r="M73" s="383"/>
      <c r="N73" s="384"/>
      <c r="O73" s="384"/>
      <c r="P73" s="384"/>
      <c r="Q73" s="867"/>
      <c r="R73" s="383"/>
      <c r="S73" s="384"/>
      <c r="T73" s="384"/>
      <c r="U73" s="384"/>
      <c r="V73" s="867"/>
      <c r="W73" s="383"/>
      <c r="X73" s="384"/>
      <c r="Y73" s="384"/>
      <c r="Z73" s="384"/>
      <c r="AA73" s="867"/>
      <c r="AB73" s="383"/>
      <c r="AC73" s="384"/>
      <c r="AD73" s="384"/>
      <c r="AE73" s="384"/>
      <c r="AF73" s="867"/>
      <c r="AG73" s="383"/>
      <c r="AH73" s="384"/>
      <c r="AI73" s="384"/>
      <c r="AJ73" s="384"/>
      <c r="AK73" s="867"/>
      <c r="AL73" s="383"/>
      <c r="AM73" s="384"/>
      <c r="AN73" s="384"/>
      <c r="AO73" s="384"/>
      <c r="AP73" s="867"/>
      <c r="AQ73" s="383"/>
      <c r="AR73" s="384"/>
      <c r="AS73" s="384"/>
      <c r="AT73" s="384"/>
      <c r="AU73" s="867"/>
      <c r="AV73" s="383"/>
      <c r="AW73" s="384"/>
      <c r="AX73" s="384"/>
      <c r="AY73" s="384"/>
      <c r="AZ73" s="867"/>
      <c r="BA73" s="383"/>
      <c r="BB73" s="384"/>
      <c r="BC73" s="384"/>
      <c r="BD73" s="384"/>
      <c r="BE73" s="867"/>
      <c r="BF73" s="383"/>
      <c r="BG73" s="384"/>
      <c r="BH73" s="384"/>
      <c r="BI73" s="384"/>
      <c r="BJ73" s="867"/>
      <c r="BK73" s="383"/>
      <c r="BL73" s="384"/>
      <c r="BM73" s="384"/>
      <c r="BN73" s="384"/>
      <c r="BO73" s="867"/>
    </row>
    <row r="74" spans="1:67" s="650" customFormat="1">
      <c r="A74" s="107"/>
      <c r="B74" s="58"/>
      <c r="C74" s="536"/>
      <c r="D74" s="537"/>
      <c r="E74" s="537"/>
      <c r="F74" s="537"/>
      <c r="G74" s="58"/>
      <c r="H74" s="536"/>
      <c r="I74" s="537"/>
      <c r="J74" s="537"/>
      <c r="K74" s="537"/>
      <c r="L74" s="58"/>
      <c r="M74" s="536"/>
      <c r="N74" s="537"/>
      <c r="O74" s="537"/>
      <c r="P74" s="537"/>
      <c r="Q74" s="58"/>
      <c r="R74" s="536"/>
      <c r="S74" s="537"/>
      <c r="T74" s="537"/>
      <c r="U74" s="537"/>
      <c r="V74" s="58"/>
      <c r="W74" s="536"/>
      <c r="X74" s="537"/>
      <c r="Y74" s="537"/>
      <c r="Z74" s="537"/>
      <c r="AA74" s="58"/>
      <c r="AB74" s="536"/>
      <c r="AC74" s="537"/>
      <c r="AD74" s="537"/>
      <c r="AE74" s="537"/>
      <c r="AF74" s="58"/>
      <c r="AG74" s="536"/>
      <c r="AH74" s="537"/>
      <c r="AI74" s="537"/>
      <c r="AJ74" s="537"/>
      <c r="AK74" s="58"/>
      <c r="AL74" s="536"/>
      <c r="AM74" s="537"/>
      <c r="AN74" s="537"/>
      <c r="AO74" s="537"/>
      <c r="AP74" s="58"/>
      <c r="AQ74" s="536"/>
      <c r="AR74" s="537"/>
      <c r="AS74" s="537"/>
      <c r="AT74" s="537"/>
      <c r="AU74" s="58"/>
      <c r="AV74" s="536"/>
      <c r="AW74" s="537"/>
      <c r="AX74" s="537"/>
      <c r="AY74" s="537"/>
      <c r="AZ74" s="58"/>
      <c r="BA74" s="536"/>
      <c r="BB74" s="537"/>
      <c r="BC74" s="537"/>
      <c r="BD74" s="537"/>
      <c r="BE74" s="58"/>
      <c r="BF74" s="536"/>
      <c r="BG74" s="537"/>
      <c r="BH74" s="537"/>
      <c r="BI74" s="537"/>
      <c r="BJ74" s="58"/>
      <c r="BK74" s="536"/>
      <c r="BL74" s="537"/>
      <c r="BM74" s="537"/>
      <c r="BN74" s="537"/>
      <c r="BO74" s="58"/>
    </row>
    <row r="75" spans="1:67" s="868" customFormat="1">
      <c r="A75" s="855"/>
      <c r="B75" s="610"/>
      <c r="C75" s="383"/>
      <c r="D75" s="384"/>
      <c r="E75" s="384"/>
      <c r="F75" s="384"/>
      <c r="G75" s="867"/>
      <c r="H75" s="383"/>
      <c r="I75" s="384"/>
      <c r="J75" s="384"/>
      <c r="K75" s="384"/>
      <c r="L75" s="867"/>
      <c r="M75" s="383"/>
      <c r="N75" s="384"/>
      <c r="O75" s="384"/>
      <c r="P75" s="384"/>
      <c r="Q75" s="867"/>
      <c r="R75" s="383"/>
      <c r="S75" s="384"/>
      <c r="T75" s="384"/>
      <c r="U75" s="384"/>
      <c r="V75" s="867"/>
      <c r="W75" s="383"/>
      <c r="X75" s="384"/>
      <c r="Y75" s="384"/>
      <c r="Z75" s="384"/>
      <c r="AA75" s="867"/>
      <c r="AB75" s="383"/>
      <c r="AC75" s="384"/>
      <c r="AD75" s="384"/>
      <c r="AE75" s="384"/>
      <c r="AF75" s="867"/>
      <c r="AG75" s="383"/>
      <c r="AH75" s="384"/>
      <c r="AI75" s="384"/>
      <c r="AJ75" s="384"/>
      <c r="AK75" s="867"/>
      <c r="AL75" s="383"/>
      <c r="AM75" s="384"/>
      <c r="AN75" s="384"/>
      <c r="AO75" s="384"/>
      <c r="AP75" s="867"/>
      <c r="AQ75" s="383"/>
      <c r="AR75" s="384"/>
      <c r="AS75" s="384"/>
      <c r="AT75" s="384"/>
      <c r="AU75" s="867"/>
      <c r="AV75" s="383"/>
      <c r="AW75" s="384"/>
      <c r="AX75" s="384"/>
      <c r="AY75" s="384"/>
      <c r="AZ75" s="867"/>
      <c r="BA75" s="383"/>
      <c r="BB75" s="384"/>
      <c r="BC75" s="384"/>
      <c r="BD75" s="384"/>
      <c r="BE75" s="867"/>
      <c r="BF75" s="383"/>
      <c r="BG75" s="384"/>
      <c r="BH75" s="384"/>
      <c r="BI75" s="384"/>
      <c r="BJ75" s="867"/>
      <c r="BK75" s="383"/>
      <c r="BL75" s="384"/>
      <c r="BM75" s="384"/>
      <c r="BN75" s="384"/>
      <c r="BO75" s="867"/>
    </row>
    <row r="76" spans="1:67" s="650" customFormat="1">
      <c r="A76" s="107"/>
      <c r="B76" s="58"/>
      <c r="C76" s="536"/>
      <c r="D76" s="537"/>
      <c r="E76" s="537"/>
      <c r="F76" s="537"/>
      <c r="G76" s="58"/>
      <c r="H76" s="536"/>
      <c r="I76" s="537"/>
      <c r="J76" s="537"/>
      <c r="K76" s="537"/>
      <c r="L76" s="58"/>
      <c r="M76" s="536"/>
      <c r="N76" s="537"/>
      <c r="O76" s="537"/>
      <c r="P76" s="537"/>
      <c r="Q76" s="58"/>
      <c r="R76" s="536"/>
      <c r="S76" s="537"/>
      <c r="T76" s="537"/>
      <c r="U76" s="537"/>
      <c r="V76" s="58"/>
      <c r="W76" s="536"/>
      <c r="X76" s="537"/>
      <c r="Y76" s="537"/>
      <c r="Z76" s="537"/>
      <c r="AA76" s="58"/>
      <c r="AB76" s="536"/>
      <c r="AC76" s="537"/>
      <c r="AD76" s="537"/>
      <c r="AE76" s="537"/>
      <c r="AF76" s="58"/>
      <c r="AG76" s="536"/>
      <c r="AH76" s="537"/>
      <c r="AI76" s="537"/>
      <c r="AJ76" s="537"/>
      <c r="AK76" s="58"/>
      <c r="AL76" s="536"/>
      <c r="AM76" s="537"/>
      <c r="AN76" s="537"/>
      <c r="AO76" s="537"/>
      <c r="AP76" s="58"/>
      <c r="AQ76" s="536"/>
      <c r="AR76" s="537"/>
      <c r="AS76" s="537"/>
      <c r="AT76" s="537"/>
      <c r="AU76" s="58"/>
      <c r="AV76" s="536"/>
      <c r="AW76" s="537"/>
      <c r="AX76" s="537"/>
      <c r="AY76" s="537"/>
      <c r="AZ76" s="58"/>
      <c r="BA76" s="536"/>
      <c r="BB76" s="537"/>
      <c r="BC76" s="537"/>
      <c r="BD76" s="537"/>
      <c r="BE76" s="58"/>
      <c r="BF76" s="536"/>
      <c r="BG76" s="537"/>
      <c r="BH76" s="537"/>
      <c r="BI76" s="537"/>
      <c r="BJ76" s="58"/>
      <c r="BK76" s="536"/>
      <c r="BL76" s="537"/>
      <c r="BM76" s="537"/>
      <c r="BN76" s="537"/>
      <c r="BO76" s="58"/>
    </row>
    <row r="77" spans="1:67" s="650" customFormat="1">
      <c r="A77" s="107"/>
      <c r="B77" s="58"/>
      <c r="C77" s="362"/>
      <c r="D77" s="466"/>
      <c r="E77" s="466"/>
      <c r="F77" s="466"/>
      <c r="G77" s="58"/>
      <c r="H77" s="362"/>
      <c r="I77" s="466"/>
      <c r="J77" s="466"/>
      <c r="K77" s="466"/>
      <c r="L77" s="58"/>
      <c r="M77" s="362"/>
      <c r="N77" s="466"/>
      <c r="O77" s="466"/>
      <c r="P77" s="466"/>
      <c r="Q77" s="58"/>
      <c r="R77" s="362"/>
      <c r="S77" s="466"/>
      <c r="T77" s="466"/>
      <c r="U77" s="466"/>
      <c r="V77" s="58"/>
      <c r="W77" s="362"/>
      <c r="X77" s="466"/>
      <c r="Y77" s="466"/>
      <c r="Z77" s="466"/>
      <c r="AA77" s="58"/>
      <c r="AB77" s="362"/>
      <c r="AC77" s="466"/>
      <c r="AD77" s="466"/>
      <c r="AE77" s="466"/>
      <c r="AF77" s="58"/>
      <c r="AG77" s="362"/>
      <c r="AH77" s="466"/>
      <c r="AI77" s="466"/>
      <c r="AJ77" s="466"/>
      <c r="AK77" s="58"/>
      <c r="AL77" s="362"/>
      <c r="AM77" s="466"/>
      <c r="AN77" s="466"/>
      <c r="AO77" s="466"/>
      <c r="AP77" s="58"/>
      <c r="AQ77" s="362"/>
      <c r="AR77" s="466"/>
      <c r="AS77" s="466"/>
      <c r="AT77" s="466"/>
      <c r="AU77" s="58"/>
      <c r="AV77" s="362"/>
      <c r="AW77" s="466"/>
      <c r="AX77" s="466"/>
      <c r="AY77" s="466"/>
      <c r="AZ77" s="58"/>
      <c r="BA77" s="362"/>
      <c r="BB77" s="466"/>
      <c r="BC77" s="466"/>
      <c r="BD77" s="466"/>
      <c r="BE77" s="58"/>
      <c r="BF77" s="362"/>
      <c r="BG77" s="466"/>
      <c r="BH77" s="466"/>
      <c r="BI77" s="466"/>
      <c r="BJ77" s="58"/>
      <c r="BK77" s="362"/>
      <c r="BL77" s="466"/>
      <c r="BM77" s="466"/>
      <c r="BN77" s="466"/>
      <c r="BO77" s="58"/>
    </row>
    <row r="78" spans="1:67" s="650" customFormat="1">
      <c r="A78" s="107"/>
      <c r="B78" s="58"/>
      <c r="C78" s="383"/>
      <c r="D78" s="384"/>
      <c r="E78" s="384"/>
      <c r="F78" s="384"/>
      <c r="G78" s="867"/>
      <c r="H78" s="383"/>
      <c r="I78" s="384"/>
      <c r="J78" s="384"/>
      <c r="K78" s="384"/>
      <c r="L78" s="867"/>
      <c r="M78" s="383"/>
      <c r="N78" s="384"/>
      <c r="O78" s="384"/>
      <c r="P78" s="384"/>
      <c r="Q78" s="867"/>
      <c r="R78" s="383"/>
      <c r="S78" s="384"/>
      <c r="T78" s="384"/>
      <c r="U78" s="384"/>
      <c r="V78" s="867"/>
      <c r="W78" s="383"/>
      <c r="X78" s="384"/>
      <c r="Y78" s="384"/>
      <c r="Z78" s="384"/>
      <c r="AA78" s="867"/>
      <c r="AB78" s="383"/>
      <c r="AC78" s="384"/>
      <c r="AD78" s="384"/>
      <c r="AE78" s="384"/>
      <c r="AF78" s="867"/>
      <c r="AG78" s="383"/>
      <c r="AH78" s="384"/>
      <c r="AI78" s="384"/>
      <c r="AJ78" s="384"/>
      <c r="AK78" s="867"/>
      <c r="AL78" s="383"/>
      <c r="AM78" s="384"/>
      <c r="AN78" s="384"/>
      <c r="AO78" s="384"/>
      <c r="AP78" s="867"/>
      <c r="AQ78" s="383"/>
      <c r="AR78" s="384"/>
      <c r="AS78" s="384"/>
      <c r="AT78" s="384"/>
      <c r="AU78" s="867"/>
      <c r="AV78" s="383"/>
      <c r="AW78" s="384"/>
      <c r="AX78" s="384"/>
      <c r="AY78" s="384"/>
      <c r="AZ78" s="867"/>
      <c r="BA78" s="383"/>
      <c r="BB78" s="384"/>
      <c r="BC78" s="384"/>
      <c r="BD78" s="384"/>
      <c r="BE78" s="867"/>
      <c r="BF78" s="383"/>
      <c r="BG78" s="384"/>
      <c r="BH78" s="384"/>
      <c r="BI78" s="384"/>
      <c r="BJ78" s="867"/>
      <c r="BK78" s="383"/>
      <c r="BL78" s="384"/>
      <c r="BM78" s="384"/>
      <c r="BN78" s="384"/>
      <c r="BO78" s="867"/>
    </row>
    <row r="79" spans="1:67" s="868" customFormat="1">
      <c r="A79" s="855"/>
      <c r="B79" s="58"/>
      <c r="C79" s="383"/>
      <c r="D79" s="384"/>
      <c r="E79" s="384"/>
      <c r="F79" s="384"/>
      <c r="G79" s="867"/>
      <c r="H79" s="383"/>
      <c r="I79" s="384"/>
      <c r="J79" s="384"/>
      <c r="K79" s="384"/>
      <c r="L79" s="867"/>
      <c r="M79" s="383"/>
      <c r="N79" s="384"/>
      <c r="O79" s="384"/>
      <c r="P79" s="384"/>
      <c r="Q79" s="867"/>
      <c r="R79" s="383"/>
      <c r="S79" s="384"/>
      <c r="T79" s="384"/>
      <c r="U79" s="384"/>
      <c r="V79" s="867"/>
      <c r="W79" s="383"/>
      <c r="X79" s="384"/>
      <c r="Y79" s="384"/>
      <c r="Z79" s="384"/>
      <c r="AA79" s="867"/>
      <c r="AB79" s="383"/>
      <c r="AC79" s="384"/>
      <c r="AD79" s="384"/>
      <c r="AE79" s="384"/>
      <c r="AF79" s="867"/>
      <c r="AG79" s="383"/>
      <c r="AH79" s="384"/>
      <c r="AI79" s="384"/>
      <c r="AJ79" s="384"/>
      <c r="AK79" s="867"/>
      <c r="AL79" s="383"/>
      <c r="AM79" s="384"/>
      <c r="AN79" s="384"/>
      <c r="AO79" s="384"/>
      <c r="AP79" s="867"/>
      <c r="AQ79" s="383"/>
      <c r="AR79" s="384"/>
      <c r="AS79" s="384"/>
      <c r="AT79" s="384"/>
      <c r="AU79" s="867"/>
      <c r="AV79" s="383"/>
      <c r="AW79" s="384"/>
      <c r="AX79" s="384"/>
      <c r="AY79" s="384"/>
      <c r="AZ79" s="867"/>
      <c r="BA79" s="383"/>
      <c r="BB79" s="384"/>
      <c r="BC79" s="384"/>
      <c r="BD79" s="384"/>
      <c r="BE79" s="867"/>
      <c r="BF79" s="383"/>
      <c r="BG79" s="384"/>
      <c r="BH79" s="384"/>
      <c r="BI79" s="384"/>
      <c r="BJ79" s="867"/>
      <c r="BK79" s="383"/>
      <c r="BL79" s="384"/>
      <c r="BM79" s="384"/>
      <c r="BN79" s="384"/>
      <c r="BO79" s="867"/>
    </row>
    <row r="80" spans="1:67" s="650" customFormat="1">
      <c r="A80" s="107"/>
      <c r="B80" s="58"/>
      <c r="C80" s="536"/>
      <c r="D80" s="537"/>
      <c r="E80" s="537"/>
      <c r="F80" s="537"/>
      <c r="G80" s="58"/>
      <c r="H80" s="536"/>
      <c r="I80" s="537"/>
      <c r="J80" s="537"/>
      <c r="K80" s="537"/>
      <c r="L80" s="58"/>
      <c r="M80" s="536"/>
      <c r="N80" s="537"/>
      <c r="O80" s="537"/>
      <c r="P80" s="537"/>
      <c r="Q80" s="58"/>
      <c r="R80" s="536"/>
      <c r="S80" s="537"/>
      <c r="T80" s="537"/>
      <c r="U80" s="537"/>
      <c r="V80" s="58"/>
      <c r="W80" s="536"/>
      <c r="X80" s="537"/>
      <c r="Y80" s="537"/>
      <c r="Z80" s="537"/>
      <c r="AA80" s="58"/>
      <c r="AB80" s="536"/>
      <c r="AC80" s="537"/>
      <c r="AD80" s="537"/>
      <c r="AE80" s="537"/>
      <c r="AF80" s="58"/>
      <c r="AG80" s="536"/>
      <c r="AH80" s="537"/>
      <c r="AI80" s="537"/>
      <c r="AJ80" s="537"/>
      <c r="AK80" s="58"/>
      <c r="AL80" s="536"/>
      <c r="AM80" s="537"/>
      <c r="AN80" s="537"/>
      <c r="AO80" s="537"/>
      <c r="AP80" s="58"/>
      <c r="AQ80" s="536"/>
      <c r="AR80" s="537"/>
      <c r="AS80" s="537"/>
      <c r="AT80" s="537"/>
      <c r="AU80" s="58"/>
      <c r="AV80" s="536"/>
      <c r="AW80" s="537"/>
      <c r="AX80" s="537"/>
      <c r="AY80" s="537"/>
      <c r="AZ80" s="58"/>
      <c r="BA80" s="536"/>
      <c r="BB80" s="537"/>
      <c r="BC80" s="537"/>
      <c r="BD80" s="537"/>
      <c r="BE80" s="58"/>
      <c r="BF80" s="536"/>
      <c r="BG80" s="537"/>
      <c r="BH80" s="537"/>
      <c r="BI80" s="537"/>
      <c r="BJ80" s="58"/>
      <c r="BK80" s="536"/>
      <c r="BL80" s="537"/>
      <c r="BM80" s="537"/>
      <c r="BN80" s="537"/>
      <c r="BO80" s="58"/>
    </row>
    <row r="81" spans="1:67" s="650" customFormat="1">
      <c r="A81" s="107"/>
      <c r="B81" s="58"/>
      <c r="C81" s="448"/>
      <c r="D81" s="384"/>
      <c r="E81" s="384"/>
      <c r="F81" s="384"/>
      <c r="G81" s="59"/>
      <c r="H81" s="448"/>
      <c r="I81" s="384"/>
      <c r="J81" s="384"/>
      <c r="K81" s="384"/>
      <c r="L81" s="59"/>
      <c r="M81" s="448"/>
      <c r="N81" s="384"/>
      <c r="O81" s="384"/>
      <c r="P81" s="384"/>
      <c r="Q81" s="59"/>
      <c r="R81" s="448"/>
      <c r="S81" s="384"/>
      <c r="T81" s="384"/>
      <c r="U81" s="384"/>
      <c r="V81" s="59"/>
      <c r="W81" s="448"/>
      <c r="X81" s="384"/>
      <c r="Y81" s="384"/>
      <c r="Z81" s="384"/>
      <c r="AA81" s="59"/>
      <c r="AB81" s="448"/>
      <c r="AC81" s="384"/>
      <c r="AD81" s="384"/>
      <c r="AE81" s="384"/>
      <c r="AF81" s="59"/>
      <c r="AG81" s="448"/>
      <c r="AH81" s="384"/>
      <c r="AI81" s="384"/>
      <c r="AJ81" s="384"/>
      <c r="AK81" s="59"/>
      <c r="AL81" s="448"/>
      <c r="AM81" s="384"/>
      <c r="AN81" s="384"/>
      <c r="AO81" s="384"/>
      <c r="AP81" s="59"/>
      <c r="AQ81" s="448"/>
      <c r="AR81" s="384"/>
      <c r="AS81" s="384"/>
      <c r="AT81" s="384"/>
      <c r="AU81" s="59"/>
      <c r="AV81" s="448"/>
      <c r="AW81" s="384"/>
      <c r="AX81" s="384"/>
      <c r="AY81" s="384"/>
      <c r="AZ81" s="59"/>
      <c r="BA81" s="448"/>
      <c r="BB81" s="384"/>
      <c r="BC81" s="384"/>
      <c r="BD81" s="384"/>
      <c r="BE81" s="59"/>
      <c r="BF81" s="448"/>
      <c r="BG81" s="384"/>
      <c r="BH81" s="384"/>
      <c r="BI81" s="384"/>
      <c r="BJ81" s="59"/>
      <c r="BK81" s="448"/>
      <c r="BL81" s="384"/>
      <c r="BM81" s="384"/>
      <c r="BN81" s="384"/>
      <c r="BO81" s="59"/>
    </row>
    <row r="82" spans="1:67" s="871" customFormat="1">
      <c r="A82" s="593"/>
      <c r="B82" s="251"/>
      <c r="C82" s="870"/>
      <c r="D82" s="364"/>
      <c r="E82" s="364"/>
      <c r="F82" s="364"/>
      <c r="G82" s="251"/>
      <c r="H82" s="870"/>
      <c r="I82" s="364"/>
      <c r="J82" s="364"/>
      <c r="K82" s="364"/>
      <c r="L82" s="251"/>
      <c r="M82" s="870"/>
      <c r="N82" s="364"/>
      <c r="O82" s="364"/>
      <c r="P82" s="364"/>
      <c r="Q82" s="251"/>
      <c r="R82" s="870"/>
      <c r="S82" s="364"/>
      <c r="T82" s="364"/>
      <c r="U82" s="364"/>
      <c r="V82" s="251"/>
      <c r="W82" s="870"/>
      <c r="X82" s="364"/>
      <c r="Y82" s="364"/>
      <c r="Z82" s="364"/>
      <c r="AA82" s="251"/>
      <c r="AB82" s="870"/>
      <c r="AC82" s="364"/>
      <c r="AD82" s="364"/>
      <c r="AE82" s="364"/>
      <c r="AF82" s="251"/>
      <c r="AG82" s="870"/>
      <c r="AH82" s="364"/>
      <c r="AI82" s="364"/>
      <c r="AJ82" s="364"/>
      <c r="AK82" s="251"/>
      <c r="AL82" s="870"/>
      <c r="AM82" s="364"/>
      <c r="AN82" s="364"/>
      <c r="AO82" s="364"/>
      <c r="AP82" s="251"/>
      <c r="AQ82" s="870"/>
      <c r="AR82" s="364"/>
      <c r="AS82" s="364"/>
      <c r="AT82" s="364"/>
      <c r="AU82" s="251"/>
      <c r="AV82" s="870"/>
      <c r="AW82" s="364"/>
      <c r="AX82" s="364"/>
      <c r="AY82" s="364"/>
      <c r="AZ82" s="251"/>
      <c r="BA82" s="870"/>
      <c r="BB82" s="364"/>
      <c r="BC82" s="364"/>
      <c r="BD82" s="364"/>
      <c r="BE82" s="251"/>
      <c r="BF82" s="870"/>
      <c r="BG82" s="364"/>
      <c r="BH82" s="364"/>
      <c r="BI82" s="364"/>
      <c r="BJ82" s="251"/>
      <c r="BK82" s="870"/>
      <c r="BL82" s="364"/>
      <c r="BM82" s="364"/>
      <c r="BN82" s="364"/>
      <c r="BO82" s="251"/>
    </row>
    <row r="83" spans="1:67" s="868" customFormat="1">
      <c r="A83" s="855"/>
      <c r="B83" s="610"/>
      <c r="C83" s="872"/>
      <c r="D83" s="384"/>
      <c r="E83" s="384"/>
      <c r="F83" s="384"/>
      <c r="G83" s="873"/>
      <c r="H83" s="872"/>
      <c r="I83" s="384"/>
      <c r="J83" s="384"/>
      <c r="K83" s="384"/>
      <c r="L83" s="873"/>
      <c r="M83" s="872"/>
      <c r="N83" s="384"/>
      <c r="O83" s="384"/>
      <c r="P83" s="384"/>
      <c r="Q83" s="873"/>
      <c r="R83" s="872"/>
      <c r="S83" s="384"/>
      <c r="T83" s="384"/>
      <c r="U83" s="384"/>
      <c r="V83" s="873"/>
      <c r="W83" s="872"/>
      <c r="X83" s="384"/>
      <c r="Y83" s="384"/>
      <c r="Z83" s="384"/>
      <c r="AA83" s="873"/>
      <c r="AB83" s="872"/>
      <c r="AC83" s="384"/>
      <c r="AD83" s="384"/>
      <c r="AE83" s="384"/>
      <c r="AF83" s="873"/>
      <c r="AG83" s="872"/>
      <c r="AH83" s="384"/>
      <c r="AI83" s="384"/>
      <c r="AJ83" s="384"/>
      <c r="AK83" s="873"/>
      <c r="AL83" s="872"/>
      <c r="AM83" s="384"/>
      <c r="AN83" s="384"/>
      <c r="AO83" s="384"/>
      <c r="AP83" s="873"/>
      <c r="AQ83" s="872"/>
      <c r="AR83" s="384"/>
      <c r="AS83" s="384"/>
      <c r="AT83" s="384"/>
      <c r="AU83" s="873"/>
      <c r="AV83" s="872"/>
      <c r="AW83" s="384"/>
      <c r="AX83" s="384"/>
      <c r="AY83" s="384"/>
      <c r="AZ83" s="873"/>
      <c r="BA83" s="872"/>
      <c r="BB83" s="384"/>
      <c r="BC83" s="384"/>
      <c r="BD83" s="384"/>
      <c r="BE83" s="873"/>
      <c r="BF83" s="872"/>
      <c r="BG83" s="384"/>
      <c r="BH83" s="384"/>
      <c r="BI83" s="384"/>
      <c r="BJ83" s="873"/>
      <c r="BK83" s="872"/>
      <c r="BL83" s="384"/>
      <c r="BM83" s="384"/>
      <c r="BN83" s="384"/>
      <c r="BO83" s="873"/>
    </row>
    <row r="84" spans="1:67" s="650" customFormat="1">
      <c r="A84" s="107"/>
      <c r="B84" s="610"/>
      <c r="C84" s="365"/>
      <c r="D84" s="466"/>
      <c r="E84" s="466"/>
      <c r="F84" s="466"/>
      <c r="G84" s="59"/>
      <c r="H84" s="365"/>
      <c r="I84" s="466"/>
      <c r="J84" s="466"/>
      <c r="K84" s="466"/>
      <c r="L84" s="59"/>
      <c r="M84" s="365"/>
      <c r="N84" s="466"/>
      <c r="O84" s="466"/>
      <c r="P84" s="466"/>
      <c r="Q84" s="59"/>
      <c r="R84" s="365"/>
      <c r="S84" s="466"/>
      <c r="T84" s="466"/>
      <c r="U84" s="466"/>
      <c r="V84" s="59"/>
      <c r="W84" s="365"/>
      <c r="X84" s="466"/>
      <c r="Y84" s="466"/>
      <c r="Z84" s="466"/>
      <c r="AA84" s="59"/>
      <c r="AB84" s="365"/>
      <c r="AC84" s="466"/>
      <c r="AD84" s="466"/>
      <c r="AE84" s="466"/>
      <c r="AF84" s="59"/>
      <c r="AG84" s="365"/>
      <c r="AH84" s="466"/>
      <c r="AI84" s="466"/>
      <c r="AJ84" s="466"/>
      <c r="AK84" s="59"/>
      <c r="AL84" s="365"/>
      <c r="AM84" s="466"/>
      <c r="AN84" s="466"/>
      <c r="AO84" s="466"/>
      <c r="AP84" s="59"/>
      <c r="AQ84" s="365"/>
      <c r="AR84" s="466"/>
      <c r="AS84" s="466"/>
      <c r="AT84" s="466"/>
      <c r="AU84" s="59"/>
      <c r="AV84" s="365"/>
      <c r="AW84" s="466"/>
      <c r="AX84" s="466"/>
      <c r="AY84" s="466"/>
      <c r="AZ84" s="59"/>
      <c r="BA84" s="365"/>
      <c r="BB84" s="466"/>
      <c r="BC84" s="466"/>
      <c r="BD84" s="466"/>
      <c r="BE84" s="59"/>
      <c r="BF84" s="365"/>
      <c r="BG84" s="466"/>
      <c r="BH84" s="466"/>
      <c r="BI84" s="466"/>
      <c r="BJ84" s="59"/>
      <c r="BK84" s="365"/>
      <c r="BL84" s="466"/>
      <c r="BM84" s="466"/>
      <c r="BN84" s="466"/>
      <c r="BO84" s="59"/>
    </row>
    <row r="85" spans="1:67" s="868" customFormat="1">
      <c r="A85" s="855"/>
      <c r="B85" s="621"/>
      <c r="C85" s="463"/>
      <c r="D85" s="384"/>
      <c r="E85" s="384"/>
      <c r="F85" s="384"/>
      <c r="G85" s="873"/>
      <c r="H85" s="463"/>
      <c r="I85" s="384"/>
      <c r="J85" s="384"/>
      <c r="K85" s="384"/>
      <c r="L85" s="873"/>
      <c r="M85" s="463"/>
      <c r="N85" s="384"/>
      <c r="O85" s="384"/>
      <c r="P85" s="384"/>
      <c r="Q85" s="873"/>
      <c r="R85" s="463"/>
      <c r="S85" s="384"/>
      <c r="T85" s="384"/>
      <c r="U85" s="384"/>
      <c r="V85" s="873"/>
      <c r="W85" s="463"/>
      <c r="X85" s="384"/>
      <c r="Y85" s="384"/>
      <c r="Z85" s="384"/>
      <c r="AA85" s="873"/>
      <c r="AB85" s="463"/>
      <c r="AC85" s="384"/>
      <c r="AD85" s="384"/>
      <c r="AE85" s="384"/>
      <c r="AF85" s="873"/>
      <c r="AG85" s="463"/>
      <c r="AH85" s="384"/>
      <c r="AI85" s="384"/>
      <c r="AJ85" s="384"/>
      <c r="AK85" s="873"/>
      <c r="AL85" s="463"/>
      <c r="AM85" s="384"/>
      <c r="AN85" s="384"/>
      <c r="AO85" s="384"/>
      <c r="AP85" s="873"/>
      <c r="AQ85" s="463"/>
      <c r="AR85" s="384"/>
      <c r="AS85" s="384"/>
      <c r="AT85" s="384"/>
      <c r="AU85" s="873"/>
      <c r="AV85" s="463"/>
      <c r="AW85" s="384"/>
      <c r="AX85" s="384"/>
      <c r="AY85" s="384"/>
      <c r="AZ85" s="873"/>
      <c r="BA85" s="463"/>
      <c r="BB85" s="384"/>
      <c r="BC85" s="384"/>
      <c r="BD85" s="384"/>
      <c r="BE85" s="873"/>
      <c r="BF85" s="463"/>
      <c r="BG85" s="384"/>
      <c r="BH85" s="384"/>
      <c r="BI85" s="384"/>
      <c r="BJ85" s="873"/>
      <c r="BK85" s="463"/>
      <c r="BL85" s="384"/>
      <c r="BM85" s="384"/>
      <c r="BN85" s="384"/>
      <c r="BO85" s="873"/>
    </row>
    <row r="86" spans="1:67" s="650" customFormat="1">
      <c r="A86" s="107"/>
      <c r="B86" s="58"/>
      <c r="C86" s="448"/>
      <c r="D86" s="384"/>
      <c r="E86" s="384"/>
      <c r="F86" s="384"/>
      <c r="G86" s="59"/>
      <c r="H86" s="448"/>
      <c r="I86" s="384"/>
      <c r="J86" s="384"/>
      <c r="K86" s="384"/>
      <c r="L86" s="59"/>
      <c r="M86" s="448"/>
      <c r="N86" s="384"/>
      <c r="O86" s="384"/>
      <c r="P86" s="384"/>
      <c r="Q86" s="59"/>
      <c r="R86" s="448"/>
      <c r="S86" s="384"/>
      <c r="T86" s="384"/>
      <c r="U86" s="384"/>
      <c r="V86" s="59"/>
      <c r="W86" s="448"/>
      <c r="X86" s="384"/>
      <c r="Y86" s="384"/>
      <c r="Z86" s="384"/>
      <c r="AA86" s="59"/>
      <c r="AB86" s="448"/>
      <c r="AC86" s="384"/>
      <c r="AD86" s="384"/>
      <c r="AE86" s="384"/>
      <c r="AF86" s="59"/>
      <c r="AG86" s="448"/>
      <c r="AH86" s="384"/>
      <c r="AI86" s="384"/>
      <c r="AJ86" s="384"/>
      <c r="AK86" s="59"/>
      <c r="AL86" s="448"/>
      <c r="AM86" s="384"/>
      <c r="AN86" s="384"/>
      <c r="AO86" s="384"/>
      <c r="AP86" s="59"/>
      <c r="AQ86" s="448"/>
      <c r="AR86" s="384"/>
      <c r="AS86" s="384"/>
      <c r="AT86" s="384"/>
      <c r="AU86" s="59"/>
      <c r="AV86" s="448"/>
      <c r="AW86" s="384"/>
      <c r="AX86" s="384"/>
      <c r="AY86" s="384"/>
      <c r="AZ86" s="59"/>
      <c r="BA86" s="448"/>
      <c r="BB86" s="384"/>
      <c r="BC86" s="384"/>
      <c r="BD86" s="384"/>
      <c r="BE86" s="59"/>
      <c r="BF86" s="448"/>
      <c r="BG86" s="384"/>
      <c r="BH86" s="384"/>
      <c r="BI86" s="384"/>
      <c r="BJ86" s="59"/>
      <c r="BK86" s="448"/>
      <c r="BL86" s="384"/>
      <c r="BM86" s="384"/>
      <c r="BN86" s="384"/>
      <c r="BO86" s="59"/>
    </row>
    <row r="87" spans="1:67" s="878" customFormat="1">
      <c r="A87" s="874"/>
      <c r="B87" s="875"/>
      <c r="C87" s="876"/>
      <c r="D87" s="876"/>
      <c r="E87" s="876"/>
      <c r="F87" s="876"/>
      <c r="G87" s="877"/>
      <c r="H87" s="876"/>
      <c r="I87" s="876"/>
      <c r="J87" s="876"/>
      <c r="K87" s="876"/>
      <c r="L87" s="877"/>
      <c r="M87" s="876"/>
      <c r="N87" s="876"/>
      <c r="O87" s="876"/>
      <c r="P87" s="876"/>
      <c r="Q87" s="877"/>
      <c r="R87" s="876"/>
      <c r="S87" s="876"/>
      <c r="T87" s="876"/>
      <c r="U87" s="876"/>
      <c r="V87" s="877"/>
      <c r="W87" s="876"/>
      <c r="X87" s="876"/>
      <c r="Y87" s="876"/>
      <c r="Z87" s="876"/>
      <c r="AA87" s="877"/>
      <c r="AB87" s="876"/>
      <c r="AC87" s="876"/>
      <c r="AD87" s="876"/>
      <c r="AE87" s="876"/>
      <c r="AF87" s="877"/>
      <c r="AG87" s="876"/>
      <c r="AH87" s="876"/>
      <c r="AI87" s="876"/>
      <c r="AJ87" s="876"/>
      <c r="AK87" s="877"/>
      <c r="AL87" s="876"/>
      <c r="AM87" s="876"/>
      <c r="AN87" s="876"/>
      <c r="AO87" s="876"/>
      <c r="AP87" s="877"/>
      <c r="AQ87" s="876"/>
      <c r="AR87" s="876"/>
      <c r="AS87" s="876"/>
      <c r="AT87" s="876"/>
      <c r="AU87" s="877"/>
      <c r="AV87" s="876"/>
      <c r="AW87" s="876"/>
      <c r="AX87" s="876"/>
      <c r="AY87" s="876"/>
      <c r="AZ87" s="877"/>
      <c r="BA87" s="876"/>
      <c r="BB87" s="876"/>
      <c r="BC87" s="876"/>
      <c r="BD87" s="876"/>
      <c r="BE87" s="877"/>
      <c r="BF87" s="876"/>
      <c r="BG87" s="876"/>
      <c r="BH87" s="876"/>
      <c r="BI87" s="876"/>
      <c r="BJ87" s="877"/>
      <c r="BK87" s="876"/>
      <c r="BL87" s="876"/>
      <c r="BM87" s="876"/>
      <c r="BN87" s="876"/>
      <c r="BO87" s="877"/>
    </row>
    <row r="88" spans="1:67" s="879" customFormat="1">
      <c r="A88" s="392"/>
      <c r="C88" s="880"/>
      <c r="D88" s="880"/>
      <c r="E88" s="880"/>
      <c r="F88" s="880"/>
      <c r="G88" s="881"/>
      <c r="H88" s="880"/>
      <c r="I88" s="880"/>
      <c r="J88" s="880"/>
      <c r="K88" s="880"/>
      <c r="L88" s="881"/>
      <c r="M88" s="880"/>
      <c r="N88" s="880"/>
      <c r="O88" s="880"/>
      <c r="P88" s="880"/>
      <c r="Q88" s="881"/>
      <c r="R88" s="880"/>
      <c r="S88" s="880"/>
      <c r="T88" s="880"/>
      <c r="U88" s="880"/>
      <c r="V88" s="881"/>
      <c r="W88" s="880"/>
      <c r="X88" s="880"/>
      <c r="Y88" s="880"/>
      <c r="Z88" s="880"/>
      <c r="AA88" s="881"/>
      <c r="AB88" s="880"/>
      <c r="AC88" s="880"/>
      <c r="AD88" s="880"/>
      <c r="AE88" s="880"/>
      <c r="AF88" s="881"/>
      <c r="AG88" s="880"/>
      <c r="AH88" s="880"/>
      <c r="AI88" s="880"/>
      <c r="AJ88" s="880"/>
      <c r="AK88" s="881"/>
      <c r="AL88" s="880"/>
      <c r="AM88" s="880"/>
      <c r="AN88" s="880"/>
      <c r="AO88" s="880"/>
      <c r="AP88" s="881"/>
      <c r="AQ88" s="880"/>
      <c r="AR88" s="880"/>
      <c r="AS88" s="880"/>
      <c r="AT88" s="880"/>
      <c r="AU88" s="881"/>
      <c r="AV88" s="880"/>
      <c r="AW88" s="880"/>
      <c r="AX88" s="880"/>
      <c r="AY88" s="880"/>
      <c r="AZ88" s="881"/>
      <c r="BA88" s="880"/>
      <c r="BB88" s="880"/>
      <c r="BC88" s="880"/>
      <c r="BD88" s="880"/>
      <c r="BE88" s="881"/>
      <c r="BF88" s="880"/>
      <c r="BG88" s="880"/>
      <c r="BH88" s="880"/>
      <c r="BI88" s="880"/>
      <c r="BJ88" s="881"/>
      <c r="BK88" s="880"/>
      <c r="BL88" s="880"/>
      <c r="BM88" s="880"/>
      <c r="BN88" s="880"/>
      <c r="BO88" s="881"/>
    </row>
    <row r="89" spans="1:67" s="58" customFormat="1">
      <c r="A89" s="107"/>
      <c r="C89" s="378"/>
      <c r="D89" s="379"/>
      <c r="E89" s="379"/>
      <c r="F89" s="379"/>
      <c r="G89" s="59"/>
      <c r="H89" s="378"/>
      <c r="I89" s="379"/>
      <c r="J89" s="379"/>
      <c r="K89" s="379"/>
      <c r="L89" s="59"/>
      <c r="M89" s="378"/>
      <c r="N89" s="379"/>
      <c r="O89" s="379"/>
      <c r="P89" s="379"/>
      <c r="Q89" s="59"/>
      <c r="R89" s="378"/>
      <c r="S89" s="379"/>
      <c r="T89" s="379"/>
      <c r="U89" s="379"/>
      <c r="V89" s="59"/>
      <c r="W89" s="378"/>
      <c r="X89" s="379"/>
      <c r="Y89" s="379"/>
      <c r="Z89" s="379"/>
      <c r="AA89" s="59"/>
      <c r="AB89" s="378"/>
      <c r="AC89" s="379"/>
      <c r="AD89" s="379"/>
      <c r="AE89" s="379"/>
      <c r="AF89" s="59"/>
      <c r="AG89" s="378"/>
      <c r="AH89" s="379"/>
      <c r="AI89" s="379"/>
      <c r="AJ89" s="379"/>
      <c r="AK89" s="59"/>
      <c r="AL89" s="378"/>
      <c r="AM89" s="379"/>
      <c r="AN89" s="379"/>
      <c r="AO89" s="379"/>
      <c r="AP89" s="59"/>
      <c r="AQ89" s="378"/>
      <c r="AR89" s="379"/>
      <c r="AS89" s="379"/>
      <c r="AT89" s="379"/>
      <c r="AU89" s="59"/>
      <c r="AV89" s="378"/>
      <c r="AW89" s="379"/>
      <c r="AX89" s="379"/>
      <c r="AY89" s="379"/>
      <c r="AZ89" s="59"/>
      <c r="BA89" s="378"/>
      <c r="BB89" s="379"/>
      <c r="BC89" s="379"/>
      <c r="BD89" s="379"/>
      <c r="BE89" s="59"/>
      <c r="BF89" s="378"/>
      <c r="BG89" s="379"/>
      <c r="BH89" s="379"/>
      <c r="BI89" s="379"/>
      <c r="BJ89" s="59"/>
      <c r="BK89" s="378"/>
      <c r="BL89" s="379"/>
      <c r="BM89" s="379"/>
      <c r="BN89" s="379"/>
      <c r="BO89" s="59"/>
    </row>
    <row r="90" spans="1:67" s="878" customFormat="1">
      <c r="A90" s="874"/>
      <c r="B90" s="875"/>
      <c r="C90" s="882"/>
      <c r="D90" s="882"/>
      <c r="E90" s="882"/>
      <c r="F90" s="882"/>
      <c r="H90" s="882"/>
      <c r="I90" s="882"/>
      <c r="J90" s="882"/>
      <c r="K90" s="882"/>
      <c r="M90" s="882"/>
      <c r="N90" s="882"/>
      <c r="O90" s="882"/>
      <c r="P90" s="882"/>
      <c r="R90" s="882"/>
      <c r="S90" s="882"/>
      <c r="T90" s="882"/>
      <c r="U90" s="882"/>
      <c r="W90" s="882"/>
      <c r="X90" s="882"/>
      <c r="Y90" s="882"/>
      <c r="Z90" s="882"/>
      <c r="AB90" s="882"/>
      <c r="AC90" s="882"/>
      <c r="AD90" s="882"/>
      <c r="AE90" s="882"/>
      <c r="AG90" s="882"/>
      <c r="AH90" s="882"/>
      <c r="AI90" s="882"/>
      <c r="AJ90" s="882"/>
      <c r="AL90" s="882"/>
      <c r="AM90" s="882"/>
      <c r="AN90" s="882"/>
      <c r="AO90" s="882"/>
      <c r="AQ90" s="882"/>
      <c r="AR90" s="882"/>
      <c r="AS90" s="882"/>
      <c r="AT90" s="882"/>
      <c r="AV90" s="882"/>
      <c r="AW90" s="882"/>
      <c r="AX90" s="882"/>
      <c r="AY90" s="882"/>
      <c r="BA90" s="882"/>
      <c r="BB90" s="882"/>
      <c r="BC90" s="882"/>
      <c r="BD90" s="882"/>
      <c r="BF90" s="882"/>
      <c r="BG90" s="882"/>
      <c r="BH90" s="882"/>
      <c r="BI90" s="882"/>
      <c r="BK90" s="882"/>
      <c r="BL90" s="882"/>
      <c r="BM90" s="882"/>
      <c r="BN90" s="882"/>
    </row>
    <row r="91" spans="1:67" s="868" customFormat="1">
      <c r="A91" s="883"/>
      <c r="B91" s="613"/>
      <c r="C91" s="384"/>
      <c r="D91" s="384"/>
      <c r="E91" s="384"/>
      <c r="F91" s="384"/>
      <c r="G91" s="884"/>
      <c r="H91" s="384"/>
      <c r="I91" s="384"/>
      <c r="J91" s="384"/>
      <c r="K91" s="384"/>
      <c r="L91" s="884"/>
      <c r="M91" s="384"/>
      <c r="N91" s="384"/>
      <c r="O91" s="384"/>
      <c r="P91" s="384"/>
      <c r="Q91" s="884"/>
      <c r="R91" s="384"/>
      <c r="S91" s="384"/>
      <c r="T91" s="384"/>
      <c r="U91" s="384"/>
      <c r="V91" s="884"/>
      <c r="W91" s="384"/>
      <c r="X91" s="384"/>
      <c r="Y91" s="384"/>
      <c r="Z91" s="384"/>
      <c r="AA91" s="884"/>
      <c r="AB91" s="384"/>
      <c r="AC91" s="384"/>
      <c r="AD91" s="384"/>
      <c r="AE91" s="384"/>
      <c r="AF91" s="884"/>
      <c r="AG91" s="384"/>
      <c r="AH91" s="384"/>
      <c r="AI91" s="384"/>
      <c r="AJ91" s="384"/>
      <c r="AK91" s="884"/>
      <c r="AL91" s="384"/>
      <c r="AM91" s="384"/>
      <c r="AN91" s="384"/>
      <c r="AO91" s="384"/>
      <c r="AP91" s="884"/>
      <c r="AQ91" s="384"/>
      <c r="AR91" s="384"/>
      <c r="AS91" s="384"/>
      <c r="AT91" s="384"/>
      <c r="AU91" s="884"/>
      <c r="AV91" s="384"/>
      <c r="AW91" s="384"/>
      <c r="AX91" s="384"/>
      <c r="AY91" s="384"/>
      <c r="AZ91" s="884"/>
      <c r="BA91" s="384"/>
      <c r="BB91" s="384"/>
      <c r="BC91" s="384"/>
      <c r="BD91" s="384"/>
      <c r="BE91" s="884"/>
      <c r="BF91" s="384"/>
      <c r="BG91" s="384"/>
      <c r="BH91" s="384"/>
      <c r="BI91" s="384"/>
      <c r="BJ91" s="884"/>
      <c r="BK91" s="384"/>
      <c r="BL91" s="384"/>
      <c r="BM91" s="384"/>
      <c r="BN91" s="384"/>
      <c r="BO91" s="884"/>
    </row>
    <row r="92" spans="1:67" s="58" customFormat="1">
      <c r="A92" s="107"/>
      <c r="C92" s="365"/>
      <c r="D92" s="466"/>
      <c r="E92" s="466"/>
      <c r="F92" s="466"/>
      <c r="G92" s="59"/>
      <c r="H92" s="365"/>
      <c r="I92" s="466"/>
      <c r="J92" s="466"/>
      <c r="K92" s="466"/>
      <c r="L92" s="59"/>
      <c r="M92" s="365"/>
      <c r="N92" s="466"/>
      <c r="O92" s="466"/>
      <c r="P92" s="466"/>
      <c r="Q92" s="59"/>
      <c r="R92" s="365"/>
      <c r="S92" s="466"/>
      <c r="T92" s="466"/>
      <c r="U92" s="466"/>
      <c r="V92" s="59"/>
      <c r="W92" s="365"/>
      <c r="X92" s="466"/>
      <c r="Y92" s="466"/>
      <c r="Z92" s="466"/>
      <c r="AA92" s="59"/>
      <c r="AB92" s="365"/>
      <c r="AC92" s="466"/>
      <c r="AD92" s="466"/>
      <c r="AE92" s="466"/>
      <c r="AF92" s="59"/>
      <c r="AG92" s="365"/>
      <c r="AH92" s="466"/>
      <c r="AI92" s="466"/>
      <c r="AJ92" s="466"/>
      <c r="AK92" s="59"/>
      <c r="AL92" s="365"/>
      <c r="AM92" s="466"/>
      <c r="AN92" s="466"/>
      <c r="AO92" s="466"/>
      <c r="AP92" s="59"/>
      <c r="AQ92" s="365"/>
      <c r="AR92" s="466"/>
      <c r="AS92" s="466"/>
      <c r="AT92" s="466"/>
      <c r="AU92" s="59"/>
      <c r="AV92" s="365"/>
      <c r="AW92" s="466"/>
      <c r="AX92" s="466"/>
      <c r="AY92" s="466"/>
      <c r="AZ92" s="59"/>
      <c r="BA92" s="365"/>
      <c r="BB92" s="466"/>
      <c r="BC92" s="466"/>
      <c r="BD92" s="466"/>
      <c r="BE92" s="59"/>
      <c r="BF92" s="365"/>
      <c r="BG92" s="466"/>
      <c r="BH92" s="466"/>
      <c r="BI92" s="466"/>
      <c r="BJ92" s="59"/>
      <c r="BK92" s="365"/>
      <c r="BL92" s="466"/>
      <c r="BM92" s="466"/>
      <c r="BN92" s="466"/>
      <c r="BO92" s="59"/>
    </row>
    <row r="93" spans="1:67" s="560" customFormat="1">
      <c r="A93" s="561"/>
      <c r="B93" s="597"/>
      <c r="C93" s="364"/>
      <c r="D93" s="364"/>
      <c r="E93" s="364"/>
      <c r="F93" s="364"/>
      <c r="G93" s="871"/>
      <c r="H93" s="364"/>
      <c r="I93" s="364"/>
      <c r="J93" s="364"/>
      <c r="K93" s="364"/>
      <c r="L93" s="871"/>
      <c r="M93" s="364"/>
      <c r="N93" s="364"/>
      <c r="O93" s="364"/>
      <c r="P93" s="364"/>
      <c r="Q93" s="871"/>
      <c r="R93" s="364"/>
      <c r="S93" s="364"/>
      <c r="T93" s="364"/>
      <c r="U93" s="364"/>
      <c r="V93" s="871"/>
      <c r="W93" s="364"/>
      <c r="X93" s="364"/>
      <c r="Y93" s="364"/>
      <c r="Z93" s="364"/>
      <c r="AA93" s="871"/>
      <c r="AB93" s="364"/>
      <c r="AC93" s="364"/>
      <c r="AD93" s="364"/>
      <c r="AE93" s="364"/>
      <c r="AF93" s="871"/>
      <c r="AG93" s="364"/>
      <c r="AH93" s="364"/>
      <c r="AI93" s="364"/>
      <c r="AJ93" s="364"/>
      <c r="AK93" s="871"/>
      <c r="AL93" s="364"/>
      <c r="AM93" s="364"/>
      <c r="AN93" s="364"/>
      <c r="AO93" s="364"/>
      <c r="AP93" s="871"/>
      <c r="AQ93" s="364"/>
      <c r="AR93" s="364"/>
      <c r="AS93" s="364"/>
      <c r="AT93" s="364"/>
      <c r="AU93" s="871"/>
      <c r="AV93" s="364"/>
      <c r="AW93" s="364"/>
      <c r="AX93" s="364"/>
      <c r="AY93" s="364"/>
      <c r="AZ93" s="871"/>
      <c r="BA93" s="364"/>
      <c r="BB93" s="364"/>
      <c r="BC93" s="364"/>
      <c r="BD93" s="364"/>
      <c r="BE93" s="871"/>
      <c r="BF93" s="364"/>
      <c r="BG93" s="364"/>
      <c r="BH93" s="364"/>
      <c r="BI93" s="364"/>
      <c r="BJ93" s="871"/>
      <c r="BK93" s="364"/>
      <c r="BL93" s="364"/>
      <c r="BM93" s="364"/>
      <c r="BN93" s="364"/>
      <c r="BO93" s="871"/>
    </row>
    <row r="94" spans="1:67" s="809" customFormat="1">
      <c r="A94" s="855"/>
      <c r="B94" s="610"/>
      <c r="C94" s="463"/>
      <c r="D94" s="384"/>
      <c r="E94" s="384"/>
      <c r="F94" s="384"/>
      <c r="G94" s="873"/>
      <c r="H94" s="463"/>
      <c r="I94" s="384"/>
      <c r="J94" s="384"/>
      <c r="K94" s="384"/>
      <c r="L94" s="873"/>
      <c r="M94" s="463"/>
      <c r="N94" s="384"/>
      <c r="O94" s="384"/>
      <c r="P94" s="384"/>
      <c r="Q94" s="873"/>
      <c r="R94" s="463"/>
      <c r="S94" s="384"/>
      <c r="T94" s="384"/>
      <c r="U94" s="384"/>
      <c r="V94" s="873"/>
      <c r="W94" s="463"/>
      <c r="X94" s="384"/>
      <c r="Y94" s="384"/>
      <c r="Z94" s="384"/>
      <c r="AA94" s="873"/>
      <c r="AB94" s="463"/>
      <c r="AC94" s="384"/>
      <c r="AD94" s="384"/>
      <c r="AE94" s="384"/>
      <c r="AF94" s="873"/>
      <c r="AG94" s="463"/>
      <c r="AH94" s="384"/>
      <c r="AI94" s="384"/>
      <c r="AJ94" s="384"/>
      <c r="AK94" s="873"/>
      <c r="AL94" s="463"/>
      <c r="AM94" s="384"/>
      <c r="AN94" s="384"/>
      <c r="AO94" s="384"/>
      <c r="AP94" s="873"/>
      <c r="AQ94" s="463"/>
      <c r="AR94" s="384"/>
      <c r="AS94" s="384"/>
      <c r="AT94" s="384"/>
      <c r="AU94" s="873"/>
      <c r="AV94" s="463"/>
      <c r="AW94" s="384"/>
      <c r="AX94" s="384"/>
      <c r="AY94" s="384"/>
      <c r="AZ94" s="873"/>
      <c r="BA94" s="463"/>
      <c r="BB94" s="384"/>
      <c r="BC94" s="384"/>
      <c r="BD94" s="384"/>
      <c r="BE94" s="873"/>
      <c r="BF94" s="463"/>
      <c r="BG94" s="384"/>
      <c r="BH94" s="384"/>
      <c r="BI94" s="384"/>
      <c r="BJ94" s="873"/>
      <c r="BK94" s="463"/>
      <c r="BL94" s="384"/>
      <c r="BM94" s="384"/>
      <c r="BN94" s="384"/>
      <c r="BO94" s="873"/>
    </row>
    <row r="95" spans="1:67" s="58" customFormat="1">
      <c r="A95" s="107"/>
      <c r="B95" s="610"/>
      <c r="C95" s="378"/>
      <c r="D95" s="379"/>
      <c r="E95" s="379"/>
      <c r="F95" s="379"/>
      <c r="G95" s="59"/>
      <c r="H95" s="378"/>
      <c r="I95" s="379"/>
      <c r="J95" s="379"/>
      <c r="K95" s="379"/>
      <c r="L95" s="59"/>
      <c r="M95" s="378"/>
      <c r="N95" s="379"/>
      <c r="O95" s="379"/>
      <c r="P95" s="379"/>
      <c r="Q95" s="59"/>
      <c r="R95" s="378"/>
      <c r="S95" s="379"/>
      <c r="T95" s="379"/>
      <c r="U95" s="379"/>
      <c r="V95" s="59"/>
      <c r="W95" s="378"/>
      <c r="X95" s="379"/>
      <c r="Y95" s="379"/>
      <c r="Z95" s="379"/>
      <c r="AA95" s="59"/>
      <c r="AB95" s="378"/>
      <c r="AC95" s="379"/>
      <c r="AD95" s="379"/>
      <c r="AE95" s="379"/>
      <c r="AF95" s="59"/>
      <c r="AG95" s="378"/>
      <c r="AH95" s="379"/>
      <c r="AI95" s="379"/>
      <c r="AJ95" s="379"/>
      <c r="AK95" s="59"/>
      <c r="AL95" s="378"/>
      <c r="AM95" s="379"/>
      <c r="AN95" s="379"/>
      <c r="AO95" s="379"/>
      <c r="AP95" s="59"/>
      <c r="AQ95" s="378"/>
      <c r="AR95" s="379"/>
      <c r="AS95" s="379"/>
      <c r="AT95" s="379"/>
      <c r="AU95" s="59"/>
      <c r="AV95" s="378"/>
      <c r="AW95" s="379"/>
      <c r="AX95" s="379"/>
      <c r="AY95" s="379"/>
      <c r="AZ95" s="59"/>
      <c r="BA95" s="378"/>
      <c r="BB95" s="379"/>
      <c r="BC95" s="379"/>
      <c r="BD95" s="379"/>
      <c r="BE95" s="59"/>
      <c r="BF95" s="378"/>
      <c r="BG95" s="379"/>
      <c r="BH95" s="379"/>
      <c r="BI95" s="379"/>
      <c r="BJ95" s="59"/>
      <c r="BK95" s="378"/>
      <c r="BL95" s="379"/>
      <c r="BM95" s="379"/>
      <c r="BN95" s="379"/>
      <c r="BO95" s="59"/>
    </row>
    <row r="96" spans="1:67" s="239" customFormat="1">
      <c r="A96" s="885"/>
      <c r="C96" s="886"/>
      <c r="D96" s="887"/>
      <c r="E96" s="887"/>
      <c r="F96" s="887"/>
      <c r="G96" s="254"/>
      <c r="H96" s="886"/>
      <c r="I96" s="887"/>
      <c r="J96" s="887"/>
      <c r="K96" s="887"/>
      <c r="L96" s="254"/>
      <c r="M96" s="886"/>
      <c r="N96" s="887"/>
      <c r="O96" s="887"/>
      <c r="P96" s="887"/>
      <c r="Q96" s="254"/>
      <c r="R96" s="886"/>
      <c r="S96" s="887"/>
      <c r="T96" s="887"/>
      <c r="U96" s="887"/>
      <c r="V96" s="254"/>
      <c r="W96" s="886"/>
      <c r="X96" s="887"/>
      <c r="Y96" s="887"/>
      <c r="Z96" s="887"/>
      <c r="AA96" s="254"/>
      <c r="AB96" s="886"/>
      <c r="AC96" s="887"/>
      <c r="AD96" s="887"/>
      <c r="AE96" s="887"/>
      <c r="AF96" s="254"/>
      <c r="AG96" s="886"/>
      <c r="AH96" s="887"/>
      <c r="AI96" s="887"/>
      <c r="AJ96" s="887"/>
      <c r="AK96" s="254"/>
      <c r="AL96" s="886"/>
      <c r="AM96" s="887"/>
      <c r="AN96" s="887"/>
      <c r="AO96" s="887"/>
      <c r="AP96" s="254"/>
      <c r="AQ96" s="886"/>
      <c r="AR96" s="887"/>
      <c r="AS96" s="887"/>
      <c r="AT96" s="887"/>
      <c r="AU96" s="254"/>
      <c r="AV96" s="886"/>
      <c r="AW96" s="887"/>
      <c r="AX96" s="887"/>
      <c r="AY96" s="887"/>
      <c r="AZ96" s="254"/>
      <c r="BA96" s="886"/>
      <c r="BB96" s="887"/>
      <c r="BC96" s="887"/>
      <c r="BD96" s="887"/>
      <c r="BE96" s="254"/>
      <c r="BF96" s="886"/>
      <c r="BG96" s="887"/>
      <c r="BH96" s="887"/>
      <c r="BI96" s="887"/>
      <c r="BJ96" s="254"/>
      <c r="BK96" s="886"/>
      <c r="BL96" s="887"/>
      <c r="BM96" s="887"/>
      <c r="BN96" s="887"/>
      <c r="BO96" s="254"/>
    </row>
    <row r="97" spans="1:67" s="239" customFormat="1">
      <c r="A97" s="885"/>
      <c r="C97" s="888"/>
      <c r="D97" s="642"/>
      <c r="E97" s="642"/>
      <c r="F97" s="642"/>
      <c r="G97" s="254"/>
      <c r="H97" s="888"/>
      <c r="I97" s="642"/>
      <c r="J97" s="642"/>
      <c r="K97" s="642"/>
      <c r="L97" s="254"/>
      <c r="M97" s="888"/>
      <c r="N97" s="642"/>
      <c r="O97" s="642"/>
      <c r="P97" s="642"/>
      <c r="Q97" s="254"/>
      <c r="R97" s="888"/>
      <c r="S97" s="642"/>
      <c r="T97" s="642"/>
      <c r="U97" s="642"/>
      <c r="V97" s="254"/>
      <c r="W97" s="888"/>
      <c r="X97" s="642"/>
      <c r="Y97" s="642"/>
      <c r="Z97" s="642"/>
      <c r="AA97" s="254"/>
      <c r="AB97" s="888"/>
      <c r="AC97" s="642"/>
      <c r="AD97" s="642"/>
      <c r="AE97" s="642"/>
      <c r="AF97" s="254"/>
      <c r="AG97" s="888"/>
      <c r="AH97" s="642"/>
      <c r="AI97" s="642"/>
      <c r="AJ97" s="642"/>
      <c r="AK97" s="254"/>
      <c r="AL97" s="888"/>
      <c r="AM97" s="642"/>
      <c r="AN97" s="642"/>
      <c r="AO97" s="642"/>
      <c r="AP97" s="254"/>
      <c r="AQ97" s="888"/>
      <c r="AR97" s="642"/>
      <c r="AS97" s="642"/>
      <c r="AT97" s="642"/>
      <c r="AU97" s="254"/>
      <c r="AV97" s="888"/>
      <c r="AW97" s="642"/>
      <c r="AX97" s="642"/>
      <c r="AY97" s="642"/>
      <c r="AZ97" s="254"/>
      <c r="BA97" s="888"/>
      <c r="BB97" s="642"/>
      <c r="BC97" s="642"/>
      <c r="BD97" s="642"/>
      <c r="BE97" s="254"/>
      <c r="BF97" s="888"/>
      <c r="BG97" s="642"/>
      <c r="BH97" s="642"/>
      <c r="BI97" s="642"/>
      <c r="BJ97" s="254"/>
      <c r="BK97" s="888"/>
      <c r="BL97" s="642"/>
      <c r="BM97" s="642"/>
      <c r="BN97" s="642"/>
      <c r="BO97" s="254"/>
    </row>
    <row r="98" spans="1:67" s="58" customFormat="1">
      <c r="A98" s="107"/>
      <c r="C98" s="448"/>
      <c r="D98" s="384"/>
      <c r="E98" s="384"/>
      <c r="F98" s="384"/>
      <c r="G98" s="59"/>
      <c r="H98" s="448"/>
      <c r="I98" s="384"/>
      <c r="J98" s="384"/>
      <c r="K98" s="384"/>
      <c r="L98" s="59"/>
      <c r="M98" s="448"/>
      <c r="N98" s="384"/>
      <c r="O98" s="384"/>
      <c r="P98" s="384"/>
      <c r="Q98" s="59"/>
      <c r="R98" s="448"/>
      <c r="S98" s="384"/>
      <c r="T98" s="384"/>
      <c r="U98" s="384"/>
      <c r="V98" s="59"/>
      <c r="W98" s="448"/>
      <c r="X98" s="384"/>
      <c r="Y98" s="384"/>
      <c r="Z98" s="384"/>
      <c r="AA98" s="59"/>
      <c r="AB98" s="448"/>
      <c r="AC98" s="384"/>
      <c r="AD98" s="384"/>
      <c r="AE98" s="384"/>
      <c r="AF98" s="59"/>
      <c r="AG98" s="448"/>
      <c r="AH98" s="384"/>
      <c r="AI98" s="384"/>
      <c r="AJ98" s="384"/>
      <c r="AK98" s="59"/>
      <c r="AL98" s="448"/>
      <c r="AM98" s="384"/>
      <c r="AN98" s="384"/>
      <c r="AO98" s="384"/>
      <c r="AP98" s="59"/>
      <c r="AQ98" s="448"/>
      <c r="AR98" s="384"/>
      <c r="AS98" s="384"/>
      <c r="AT98" s="384"/>
      <c r="AU98" s="59"/>
      <c r="AV98" s="448"/>
      <c r="AW98" s="384"/>
      <c r="AX98" s="384"/>
      <c r="AY98" s="384"/>
      <c r="AZ98" s="59"/>
      <c r="BA98" s="448"/>
      <c r="BB98" s="384"/>
      <c r="BC98" s="384"/>
      <c r="BD98" s="384"/>
      <c r="BE98" s="59"/>
      <c r="BF98" s="448"/>
      <c r="BG98" s="384"/>
      <c r="BH98" s="384"/>
      <c r="BI98" s="384"/>
      <c r="BJ98" s="59"/>
      <c r="BK98" s="448"/>
      <c r="BL98" s="384"/>
      <c r="BM98" s="384"/>
      <c r="BN98" s="384"/>
      <c r="BO98" s="59"/>
    </row>
    <row r="99" spans="1:67" s="58" customFormat="1">
      <c r="A99" s="107"/>
      <c r="C99" s="365"/>
      <c r="D99" s="466"/>
      <c r="E99" s="466"/>
      <c r="F99" s="466"/>
      <c r="G99" s="59"/>
      <c r="H99" s="365"/>
      <c r="I99" s="466"/>
      <c r="J99" s="466"/>
      <c r="K99" s="466"/>
      <c r="L99" s="59"/>
      <c r="M99" s="365"/>
      <c r="N99" s="466"/>
      <c r="O99" s="466"/>
      <c r="P99" s="466"/>
      <c r="Q99" s="59"/>
      <c r="R99" s="365"/>
      <c r="S99" s="466"/>
      <c r="T99" s="466"/>
      <c r="U99" s="466"/>
      <c r="V99" s="59"/>
      <c r="W99" s="365"/>
      <c r="X99" s="466"/>
      <c r="Y99" s="466"/>
      <c r="Z99" s="466"/>
      <c r="AA99" s="59"/>
      <c r="AB99" s="365"/>
      <c r="AC99" s="466"/>
      <c r="AD99" s="466"/>
      <c r="AE99" s="466"/>
      <c r="AF99" s="59"/>
      <c r="AG99" s="365"/>
      <c r="AH99" s="466"/>
      <c r="AI99" s="466"/>
      <c r="AJ99" s="466"/>
      <c r="AK99" s="59"/>
      <c r="AL99" s="365"/>
      <c r="AM99" s="466"/>
      <c r="AN99" s="466"/>
      <c r="AO99" s="466"/>
      <c r="AP99" s="59"/>
      <c r="AQ99" s="365"/>
      <c r="AR99" s="466"/>
      <c r="AS99" s="466"/>
      <c r="AT99" s="466"/>
      <c r="AU99" s="59"/>
      <c r="AV99" s="365"/>
      <c r="AW99" s="466"/>
      <c r="AX99" s="466"/>
      <c r="AY99" s="466"/>
      <c r="AZ99" s="59"/>
      <c r="BA99" s="365"/>
      <c r="BB99" s="466"/>
      <c r="BC99" s="466"/>
      <c r="BD99" s="466"/>
      <c r="BE99" s="59"/>
      <c r="BF99" s="365"/>
      <c r="BG99" s="466"/>
      <c r="BH99" s="466"/>
      <c r="BI99" s="466"/>
      <c r="BJ99" s="59"/>
      <c r="BK99" s="365"/>
      <c r="BL99" s="466"/>
      <c r="BM99" s="466"/>
      <c r="BN99" s="466"/>
      <c r="BO99" s="59"/>
    </row>
    <row r="100" spans="1:67" s="58" customFormat="1">
      <c r="A100" s="107"/>
      <c r="C100" s="378"/>
      <c r="D100" s="379"/>
      <c r="E100" s="379"/>
      <c r="F100" s="379"/>
      <c r="G100" s="59"/>
      <c r="H100" s="378"/>
      <c r="I100" s="379"/>
      <c r="J100" s="379"/>
      <c r="K100" s="379"/>
      <c r="L100" s="59"/>
      <c r="M100" s="378"/>
      <c r="N100" s="379"/>
      <c r="O100" s="379"/>
      <c r="P100" s="379"/>
      <c r="Q100" s="59"/>
      <c r="R100" s="378"/>
      <c r="S100" s="379"/>
      <c r="T100" s="379"/>
      <c r="U100" s="379"/>
      <c r="V100" s="59"/>
      <c r="W100" s="378"/>
      <c r="X100" s="379"/>
      <c r="Y100" s="379"/>
      <c r="Z100" s="379"/>
      <c r="AA100" s="59"/>
      <c r="AB100" s="378"/>
      <c r="AC100" s="379"/>
      <c r="AD100" s="379"/>
      <c r="AE100" s="379"/>
      <c r="AF100" s="59"/>
      <c r="AG100" s="378"/>
      <c r="AH100" s="379"/>
      <c r="AI100" s="379"/>
      <c r="AJ100" s="379"/>
      <c r="AK100" s="59"/>
      <c r="AL100" s="378"/>
      <c r="AM100" s="379"/>
      <c r="AN100" s="379"/>
      <c r="AO100" s="379"/>
      <c r="AP100" s="59"/>
      <c r="AQ100" s="378"/>
      <c r="AR100" s="379"/>
      <c r="AS100" s="379"/>
      <c r="AT100" s="379"/>
      <c r="AU100" s="59"/>
      <c r="AV100" s="378"/>
      <c r="AW100" s="379"/>
      <c r="AX100" s="379"/>
      <c r="AY100" s="379"/>
      <c r="AZ100" s="59"/>
      <c r="BA100" s="378"/>
      <c r="BB100" s="379"/>
      <c r="BC100" s="379"/>
      <c r="BD100" s="379"/>
      <c r="BE100" s="59"/>
      <c r="BF100" s="378"/>
      <c r="BG100" s="379"/>
      <c r="BH100" s="379"/>
      <c r="BI100" s="379"/>
      <c r="BJ100" s="59"/>
      <c r="BK100" s="378"/>
      <c r="BL100" s="379"/>
      <c r="BM100" s="379"/>
      <c r="BN100" s="379"/>
      <c r="BO100" s="59"/>
    </row>
    <row r="101" spans="1:67" s="58" customFormat="1">
      <c r="A101" s="107"/>
      <c r="C101" s="448"/>
      <c r="D101" s="384"/>
      <c r="E101" s="384"/>
      <c r="F101" s="384"/>
      <c r="G101" s="59"/>
      <c r="H101" s="448"/>
      <c r="I101" s="384"/>
      <c r="J101" s="384"/>
      <c r="K101" s="384"/>
      <c r="L101" s="59"/>
      <c r="M101" s="448"/>
      <c r="N101" s="384"/>
      <c r="O101" s="384"/>
      <c r="P101" s="384"/>
      <c r="Q101" s="59"/>
      <c r="R101" s="448"/>
      <c r="S101" s="384"/>
      <c r="T101" s="384"/>
      <c r="U101" s="384"/>
      <c r="V101" s="59"/>
      <c r="W101" s="448"/>
      <c r="X101" s="384"/>
      <c r="Y101" s="384"/>
      <c r="Z101" s="384"/>
      <c r="AA101" s="59"/>
      <c r="AB101" s="448"/>
      <c r="AC101" s="384"/>
      <c r="AD101" s="384"/>
      <c r="AE101" s="384"/>
      <c r="AF101" s="59"/>
      <c r="AG101" s="448"/>
      <c r="AH101" s="384"/>
      <c r="AI101" s="384"/>
      <c r="AJ101" s="384"/>
      <c r="AK101" s="59"/>
      <c r="AL101" s="448"/>
      <c r="AM101" s="384"/>
      <c r="AN101" s="384"/>
      <c r="AO101" s="384"/>
      <c r="AP101" s="59"/>
      <c r="AQ101" s="448"/>
      <c r="AR101" s="384"/>
      <c r="AS101" s="384"/>
      <c r="AT101" s="384"/>
      <c r="AU101" s="59"/>
      <c r="AV101" s="448"/>
      <c r="AW101" s="384"/>
      <c r="AX101" s="384"/>
      <c r="AY101" s="384"/>
      <c r="AZ101" s="59"/>
      <c r="BA101" s="448"/>
      <c r="BB101" s="384"/>
      <c r="BC101" s="384"/>
      <c r="BD101" s="384"/>
      <c r="BE101" s="59"/>
      <c r="BF101" s="448"/>
      <c r="BG101" s="384"/>
      <c r="BH101" s="384"/>
      <c r="BI101" s="384"/>
      <c r="BJ101" s="59"/>
      <c r="BK101" s="448"/>
      <c r="BL101" s="384"/>
      <c r="BM101" s="384"/>
      <c r="BN101" s="384"/>
      <c r="BO101" s="59"/>
    </row>
    <row r="102" spans="1:67" s="58" customFormat="1">
      <c r="A102" s="107"/>
      <c r="C102" s="365"/>
      <c r="D102" s="466"/>
      <c r="E102" s="466"/>
      <c r="F102" s="466"/>
      <c r="G102" s="59"/>
      <c r="H102" s="365"/>
      <c r="I102" s="466"/>
      <c r="J102" s="466"/>
      <c r="K102" s="466"/>
      <c r="L102" s="59"/>
      <c r="M102" s="365"/>
      <c r="N102" s="466"/>
      <c r="O102" s="466"/>
      <c r="P102" s="466"/>
      <c r="Q102" s="59"/>
      <c r="R102" s="365"/>
      <c r="S102" s="466"/>
      <c r="T102" s="466"/>
      <c r="U102" s="466"/>
      <c r="V102" s="59"/>
      <c r="W102" s="365"/>
      <c r="X102" s="466"/>
      <c r="Y102" s="466"/>
      <c r="Z102" s="466"/>
      <c r="AA102" s="59"/>
      <c r="AB102" s="365"/>
      <c r="AC102" s="466"/>
      <c r="AD102" s="466"/>
      <c r="AE102" s="466"/>
      <c r="AF102" s="59"/>
      <c r="AG102" s="365"/>
      <c r="AH102" s="466"/>
      <c r="AI102" s="466"/>
      <c r="AJ102" s="466"/>
      <c r="AK102" s="59"/>
      <c r="AL102" s="365"/>
      <c r="AM102" s="466"/>
      <c r="AN102" s="466"/>
      <c r="AO102" s="466"/>
      <c r="AP102" s="59"/>
      <c r="AQ102" s="365"/>
      <c r="AR102" s="466"/>
      <c r="AS102" s="466"/>
      <c r="AT102" s="466"/>
      <c r="AU102" s="59"/>
      <c r="AV102" s="365"/>
      <c r="AW102" s="466"/>
      <c r="AX102" s="466"/>
      <c r="AY102" s="466"/>
      <c r="AZ102" s="59"/>
      <c r="BA102" s="365"/>
      <c r="BB102" s="466"/>
      <c r="BC102" s="466"/>
      <c r="BD102" s="466"/>
      <c r="BE102" s="59"/>
      <c r="BF102" s="365"/>
      <c r="BG102" s="466"/>
      <c r="BH102" s="466"/>
      <c r="BI102" s="466"/>
      <c r="BJ102" s="59"/>
      <c r="BK102" s="365"/>
      <c r="BL102" s="466"/>
      <c r="BM102" s="466"/>
      <c r="BN102" s="466"/>
      <c r="BO102" s="59"/>
    </row>
    <row r="103" spans="1:67" s="58" customFormat="1">
      <c r="A103" s="107"/>
      <c r="B103" s="80"/>
      <c r="C103" s="365"/>
      <c r="D103" s="466"/>
      <c r="E103" s="466"/>
      <c r="F103" s="466"/>
      <c r="G103" s="59"/>
      <c r="H103" s="365"/>
      <c r="I103" s="466"/>
      <c r="J103" s="466"/>
      <c r="K103" s="466"/>
      <c r="L103" s="59"/>
      <c r="M103" s="365"/>
      <c r="N103" s="466"/>
      <c r="O103" s="466"/>
      <c r="P103" s="466"/>
      <c r="Q103" s="59"/>
      <c r="R103" s="365"/>
      <c r="S103" s="466"/>
      <c r="T103" s="466"/>
      <c r="U103" s="466"/>
      <c r="V103" s="59"/>
      <c r="W103" s="365"/>
      <c r="X103" s="466"/>
      <c r="Y103" s="466"/>
      <c r="Z103" s="466"/>
      <c r="AA103" s="59"/>
      <c r="AB103" s="365"/>
      <c r="AC103" s="466"/>
      <c r="AD103" s="466"/>
      <c r="AE103" s="466"/>
      <c r="AF103" s="59"/>
      <c r="AG103" s="365"/>
      <c r="AH103" s="466"/>
      <c r="AI103" s="466"/>
      <c r="AJ103" s="466"/>
      <c r="AK103" s="59"/>
      <c r="AL103" s="365"/>
      <c r="AM103" s="466"/>
      <c r="AN103" s="466"/>
      <c r="AO103" s="466"/>
      <c r="AP103" s="59"/>
      <c r="AQ103" s="365"/>
      <c r="AR103" s="466"/>
      <c r="AS103" s="466"/>
      <c r="AT103" s="466"/>
      <c r="AU103" s="59"/>
      <c r="AV103" s="365"/>
      <c r="AW103" s="466"/>
      <c r="AX103" s="466"/>
      <c r="AY103" s="466"/>
      <c r="AZ103" s="59"/>
      <c r="BA103" s="365"/>
      <c r="BB103" s="466"/>
      <c r="BC103" s="466"/>
      <c r="BD103" s="466"/>
      <c r="BE103" s="59"/>
      <c r="BF103" s="365"/>
      <c r="BG103" s="466"/>
      <c r="BH103" s="466"/>
      <c r="BI103" s="466"/>
      <c r="BJ103" s="59"/>
      <c r="BK103" s="365"/>
      <c r="BL103" s="466"/>
      <c r="BM103" s="466"/>
      <c r="BN103" s="466"/>
      <c r="BO103" s="59"/>
    </row>
    <row r="104" spans="1:67" s="654" customFormat="1" outlineLevel="1">
      <c r="A104" s="889"/>
      <c r="C104" s="890"/>
      <c r="D104" s="891"/>
      <c r="E104" s="891"/>
      <c r="F104" s="891"/>
      <c r="G104" s="230"/>
      <c r="H104" s="890"/>
      <c r="I104" s="891"/>
      <c r="J104" s="891"/>
      <c r="K104" s="891"/>
      <c r="L104" s="230"/>
      <c r="M104" s="890"/>
      <c r="N104" s="891"/>
      <c r="O104" s="891"/>
      <c r="P104" s="891"/>
      <c r="Q104" s="230"/>
      <c r="R104" s="890"/>
      <c r="S104" s="891"/>
      <c r="T104" s="891"/>
      <c r="U104" s="891"/>
      <c r="V104" s="230"/>
      <c r="W104" s="890"/>
      <c r="X104" s="891"/>
      <c r="Y104" s="891"/>
      <c r="Z104" s="891"/>
      <c r="AA104" s="230"/>
      <c r="AB104" s="890"/>
      <c r="AC104" s="891"/>
      <c r="AD104" s="891"/>
      <c r="AE104" s="891"/>
      <c r="AF104" s="230"/>
      <c r="AG104" s="890"/>
      <c r="AH104" s="891"/>
      <c r="AI104" s="891"/>
      <c r="AJ104" s="891"/>
      <c r="AK104" s="230"/>
      <c r="AL104" s="890"/>
      <c r="AM104" s="891"/>
      <c r="AN104" s="891"/>
      <c r="AO104" s="891"/>
      <c r="AP104" s="230"/>
      <c r="AQ104" s="890"/>
      <c r="AR104" s="891"/>
      <c r="AS104" s="891"/>
      <c r="AT104" s="891"/>
      <c r="AU104" s="230"/>
      <c r="AV104" s="890"/>
      <c r="AW104" s="891"/>
      <c r="AX104" s="891"/>
      <c r="AY104" s="891"/>
      <c r="AZ104" s="230"/>
      <c r="BA104" s="890"/>
      <c r="BB104" s="891"/>
      <c r="BC104" s="891"/>
      <c r="BD104" s="891"/>
      <c r="BE104" s="230"/>
      <c r="BF104" s="890"/>
      <c r="BG104" s="891"/>
      <c r="BH104" s="891"/>
      <c r="BI104" s="891"/>
      <c r="BJ104" s="230"/>
      <c r="BK104" s="890"/>
      <c r="BL104" s="891"/>
      <c r="BM104" s="891"/>
      <c r="BN104" s="891"/>
      <c r="BO104" s="230"/>
    </row>
    <row r="105" spans="1:67" s="654" customFormat="1" outlineLevel="1">
      <c r="A105" s="889"/>
      <c r="C105" s="892"/>
      <c r="D105" s="892"/>
      <c r="E105" s="892"/>
      <c r="F105" s="892"/>
      <c r="G105" s="230"/>
      <c r="H105" s="892"/>
      <c r="I105" s="892"/>
      <c r="J105" s="892"/>
      <c r="K105" s="892"/>
      <c r="L105" s="230"/>
      <c r="M105" s="892"/>
      <c r="N105" s="892"/>
      <c r="O105" s="892"/>
      <c r="P105" s="892"/>
      <c r="Q105" s="230"/>
      <c r="R105" s="892"/>
      <c r="S105" s="892"/>
      <c r="T105" s="892"/>
      <c r="U105" s="892"/>
      <c r="V105" s="230"/>
      <c r="W105" s="892"/>
      <c r="X105" s="892"/>
      <c r="Y105" s="892"/>
      <c r="Z105" s="892"/>
      <c r="AA105" s="230"/>
      <c r="AB105" s="892"/>
      <c r="AC105" s="892"/>
      <c r="AD105" s="892"/>
      <c r="AE105" s="892"/>
      <c r="AF105" s="230"/>
      <c r="AG105" s="892"/>
      <c r="AH105" s="892"/>
      <c r="AI105" s="892"/>
      <c r="AJ105" s="892"/>
      <c r="AK105" s="230"/>
      <c r="AL105" s="892"/>
      <c r="AM105" s="892"/>
      <c r="AN105" s="892"/>
      <c r="AO105" s="892"/>
      <c r="AP105" s="230"/>
      <c r="AQ105" s="892"/>
      <c r="AR105" s="892"/>
      <c r="AS105" s="892"/>
      <c r="AT105" s="892"/>
      <c r="AU105" s="230"/>
      <c r="AV105" s="892"/>
      <c r="AW105" s="892"/>
      <c r="AX105" s="892"/>
      <c r="AY105" s="892"/>
      <c r="AZ105" s="230"/>
      <c r="BA105" s="892"/>
      <c r="BB105" s="892"/>
      <c r="BC105" s="892"/>
      <c r="BD105" s="892"/>
      <c r="BE105" s="230"/>
      <c r="BF105" s="892"/>
      <c r="BG105" s="892"/>
      <c r="BH105" s="892"/>
      <c r="BI105" s="892"/>
      <c r="BJ105" s="230"/>
      <c r="BK105" s="892"/>
      <c r="BL105" s="892"/>
      <c r="BM105" s="892"/>
      <c r="BN105" s="892"/>
      <c r="BO105" s="230"/>
    </row>
    <row r="106" spans="1:67" s="654" customFormat="1" outlineLevel="1">
      <c r="A106" s="889"/>
      <c r="C106" s="893"/>
      <c r="D106" s="894"/>
      <c r="E106" s="894"/>
      <c r="F106" s="894"/>
      <c r="G106" s="230"/>
      <c r="H106" s="893"/>
      <c r="I106" s="894"/>
      <c r="J106" s="894"/>
      <c r="K106" s="894"/>
      <c r="L106" s="230"/>
      <c r="M106" s="893"/>
      <c r="N106" s="894"/>
      <c r="O106" s="894"/>
      <c r="P106" s="894"/>
      <c r="Q106" s="230"/>
      <c r="R106" s="893"/>
      <c r="S106" s="894"/>
      <c r="T106" s="894"/>
      <c r="U106" s="894"/>
      <c r="V106" s="230"/>
      <c r="W106" s="893"/>
      <c r="X106" s="894"/>
      <c r="Y106" s="894"/>
      <c r="Z106" s="894"/>
      <c r="AA106" s="230"/>
      <c r="AB106" s="893"/>
      <c r="AC106" s="894"/>
      <c r="AD106" s="894"/>
      <c r="AE106" s="894"/>
      <c r="AF106" s="230"/>
      <c r="AG106" s="893"/>
      <c r="AH106" s="894"/>
      <c r="AI106" s="894"/>
      <c r="AJ106" s="894"/>
      <c r="AK106" s="230"/>
      <c r="AL106" s="893"/>
      <c r="AM106" s="894"/>
      <c r="AN106" s="894"/>
      <c r="AO106" s="894"/>
      <c r="AP106" s="230"/>
      <c r="AQ106" s="893"/>
      <c r="AR106" s="894"/>
      <c r="AS106" s="894"/>
      <c r="AT106" s="894"/>
      <c r="AU106" s="230"/>
      <c r="AV106" s="893"/>
      <c r="AW106" s="894"/>
      <c r="AX106" s="894"/>
      <c r="AY106" s="894"/>
      <c r="AZ106" s="230"/>
      <c r="BA106" s="893"/>
      <c r="BB106" s="894"/>
      <c r="BC106" s="894"/>
      <c r="BD106" s="894"/>
      <c r="BE106" s="230"/>
      <c r="BF106" s="893"/>
      <c r="BG106" s="894"/>
      <c r="BH106" s="894"/>
      <c r="BI106" s="894"/>
      <c r="BJ106" s="230"/>
      <c r="BK106" s="893"/>
      <c r="BL106" s="894"/>
      <c r="BM106" s="894"/>
      <c r="BN106" s="894"/>
      <c r="BO106" s="230"/>
    </row>
    <row r="107" spans="1:67" s="654" customFormat="1" outlineLevel="1">
      <c r="A107" s="889"/>
      <c r="C107" s="893"/>
      <c r="D107" s="894"/>
      <c r="E107" s="894"/>
      <c r="F107" s="894"/>
      <c r="G107" s="230"/>
      <c r="H107" s="893"/>
      <c r="I107" s="894"/>
      <c r="J107" s="894"/>
      <c r="K107" s="894"/>
      <c r="L107" s="230"/>
      <c r="M107" s="893"/>
      <c r="N107" s="894"/>
      <c r="O107" s="894"/>
      <c r="P107" s="894"/>
      <c r="Q107" s="230"/>
      <c r="R107" s="893"/>
      <c r="S107" s="894"/>
      <c r="T107" s="894"/>
      <c r="U107" s="894"/>
      <c r="V107" s="230"/>
      <c r="W107" s="893"/>
      <c r="X107" s="894"/>
      <c r="Y107" s="894"/>
      <c r="Z107" s="894"/>
      <c r="AA107" s="230"/>
      <c r="AB107" s="893"/>
      <c r="AC107" s="894"/>
      <c r="AD107" s="894"/>
      <c r="AE107" s="894"/>
      <c r="AF107" s="230"/>
      <c r="AG107" s="893"/>
      <c r="AH107" s="894"/>
      <c r="AI107" s="894"/>
      <c r="AJ107" s="894"/>
      <c r="AK107" s="230"/>
      <c r="AL107" s="893"/>
      <c r="AM107" s="894"/>
      <c r="AN107" s="894"/>
      <c r="AO107" s="894"/>
      <c r="AP107" s="230"/>
      <c r="AQ107" s="893"/>
      <c r="AR107" s="894"/>
      <c r="AS107" s="894"/>
      <c r="AT107" s="894"/>
      <c r="AU107" s="230"/>
      <c r="AV107" s="893"/>
      <c r="AW107" s="894"/>
      <c r="AX107" s="894"/>
      <c r="AY107" s="894"/>
      <c r="AZ107" s="230"/>
      <c r="BA107" s="893"/>
      <c r="BB107" s="894"/>
      <c r="BC107" s="894"/>
      <c r="BD107" s="894"/>
      <c r="BE107" s="230"/>
      <c r="BF107" s="893"/>
      <c r="BG107" s="894"/>
      <c r="BH107" s="894"/>
      <c r="BI107" s="894"/>
      <c r="BJ107" s="230"/>
      <c r="BK107" s="893"/>
      <c r="BL107" s="894"/>
      <c r="BM107" s="894"/>
      <c r="BN107" s="894"/>
      <c r="BO107" s="230"/>
    </row>
    <row r="108" spans="1:67" s="654" customFormat="1" outlineLevel="1">
      <c r="A108" s="889"/>
      <c r="C108" s="893"/>
      <c r="D108" s="894"/>
      <c r="E108" s="894"/>
      <c r="F108" s="894"/>
      <c r="G108" s="230"/>
      <c r="H108" s="893"/>
      <c r="I108" s="894"/>
      <c r="J108" s="894"/>
      <c r="K108" s="894"/>
      <c r="L108" s="230"/>
      <c r="M108" s="893"/>
      <c r="N108" s="894"/>
      <c r="O108" s="894"/>
      <c r="P108" s="894"/>
      <c r="Q108" s="230"/>
      <c r="R108" s="893"/>
      <c r="S108" s="894"/>
      <c r="T108" s="894"/>
      <c r="U108" s="894"/>
      <c r="V108" s="230"/>
      <c r="W108" s="893"/>
      <c r="X108" s="894"/>
      <c r="Y108" s="894"/>
      <c r="Z108" s="894"/>
      <c r="AA108" s="230"/>
      <c r="AB108" s="893"/>
      <c r="AC108" s="894"/>
      <c r="AD108" s="894"/>
      <c r="AE108" s="894"/>
      <c r="AF108" s="230"/>
      <c r="AG108" s="893"/>
      <c r="AH108" s="894"/>
      <c r="AI108" s="894"/>
      <c r="AJ108" s="894"/>
      <c r="AK108" s="230"/>
      <c r="AL108" s="893"/>
      <c r="AM108" s="894"/>
      <c r="AN108" s="894"/>
      <c r="AO108" s="894"/>
      <c r="AP108" s="230"/>
      <c r="AQ108" s="893"/>
      <c r="AR108" s="894"/>
      <c r="AS108" s="894"/>
      <c r="AT108" s="894"/>
      <c r="AU108" s="230"/>
      <c r="AV108" s="893"/>
      <c r="AW108" s="894"/>
      <c r="AX108" s="894"/>
      <c r="AY108" s="894"/>
      <c r="AZ108" s="230"/>
      <c r="BA108" s="893"/>
      <c r="BB108" s="894"/>
      <c r="BC108" s="894"/>
      <c r="BD108" s="894"/>
      <c r="BE108" s="230"/>
      <c r="BF108" s="893"/>
      <c r="BG108" s="894"/>
      <c r="BH108" s="894"/>
      <c r="BI108" s="894"/>
      <c r="BJ108" s="230"/>
      <c r="BK108" s="893"/>
      <c r="BL108" s="894"/>
      <c r="BM108" s="894"/>
      <c r="BN108" s="894"/>
      <c r="BO108" s="230"/>
    </row>
    <row r="109" spans="1:67" s="654" customFormat="1" outlineLevel="1">
      <c r="A109" s="889"/>
      <c r="B109" s="230"/>
      <c r="C109" s="893"/>
      <c r="D109" s="894"/>
      <c r="E109" s="894"/>
      <c r="F109" s="894"/>
      <c r="G109" s="230"/>
      <c r="H109" s="893"/>
      <c r="I109" s="894"/>
      <c r="J109" s="894"/>
      <c r="K109" s="894"/>
      <c r="L109" s="230"/>
      <c r="M109" s="893"/>
      <c r="N109" s="894"/>
      <c r="O109" s="894"/>
      <c r="P109" s="894"/>
      <c r="Q109" s="230"/>
      <c r="R109" s="893"/>
      <c r="S109" s="894"/>
      <c r="T109" s="894"/>
      <c r="U109" s="894"/>
      <c r="V109" s="230"/>
      <c r="W109" s="893"/>
      <c r="X109" s="894"/>
      <c r="Y109" s="894"/>
      <c r="Z109" s="894"/>
      <c r="AA109" s="230"/>
      <c r="AB109" s="893"/>
      <c r="AC109" s="894"/>
      <c r="AD109" s="894"/>
      <c r="AE109" s="894"/>
      <c r="AF109" s="230"/>
      <c r="AG109" s="893"/>
      <c r="AH109" s="894"/>
      <c r="AI109" s="894"/>
      <c r="AJ109" s="894"/>
      <c r="AK109" s="230"/>
      <c r="AL109" s="893"/>
      <c r="AM109" s="894"/>
      <c r="AN109" s="894"/>
      <c r="AO109" s="894"/>
      <c r="AP109" s="230"/>
      <c r="AQ109" s="893"/>
      <c r="AR109" s="894"/>
      <c r="AS109" s="894"/>
      <c r="AT109" s="894"/>
      <c r="AU109" s="230"/>
      <c r="AV109" s="893"/>
      <c r="AW109" s="894"/>
      <c r="AX109" s="894"/>
      <c r="AY109" s="894"/>
      <c r="AZ109" s="230"/>
      <c r="BA109" s="893"/>
      <c r="BB109" s="894"/>
      <c r="BC109" s="894"/>
      <c r="BD109" s="894"/>
      <c r="BE109" s="230"/>
      <c r="BF109" s="893"/>
      <c r="BG109" s="894"/>
      <c r="BH109" s="894"/>
      <c r="BI109" s="894"/>
      <c r="BJ109" s="230"/>
      <c r="BK109" s="893"/>
      <c r="BL109" s="894"/>
      <c r="BM109" s="894"/>
      <c r="BN109" s="894"/>
      <c r="BO109" s="230"/>
    </row>
    <row r="110" spans="1:67" s="879" customFormat="1" outlineLevel="1">
      <c r="A110" s="392"/>
      <c r="C110" s="895"/>
      <c r="D110" s="882"/>
      <c r="E110" s="882"/>
      <c r="F110" s="882"/>
      <c r="G110" s="881"/>
      <c r="H110" s="895"/>
      <c r="I110" s="882"/>
      <c r="J110" s="882"/>
      <c r="K110" s="882"/>
      <c r="L110" s="881"/>
      <c r="M110" s="895"/>
      <c r="N110" s="882"/>
      <c r="O110" s="882"/>
      <c r="P110" s="882"/>
      <c r="Q110" s="881"/>
      <c r="R110" s="895"/>
      <c r="S110" s="882"/>
      <c r="T110" s="882"/>
      <c r="U110" s="882"/>
      <c r="V110" s="881"/>
      <c r="W110" s="895"/>
      <c r="X110" s="882"/>
      <c r="Y110" s="882"/>
      <c r="Z110" s="882"/>
      <c r="AA110" s="881"/>
      <c r="AB110" s="895"/>
      <c r="AC110" s="882"/>
      <c r="AD110" s="882"/>
      <c r="AE110" s="882"/>
      <c r="AF110" s="881"/>
      <c r="AG110" s="895"/>
      <c r="AH110" s="882"/>
      <c r="AI110" s="882"/>
      <c r="AJ110" s="882"/>
      <c r="AK110" s="881"/>
      <c r="AL110" s="895"/>
      <c r="AM110" s="882"/>
      <c r="AN110" s="882"/>
      <c r="AO110" s="882"/>
      <c r="AP110" s="881"/>
      <c r="AQ110" s="895"/>
      <c r="AR110" s="882"/>
      <c r="AS110" s="882"/>
      <c r="AT110" s="882"/>
      <c r="AU110" s="881"/>
      <c r="AV110" s="895"/>
      <c r="AW110" s="882"/>
      <c r="AX110" s="882"/>
      <c r="AY110" s="882"/>
      <c r="AZ110" s="881"/>
      <c r="BA110" s="895"/>
      <c r="BB110" s="882"/>
      <c r="BC110" s="882"/>
      <c r="BD110" s="882"/>
      <c r="BE110" s="881"/>
      <c r="BF110" s="895"/>
      <c r="BG110" s="882"/>
      <c r="BH110" s="882"/>
      <c r="BI110" s="882"/>
      <c r="BJ110" s="881"/>
      <c r="BK110" s="895"/>
      <c r="BL110" s="882"/>
      <c r="BM110" s="882"/>
      <c r="BN110" s="882"/>
      <c r="BO110" s="881"/>
    </row>
    <row r="111" spans="1:67" s="58" customFormat="1">
      <c r="A111" s="107"/>
      <c r="C111" s="463"/>
      <c r="D111" s="384"/>
      <c r="E111" s="384"/>
      <c r="F111" s="384"/>
      <c r="G111" s="59"/>
      <c r="H111" s="463"/>
      <c r="I111" s="384"/>
      <c r="J111" s="384"/>
      <c r="K111" s="384"/>
      <c r="L111" s="59"/>
      <c r="M111" s="463"/>
      <c r="N111" s="384"/>
      <c r="O111" s="384"/>
      <c r="P111" s="384"/>
      <c r="Q111" s="59"/>
      <c r="R111" s="463"/>
      <c r="S111" s="384"/>
      <c r="T111" s="384"/>
      <c r="U111" s="384"/>
      <c r="V111" s="59"/>
      <c r="W111" s="463"/>
      <c r="X111" s="384"/>
      <c r="Y111" s="384"/>
      <c r="Z111" s="384"/>
      <c r="AA111" s="59"/>
      <c r="AB111" s="463"/>
      <c r="AC111" s="384"/>
      <c r="AD111" s="384"/>
      <c r="AE111" s="384"/>
      <c r="AF111" s="59"/>
      <c r="AG111" s="463"/>
      <c r="AH111" s="384"/>
      <c r="AI111" s="384"/>
      <c r="AJ111" s="384"/>
      <c r="AK111" s="59"/>
      <c r="AL111" s="463"/>
      <c r="AM111" s="384"/>
      <c r="AN111" s="384"/>
      <c r="AO111" s="384"/>
      <c r="AP111" s="59"/>
      <c r="AQ111" s="463"/>
      <c r="AR111" s="384"/>
      <c r="AS111" s="384"/>
      <c r="AT111" s="384"/>
      <c r="AU111" s="59"/>
      <c r="AV111" s="463"/>
      <c r="AW111" s="384"/>
      <c r="AX111" s="384"/>
      <c r="AY111" s="384"/>
      <c r="AZ111" s="59"/>
      <c r="BA111" s="463"/>
      <c r="BB111" s="384"/>
      <c r="BC111" s="384"/>
      <c r="BD111" s="384"/>
      <c r="BE111" s="59"/>
      <c r="BF111" s="463"/>
      <c r="BG111" s="384"/>
      <c r="BH111" s="384"/>
      <c r="BI111" s="384"/>
      <c r="BJ111" s="59"/>
      <c r="BK111" s="463"/>
      <c r="BL111" s="384"/>
      <c r="BM111" s="384"/>
      <c r="BN111" s="384"/>
      <c r="BO111" s="59"/>
    </row>
    <row r="112" spans="1:67" s="58" customFormat="1">
      <c r="A112" s="107"/>
      <c r="B112" s="80"/>
      <c r="C112" s="362"/>
      <c r="D112" s="466"/>
      <c r="E112" s="466"/>
      <c r="F112" s="466"/>
      <c r="G112" s="59"/>
      <c r="H112" s="362"/>
      <c r="I112" s="466"/>
      <c r="J112" s="466"/>
      <c r="K112" s="466"/>
      <c r="L112" s="59"/>
      <c r="M112" s="362"/>
      <c r="N112" s="466"/>
      <c r="O112" s="466"/>
      <c r="P112" s="466"/>
      <c r="Q112" s="59"/>
      <c r="R112" s="362"/>
      <c r="S112" s="466"/>
      <c r="T112" s="466"/>
      <c r="U112" s="466"/>
      <c r="V112" s="59"/>
      <c r="W112" s="362"/>
      <c r="X112" s="466"/>
      <c r="Y112" s="466"/>
      <c r="Z112" s="466"/>
      <c r="AA112" s="59"/>
      <c r="AB112" s="362"/>
      <c r="AC112" s="466"/>
      <c r="AD112" s="466"/>
      <c r="AE112" s="466"/>
      <c r="AF112" s="59"/>
      <c r="AG112" s="362"/>
      <c r="AH112" s="466"/>
      <c r="AI112" s="466"/>
      <c r="AJ112" s="466"/>
      <c r="AK112" s="59"/>
      <c r="AL112" s="362"/>
      <c r="AM112" s="466"/>
      <c r="AN112" s="466"/>
      <c r="AO112" s="466"/>
      <c r="AP112" s="59"/>
      <c r="AQ112" s="362"/>
      <c r="AR112" s="466"/>
      <c r="AS112" s="466"/>
      <c r="AT112" s="466"/>
      <c r="AU112" s="59"/>
      <c r="AV112" s="362"/>
      <c r="AW112" s="466"/>
      <c r="AX112" s="466"/>
      <c r="AY112" s="466"/>
      <c r="AZ112" s="59"/>
      <c r="BA112" s="362"/>
      <c r="BB112" s="466"/>
      <c r="BC112" s="466"/>
      <c r="BD112" s="466"/>
      <c r="BE112" s="59"/>
      <c r="BF112" s="362"/>
      <c r="BG112" s="466"/>
      <c r="BH112" s="466"/>
      <c r="BI112" s="466"/>
      <c r="BJ112" s="59"/>
      <c r="BK112" s="362"/>
      <c r="BL112" s="466"/>
      <c r="BM112" s="466"/>
      <c r="BN112" s="466"/>
      <c r="BO112" s="59"/>
    </row>
    <row r="113" spans="1:67" s="58" customFormat="1" outlineLevel="1">
      <c r="A113" s="107"/>
      <c r="B113" s="654"/>
      <c r="C113" s="362"/>
      <c r="D113" s="466"/>
      <c r="E113" s="466"/>
      <c r="F113" s="466"/>
      <c r="G113" s="59"/>
      <c r="H113" s="362"/>
      <c r="I113" s="466"/>
      <c r="J113" s="466"/>
      <c r="K113" s="466"/>
      <c r="L113" s="59"/>
      <c r="M113" s="362"/>
      <c r="N113" s="466"/>
      <c r="O113" s="466"/>
      <c r="P113" s="466"/>
      <c r="Q113" s="59"/>
      <c r="R113" s="362"/>
      <c r="S113" s="466"/>
      <c r="T113" s="466"/>
      <c r="U113" s="466"/>
      <c r="V113" s="59"/>
      <c r="W113" s="362"/>
      <c r="X113" s="466"/>
      <c r="Y113" s="466"/>
      <c r="Z113" s="466"/>
      <c r="AA113" s="59"/>
      <c r="AB113" s="362"/>
      <c r="AC113" s="466"/>
      <c r="AD113" s="466"/>
      <c r="AE113" s="466"/>
      <c r="AF113" s="59"/>
      <c r="AG113" s="362"/>
      <c r="AH113" s="466"/>
      <c r="AI113" s="466"/>
      <c r="AJ113" s="466"/>
      <c r="AK113" s="59"/>
      <c r="AL113" s="362"/>
      <c r="AM113" s="466"/>
      <c r="AN113" s="466"/>
      <c r="AO113" s="466"/>
      <c r="AP113" s="59"/>
      <c r="AQ113" s="362"/>
      <c r="AR113" s="466"/>
      <c r="AS113" s="466"/>
      <c r="AT113" s="466"/>
      <c r="AU113" s="59"/>
      <c r="AV113" s="362"/>
      <c r="AW113" s="466"/>
      <c r="AX113" s="466"/>
      <c r="AY113" s="466"/>
      <c r="AZ113" s="59"/>
      <c r="BA113" s="362"/>
      <c r="BB113" s="466"/>
      <c r="BC113" s="466"/>
      <c r="BD113" s="466"/>
      <c r="BE113" s="59"/>
      <c r="BF113" s="362"/>
      <c r="BG113" s="466"/>
      <c r="BH113" s="466"/>
      <c r="BI113" s="466"/>
      <c r="BJ113" s="59"/>
      <c r="BK113" s="362"/>
      <c r="BL113" s="466"/>
      <c r="BM113" s="466"/>
      <c r="BN113" s="466"/>
      <c r="BO113" s="59"/>
    </row>
    <row r="114" spans="1:67" s="58" customFormat="1" outlineLevel="1">
      <c r="A114" s="107"/>
      <c r="B114" s="654"/>
      <c r="C114" s="378"/>
      <c r="D114" s="379"/>
      <c r="E114" s="379"/>
      <c r="F114" s="379"/>
      <c r="G114" s="59"/>
      <c r="H114" s="378"/>
      <c r="I114" s="379"/>
      <c r="J114" s="379"/>
      <c r="K114" s="379"/>
      <c r="L114" s="59"/>
      <c r="M114" s="378"/>
      <c r="N114" s="379"/>
      <c r="O114" s="379"/>
      <c r="P114" s="379"/>
      <c r="Q114" s="59"/>
      <c r="R114" s="378"/>
      <c r="S114" s="379"/>
      <c r="T114" s="379"/>
      <c r="U114" s="379"/>
      <c r="V114" s="59"/>
      <c r="W114" s="378"/>
      <c r="X114" s="379"/>
      <c r="Y114" s="379"/>
      <c r="Z114" s="379"/>
      <c r="AA114" s="59"/>
      <c r="AB114" s="378"/>
      <c r="AC114" s="379"/>
      <c r="AD114" s="379"/>
      <c r="AE114" s="379"/>
      <c r="AF114" s="59"/>
      <c r="AG114" s="378"/>
      <c r="AH114" s="379"/>
      <c r="AI114" s="379"/>
      <c r="AJ114" s="379"/>
      <c r="AK114" s="59"/>
      <c r="AL114" s="378"/>
      <c r="AM114" s="379"/>
      <c r="AN114" s="379"/>
      <c r="AO114" s="379"/>
      <c r="AP114" s="59"/>
      <c r="AQ114" s="378"/>
      <c r="AR114" s="379"/>
      <c r="AS114" s="379"/>
      <c r="AT114" s="379"/>
      <c r="AU114" s="59"/>
      <c r="AV114" s="378"/>
      <c r="AW114" s="379"/>
      <c r="AX114" s="379"/>
      <c r="AY114" s="379"/>
      <c r="AZ114" s="59"/>
      <c r="BA114" s="378"/>
      <c r="BB114" s="379"/>
      <c r="BC114" s="379"/>
      <c r="BD114" s="379"/>
      <c r="BE114" s="59"/>
      <c r="BF114" s="378"/>
      <c r="BG114" s="379"/>
      <c r="BH114" s="379"/>
      <c r="BI114" s="379"/>
      <c r="BJ114" s="59"/>
      <c r="BK114" s="378"/>
      <c r="BL114" s="379"/>
      <c r="BM114" s="379"/>
      <c r="BN114" s="379"/>
      <c r="BO114" s="59"/>
    </row>
    <row r="115" spans="1:67" s="58" customFormat="1" outlineLevel="1">
      <c r="A115" s="107"/>
      <c r="B115" s="654"/>
      <c r="C115" s="378"/>
      <c r="D115" s="379"/>
      <c r="E115" s="379"/>
      <c r="F115" s="379"/>
      <c r="G115" s="59"/>
      <c r="H115" s="378"/>
      <c r="I115" s="379"/>
      <c r="J115" s="379"/>
      <c r="K115" s="379"/>
      <c r="L115" s="59"/>
      <c r="M115" s="378"/>
      <c r="N115" s="379"/>
      <c r="O115" s="379"/>
      <c r="P115" s="379"/>
      <c r="Q115" s="59"/>
      <c r="R115" s="378"/>
      <c r="S115" s="379"/>
      <c r="T115" s="379"/>
      <c r="U115" s="379"/>
      <c r="V115" s="59"/>
      <c r="W115" s="378"/>
      <c r="X115" s="379"/>
      <c r="Y115" s="379"/>
      <c r="Z115" s="379"/>
      <c r="AA115" s="59"/>
      <c r="AB115" s="378"/>
      <c r="AC115" s="379"/>
      <c r="AD115" s="379"/>
      <c r="AE115" s="379"/>
      <c r="AF115" s="59"/>
      <c r="AG115" s="378"/>
      <c r="AH115" s="379"/>
      <c r="AI115" s="379"/>
      <c r="AJ115" s="379"/>
      <c r="AK115" s="59"/>
      <c r="AL115" s="378"/>
      <c r="AM115" s="379"/>
      <c r="AN115" s="379"/>
      <c r="AO115" s="379"/>
      <c r="AP115" s="59"/>
      <c r="AQ115" s="378"/>
      <c r="AR115" s="379"/>
      <c r="AS115" s="379"/>
      <c r="AT115" s="379"/>
      <c r="AU115" s="59"/>
      <c r="AV115" s="378"/>
      <c r="AW115" s="379"/>
      <c r="AX115" s="379"/>
      <c r="AY115" s="379"/>
      <c r="AZ115" s="59"/>
      <c r="BA115" s="378"/>
      <c r="BB115" s="379"/>
      <c r="BC115" s="379"/>
      <c r="BD115" s="379"/>
      <c r="BE115" s="59"/>
      <c r="BF115" s="378"/>
      <c r="BG115" s="379"/>
      <c r="BH115" s="379"/>
      <c r="BI115" s="379"/>
      <c r="BJ115" s="59"/>
      <c r="BK115" s="378"/>
      <c r="BL115" s="379"/>
      <c r="BM115" s="379"/>
      <c r="BN115" s="379"/>
      <c r="BO115" s="59"/>
    </row>
    <row r="116" spans="1:67" s="58" customFormat="1" outlineLevel="1">
      <c r="A116" s="107"/>
      <c r="B116" s="654"/>
      <c r="C116" s="378"/>
      <c r="D116" s="379"/>
      <c r="E116" s="379"/>
      <c r="F116" s="379"/>
      <c r="G116" s="59"/>
      <c r="H116" s="378"/>
      <c r="I116" s="379"/>
      <c r="J116" s="379"/>
      <c r="K116" s="379"/>
      <c r="L116" s="59"/>
      <c r="M116" s="378"/>
      <c r="N116" s="379"/>
      <c r="O116" s="379"/>
      <c r="P116" s="379"/>
      <c r="Q116" s="59"/>
      <c r="R116" s="378"/>
      <c r="S116" s="379"/>
      <c r="T116" s="379"/>
      <c r="U116" s="379"/>
      <c r="V116" s="59"/>
      <c r="W116" s="378"/>
      <c r="X116" s="379"/>
      <c r="Y116" s="379"/>
      <c r="Z116" s="379"/>
      <c r="AA116" s="59"/>
      <c r="AB116" s="378"/>
      <c r="AC116" s="379"/>
      <c r="AD116" s="379"/>
      <c r="AE116" s="379"/>
      <c r="AF116" s="59"/>
      <c r="AG116" s="378"/>
      <c r="AH116" s="379"/>
      <c r="AI116" s="379"/>
      <c r="AJ116" s="379"/>
      <c r="AK116" s="59"/>
      <c r="AL116" s="378"/>
      <c r="AM116" s="379"/>
      <c r="AN116" s="379"/>
      <c r="AO116" s="379"/>
      <c r="AP116" s="59"/>
      <c r="AQ116" s="378"/>
      <c r="AR116" s="379"/>
      <c r="AS116" s="379"/>
      <c r="AT116" s="379"/>
      <c r="AU116" s="59"/>
      <c r="AV116" s="378"/>
      <c r="AW116" s="379"/>
      <c r="AX116" s="379"/>
      <c r="AY116" s="379"/>
      <c r="AZ116" s="59"/>
      <c r="BA116" s="378"/>
      <c r="BB116" s="379"/>
      <c r="BC116" s="379"/>
      <c r="BD116" s="379"/>
      <c r="BE116" s="59"/>
      <c r="BF116" s="378"/>
      <c r="BG116" s="379"/>
      <c r="BH116" s="379"/>
      <c r="BI116" s="379"/>
      <c r="BJ116" s="59"/>
      <c r="BK116" s="378"/>
      <c r="BL116" s="379"/>
      <c r="BM116" s="379"/>
      <c r="BN116" s="379"/>
      <c r="BO116" s="59"/>
    </row>
    <row r="117" spans="1:67" s="58" customFormat="1" outlineLevel="1">
      <c r="A117" s="107"/>
      <c r="B117" s="654"/>
      <c r="C117" s="378"/>
      <c r="D117" s="379"/>
      <c r="E117" s="379"/>
      <c r="F117" s="379"/>
      <c r="G117" s="59"/>
      <c r="H117" s="378"/>
      <c r="I117" s="379"/>
      <c r="J117" s="379"/>
      <c r="K117" s="379"/>
      <c r="L117" s="59"/>
      <c r="M117" s="378"/>
      <c r="N117" s="379"/>
      <c r="O117" s="379"/>
      <c r="P117" s="379"/>
      <c r="Q117" s="59"/>
      <c r="R117" s="378"/>
      <c r="S117" s="379"/>
      <c r="T117" s="379"/>
      <c r="U117" s="379"/>
      <c r="V117" s="59"/>
      <c r="W117" s="378"/>
      <c r="X117" s="379"/>
      <c r="Y117" s="379"/>
      <c r="Z117" s="379"/>
      <c r="AA117" s="59"/>
      <c r="AB117" s="378"/>
      <c r="AC117" s="379"/>
      <c r="AD117" s="379"/>
      <c r="AE117" s="379"/>
      <c r="AF117" s="59"/>
      <c r="AG117" s="378"/>
      <c r="AH117" s="379"/>
      <c r="AI117" s="379"/>
      <c r="AJ117" s="379"/>
      <c r="AK117" s="59"/>
      <c r="AL117" s="378"/>
      <c r="AM117" s="379"/>
      <c r="AN117" s="379"/>
      <c r="AO117" s="379"/>
      <c r="AP117" s="59"/>
      <c r="AQ117" s="378"/>
      <c r="AR117" s="379"/>
      <c r="AS117" s="379"/>
      <c r="AT117" s="379"/>
      <c r="AU117" s="59"/>
      <c r="AV117" s="378"/>
      <c r="AW117" s="379"/>
      <c r="AX117" s="379"/>
      <c r="AY117" s="379"/>
      <c r="AZ117" s="59"/>
      <c r="BA117" s="378"/>
      <c r="BB117" s="379"/>
      <c r="BC117" s="379"/>
      <c r="BD117" s="379"/>
      <c r="BE117" s="59"/>
      <c r="BF117" s="378"/>
      <c r="BG117" s="379"/>
      <c r="BH117" s="379"/>
      <c r="BI117" s="379"/>
      <c r="BJ117" s="59"/>
      <c r="BK117" s="378"/>
      <c r="BL117" s="379"/>
      <c r="BM117" s="379"/>
      <c r="BN117" s="379"/>
      <c r="BO117" s="59"/>
    </row>
    <row r="118" spans="1:67" s="58" customFormat="1" ht="12.75" customHeight="1" outlineLevel="1">
      <c r="A118" s="107"/>
      <c r="B118" s="654"/>
      <c r="C118" s="378"/>
      <c r="D118" s="379"/>
      <c r="E118" s="379"/>
      <c r="F118" s="379"/>
      <c r="G118" s="59"/>
      <c r="H118" s="378"/>
      <c r="I118" s="379"/>
      <c r="J118" s="379"/>
      <c r="K118" s="379"/>
      <c r="L118" s="59"/>
      <c r="M118" s="378"/>
      <c r="N118" s="379"/>
      <c r="O118" s="379"/>
      <c r="P118" s="379"/>
      <c r="Q118" s="59"/>
      <c r="R118" s="378"/>
      <c r="S118" s="379"/>
      <c r="T118" s="379"/>
      <c r="U118" s="379"/>
      <c r="V118" s="59"/>
      <c r="W118" s="378"/>
      <c r="X118" s="379"/>
      <c r="Y118" s="379"/>
      <c r="Z118" s="379"/>
      <c r="AA118" s="59"/>
      <c r="AB118" s="378"/>
      <c r="AC118" s="379"/>
      <c r="AD118" s="379"/>
      <c r="AE118" s="379"/>
      <c r="AF118" s="59"/>
      <c r="AG118" s="378"/>
      <c r="AH118" s="379"/>
      <c r="AI118" s="379"/>
      <c r="AJ118" s="379"/>
      <c r="AK118" s="59"/>
      <c r="AL118" s="378"/>
      <c r="AM118" s="379"/>
      <c r="AN118" s="379"/>
      <c r="AO118" s="379"/>
      <c r="AP118" s="59"/>
      <c r="AQ118" s="378"/>
      <c r="AR118" s="379"/>
      <c r="AS118" s="379"/>
      <c r="AT118" s="379"/>
      <c r="AU118" s="59"/>
      <c r="AV118" s="378"/>
      <c r="AW118" s="379"/>
      <c r="AX118" s="379"/>
      <c r="AY118" s="379"/>
      <c r="AZ118" s="59"/>
      <c r="BA118" s="378"/>
      <c r="BB118" s="379"/>
      <c r="BC118" s="379"/>
      <c r="BD118" s="379"/>
      <c r="BE118" s="59"/>
      <c r="BF118" s="378"/>
      <c r="BG118" s="379"/>
      <c r="BH118" s="379"/>
      <c r="BI118" s="379"/>
      <c r="BJ118" s="59"/>
      <c r="BK118" s="378"/>
      <c r="BL118" s="379"/>
      <c r="BM118" s="379"/>
      <c r="BN118" s="379"/>
      <c r="BO118" s="59"/>
    </row>
    <row r="119" spans="1:67" s="58" customFormat="1" outlineLevel="1">
      <c r="A119" s="107"/>
      <c r="B119" s="654"/>
      <c r="C119" s="378"/>
      <c r="D119" s="379"/>
      <c r="E119" s="379"/>
      <c r="F119" s="379"/>
      <c r="G119" s="59"/>
      <c r="H119" s="378"/>
      <c r="I119" s="379"/>
      <c r="J119" s="379"/>
      <c r="K119" s="379"/>
      <c r="L119" s="59"/>
      <c r="M119" s="378"/>
      <c r="N119" s="379"/>
      <c r="O119" s="379"/>
      <c r="P119" s="379"/>
      <c r="Q119" s="59"/>
      <c r="R119" s="378"/>
      <c r="S119" s="379"/>
      <c r="T119" s="379"/>
      <c r="U119" s="379"/>
      <c r="V119" s="59"/>
      <c r="W119" s="378"/>
      <c r="X119" s="379"/>
      <c r="Y119" s="379"/>
      <c r="Z119" s="379"/>
      <c r="AA119" s="59"/>
      <c r="AB119" s="378"/>
      <c r="AC119" s="379"/>
      <c r="AD119" s="379"/>
      <c r="AE119" s="379"/>
      <c r="AF119" s="59"/>
      <c r="AG119" s="378"/>
      <c r="AH119" s="379"/>
      <c r="AI119" s="379"/>
      <c r="AJ119" s="379"/>
      <c r="AK119" s="59"/>
      <c r="AL119" s="378"/>
      <c r="AM119" s="379"/>
      <c r="AN119" s="379"/>
      <c r="AO119" s="379"/>
      <c r="AP119" s="59"/>
      <c r="AQ119" s="378"/>
      <c r="AR119" s="379"/>
      <c r="AS119" s="379"/>
      <c r="AT119" s="379"/>
      <c r="AU119" s="59"/>
      <c r="AV119" s="378"/>
      <c r="AW119" s="379"/>
      <c r="AX119" s="379"/>
      <c r="AY119" s="379"/>
      <c r="AZ119" s="59"/>
      <c r="BA119" s="378"/>
      <c r="BB119" s="379"/>
      <c r="BC119" s="379"/>
      <c r="BD119" s="379"/>
      <c r="BE119" s="59"/>
      <c r="BF119" s="378"/>
      <c r="BG119" s="379"/>
      <c r="BH119" s="379"/>
      <c r="BI119" s="379"/>
      <c r="BJ119" s="59"/>
      <c r="BK119" s="378"/>
      <c r="BL119" s="379"/>
      <c r="BM119" s="379"/>
      <c r="BN119" s="379"/>
      <c r="BO119" s="59"/>
    </row>
    <row r="120" spans="1:67" s="58" customFormat="1" outlineLevel="1">
      <c r="A120" s="107"/>
      <c r="B120" s="654"/>
      <c r="C120" s="378"/>
      <c r="D120" s="379"/>
      <c r="E120" s="379"/>
      <c r="F120" s="379"/>
      <c r="G120" s="59"/>
      <c r="H120" s="378"/>
      <c r="I120" s="379"/>
      <c r="J120" s="379"/>
      <c r="K120" s="379"/>
      <c r="L120" s="59"/>
      <c r="M120" s="378"/>
      <c r="N120" s="379"/>
      <c r="O120" s="379"/>
      <c r="P120" s="379"/>
      <c r="Q120" s="59"/>
      <c r="R120" s="378"/>
      <c r="S120" s="379"/>
      <c r="T120" s="379"/>
      <c r="U120" s="379"/>
      <c r="V120" s="59"/>
      <c r="W120" s="378"/>
      <c r="X120" s="379"/>
      <c r="Y120" s="379"/>
      <c r="Z120" s="379"/>
      <c r="AA120" s="59"/>
      <c r="AB120" s="378"/>
      <c r="AC120" s="379"/>
      <c r="AD120" s="379"/>
      <c r="AE120" s="379"/>
      <c r="AF120" s="59"/>
      <c r="AG120" s="378"/>
      <c r="AH120" s="379"/>
      <c r="AI120" s="379"/>
      <c r="AJ120" s="379"/>
      <c r="AK120" s="59"/>
      <c r="AL120" s="378"/>
      <c r="AM120" s="379"/>
      <c r="AN120" s="379"/>
      <c r="AO120" s="379"/>
      <c r="AP120" s="59"/>
      <c r="AQ120" s="378"/>
      <c r="AR120" s="379"/>
      <c r="AS120" s="379"/>
      <c r="AT120" s="379"/>
      <c r="AU120" s="59"/>
      <c r="AV120" s="378"/>
      <c r="AW120" s="379"/>
      <c r="AX120" s="379"/>
      <c r="AY120" s="379"/>
      <c r="AZ120" s="59"/>
      <c r="BA120" s="378"/>
      <c r="BB120" s="379"/>
      <c r="BC120" s="379"/>
      <c r="BD120" s="379"/>
      <c r="BE120" s="59"/>
      <c r="BF120" s="378"/>
      <c r="BG120" s="379"/>
      <c r="BH120" s="379"/>
      <c r="BI120" s="379"/>
      <c r="BJ120" s="59"/>
      <c r="BK120" s="378"/>
      <c r="BL120" s="379"/>
      <c r="BM120" s="379"/>
      <c r="BN120" s="379"/>
      <c r="BO120" s="59"/>
    </row>
    <row r="121" spans="1:67" s="58" customFormat="1" outlineLevel="1">
      <c r="A121" s="107"/>
      <c r="B121" s="654"/>
      <c r="C121" s="378"/>
      <c r="D121" s="379"/>
      <c r="E121" s="379"/>
      <c r="F121" s="379"/>
      <c r="G121" s="59"/>
      <c r="H121" s="378"/>
      <c r="I121" s="379"/>
      <c r="J121" s="379"/>
      <c r="K121" s="379"/>
      <c r="L121" s="59"/>
      <c r="M121" s="378"/>
      <c r="N121" s="379"/>
      <c r="O121" s="379"/>
      <c r="P121" s="379"/>
      <c r="Q121" s="59"/>
      <c r="R121" s="378"/>
      <c r="S121" s="379"/>
      <c r="T121" s="379"/>
      <c r="U121" s="379"/>
      <c r="V121" s="59"/>
      <c r="W121" s="378"/>
      <c r="X121" s="379"/>
      <c r="Y121" s="379"/>
      <c r="Z121" s="379"/>
      <c r="AA121" s="59"/>
      <c r="AB121" s="378"/>
      <c r="AC121" s="379"/>
      <c r="AD121" s="379"/>
      <c r="AE121" s="379"/>
      <c r="AF121" s="59"/>
      <c r="AG121" s="378"/>
      <c r="AH121" s="379"/>
      <c r="AI121" s="379"/>
      <c r="AJ121" s="379"/>
      <c r="AK121" s="59"/>
      <c r="AL121" s="378"/>
      <c r="AM121" s="379"/>
      <c r="AN121" s="379"/>
      <c r="AO121" s="379"/>
      <c r="AP121" s="59"/>
      <c r="AQ121" s="378"/>
      <c r="AR121" s="379"/>
      <c r="AS121" s="379"/>
      <c r="AT121" s="379"/>
      <c r="AU121" s="59"/>
      <c r="AV121" s="378"/>
      <c r="AW121" s="379"/>
      <c r="AX121" s="379"/>
      <c r="AY121" s="379"/>
      <c r="AZ121" s="59"/>
      <c r="BA121" s="378"/>
      <c r="BB121" s="379"/>
      <c r="BC121" s="379"/>
      <c r="BD121" s="379"/>
      <c r="BE121" s="59"/>
      <c r="BF121" s="378"/>
      <c r="BG121" s="379"/>
      <c r="BH121" s="379"/>
      <c r="BI121" s="379"/>
      <c r="BJ121" s="59"/>
      <c r="BK121" s="378"/>
      <c r="BL121" s="379"/>
      <c r="BM121" s="379"/>
      <c r="BN121" s="379"/>
      <c r="BO121" s="59"/>
    </row>
    <row r="122" spans="1:67" s="58" customFormat="1" outlineLevel="1">
      <c r="A122" s="107"/>
      <c r="B122" s="654"/>
      <c r="C122" s="378"/>
      <c r="D122" s="379"/>
      <c r="E122" s="379"/>
      <c r="F122" s="379"/>
      <c r="G122" s="59"/>
      <c r="H122" s="378"/>
      <c r="I122" s="379"/>
      <c r="J122" s="379"/>
      <c r="K122" s="379"/>
      <c r="L122" s="59"/>
      <c r="M122" s="378"/>
      <c r="N122" s="379"/>
      <c r="O122" s="379"/>
      <c r="P122" s="379"/>
      <c r="Q122" s="59"/>
      <c r="R122" s="378"/>
      <c r="S122" s="379"/>
      <c r="T122" s="379"/>
      <c r="U122" s="379"/>
      <c r="V122" s="59"/>
      <c r="W122" s="378"/>
      <c r="X122" s="379"/>
      <c r="Y122" s="379"/>
      <c r="Z122" s="379"/>
      <c r="AA122" s="59"/>
      <c r="AB122" s="378"/>
      <c r="AC122" s="379"/>
      <c r="AD122" s="379"/>
      <c r="AE122" s="379"/>
      <c r="AF122" s="59"/>
      <c r="AG122" s="378"/>
      <c r="AH122" s="379"/>
      <c r="AI122" s="379"/>
      <c r="AJ122" s="379"/>
      <c r="AK122" s="59"/>
      <c r="AL122" s="378"/>
      <c r="AM122" s="379"/>
      <c r="AN122" s="379"/>
      <c r="AO122" s="379"/>
      <c r="AP122" s="59"/>
      <c r="AQ122" s="378"/>
      <c r="AR122" s="379"/>
      <c r="AS122" s="379"/>
      <c r="AT122" s="379"/>
      <c r="AU122" s="59"/>
      <c r="AV122" s="378"/>
      <c r="AW122" s="379"/>
      <c r="AX122" s="379"/>
      <c r="AY122" s="379"/>
      <c r="AZ122" s="59"/>
      <c r="BA122" s="378"/>
      <c r="BB122" s="379"/>
      <c r="BC122" s="379"/>
      <c r="BD122" s="379"/>
      <c r="BE122" s="59"/>
      <c r="BF122" s="378"/>
      <c r="BG122" s="379"/>
      <c r="BH122" s="379"/>
      <c r="BI122" s="379"/>
      <c r="BJ122" s="59"/>
      <c r="BK122" s="378"/>
      <c r="BL122" s="379"/>
      <c r="BM122" s="379"/>
      <c r="BN122" s="379"/>
      <c r="BO122" s="59"/>
    </row>
    <row r="123" spans="1:67" s="58" customFormat="1" outlineLevel="1">
      <c r="A123" s="107"/>
      <c r="B123" s="654"/>
      <c r="C123" s="378"/>
      <c r="D123" s="379"/>
      <c r="E123" s="379"/>
      <c r="F123" s="379"/>
      <c r="G123" s="59"/>
      <c r="H123" s="378"/>
      <c r="I123" s="379"/>
      <c r="J123" s="379"/>
      <c r="K123" s="379"/>
      <c r="L123" s="59"/>
      <c r="M123" s="378"/>
      <c r="N123" s="379"/>
      <c r="O123" s="379"/>
      <c r="P123" s="379"/>
      <c r="Q123" s="59"/>
      <c r="R123" s="378"/>
      <c r="S123" s="379"/>
      <c r="T123" s="379"/>
      <c r="U123" s="379"/>
      <c r="V123" s="59"/>
      <c r="W123" s="378"/>
      <c r="X123" s="379"/>
      <c r="Y123" s="379"/>
      <c r="Z123" s="379"/>
      <c r="AA123" s="59"/>
      <c r="AB123" s="378"/>
      <c r="AC123" s="379"/>
      <c r="AD123" s="379"/>
      <c r="AE123" s="379"/>
      <c r="AF123" s="59"/>
      <c r="AG123" s="378"/>
      <c r="AH123" s="379"/>
      <c r="AI123" s="379"/>
      <c r="AJ123" s="379"/>
      <c r="AK123" s="59"/>
      <c r="AL123" s="378"/>
      <c r="AM123" s="379"/>
      <c r="AN123" s="379"/>
      <c r="AO123" s="379"/>
      <c r="AP123" s="59"/>
      <c r="AQ123" s="378"/>
      <c r="AR123" s="379"/>
      <c r="AS123" s="379"/>
      <c r="AT123" s="379"/>
      <c r="AU123" s="59"/>
      <c r="AV123" s="378"/>
      <c r="AW123" s="379"/>
      <c r="AX123" s="379"/>
      <c r="AY123" s="379"/>
      <c r="AZ123" s="59"/>
      <c r="BA123" s="378"/>
      <c r="BB123" s="379"/>
      <c r="BC123" s="379"/>
      <c r="BD123" s="379"/>
      <c r="BE123" s="59"/>
      <c r="BF123" s="378"/>
      <c r="BG123" s="379"/>
      <c r="BH123" s="379"/>
      <c r="BI123" s="379"/>
      <c r="BJ123" s="59"/>
      <c r="BK123" s="378"/>
      <c r="BL123" s="379"/>
      <c r="BM123" s="379"/>
      <c r="BN123" s="379"/>
      <c r="BO123" s="59"/>
    </row>
    <row r="124" spans="1:67" s="879" customFormat="1" outlineLevel="1">
      <c r="A124" s="392"/>
      <c r="B124" s="881"/>
      <c r="C124" s="895"/>
      <c r="D124" s="882"/>
      <c r="E124" s="882"/>
      <c r="F124" s="882"/>
      <c r="G124" s="881"/>
      <c r="H124" s="895"/>
      <c r="I124" s="882"/>
      <c r="J124" s="882"/>
      <c r="K124" s="882"/>
      <c r="L124" s="881"/>
      <c r="M124" s="895"/>
      <c r="N124" s="882"/>
      <c r="O124" s="882"/>
      <c r="P124" s="882"/>
      <c r="Q124" s="881"/>
      <c r="R124" s="895"/>
      <c r="S124" s="882"/>
      <c r="T124" s="882"/>
      <c r="U124" s="882"/>
      <c r="V124" s="881"/>
      <c r="W124" s="895"/>
      <c r="X124" s="882"/>
      <c r="Y124" s="882"/>
      <c r="Z124" s="882"/>
      <c r="AA124" s="881"/>
      <c r="AB124" s="895"/>
      <c r="AC124" s="882"/>
      <c r="AD124" s="882"/>
      <c r="AE124" s="882"/>
      <c r="AF124" s="881"/>
      <c r="AG124" s="895"/>
      <c r="AH124" s="882"/>
      <c r="AI124" s="882"/>
      <c r="AJ124" s="882"/>
      <c r="AK124" s="881"/>
      <c r="AL124" s="895"/>
      <c r="AM124" s="882"/>
      <c r="AN124" s="882"/>
      <c r="AO124" s="882"/>
      <c r="AP124" s="881"/>
      <c r="AQ124" s="895"/>
      <c r="AR124" s="882"/>
      <c r="AS124" s="882"/>
      <c r="AT124" s="882"/>
      <c r="AU124" s="881"/>
      <c r="AV124" s="895"/>
      <c r="AW124" s="882"/>
      <c r="AX124" s="882"/>
      <c r="AY124" s="882"/>
      <c r="AZ124" s="881"/>
      <c r="BA124" s="895"/>
      <c r="BB124" s="882"/>
      <c r="BC124" s="882"/>
      <c r="BD124" s="882"/>
      <c r="BE124" s="881"/>
      <c r="BF124" s="895"/>
      <c r="BG124" s="882"/>
      <c r="BH124" s="882"/>
      <c r="BI124" s="882"/>
      <c r="BJ124" s="881"/>
      <c r="BK124" s="895"/>
      <c r="BL124" s="882"/>
      <c r="BM124" s="882"/>
      <c r="BN124" s="882"/>
      <c r="BO124" s="881"/>
    </row>
    <row r="125" spans="1:67" s="58" customFormat="1">
      <c r="A125" s="107"/>
      <c r="C125" s="362"/>
      <c r="D125" s="466"/>
      <c r="E125" s="466"/>
      <c r="F125" s="466"/>
      <c r="G125" s="59"/>
      <c r="H125" s="362"/>
      <c r="I125" s="466"/>
      <c r="J125" s="466"/>
      <c r="K125" s="466"/>
      <c r="L125" s="59"/>
      <c r="M125" s="362"/>
      <c r="N125" s="466"/>
      <c r="O125" s="466"/>
      <c r="P125" s="466"/>
      <c r="Q125" s="59"/>
      <c r="R125" s="362"/>
      <c r="S125" s="466"/>
      <c r="T125" s="466"/>
      <c r="U125" s="466"/>
      <c r="V125" s="59"/>
      <c r="W125" s="362"/>
      <c r="X125" s="466"/>
      <c r="Y125" s="466"/>
      <c r="Z125" s="466"/>
      <c r="AA125" s="59"/>
      <c r="AB125" s="362"/>
      <c r="AC125" s="466"/>
      <c r="AD125" s="466"/>
      <c r="AE125" s="466"/>
      <c r="AF125" s="59"/>
      <c r="AG125" s="362"/>
      <c r="AH125" s="466"/>
      <c r="AI125" s="466"/>
      <c r="AJ125" s="466"/>
      <c r="AK125" s="59"/>
      <c r="AL125" s="362"/>
      <c r="AM125" s="466"/>
      <c r="AN125" s="466"/>
      <c r="AO125" s="466"/>
      <c r="AP125" s="59"/>
      <c r="AQ125" s="362"/>
      <c r="AR125" s="466"/>
      <c r="AS125" s="466"/>
      <c r="AT125" s="466"/>
      <c r="AU125" s="59"/>
      <c r="AV125" s="362"/>
      <c r="AW125" s="466"/>
      <c r="AX125" s="466"/>
      <c r="AY125" s="466"/>
      <c r="AZ125" s="59"/>
      <c r="BA125" s="362"/>
      <c r="BB125" s="466"/>
      <c r="BC125" s="466"/>
      <c r="BD125" s="466"/>
      <c r="BE125" s="59"/>
      <c r="BF125" s="362"/>
      <c r="BG125" s="466"/>
      <c r="BH125" s="466"/>
      <c r="BI125" s="466"/>
      <c r="BJ125" s="59"/>
      <c r="BK125" s="362"/>
      <c r="BL125" s="466"/>
      <c r="BM125" s="466"/>
      <c r="BN125" s="466"/>
      <c r="BO125" s="59"/>
    </row>
    <row r="126" spans="1:67" s="58" customFormat="1">
      <c r="A126" s="107"/>
      <c r="C126" s="362"/>
      <c r="D126" s="466"/>
      <c r="E126" s="466"/>
      <c r="F126" s="466"/>
      <c r="G126" s="59"/>
      <c r="H126" s="362"/>
      <c r="I126" s="466"/>
      <c r="J126" s="466"/>
      <c r="K126" s="466"/>
      <c r="L126" s="59"/>
      <c r="M126" s="362"/>
      <c r="N126" s="466"/>
      <c r="O126" s="466"/>
      <c r="P126" s="466"/>
      <c r="Q126" s="59"/>
      <c r="R126" s="362"/>
      <c r="S126" s="466"/>
      <c r="T126" s="466"/>
      <c r="U126" s="466"/>
      <c r="V126" s="59"/>
      <c r="W126" s="362"/>
      <c r="X126" s="466"/>
      <c r="Y126" s="466"/>
      <c r="Z126" s="466"/>
      <c r="AA126" s="59"/>
      <c r="AB126" s="362"/>
      <c r="AC126" s="466"/>
      <c r="AD126" s="466"/>
      <c r="AE126" s="466"/>
      <c r="AF126" s="59"/>
      <c r="AG126" s="362"/>
      <c r="AH126" s="466"/>
      <c r="AI126" s="466"/>
      <c r="AJ126" s="466"/>
      <c r="AK126" s="59"/>
      <c r="AL126" s="362"/>
      <c r="AM126" s="466"/>
      <c r="AN126" s="466"/>
      <c r="AO126" s="466"/>
      <c r="AP126" s="59"/>
      <c r="AQ126" s="362"/>
      <c r="AR126" s="466"/>
      <c r="AS126" s="466"/>
      <c r="AT126" s="466"/>
      <c r="AU126" s="59"/>
      <c r="AV126" s="362"/>
      <c r="AW126" s="466"/>
      <c r="AX126" s="466"/>
      <c r="AY126" s="466"/>
      <c r="AZ126" s="59"/>
      <c r="BA126" s="362"/>
      <c r="BB126" s="466"/>
      <c r="BC126" s="466"/>
      <c r="BD126" s="466"/>
      <c r="BE126" s="59"/>
      <c r="BF126" s="362"/>
      <c r="BG126" s="466"/>
      <c r="BH126" s="466"/>
      <c r="BI126" s="466"/>
      <c r="BJ126" s="59"/>
      <c r="BK126" s="362"/>
      <c r="BL126" s="466"/>
      <c r="BM126" s="466"/>
      <c r="BN126" s="466"/>
      <c r="BO126" s="59"/>
    </row>
    <row r="127" spans="1:67" s="58" customFormat="1">
      <c r="A127" s="107"/>
      <c r="C127" s="362"/>
      <c r="D127" s="466"/>
      <c r="E127" s="466"/>
      <c r="F127" s="466"/>
      <c r="G127" s="59"/>
      <c r="H127" s="362"/>
      <c r="I127" s="466"/>
      <c r="J127" s="466"/>
      <c r="K127" s="466"/>
      <c r="L127" s="59"/>
      <c r="M127" s="362"/>
      <c r="N127" s="466"/>
      <c r="O127" s="466"/>
      <c r="P127" s="466"/>
      <c r="Q127" s="59"/>
      <c r="R127" s="362"/>
      <c r="S127" s="466"/>
      <c r="T127" s="466"/>
      <c r="U127" s="466"/>
      <c r="V127" s="59"/>
      <c r="W127" s="362"/>
      <c r="X127" s="466"/>
      <c r="Y127" s="466"/>
      <c r="Z127" s="466"/>
      <c r="AA127" s="59"/>
      <c r="AB127" s="362"/>
      <c r="AC127" s="466"/>
      <c r="AD127" s="466"/>
      <c r="AE127" s="466"/>
      <c r="AF127" s="59"/>
      <c r="AG127" s="362"/>
      <c r="AH127" s="466"/>
      <c r="AI127" s="466"/>
      <c r="AJ127" s="466"/>
      <c r="AK127" s="59"/>
      <c r="AL127" s="362"/>
      <c r="AM127" s="466"/>
      <c r="AN127" s="466"/>
      <c r="AO127" s="466"/>
      <c r="AP127" s="59"/>
      <c r="AQ127" s="362"/>
      <c r="AR127" s="466"/>
      <c r="AS127" s="466"/>
      <c r="AT127" s="466"/>
      <c r="AU127" s="59"/>
      <c r="AV127" s="362"/>
      <c r="AW127" s="466"/>
      <c r="AX127" s="466"/>
      <c r="AY127" s="466"/>
      <c r="AZ127" s="59"/>
      <c r="BA127" s="362"/>
      <c r="BB127" s="466"/>
      <c r="BC127" s="466"/>
      <c r="BD127" s="466"/>
      <c r="BE127" s="59"/>
      <c r="BF127" s="362"/>
      <c r="BG127" s="466"/>
      <c r="BH127" s="466"/>
      <c r="BI127" s="466"/>
      <c r="BJ127" s="59"/>
      <c r="BK127" s="362"/>
      <c r="BL127" s="466"/>
      <c r="BM127" s="466"/>
      <c r="BN127" s="466"/>
      <c r="BO127" s="59"/>
    </row>
    <row r="128" spans="1:67" s="58" customFormat="1">
      <c r="A128" s="107"/>
      <c r="C128" s="495"/>
      <c r="D128" s="496"/>
      <c r="E128" s="496"/>
      <c r="F128" s="496"/>
      <c r="G128" s="59"/>
      <c r="H128" s="495"/>
      <c r="I128" s="496"/>
      <c r="J128" s="496"/>
      <c r="K128" s="496"/>
      <c r="L128" s="59"/>
      <c r="M128" s="495"/>
      <c r="N128" s="496"/>
      <c r="O128" s="496"/>
      <c r="P128" s="496"/>
      <c r="Q128" s="59"/>
      <c r="R128" s="495"/>
      <c r="S128" s="496"/>
      <c r="T128" s="496"/>
      <c r="U128" s="496"/>
      <c r="V128" s="59"/>
      <c r="W128" s="495"/>
      <c r="X128" s="496"/>
      <c r="Y128" s="496"/>
      <c r="Z128" s="496"/>
      <c r="AA128" s="59"/>
      <c r="AB128" s="495"/>
      <c r="AC128" s="496"/>
      <c r="AD128" s="496"/>
      <c r="AE128" s="496"/>
      <c r="AF128" s="59"/>
      <c r="AG128" s="495"/>
      <c r="AH128" s="496"/>
      <c r="AI128" s="496"/>
      <c r="AJ128" s="496"/>
      <c r="AK128" s="59"/>
      <c r="AL128" s="495"/>
      <c r="AM128" s="496"/>
      <c r="AN128" s="496"/>
      <c r="AO128" s="496"/>
      <c r="AP128" s="59"/>
      <c r="AQ128" s="495"/>
      <c r="AR128" s="496"/>
      <c r="AS128" s="496"/>
      <c r="AT128" s="496"/>
      <c r="AU128" s="59"/>
      <c r="AV128" s="495"/>
      <c r="AW128" s="496"/>
      <c r="AX128" s="496"/>
      <c r="AY128" s="496"/>
      <c r="AZ128" s="59"/>
      <c r="BA128" s="495"/>
      <c r="BB128" s="496"/>
      <c r="BC128" s="496"/>
      <c r="BD128" s="496"/>
      <c r="BE128" s="59"/>
      <c r="BF128" s="495"/>
      <c r="BG128" s="496"/>
      <c r="BH128" s="496"/>
      <c r="BI128" s="496"/>
      <c r="BJ128" s="59"/>
      <c r="BK128" s="495"/>
      <c r="BL128" s="496"/>
      <c r="BM128" s="496"/>
      <c r="BN128" s="496"/>
      <c r="BO128" s="59"/>
    </row>
    <row r="129" spans="1:67" s="58" customFormat="1">
      <c r="A129" s="107"/>
      <c r="C129" s="378"/>
      <c r="D129" s="379"/>
      <c r="E129" s="379"/>
      <c r="F129" s="379"/>
      <c r="G129" s="59"/>
      <c r="H129" s="378"/>
      <c r="I129" s="379"/>
      <c r="J129" s="379"/>
      <c r="K129" s="379"/>
      <c r="L129" s="59"/>
      <c r="M129" s="378"/>
      <c r="N129" s="379"/>
      <c r="O129" s="379"/>
      <c r="P129" s="379"/>
      <c r="Q129" s="59"/>
      <c r="R129" s="378"/>
      <c r="S129" s="379"/>
      <c r="T129" s="379"/>
      <c r="U129" s="379"/>
      <c r="V129" s="59"/>
      <c r="W129" s="378"/>
      <c r="X129" s="379"/>
      <c r="Y129" s="379"/>
      <c r="Z129" s="379"/>
      <c r="AA129" s="59"/>
      <c r="AB129" s="378"/>
      <c r="AC129" s="379"/>
      <c r="AD129" s="379"/>
      <c r="AE129" s="379"/>
      <c r="AF129" s="59"/>
      <c r="AG129" s="378"/>
      <c r="AH129" s="379"/>
      <c r="AI129" s="379"/>
      <c r="AJ129" s="379"/>
      <c r="AK129" s="59"/>
      <c r="AL129" s="378"/>
      <c r="AM129" s="379"/>
      <c r="AN129" s="379"/>
      <c r="AO129" s="379"/>
      <c r="AP129" s="59"/>
      <c r="AQ129" s="378"/>
      <c r="AR129" s="379"/>
      <c r="AS129" s="379"/>
      <c r="AT129" s="379"/>
      <c r="AU129" s="59"/>
      <c r="AV129" s="378"/>
      <c r="AW129" s="379"/>
      <c r="AX129" s="379"/>
      <c r="AY129" s="379"/>
      <c r="AZ129" s="59"/>
      <c r="BA129" s="378"/>
      <c r="BB129" s="379"/>
      <c r="BC129" s="379"/>
      <c r="BD129" s="379"/>
      <c r="BE129" s="59"/>
      <c r="BF129" s="378"/>
      <c r="BG129" s="379"/>
      <c r="BH129" s="379"/>
      <c r="BI129" s="379"/>
      <c r="BJ129" s="59"/>
      <c r="BK129" s="378"/>
      <c r="BL129" s="379"/>
      <c r="BM129" s="379"/>
      <c r="BN129" s="379"/>
      <c r="BO129" s="59"/>
    </row>
    <row r="130" spans="1:67" s="58" customFormat="1">
      <c r="A130" s="107"/>
      <c r="C130" s="463"/>
      <c r="D130" s="384"/>
      <c r="E130" s="384"/>
      <c r="F130" s="384"/>
      <c r="G130" s="59"/>
      <c r="H130" s="463"/>
      <c r="I130" s="384"/>
      <c r="J130" s="384"/>
      <c r="K130" s="384"/>
      <c r="L130" s="59"/>
      <c r="M130" s="463"/>
      <c r="N130" s="384"/>
      <c r="O130" s="384"/>
      <c r="P130" s="384"/>
      <c r="Q130" s="59"/>
      <c r="R130" s="463"/>
      <c r="S130" s="384"/>
      <c r="T130" s="384"/>
      <c r="U130" s="384"/>
      <c r="V130" s="59"/>
      <c r="W130" s="463"/>
      <c r="X130" s="384"/>
      <c r="Y130" s="384"/>
      <c r="Z130" s="384"/>
      <c r="AA130" s="59"/>
      <c r="AB130" s="463"/>
      <c r="AC130" s="384"/>
      <c r="AD130" s="384"/>
      <c r="AE130" s="384"/>
      <c r="AF130" s="59"/>
      <c r="AG130" s="463"/>
      <c r="AH130" s="384"/>
      <c r="AI130" s="384"/>
      <c r="AJ130" s="384"/>
      <c r="AK130" s="59"/>
      <c r="AL130" s="463"/>
      <c r="AM130" s="384"/>
      <c r="AN130" s="384"/>
      <c r="AO130" s="384"/>
      <c r="AP130" s="59"/>
      <c r="AQ130" s="463"/>
      <c r="AR130" s="384"/>
      <c r="AS130" s="384"/>
      <c r="AT130" s="384"/>
      <c r="AU130" s="59"/>
      <c r="AV130" s="463"/>
      <c r="AW130" s="384"/>
      <c r="AX130" s="384"/>
      <c r="AY130" s="384"/>
      <c r="AZ130" s="59"/>
      <c r="BA130" s="463"/>
      <c r="BB130" s="384"/>
      <c r="BC130" s="384"/>
      <c r="BD130" s="384"/>
      <c r="BE130" s="59"/>
      <c r="BF130" s="463"/>
      <c r="BG130" s="384"/>
      <c r="BH130" s="384"/>
      <c r="BI130" s="384"/>
      <c r="BJ130" s="59"/>
      <c r="BK130" s="463"/>
      <c r="BL130" s="384"/>
      <c r="BM130" s="384"/>
      <c r="BN130" s="384"/>
      <c r="BO130" s="59"/>
    </row>
    <row r="131" spans="1:67" s="58" customFormat="1">
      <c r="A131" s="107"/>
      <c r="C131" s="362"/>
      <c r="D131" s="466"/>
      <c r="E131" s="466"/>
      <c r="F131" s="466"/>
      <c r="G131" s="59"/>
      <c r="H131" s="362"/>
      <c r="I131" s="466"/>
      <c r="J131" s="466"/>
      <c r="K131" s="466"/>
      <c r="L131" s="59"/>
      <c r="M131" s="362"/>
      <c r="N131" s="466"/>
      <c r="O131" s="466"/>
      <c r="P131" s="466"/>
      <c r="Q131" s="59"/>
      <c r="R131" s="362"/>
      <c r="S131" s="466"/>
      <c r="T131" s="466"/>
      <c r="U131" s="466"/>
      <c r="V131" s="59"/>
      <c r="W131" s="362"/>
      <c r="X131" s="466"/>
      <c r="Y131" s="466"/>
      <c r="Z131" s="466"/>
      <c r="AA131" s="59"/>
      <c r="AB131" s="362"/>
      <c r="AC131" s="466"/>
      <c r="AD131" s="466"/>
      <c r="AE131" s="466"/>
      <c r="AF131" s="59"/>
      <c r="AG131" s="362"/>
      <c r="AH131" s="466"/>
      <c r="AI131" s="466"/>
      <c r="AJ131" s="466"/>
      <c r="AK131" s="59"/>
      <c r="AL131" s="362"/>
      <c r="AM131" s="466"/>
      <c r="AN131" s="466"/>
      <c r="AO131" s="466"/>
      <c r="AP131" s="59"/>
      <c r="AQ131" s="362"/>
      <c r="AR131" s="466"/>
      <c r="AS131" s="466"/>
      <c r="AT131" s="466"/>
      <c r="AU131" s="59"/>
      <c r="AV131" s="362"/>
      <c r="AW131" s="466"/>
      <c r="AX131" s="466"/>
      <c r="AY131" s="466"/>
      <c r="AZ131" s="59"/>
      <c r="BA131" s="362"/>
      <c r="BB131" s="466"/>
      <c r="BC131" s="466"/>
      <c r="BD131" s="466"/>
      <c r="BE131" s="59"/>
      <c r="BF131" s="362"/>
      <c r="BG131" s="466"/>
      <c r="BH131" s="466"/>
      <c r="BI131" s="466"/>
      <c r="BJ131" s="59"/>
      <c r="BK131" s="362"/>
      <c r="BL131" s="466"/>
      <c r="BM131" s="466"/>
      <c r="BN131" s="466"/>
      <c r="BO131" s="59"/>
    </row>
    <row r="132" spans="1:67" s="58" customFormat="1">
      <c r="A132" s="107"/>
      <c r="C132" s="362"/>
      <c r="D132" s="466"/>
      <c r="E132" s="466"/>
      <c r="F132" s="466"/>
      <c r="G132" s="59"/>
      <c r="H132" s="362"/>
      <c r="I132" s="466"/>
      <c r="J132" s="466"/>
      <c r="K132" s="466"/>
      <c r="L132" s="59"/>
      <c r="M132" s="362"/>
      <c r="N132" s="466"/>
      <c r="O132" s="466"/>
      <c r="P132" s="466"/>
      <c r="Q132" s="59"/>
      <c r="R132" s="362"/>
      <c r="S132" s="466"/>
      <c r="T132" s="466"/>
      <c r="U132" s="466"/>
      <c r="V132" s="59"/>
      <c r="W132" s="362"/>
      <c r="X132" s="466"/>
      <c r="Y132" s="466"/>
      <c r="Z132" s="466"/>
      <c r="AA132" s="59"/>
      <c r="AB132" s="362"/>
      <c r="AC132" s="466"/>
      <c r="AD132" s="466"/>
      <c r="AE132" s="466"/>
      <c r="AF132" s="59"/>
      <c r="AG132" s="362"/>
      <c r="AH132" s="466"/>
      <c r="AI132" s="466"/>
      <c r="AJ132" s="466"/>
      <c r="AK132" s="59"/>
      <c r="AL132" s="362"/>
      <c r="AM132" s="466"/>
      <c r="AN132" s="466"/>
      <c r="AO132" s="466"/>
      <c r="AP132" s="59"/>
      <c r="AQ132" s="362"/>
      <c r="AR132" s="466"/>
      <c r="AS132" s="466"/>
      <c r="AT132" s="466"/>
      <c r="AU132" s="59"/>
      <c r="AV132" s="362"/>
      <c r="AW132" s="466"/>
      <c r="AX132" s="466"/>
      <c r="AY132" s="466"/>
      <c r="AZ132" s="59"/>
      <c r="BA132" s="362"/>
      <c r="BB132" s="466"/>
      <c r="BC132" s="466"/>
      <c r="BD132" s="466"/>
      <c r="BE132" s="59"/>
      <c r="BF132" s="362"/>
      <c r="BG132" s="466"/>
      <c r="BH132" s="466"/>
      <c r="BI132" s="466"/>
      <c r="BJ132" s="59"/>
      <c r="BK132" s="362"/>
      <c r="BL132" s="466"/>
      <c r="BM132" s="466"/>
      <c r="BN132" s="466"/>
      <c r="BO132" s="59"/>
    </row>
    <row r="133" spans="1:67" s="58" customFormat="1">
      <c r="A133" s="107"/>
      <c r="C133" s="362"/>
      <c r="D133" s="466"/>
      <c r="E133" s="466"/>
      <c r="F133" s="466"/>
      <c r="G133" s="59"/>
      <c r="H133" s="362"/>
      <c r="I133" s="466"/>
      <c r="J133" s="466"/>
      <c r="K133" s="466"/>
      <c r="L133" s="59"/>
      <c r="M133" s="362"/>
      <c r="N133" s="466"/>
      <c r="O133" s="466"/>
      <c r="P133" s="466"/>
      <c r="Q133" s="59"/>
      <c r="R133" s="362"/>
      <c r="S133" s="466"/>
      <c r="T133" s="466"/>
      <c r="U133" s="466"/>
      <c r="V133" s="59"/>
      <c r="W133" s="362"/>
      <c r="X133" s="466"/>
      <c r="Y133" s="466"/>
      <c r="Z133" s="466"/>
      <c r="AA133" s="59"/>
      <c r="AB133" s="362"/>
      <c r="AC133" s="466"/>
      <c r="AD133" s="466"/>
      <c r="AE133" s="466"/>
      <c r="AF133" s="59"/>
      <c r="AG133" s="362"/>
      <c r="AH133" s="466"/>
      <c r="AI133" s="466"/>
      <c r="AJ133" s="466"/>
      <c r="AK133" s="59"/>
      <c r="AL133" s="362"/>
      <c r="AM133" s="466"/>
      <c r="AN133" s="466"/>
      <c r="AO133" s="466"/>
      <c r="AP133" s="59"/>
      <c r="AQ133" s="362"/>
      <c r="AR133" s="466"/>
      <c r="AS133" s="466"/>
      <c r="AT133" s="466"/>
      <c r="AU133" s="59"/>
      <c r="AV133" s="362"/>
      <c r="AW133" s="466"/>
      <c r="AX133" s="466"/>
      <c r="AY133" s="466"/>
      <c r="AZ133" s="59"/>
      <c r="BA133" s="362"/>
      <c r="BB133" s="466"/>
      <c r="BC133" s="466"/>
      <c r="BD133" s="466"/>
      <c r="BE133" s="59"/>
      <c r="BF133" s="362"/>
      <c r="BG133" s="466"/>
      <c r="BH133" s="466"/>
      <c r="BI133" s="466"/>
      <c r="BJ133" s="59"/>
      <c r="BK133" s="362"/>
      <c r="BL133" s="466"/>
      <c r="BM133" s="466"/>
      <c r="BN133" s="466"/>
      <c r="BO133" s="59"/>
    </row>
    <row r="134" spans="1:67" s="58" customFormat="1">
      <c r="A134" s="107"/>
      <c r="C134" s="378"/>
      <c r="D134" s="379"/>
      <c r="E134" s="379"/>
      <c r="F134" s="379"/>
      <c r="G134" s="59"/>
      <c r="H134" s="378"/>
      <c r="I134" s="379"/>
      <c r="J134" s="379"/>
      <c r="K134" s="379"/>
      <c r="L134" s="59"/>
      <c r="M134" s="378"/>
      <c r="N134" s="379"/>
      <c r="O134" s="379"/>
      <c r="P134" s="379"/>
      <c r="Q134" s="59"/>
      <c r="R134" s="378"/>
      <c r="S134" s="379"/>
      <c r="T134" s="379"/>
      <c r="U134" s="379"/>
      <c r="V134" s="59"/>
      <c r="W134" s="378"/>
      <c r="X134" s="379"/>
      <c r="Y134" s="379"/>
      <c r="Z134" s="379"/>
      <c r="AA134" s="59"/>
      <c r="AB134" s="378"/>
      <c r="AC134" s="379"/>
      <c r="AD134" s="379"/>
      <c r="AE134" s="379"/>
      <c r="AF134" s="59"/>
      <c r="AG134" s="378"/>
      <c r="AH134" s="379"/>
      <c r="AI134" s="379"/>
      <c r="AJ134" s="379"/>
      <c r="AK134" s="59"/>
      <c r="AL134" s="378"/>
      <c r="AM134" s="379"/>
      <c r="AN134" s="379"/>
      <c r="AO134" s="379"/>
      <c r="AP134" s="59"/>
      <c r="AQ134" s="378"/>
      <c r="AR134" s="379"/>
      <c r="AS134" s="379"/>
      <c r="AT134" s="379"/>
      <c r="AU134" s="59"/>
      <c r="AV134" s="378"/>
      <c r="AW134" s="379"/>
      <c r="AX134" s="379"/>
      <c r="AY134" s="379"/>
      <c r="AZ134" s="59"/>
      <c r="BA134" s="378"/>
      <c r="BB134" s="379"/>
      <c r="BC134" s="379"/>
      <c r="BD134" s="379"/>
      <c r="BE134" s="59"/>
      <c r="BF134" s="378"/>
      <c r="BG134" s="379"/>
      <c r="BH134" s="379"/>
      <c r="BI134" s="379"/>
      <c r="BJ134" s="59"/>
      <c r="BK134" s="378"/>
      <c r="BL134" s="379"/>
      <c r="BM134" s="379"/>
      <c r="BN134" s="379"/>
      <c r="BO134" s="59"/>
    </row>
    <row r="135" spans="1:67" s="58" customFormat="1">
      <c r="A135" s="107"/>
      <c r="C135" s="362"/>
      <c r="D135" s="466"/>
      <c r="E135" s="466"/>
      <c r="F135" s="466"/>
      <c r="G135" s="59"/>
      <c r="H135" s="362"/>
      <c r="I135" s="466"/>
      <c r="J135" s="466"/>
      <c r="K135" s="466"/>
      <c r="L135" s="59"/>
      <c r="M135" s="362"/>
      <c r="N135" s="466"/>
      <c r="O135" s="466"/>
      <c r="P135" s="466"/>
      <c r="Q135" s="59"/>
      <c r="R135" s="362"/>
      <c r="S135" s="466"/>
      <c r="T135" s="466"/>
      <c r="U135" s="466"/>
      <c r="V135" s="59"/>
      <c r="W135" s="362"/>
      <c r="X135" s="466"/>
      <c r="Y135" s="466"/>
      <c r="Z135" s="466"/>
      <c r="AA135" s="59"/>
      <c r="AB135" s="362"/>
      <c r="AC135" s="466"/>
      <c r="AD135" s="466"/>
      <c r="AE135" s="466"/>
      <c r="AF135" s="59"/>
      <c r="AG135" s="362"/>
      <c r="AH135" s="466"/>
      <c r="AI135" s="466"/>
      <c r="AJ135" s="466"/>
      <c r="AK135" s="59"/>
      <c r="AL135" s="362"/>
      <c r="AM135" s="466"/>
      <c r="AN135" s="466"/>
      <c r="AO135" s="466"/>
      <c r="AP135" s="59"/>
      <c r="AQ135" s="362"/>
      <c r="AR135" s="466"/>
      <c r="AS135" s="466"/>
      <c r="AT135" s="466"/>
      <c r="AU135" s="59"/>
      <c r="AV135" s="362"/>
      <c r="AW135" s="466"/>
      <c r="AX135" s="466"/>
      <c r="AY135" s="466"/>
      <c r="AZ135" s="59"/>
      <c r="BA135" s="362"/>
      <c r="BB135" s="466"/>
      <c r="BC135" s="466"/>
      <c r="BD135" s="466"/>
      <c r="BE135" s="59"/>
      <c r="BF135" s="362"/>
      <c r="BG135" s="466"/>
      <c r="BH135" s="466"/>
      <c r="BI135" s="466"/>
      <c r="BJ135" s="59"/>
      <c r="BK135" s="362"/>
      <c r="BL135" s="466"/>
      <c r="BM135" s="466"/>
      <c r="BN135" s="466"/>
      <c r="BO135" s="59"/>
    </row>
    <row r="136" spans="1:67" s="58" customFormat="1">
      <c r="A136" s="107"/>
      <c r="C136" s="362"/>
      <c r="D136" s="466"/>
      <c r="E136" s="466"/>
      <c r="F136" s="466"/>
      <c r="G136" s="59"/>
      <c r="H136" s="362"/>
      <c r="I136" s="466"/>
      <c r="J136" s="466"/>
      <c r="K136" s="466"/>
      <c r="L136" s="59"/>
      <c r="M136" s="362"/>
      <c r="N136" s="466"/>
      <c r="O136" s="466"/>
      <c r="P136" s="466"/>
      <c r="Q136" s="59"/>
      <c r="R136" s="362"/>
      <c r="S136" s="466"/>
      <c r="T136" s="466"/>
      <c r="U136" s="466"/>
      <c r="V136" s="59"/>
      <c r="W136" s="362"/>
      <c r="X136" s="466"/>
      <c r="Y136" s="466"/>
      <c r="Z136" s="466"/>
      <c r="AA136" s="59"/>
      <c r="AB136" s="362"/>
      <c r="AC136" s="466"/>
      <c r="AD136" s="466"/>
      <c r="AE136" s="466"/>
      <c r="AF136" s="59"/>
      <c r="AG136" s="362"/>
      <c r="AH136" s="466"/>
      <c r="AI136" s="466"/>
      <c r="AJ136" s="466"/>
      <c r="AK136" s="59"/>
      <c r="AL136" s="362"/>
      <c r="AM136" s="466"/>
      <c r="AN136" s="466"/>
      <c r="AO136" s="466"/>
      <c r="AP136" s="59"/>
      <c r="AQ136" s="362"/>
      <c r="AR136" s="466"/>
      <c r="AS136" s="466"/>
      <c r="AT136" s="466"/>
      <c r="AU136" s="59"/>
      <c r="AV136" s="362"/>
      <c r="AW136" s="466"/>
      <c r="AX136" s="466"/>
      <c r="AY136" s="466"/>
      <c r="AZ136" s="59"/>
      <c r="BA136" s="362"/>
      <c r="BB136" s="466"/>
      <c r="BC136" s="466"/>
      <c r="BD136" s="466"/>
      <c r="BE136" s="59"/>
      <c r="BF136" s="362"/>
      <c r="BG136" s="466"/>
      <c r="BH136" s="466"/>
      <c r="BI136" s="466"/>
      <c r="BJ136" s="59"/>
      <c r="BK136" s="362"/>
      <c r="BL136" s="466"/>
      <c r="BM136" s="466"/>
      <c r="BN136" s="466"/>
      <c r="BO136" s="59"/>
    </row>
    <row r="137" spans="1:67" s="58" customFormat="1">
      <c r="A137" s="107"/>
      <c r="C137" s="362"/>
      <c r="D137" s="466"/>
      <c r="E137" s="466"/>
      <c r="F137" s="466"/>
      <c r="G137" s="59"/>
      <c r="H137" s="362"/>
      <c r="I137" s="466"/>
      <c r="J137" s="466"/>
      <c r="K137" s="466"/>
      <c r="L137" s="59"/>
      <c r="M137" s="362"/>
      <c r="N137" s="466"/>
      <c r="O137" s="466"/>
      <c r="P137" s="466"/>
      <c r="Q137" s="59"/>
      <c r="R137" s="362"/>
      <c r="S137" s="466"/>
      <c r="T137" s="466"/>
      <c r="U137" s="466"/>
      <c r="V137" s="59"/>
      <c r="W137" s="362"/>
      <c r="X137" s="466"/>
      <c r="Y137" s="466"/>
      <c r="Z137" s="466"/>
      <c r="AA137" s="59"/>
      <c r="AB137" s="362"/>
      <c r="AC137" s="466"/>
      <c r="AD137" s="466"/>
      <c r="AE137" s="466"/>
      <c r="AF137" s="59"/>
      <c r="AG137" s="362"/>
      <c r="AH137" s="466"/>
      <c r="AI137" s="466"/>
      <c r="AJ137" s="466"/>
      <c r="AK137" s="59"/>
      <c r="AL137" s="362"/>
      <c r="AM137" s="466"/>
      <c r="AN137" s="466"/>
      <c r="AO137" s="466"/>
      <c r="AP137" s="59"/>
      <c r="AQ137" s="362"/>
      <c r="AR137" s="466"/>
      <c r="AS137" s="466"/>
      <c r="AT137" s="466"/>
      <c r="AU137" s="59"/>
      <c r="AV137" s="362"/>
      <c r="AW137" s="466"/>
      <c r="AX137" s="466"/>
      <c r="AY137" s="466"/>
      <c r="AZ137" s="59"/>
      <c r="BA137" s="362"/>
      <c r="BB137" s="466"/>
      <c r="BC137" s="466"/>
      <c r="BD137" s="466"/>
      <c r="BE137" s="59"/>
      <c r="BF137" s="362"/>
      <c r="BG137" s="466"/>
      <c r="BH137" s="466"/>
      <c r="BI137" s="466"/>
      <c r="BJ137" s="59"/>
      <c r="BK137" s="362"/>
      <c r="BL137" s="466"/>
      <c r="BM137" s="466"/>
      <c r="BN137" s="466"/>
      <c r="BO137" s="59"/>
    </row>
    <row r="213" spans="1:67" s="58" customFormat="1">
      <c r="A213" s="107"/>
      <c r="C213" s="471"/>
      <c r="D213" s="471"/>
      <c r="E213" s="471"/>
      <c r="F213" s="471"/>
      <c r="G213" s="471"/>
      <c r="H213" s="471"/>
      <c r="I213" s="471"/>
      <c r="J213" s="471"/>
      <c r="K213" s="471"/>
      <c r="L213" s="471"/>
      <c r="M213" s="471"/>
      <c r="N213" s="471"/>
      <c r="O213" s="471"/>
      <c r="P213" s="471"/>
      <c r="Q213" s="471"/>
      <c r="R213" s="471"/>
      <c r="S213" s="471"/>
      <c r="T213" s="471"/>
      <c r="U213" s="471"/>
      <c r="V213" s="471"/>
      <c r="W213" s="471"/>
      <c r="X213" s="471"/>
      <c r="Y213" s="471"/>
      <c r="Z213" s="471"/>
      <c r="AA213" s="471"/>
      <c r="AB213" s="471"/>
      <c r="AC213" s="471"/>
      <c r="AD213" s="471"/>
      <c r="AE213" s="471"/>
      <c r="AF213" s="471"/>
      <c r="AG213" s="471"/>
      <c r="AH213" s="471"/>
      <c r="AI213" s="471"/>
      <c r="AJ213" s="471"/>
      <c r="AK213" s="471"/>
      <c r="AL213" s="471"/>
      <c r="AM213" s="471"/>
      <c r="AN213" s="471"/>
      <c r="AO213" s="471"/>
      <c r="AP213" s="471"/>
      <c r="AQ213" s="471"/>
      <c r="AR213" s="471"/>
      <c r="AS213" s="471"/>
      <c r="AT213" s="471"/>
      <c r="AU213" s="471"/>
      <c r="AV213" s="471"/>
      <c r="AW213" s="471"/>
      <c r="AX213" s="471"/>
      <c r="AY213" s="471"/>
      <c r="AZ213" s="471"/>
      <c r="BA213" s="471"/>
      <c r="BB213" s="471"/>
      <c r="BC213" s="471"/>
      <c r="BD213" s="471"/>
      <c r="BE213" s="471"/>
      <c r="BF213" s="471"/>
      <c r="BG213" s="471"/>
      <c r="BH213" s="471"/>
      <c r="BI213" s="471"/>
      <c r="BJ213" s="471"/>
      <c r="BK213" s="471"/>
      <c r="BL213" s="471"/>
      <c r="BM213" s="471"/>
      <c r="BN213" s="471"/>
      <c r="BO213" s="471"/>
    </row>
    <row r="214" spans="1:67" s="58" customFormat="1">
      <c r="A214" s="107"/>
      <c r="C214" s="471"/>
      <c r="D214" s="471"/>
      <c r="E214" s="471"/>
      <c r="F214" s="471"/>
      <c r="G214" s="471"/>
      <c r="H214" s="471"/>
      <c r="I214" s="471"/>
      <c r="J214" s="471"/>
      <c r="K214" s="471"/>
      <c r="L214" s="471"/>
      <c r="M214" s="471"/>
      <c r="N214" s="471"/>
      <c r="O214" s="471"/>
      <c r="P214" s="471"/>
      <c r="Q214" s="471"/>
      <c r="R214" s="471"/>
      <c r="S214" s="471"/>
      <c r="T214" s="471"/>
      <c r="U214" s="471"/>
      <c r="V214" s="471"/>
      <c r="W214" s="471"/>
      <c r="X214" s="471"/>
      <c r="Y214" s="471"/>
      <c r="Z214" s="471"/>
      <c r="AA214" s="471"/>
      <c r="AB214" s="471"/>
      <c r="AC214" s="471"/>
      <c r="AD214" s="471"/>
      <c r="AE214" s="471"/>
      <c r="AF214" s="471"/>
      <c r="AG214" s="471"/>
      <c r="AH214" s="471"/>
      <c r="AI214" s="471"/>
      <c r="AJ214" s="471"/>
      <c r="AK214" s="471"/>
      <c r="AL214" s="471"/>
      <c r="AM214" s="471"/>
      <c r="AN214" s="471"/>
      <c r="AO214" s="471"/>
      <c r="AP214" s="471"/>
      <c r="AQ214" s="471"/>
      <c r="AR214" s="471"/>
      <c r="AS214" s="471"/>
      <c r="AT214" s="471"/>
      <c r="AU214" s="471"/>
      <c r="AV214" s="471"/>
      <c r="AW214" s="471"/>
      <c r="AX214" s="471"/>
      <c r="AY214" s="471"/>
      <c r="AZ214" s="471"/>
      <c r="BA214" s="471"/>
      <c r="BB214" s="471"/>
      <c r="BC214" s="471"/>
      <c r="BD214" s="471"/>
      <c r="BE214" s="471"/>
      <c r="BF214" s="471"/>
      <c r="BG214" s="471"/>
      <c r="BH214" s="471"/>
      <c r="BI214" s="471"/>
      <c r="BJ214" s="471"/>
      <c r="BK214" s="471"/>
      <c r="BL214" s="471"/>
      <c r="BM214" s="471"/>
      <c r="BN214" s="471"/>
      <c r="BO214" s="471"/>
    </row>
    <row r="215" spans="1:67" s="58" customFormat="1">
      <c r="A215" s="107"/>
      <c r="C215" s="472"/>
      <c r="D215" s="471"/>
      <c r="E215" s="471"/>
      <c r="F215" s="471"/>
      <c r="G215" s="471"/>
      <c r="H215" s="472"/>
      <c r="I215" s="471"/>
      <c r="J215" s="471"/>
      <c r="K215" s="471"/>
      <c r="L215" s="471"/>
      <c r="M215" s="472"/>
      <c r="N215" s="471"/>
      <c r="O215" s="471"/>
      <c r="P215" s="471"/>
      <c r="Q215" s="471"/>
      <c r="R215" s="472"/>
      <c r="S215" s="471"/>
      <c r="T215" s="471"/>
      <c r="U215" s="471"/>
      <c r="V215" s="471"/>
      <c r="W215" s="472"/>
      <c r="X215" s="471"/>
      <c r="Y215" s="471"/>
      <c r="Z215" s="471"/>
      <c r="AA215" s="471"/>
      <c r="AB215" s="472"/>
      <c r="AC215" s="471"/>
      <c r="AD215" s="471"/>
      <c r="AE215" s="471"/>
      <c r="AF215" s="471"/>
      <c r="AG215" s="472"/>
      <c r="AH215" s="471"/>
      <c r="AI215" s="471"/>
      <c r="AJ215" s="471"/>
      <c r="AK215" s="471"/>
      <c r="AL215" s="472"/>
      <c r="AM215" s="471"/>
      <c r="AN215" s="471"/>
      <c r="AO215" s="471"/>
      <c r="AP215" s="471"/>
      <c r="AQ215" s="472"/>
      <c r="AR215" s="471"/>
      <c r="AS215" s="471"/>
      <c r="AT215" s="471"/>
      <c r="AU215" s="471"/>
      <c r="AV215" s="472"/>
      <c r="AW215" s="471"/>
      <c r="AX215" s="471"/>
      <c r="AY215" s="471"/>
      <c r="AZ215" s="471"/>
      <c r="BA215" s="472"/>
      <c r="BB215" s="471"/>
      <c r="BC215" s="471"/>
      <c r="BD215" s="471"/>
      <c r="BE215" s="471"/>
      <c r="BF215" s="472"/>
      <c r="BG215" s="471"/>
      <c r="BH215" s="471"/>
      <c r="BI215" s="471"/>
      <c r="BJ215" s="471"/>
      <c r="BK215" s="472"/>
      <c r="BL215" s="471"/>
      <c r="BM215" s="471"/>
      <c r="BN215" s="471"/>
      <c r="BO215" s="471"/>
    </row>
    <row r="216" spans="1:67" s="58" customFormat="1">
      <c r="A216" s="107"/>
      <c r="C216" s="896"/>
      <c r="D216" s="471"/>
      <c r="E216" s="471"/>
      <c r="F216" s="471"/>
      <c r="G216" s="471"/>
      <c r="H216" s="896"/>
      <c r="I216" s="471"/>
      <c r="J216" s="471"/>
      <c r="K216" s="471"/>
      <c r="L216" s="471"/>
      <c r="M216" s="896"/>
      <c r="N216" s="471"/>
      <c r="O216" s="471"/>
      <c r="P216" s="471"/>
      <c r="Q216" s="471"/>
      <c r="R216" s="896"/>
      <c r="S216" s="471"/>
      <c r="T216" s="471"/>
      <c r="U216" s="471"/>
      <c r="V216" s="471"/>
      <c r="W216" s="896"/>
      <c r="X216" s="471"/>
      <c r="Y216" s="471"/>
      <c r="Z216" s="471"/>
      <c r="AA216" s="471"/>
      <c r="AB216" s="896"/>
      <c r="AC216" s="471"/>
      <c r="AD216" s="471"/>
      <c r="AE216" s="471"/>
      <c r="AF216" s="471"/>
      <c r="AG216" s="896"/>
      <c r="AH216" s="471"/>
      <c r="AI216" s="471"/>
      <c r="AJ216" s="471"/>
      <c r="AK216" s="471"/>
      <c r="AL216" s="896"/>
      <c r="AM216" s="471"/>
      <c r="AN216" s="471"/>
      <c r="AO216" s="471"/>
      <c r="AP216" s="471"/>
      <c r="AQ216" s="896"/>
      <c r="AR216" s="471"/>
      <c r="AS216" s="471"/>
      <c r="AT216" s="471"/>
      <c r="AU216" s="471"/>
      <c r="AV216" s="896"/>
      <c r="AW216" s="471"/>
      <c r="AX216" s="471"/>
      <c r="AY216" s="471"/>
      <c r="AZ216" s="471"/>
      <c r="BA216" s="896"/>
      <c r="BB216" s="471"/>
      <c r="BC216" s="471"/>
      <c r="BD216" s="471"/>
      <c r="BE216" s="471"/>
      <c r="BF216" s="896"/>
      <c r="BG216" s="471"/>
      <c r="BH216" s="471"/>
      <c r="BI216" s="471"/>
      <c r="BJ216" s="471"/>
      <c r="BK216" s="896"/>
      <c r="BL216" s="471"/>
      <c r="BM216" s="471"/>
      <c r="BN216" s="471"/>
      <c r="BO216" s="471"/>
    </row>
    <row r="217" spans="1:67" s="58" customFormat="1">
      <c r="A217" s="107"/>
      <c r="C217" s="429"/>
      <c r="D217" s="474"/>
      <c r="E217" s="474"/>
      <c r="F217" s="474"/>
      <c r="G217" s="474"/>
      <c r="H217" s="429"/>
      <c r="I217" s="474"/>
      <c r="J217" s="474"/>
      <c r="K217" s="474"/>
      <c r="L217" s="474"/>
      <c r="M217" s="429"/>
      <c r="N217" s="474"/>
      <c r="O217" s="474"/>
      <c r="P217" s="474"/>
      <c r="Q217" s="474"/>
      <c r="R217" s="429"/>
      <c r="S217" s="474"/>
      <c r="T217" s="474"/>
      <c r="U217" s="474"/>
      <c r="V217" s="474"/>
      <c r="W217" s="429"/>
      <c r="X217" s="474"/>
      <c r="Y217" s="474"/>
      <c r="Z217" s="474"/>
      <c r="AA217" s="474"/>
      <c r="AB217" s="429"/>
      <c r="AC217" s="474"/>
      <c r="AD217" s="474"/>
      <c r="AE217" s="474"/>
      <c r="AF217" s="474"/>
      <c r="AG217" s="429"/>
      <c r="AH217" s="474"/>
      <c r="AI217" s="474"/>
      <c r="AJ217" s="474"/>
      <c r="AK217" s="474"/>
      <c r="AL217" s="429"/>
      <c r="AM217" s="474"/>
      <c r="AN217" s="474"/>
      <c r="AO217" s="474"/>
      <c r="AP217" s="474"/>
      <c r="AQ217" s="429"/>
      <c r="AR217" s="474"/>
      <c r="AS217" s="474"/>
      <c r="AT217" s="474"/>
      <c r="AU217" s="474"/>
      <c r="AV217" s="429"/>
      <c r="AW217" s="474"/>
      <c r="AX217" s="474"/>
      <c r="AY217" s="474"/>
      <c r="AZ217" s="474"/>
      <c r="BA217" s="429"/>
      <c r="BB217" s="474"/>
      <c r="BC217" s="474"/>
      <c r="BD217" s="474"/>
      <c r="BE217" s="474"/>
      <c r="BF217" s="429"/>
      <c r="BG217" s="474"/>
      <c r="BH217" s="474"/>
      <c r="BI217" s="474"/>
      <c r="BJ217" s="474"/>
      <c r="BK217" s="429"/>
      <c r="BL217" s="474"/>
      <c r="BM217" s="474"/>
      <c r="BN217" s="474"/>
      <c r="BO217" s="474"/>
    </row>
    <row r="218" spans="1:67" s="58" customFormat="1">
      <c r="A218" s="107"/>
      <c r="C218" s="475"/>
      <c r="D218" s="476"/>
      <c r="E218" s="476"/>
      <c r="F218" s="476"/>
      <c r="G218" s="476"/>
      <c r="H218" s="475"/>
      <c r="I218" s="476"/>
      <c r="J218" s="476"/>
      <c r="K218" s="476"/>
      <c r="L218" s="476"/>
      <c r="M218" s="475"/>
      <c r="N218" s="476"/>
      <c r="O218" s="476"/>
      <c r="P218" s="476"/>
      <c r="Q218" s="476"/>
      <c r="R218" s="475"/>
      <c r="S218" s="476"/>
      <c r="T218" s="476"/>
      <c r="U218" s="476"/>
      <c r="V218" s="476"/>
      <c r="W218" s="475"/>
      <c r="X218" s="476"/>
      <c r="Y218" s="476"/>
      <c r="Z218" s="476"/>
      <c r="AA218" s="476"/>
      <c r="AB218" s="475"/>
      <c r="AC218" s="476"/>
      <c r="AD218" s="476"/>
      <c r="AE218" s="476"/>
      <c r="AF218" s="476"/>
      <c r="AG218" s="475"/>
      <c r="AH218" s="476"/>
      <c r="AI218" s="476"/>
      <c r="AJ218" s="476"/>
      <c r="AK218" s="476"/>
      <c r="AL218" s="475"/>
      <c r="AM218" s="476"/>
      <c r="AN218" s="476"/>
      <c r="AO218" s="476"/>
      <c r="AP218" s="476"/>
      <c r="AQ218" s="475"/>
      <c r="AR218" s="476"/>
      <c r="AS218" s="476"/>
      <c r="AT218" s="476"/>
      <c r="AU218" s="476"/>
      <c r="AV218" s="475"/>
      <c r="AW218" s="476"/>
      <c r="AX218" s="476"/>
      <c r="AY218" s="476"/>
      <c r="AZ218" s="476"/>
      <c r="BA218" s="475"/>
      <c r="BB218" s="476"/>
      <c r="BC218" s="476"/>
      <c r="BD218" s="476"/>
      <c r="BE218" s="476"/>
      <c r="BF218" s="475"/>
      <c r="BG218" s="476"/>
      <c r="BH218" s="476"/>
      <c r="BI218" s="476"/>
      <c r="BJ218" s="476"/>
      <c r="BK218" s="475"/>
      <c r="BL218" s="476"/>
      <c r="BM218" s="476"/>
      <c r="BN218" s="476"/>
      <c r="BO218" s="476"/>
    </row>
    <row r="219" spans="1:67" s="58" customFormat="1">
      <c r="A219" s="107"/>
      <c r="C219" s="475"/>
      <c r="D219" s="476"/>
      <c r="E219" s="476"/>
      <c r="F219" s="476"/>
      <c r="G219" s="476"/>
      <c r="H219" s="475"/>
      <c r="I219" s="476"/>
      <c r="J219" s="476"/>
      <c r="K219" s="476"/>
      <c r="L219" s="476"/>
      <c r="M219" s="475"/>
      <c r="N219" s="476"/>
      <c r="O219" s="476"/>
      <c r="P219" s="476"/>
      <c r="Q219" s="476"/>
      <c r="R219" s="475"/>
      <c r="S219" s="476"/>
      <c r="T219" s="476"/>
      <c r="U219" s="476"/>
      <c r="V219" s="476"/>
      <c r="W219" s="475"/>
      <c r="X219" s="476"/>
      <c r="Y219" s="476"/>
      <c r="Z219" s="476"/>
      <c r="AA219" s="476"/>
      <c r="AB219" s="475"/>
      <c r="AC219" s="476"/>
      <c r="AD219" s="476"/>
      <c r="AE219" s="476"/>
      <c r="AF219" s="476"/>
      <c r="AG219" s="475"/>
      <c r="AH219" s="476"/>
      <c r="AI219" s="476"/>
      <c r="AJ219" s="476"/>
      <c r="AK219" s="476"/>
      <c r="AL219" s="475"/>
      <c r="AM219" s="476"/>
      <c r="AN219" s="476"/>
      <c r="AO219" s="476"/>
      <c r="AP219" s="476"/>
      <c r="AQ219" s="475"/>
      <c r="AR219" s="476"/>
      <c r="AS219" s="476"/>
      <c r="AT219" s="476"/>
      <c r="AU219" s="476"/>
      <c r="AV219" s="475"/>
      <c r="AW219" s="476"/>
      <c r="AX219" s="476"/>
      <c r="AY219" s="476"/>
      <c r="AZ219" s="476"/>
      <c r="BA219" s="475"/>
      <c r="BB219" s="476"/>
      <c r="BC219" s="476"/>
      <c r="BD219" s="476"/>
      <c r="BE219" s="476"/>
      <c r="BF219" s="475"/>
      <c r="BG219" s="476"/>
      <c r="BH219" s="476"/>
      <c r="BI219" s="476"/>
      <c r="BJ219" s="476"/>
      <c r="BK219" s="475"/>
      <c r="BL219" s="476"/>
      <c r="BM219" s="476"/>
      <c r="BN219" s="476"/>
      <c r="BO219" s="476"/>
    </row>
    <row r="220" spans="1:67" s="58" customFormat="1">
      <c r="A220" s="107"/>
      <c r="C220" s="475"/>
      <c r="D220" s="476"/>
      <c r="E220" s="476"/>
      <c r="F220" s="476"/>
      <c r="G220" s="476"/>
      <c r="H220" s="475"/>
      <c r="I220" s="476"/>
      <c r="J220" s="476"/>
      <c r="K220" s="476"/>
      <c r="L220" s="476"/>
      <c r="M220" s="475"/>
      <c r="N220" s="476"/>
      <c r="O220" s="476"/>
      <c r="P220" s="476"/>
      <c r="Q220" s="476"/>
      <c r="R220" s="475"/>
      <c r="S220" s="476"/>
      <c r="T220" s="476"/>
      <c r="U220" s="476"/>
      <c r="V220" s="476"/>
      <c r="W220" s="475"/>
      <c r="X220" s="476"/>
      <c r="Y220" s="476"/>
      <c r="Z220" s="476"/>
      <c r="AA220" s="476"/>
      <c r="AB220" s="475"/>
      <c r="AC220" s="476"/>
      <c r="AD220" s="476"/>
      <c r="AE220" s="476"/>
      <c r="AF220" s="476"/>
      <c r="AG220" s="475"/>
      <c r="AH220" s="476"/>
      <c r="AI220" s="476"/>
      <c r="AJ220" s="476"/>
      <c r="AK220" s="476"/>
      <c r="AL220" s="475"/>
      <c r="AM220" s="476"/>
      <c r="AN220" s="476"/>
      <c r="AO220" s="476"/>
      <c r="AP220" s="476"/>
      <c r="AQ220" s="475"/>
      <c r="AR220" s="476"/>
      <c r="AS220" s="476"/>
      <c r="AT220" s="476"/>
      <c r="AU220" s="476"/>
      <c r="AV220" s="475"/>
      <c r="AW220" s="476"/>
      <c r="AX220" s="476"/>
      <c r="AY220" s="476"/>
      <c r="AZ220" s="476"/>
      <c r="BA220" s="475"/>
      <c r="BB220" s="476"/>
      <c r="BC220" s="476"/>
      <c r="BD220" s="476"/>
      <c r="BE220" s="476"/>
      <c r="BF220" s="475"/>
      <c r="BG220" s="476"/>
      <c r="BH220" s="476"/>
      <c r="BI220" s="476"/>
      <c r="BJ220" s="476"/>
      <c r="BK220" s="475"/>
      <c r="BL220" s="476"/>
      <c r="BM220" s="476"/>
      <c r="BN220" s="476"/>
      <c r="BO220" s="476"/>
    </row>
    <row r="221" spans="1:67" s="58" customFormat="1">
      <c r="A221" s="107"/>
      <c r="C221" s="430"/>
      <c r="D221" s="477"/>
      <c r="E221" s="477"/>
      <c r="F221" s="477"/>
      <c r="G221" s="477"/>
      <c r="H221" s="430"/>
      <c r="I221" s="477"/>
      <c r="J221" s="477"/>
      <c r="K221" s="477"/>
      <c r="L221" s="477"/>
      <c r="M221" s="430"/>
      <c r="N221" s="477"/>
      <c r="O221" s="477"/>
      <c r="P221" s="477"/>
      <c r="Q221" s="477"/>
      <c r="R221" s="430"/>
      <c r="S221" s="477"/>
      <c r="T221" s="477"/>
      <c r="U221" s="477"/>
      <c r="V221" s="477"/>
      <c r="W221" s="430"/>
      <c r="X221" s="477"/>
      <c r="Y221" s="477"/>
      <c r="Z221" s="477"/>
      <c r="AA221" s="477"/>
      <c r="AB221" s="430"/>
      <c r="AC221" s="477"/>
      <c r="AD221" s="477"/>
      <c r="AE221" s="477"/>
      <c r="AF221" s="477"/>
      <c r="AG221" s="430"/>
      <c r="AH221" s="477"/>
      <c r="AI221" s="477"/>
      <c r="AJ221" s="477"/>
      <c r="AK221" s="477"/>
      <c r="AL221" s="430"/>
      <c r="AM221" s="477"/>
      <c r="AN221" s="477"/>
      <c r="AO221" s="477"/>
      <c r="AP221" s="477"/>
      <c r="AQ221" s="430"/>
      <c r="AR221" s="477"/>
      <c r="AS221" s="477"/>
      <c r="AT221" s="477"/>
      <c r="AU221" s="477"/>
      <c r="AV221" s="430"/>
      <c r="AW221" s="477"/>
      <c r="AX221" s="477"/>
      <c r="AY221" s="477"/>
      <c r="AZ221" s="477"/>
      <c r="BA221" s="430"/>
      <c r="BB221" s="477"/>
      <c r="BC221" s="477"/>
      <c r="BD221" s="477"/>
      <c r="BE221" s="477"/>
      <c r="BF221" s="430"/>
      <c r="BG221" s="477"/>
      <c r="BH221" s="477"/>
      <c r="BI221" s="477"/>
      <c r="BJ221" s="477"/>
      <c r="BK221" s="430"/>
      <c r="BL221" s="477"/>
      <c r="BM221" s="477"/>
      <c r="BN221" s="477"/>
      <c r="BO221" s="477"/>
    </row>
    <row r="222" spans="1:67" s="58" customFormat="1">
      <c r="A222" s="107"/>
      <c r="C222" s="478"/>
      <c r="D222" s="476"/>
      <c r="E222" s="476"/>
      <c r="F222" s="476"/>
      <c r="G222" s="476"/>
      <c r="H222" s="478"/>
      <c r="I222" s="476"/>
      <c r="J222" s="476"/>
      <c r="K222" s="476"/>
      <c r="L222" s="476"/>
      <c r="M222" s="478"/>
      <c r="N222" s="476"/>
      <c r="O222" s="476"/>
      <c r="P222" s="476"/>
      <c r="Q222" s="476"/>
      <c r="R222" s="478"/>
      <c r="S222" s="476"/>
      <c r="T222" s="476"/>
      <c r="U222" s="476"/>
      <c r="V222" s="476"/>
      <c r="W222" s="478"/>
      <c r="X222" s="476"/>
      <c r="Y222" s="476"/>
      <c r="Z222" s="476"/>
      <c r="AA222" s="476"/>
      <c r="AB222" s="478"/>
      <c r="AC222" s="476"/>
      <c r="AD222" s="476"/>
      <c r="AE222" s="476"/>
      <c r="AF222" s="476"/>
      <c r="AG222" s="478"/>
      <c r="AH222" s="476"/>
      <c r="AI222" s="476"/>
      <c r="AJ222" s="476"/>
      <c r="AK222" s="476"/>
      <c r="AL222" s="478"/>
      <c r="AM222" s="476"/>
      <c r="AN222" s="476"/>
      <c r="AO222" s="476"/>
      <c r="AP222" s="476"/>
      <c r="AQ222" s="478"/>
      <c r="AR222" s="476"/>
      <c r="AS222" s="476"/>
      <c r="AT222" s="476"/>
      <c r="AU222" s="476"/>
      <c r="AV222" s="478"/>
      <c r="AW222" s="476"/>
      <c r="AX222" s="476"/>
      <c r="AY222" s="476"/>
      <c r="AZ222" s="476"/>
      <c r="BA222" s="478"/>
      <c r="BB222" s="476"/>
      <c r="BC222" s="476"/>
      <c r="BD222" s="476"/>
      <c r="BE222" s="476"/>
      <c r="BF222" s="478"/>
      <c r="BG222" s="476"/>
      <c r="BH222" s="476"/>
      <c r="BI222" s="476"/>
      <c r="BJ222" s="476"/>
      <c r="BK222" s="478"/>
      <c r="BL222" s="476"/>
      <c r="BM222" s="476"/>
      <c r="BN222" s="476"/>
      <c r="BO222" s="476"/>
    </row>
    <row r="223" spans="1:67" s="58" customFormat="1">
      <c r="A223" s="107"/>
      <c r="C223" s="478"/>
      <c r="D223" s="476"/>
      <c r="E223" s="476"/>
      <c r="F223" s="476"/>
      <c r="G223" s="476"/>
      <c r="H223" s="478"/>
      <c r="I223" s="476"/>
      <c r="J223" s="476"/>
      <c r="K223" s="476"/>
      <c r="L223" s="476"/>
      <c r="M223" s="478"/>
      <c r="N223" s="476"/>
      <c r="O223" s="476"/>
      <c r="P223" s="476"/>
      <c r="Q223" s="476"/>
      <c r="R223" s="478"/>
      <c r="S223" s="476"/>
      <c r="T223" s="476"/>
      <c r="U223" s="476"/>
      <c r="V223" s="476"/>
      <c r="W223" s="478"/>
      <c r="X223" s="476"/>
      <c r="Y223" s="476"/>
      <c r="Z223" s="476"/>
      <c r="AA223" s="476"/>
      <c r="AB223" s="478"/>
      <c r="AC223" s="476"/>
      <c r="AD223" s="476"/>
      <c r="AE223" s="476"/>
      <c r="AF223" s="476"/>
      <c r="AG223" s="478"/>
      <c r="AH223" s="476"/>
      <c r="AI223" s="476"/>
      <c r="AJ223" s="476"/>
      <c r="AK223" s="476"/>
      <c r="AL223" s="478"/>
      <c r="AM223" s="476"/>
      <c r="AN223" s="476"/>
      <c r="AO223" s="476"/>
      <c r="AP223" s="476"/>
      <c r="AQ223" s="478"/>
      <c r="AR223" s="476"/>
      <c r="AS223" s="476"/>
      <c r="AT223" s="476"/>
      <c r="AU223" s="476"/>
      <c r="AV223" s="478"/>
      <c r="AW223" s="476"/>
      <c r="AX223" s="476"/>
      <c r="AY223" s="476"/>
      <c r="AZ223" s="476"/>
      <c r="BA223" s="478"/>
      <c r="BB223" s="476"/>
      <c r="BC223" s="476"/>
      <c r="BD223" s="476"/>
      <c r="BE223" s="476"/>
      <c r="BF223" s="478"/>
      <c r="BG223" s="476"/>
      <c r="BH223" s="476"/>
      <c r="BI223" s="476"/>
      <c r="BJ223" s="476"/>
      <c r="BK223" s="478"/>
      <c r="BL223" s="476"/>
      <c r="BM223" s="476"/>
      <c r="BN223" s="476"/>
      <c r="BO223" s="476"/>
    </row>
    <row r="224" spans="1:67" s="58" customFormat="1">
      <c r="A224" s="107"/>
      <c r="C224" s="478"/>
      <c r="D224" s="476"/>
      <c r="E224" s="476"/>
      <c r="F224" s="476"/>
      <c r="G224" s="476"/>
      <c r="H224" s="478"/>
      <c r="I224" s="476"/>
      <c r="J224" s="476"/>
      <c r="K224" s="476"/>
      <c r="L224" s="476"/>
      <c r="M224" s="478"/>
      <c r="N224" s="476"/>
      <c r="O224" s="476"/>
      <c r="P224" s="476"/>
      <c r="Q224" s="476"/>
      <c r="R224" s="478"/>
      <c r="S224" s="476"/>
      <c r="T224" s="476"/>
      <c r="U224" s="476"/>
      <c r="V224" s="476"/>
      <c r="W224" s="478"/>
      <c r="X224" s="476"/>
      <c r="Y224" s="476"/>
      <c r="Z224" s="476"/>
      <c r="AA224" s="476"/>
      <c r="AB224" s="478"/>
      <c r="AC224" s="476"/>
      <c r="AD224" s="476"/>
      <c r="AE224" s="476"/>
      <c r="AF224" s="476"/>
      <c r="AG224" s="478"/>
      <c r="AH224" s="476"/>
      <c r="AI224" s="476"/>
      <c r="AJ224" s="476"/>
      <c r="AK224" s="476"/>
      <c r="AL224" s="478"/>
      <c r="AM224" s="476"/>
      <c r="AN224" s="476"/>
      <c r="AO224" s="476"/>
      <c r="AP224" s="476"/>
      <c r="AQ224" s="478"/>
      <c r="AR224" s="476"/>
      <c r="AS224" s="476"/>
      <c r="AT224" s="476"/>
      <c r="AU224" s="476"/>
      <c r="AV224" s="478"/>
      <c r="AW224" s="476"/>
      <c r="AX224" s="476"/>
      <c r="AY224" s="476"/>
      <c r="AZ224" s="476"/>
      <c r="BA224" s="478"/>
      <c r="BB224" s="476"/>
      <c r="BC224" s="476"/>
      <c r="BD224" s="476"/>
      <c r="BE224" s="476"/>
      <c r="BF224" s="478"/>
      <c r="BG224" s="476"/>
      <c r="BH224" s="476"/>
      <c r="BI224" s="476"/>
      <c r="BJ224" s="476"/>
      <c r="BK224" s="478"/>
      <c r="BL224" s="476"/>
      <c r="BM224" s="476"/>
      <c r="BN224" s="476"/>
      <c r="BO224" s="476"/>
    </row>
    <row r="225" spans="1:67" s="58" customFormat="1">
      <c r="A225" s="107"/>
      <c r="C225" s="430"/>
      <c r="D225" s="477"/>
      <c r="E225" s="477"/>
      <c r="F225" s="477"/>
      <c r="G225" s="477"/>
      <c r="H225" s="430"/>
      <c r="I225" s="477"/>
      <c r="J225" s="477"/>
      <c r="K225" s="477"/>
      <c r="L225" s="477"/>
      <c r="M225" s="430"/>
      <c r="N225" s="477"/>
      <c r="O225" s="477"/>
      <c r="P225" s="477"/>
      <c r="Q225" s="477"/>
      <c r="R225" s="430"/>
      <c r="S225" s="477"/>
      <c r="T225" s="477"/>
      <c r="U225" s="477"/>
      <c r="V225" s="477"/>
      <c r="W225" s="430"/>
      <c r="X225" s="477"/>
      <c r="Y225" s="477"/>
      <c r="Z225" s="477"/>
      <c r="AA225" s="477"/>
      <c r="AB225" s="430"/>
      <c r="AC225" s="477"/>
      <c r="AD225" s="477"/>
      <c r="AE225" s="477"/>
      <c r="AF225" s="477"/>
      <c r="AG225" s="430"/>
      <c r="AH225" s="477"/>
      <c r="AI225" s="477"/>
      <c r="AJ225" s="477"/>
      <c r="AK225" s="477"/>
      <c r="AL225" s="430"/>
      <c r="AM225" s="477"/>
      <c r="AN225" s="477"/>
      <c r="AO225" s="477"/>
      <c r="AP225" s="477"/>
      <c r="AQ225" s="430"/>
      <c r="AR225" s="477"/>
      <c r="AS225" s="477"/>
      <c r="AT225" s="477"/>
      <c r="AU225" s="477"/>
      <c r="AV225" s="430"/>
      <c r="AW225" s="477"/>
      <c r="AX225" s="477"/>
      <c r="AY225" s="477"/>
      <c r="AZ225" s="477"/>
      <c r="BA225" s="430"/>
      <c r="BB225" s="477"/>
      <c r="BC225" s="477"/>
      <c r="BD225" s="477"/>
      <c r="BE225" s="477"/>
      <c r="BF225" s="430"/>
      <c r="BG225" s="477"/>
      <c r="BH225" s="477"/>
      <c r="BI225" s="477"/>
      <c r="BJ225" s="477"/>
      <c r="BK225" s="430"/>
      <c r="BL225" s="477"/>
      <c r="BM225" s="477"/>
      <c r="BN225" s="477"/>
      <c r="BO225" s="477"/>
    </row>
    <row r="226" spans="1:67" s="58" customFormat="1">
      <c r="A226" s="107"/>
      <c r="C226" s="479"/>
      <c r="D226" s="476"/>
      <c r="E226" s="476"/>
      <c r="F226" s="476"/>
      <c r="G226" s="476"/>
      <c r="H226" s="479"/>
      <c r="I226" s="476"/>
      <c r="J226" s="476"/>
      <c r="K226" s="476"/>
      <c r="L226" s="476"/>
      <c r="M226" s="479"/>
      <c r="N226" s="476"/>
      <c r="O226" s="476"/>
      <c r="P226" s="476"/>
      <c r="Q226" s="476"/>
      <c r="R226" s="479"/>
      <c r="S226" s="476"/>
      <c r="T226" s="476"/>
      <c r="U226" s="476"/>
      <c r="V226" s="476"/>
      <c r="W226" s="479"/>
      <c r="X226" s="476"/>
      <c r="Y226" s="476"/>
      <c r="Z226" s="476"/>
      <c r="AA226" s="476"/>
      <c r="AB226" s="479"/>
      <c r="AC226" s="476"/>
      <c r="AD226" s="476"/>
      <c r="AE226" s="476"/>
      <c r="AF226" s="476"/>
      <c r="AG226" s="479"/>
      <c r="AH226" s="476"/>
      <c r="AI226" s="476"/>
      <c r="AJ226" s="476"/>
      <c r="AK226" s="476"/>
      <c r="AL226" s="479"/>
      <c r="AM226" s="476"/>
      <c r="AN226" s="476"/>
      <c r="AO226" s="476"/>
      <c r="AP226" s="476"/>
      <c r="AQ226" s="479"/>
      <c r="AR226" s="476"/>
      <c r="AS226" s="476"/>
      <c r="AT226" s="476"/>
      <c r="AU226" s="476"/>
      <c r="AV226" s="479"/>
      <c r="AW226" s="476"/>
      <c r="AX226" s="476"/>
      <c r="AY226" s="476"/>
      <c r="AZ226" s="476"/>
      <c r="BA226" s="479"/>
      <c r="BB226" s="476"/>
      <c r="BC226" s="476"/>
      <c r="BD226" s="476"/>
      <c r="BE226" s="476"/>
      <c r="BF226" s="479"/>
      <c r="BG226" s="476"/>
      <c r="BH226" s="476"/>
      <c r="BI226" s="476"/>
      <c r="BJ226" s="476"/>
      <c r="BK226" s="479"/>
      <c r="BL226" s="476"/>
      <c r="BM226" s="476"/>
      <c r="BN226" s="476"/>
      <c r="BO226" s="476"/>
    </row>
    <row r="227" spans="1:67" s="58" customFormat="1">
      <c r="A227" s="107"/>
      <c r="C227" s="479"/>
      <c r="D227" s="476"/>
      <c r="E227" s="476"/>
      <c r="F227" s="476"/>
      <c r="G227" s="476"/>
      <c r="H227" s="479"/>
      <c r="I227" s="476"/>
      <c r="J227" s="476"/>
      <c r="K227" s="476"/>
      <c r="L227" s="476"/>
      <c r="M227" s="479"/>
      <c r="N227" s="476"/>
      <c r="O227" s="476"/>
      <c r="P227" s="476"/>
      <c r="Q227" s="476"/>
      <c r="R227" s="479"/>
      <c r="S227" s="476"/>
      <c r="T227" s="476"/>
      <c r="U227" s="476"/>
      <c r="V227" s="476"/>
      <c r="W227" s="479"/>
      <c r="X227" s="476"/>
      <c r="Y227" s="476"/>
      <c r="Z227" s="476"/>
      <c r="AA227" s="476"/>
      <c r="AB227" s="479"/>
      <c r="AC227" s="476"/>
      <c r="AD227" s="476"/>
      <c r="AE227" s="476"/>
      <c r="AF227" s="476"/>
      <c r="AG227" s="479"/>
      <c r="AH227" s="476"/>
      <c r="AI227" s="476"/>
      <c r="AJ227" s="476"/>
      <c r="AK227" s="476"/>
      <c r="AL227" s="479"/>
      <c r="AM227" s="476"/>
      <c r="AN227" s="476"/>
      <c r="AO227" s="476"/>
      <c r="AP227" s="476"/>
      <c r="AQ227" s="479"/>
      <c r="AR227" s="476"/>
      <c r="AS227" s="476"/>
      <c r="AT227" s="476"/>
      <c r="AU227" s="476"/>
      <c r="AV227" s="479"/>
      <c r="AW227" s="476"/>
      <c r="AX227" s="476"/>
      <c r="AY227" s="476"/>
      <c r="AZ227" s="476"/>
      <c r="BA227" s="479"/>
      <c r="BB227" s="476"/>
      <c r="BC227" s="476"/>
      <c r="BD227" s="476"/>
      <c r="BE227" s="476"/>
      <c r="BF227" s="479"/>
      <c r="BG227" s="476"/>
      <c r="BH227" s="476"/>
      <c r="BI227" s="476"/>
      <c r="BJ227" s="476"/>
      <c r="BK227" s="479"/>
      <c r="BL227" s="476"/>
      <c r="BM227" s="476"/>
      <c r="BN227" s="476"/>
      <c r="BO227" s="476"/>
    </row>
    <row r="228" spans="1:67" s="58" customFormat="1">
      <c r="A228" s="107"/>
      <c r="C228" s="479"/>
      <c r="D228" s="476"/>
      <c r="E228" s="476"/>
      <c r="F228" s="476"/>
      <c r="G228" s="476"/>
      <c r="H228" s="479"/>
      <c r="I228" s="476"/>
      <c r="J228" s="476"/>
      <c r="K228" s="476"/>
      <c r="L228" s="476"/>
      <c r="M228" s="479"/>
      <c r="N228" s="476"/>
      <c r="O228" s="476"/>
      <c r="P228" s="476"/>
      <c r="Q228" s="476"/>
      <c r="R228" s="479"/>
      <c r="S228" s="476"/>
      <c r="T228" s="476"/>
      <c r="U228" s="476"/>
      <c r="V228" s="476"/>
      <c r="W228" s="479"/>
      <c r="X228" s="476"/>
      <c r="Y228" s="476"/>
      <c r="Z228" s="476"/>
      <c r="AA228" s="476"/>
      <c r="AB228" s="479"/>
      <c r="AC228" s="476"/>
      <c r="AD228" s="476"/>
      <c r="AE228" s="476"/>
      <c r="AF228" s="476"/>
      <c r="AG228" s="479"/>
      <c r="AH228" s="476"/>
      <c r="AI228" s="476"/>
      <c r="AJ228" s="476"/>
      <c r="AK228" s="476"/>
      <c r="AL228" s="479"/>
      <c r="AM228" s="476"/>
      <c r="AN228" s="476"/>
      <c r="AO228" s="476"/>
      <c r="AP228" s="476"/>
      <c r="AQ228" s="479"/>
      <c r="AR228" s="476"/>
      <c r="AS228" s="476"/>
      <c r="AT228" s="476"/>
      <c r="AU228" s="476"/>
      <c r="AV228" s="479"/>
      <c r="AW228" s="476"/>
      <c r="AX228" s="476"/>
      <c r="AY228" s="476"/>
      <c r="AZ228" s="476"/>
      <c r="BA228" s="479"/>
      <c r="BB228" s="476"/>
      <c r="BC228" s="476"/>
      <c r="BD228" s="476"/>
      <c r="BE228" s="476"/>
      <c r="BF228" s="479"/>
      <c r="BG228" s="476"/>
      <c r="BH228" s="476"/>
      <c r="BI228" s="476"/>
      <c r="BJ228" s="476"/>
      <c r="BK228" s="479"/>
      <c r="BL228" s="476"/>
      <c r="BM228" s="476"/>
      <c r="BN228" s="476"/>
      <c r="BO228" s="476"/>
    </row>
    <row r="229" spans="1:67" s="58" customFormat="1">
      <c r="A229" s="107"/>
      <c r="C229" s="430"/>
      <c r="D229" s="477"/>
      <c r="E229" s="477"/>
      <c r="F229" s="477"/>
      <c r="G229" s="477"/>
      <c r="H229" s="430"/>
      <c r="I229" s="477"/>
      <c r="J229" s="477"/>
      <c r="K229" s="477"/>
      <c r="L229" s="477"/>
      <c r="M229" s="430"/>
      <c r="N229" s="477"/>
      <c r="O229" s="477"/>
      <c r="P229" s="477"/>
      <c r="Q229" s="477"/>
      <c r="R229" s="430"/>
      <c r="S229" s="477"/>
      <c r="T229" s="477"/>
      <c r="U229" s="477"/>
      <c r="V229" s="477"/>
      <c r="W229" s="430"/>
      <c r="X229" s="477"/>
      <c r="Y229" s="477"/>
      <c r="Z229" s="477"/>
      <c r="AA229" s="477"/>
      <c r="AB229" s="430"/>
      <c r="AC229" s="477"/>
      <c r="AD229" s="477"/>
      <c r="AE229" s="477"/>
      <c r="AF229" s="477"/>
      <c r="AG229" s="430"/>
      <c r="AH229" s="477"/>
      <c r="AI229" s="477"/>
      <c r="AJ229" s="477"/>
      <c r="AK229" s="477"/>
      <c r="AL229" s="430"/>
      <c r="AM229" s="477"/>
      <c r="AN229" s="477"/>
      <c r="AO229" s="477"/>
      <c r="AP229" s="477"/>
      <c r="AQ229" s="430"/>
      <c r="AR229" s="477"/>
      <c r="AS229" s="477"/>
      <c r="AT229" s="477"/>
      <c r="AU229" s="477"/>
      <c r="AV229" s="430"/>
      <c r="AW229" s="477"/>
      <c r="AX229" s="477"/>
      <c r="AY229" s="477"/>
      <c r="AZ229" s="477"/>
      <c r="BA229" s="430"/>
      <c r="BB229" s="477"/>
      <c r="BC229" s="477"/>
      <c r="BD229" s="477"/>
      <c r="BE229" s="477"/>
      <c r="BF229" s="430"/>
      <c r="BG229" s="477"/>
      <c r="BH229" s="477"/>
      <c r="BI229" s="477"/>
      <c r="BJ229" s="477"/>
      <c r="BK229" s="430"/>
      <c r="BL229" s="477"/>
      <c r="BM229" s="477"/>
      <c r="BN229" s="477"/>
      <c r="BO229" s="477"/>
    </row>
    <row r="230" spans="1:67" s="58" customFormat="1">
      <c r="A230" s="107"/>
      <c r="C230" s="479"/>
      <c r="D230" s="476"/>
      <c r="E230" s="476"/>
      <c r="F230" s="476"/>
      <c r="G230" s="476"/>
      <c r="H230" s="479"/>
      <c r="I230" s="476"/>
      <c r="J230" s="476"/>
      <c r="K230" s="476"/>
      <c r="L230" s="476"/>
      <c r="M230" s="479"/>
      <c r="N230" s="476"/>
      <c r="O230" s="476"/>
      <c r="P230" s="476"/>
      <c r="Q230" s="476"/>
      <c r="R230" s="479"/>
      <c r="S230" s="476"/>
      <c r="T230" s="476"/>
      <c r="U230" s="476"/>
      <c r="V230" s="476"/>
      <c r="W230" s="479"/>
      <c r="X230" s="476"/>
      <c r="Y230" s="476"/>
      <c r="Z230" s="476"/>
      <c r="AA230" s="476"/>
      <c r="AB230" s="479"/>
      <c r="AC230" s="476"/>
      <c r="AD230" s="476"/>
      <c r="AE230" s="476"/>
      <c r="AF230" s="476"/>
      <c r="AG230" s="479"/>
      <c r="AH230" s="476"/>
      <c r="AI230" s="476"/>
      <c r="AJ230" s="476"/>
      <c r="AK230" s="476"/>
      <c r="AL230" s="479"/>
      <c r="AM230" s="476"/>
      <c r="AN230" s="476"/>
      <c r="AO230" s="476"/>
      <c r="AP230" s="476"/>
      <c r="AQ230" s="479"/>
      <c r="AR230" s="476"/>
      <c r="AS230" s="476"/>
      <c r="AT230" s="476"/>
      <c r="AU230" s="476"/>
      <c r="AV230" s="479"/>
      <c r="AW230" s="476"/>
      <c r="AX230" s="476"/>
      <c r="AY230" s="476"/>
      <c r="AZ230" s="476"/>
      <c r="BA230" s="479"/>
      <c r="BB230" s="476"/>
      <c r="BC230" s="476"/>
      <c r="BD230" s="476"/>
      <c r="BE230" s="476"/>
      <c r="BF230" s="479"/>
      <c r="BG230" s="476"/>
      <c r="BH230" s="476"/>
      <c r="BI230" s="476"/>
      <c r="BJ230" s="476"/>
      <c r="BK230" s="479"/>
      <c r="BL230" s="476"/>
      <c r="BM230" s="476"/>
      <c r="BN230" s="476"/>
      <c r="BO230" s="476"/>
    </row>
    <row r="231" spans="1:67" s="58" customFormat="1">
      <c r="A231" s="107"/>
      <c r="C231" s="479"/>
      <c r="D231" s="476"/>
      <c r="E231" s="476"/>
      <c r="F231" s="476"/>
      <c r="G231" s="476"/>
      <c r="H231" s="479"/>
      <c r="I231" s="476"/>
      <c r="J231" s="476"/>
      <c r="K231" s="476"/>
      <c r="L231" s="476"/>
      <c r="M231" s="479"/>
      <c r="N231" s="476"/>
      <c r="O231" s="476"/>
      <c r="P231" s="476"/>
      <c r="Q231" s="476"/>
      <c r="R231" s="479"/>
      <c r="S231" s="476"/>
      <c r="T231" s="476"/>
      <c r="U231" s="476"/>
      <c r="V231" s="476"/>
      <c r="W231" s="479"/>
      <c r="X231" s="476"/>
      <c r="Y231" s="476"/>
      <c r="Z231" s="476"/>
      <c r="AA231" s="476"/>
      <c r="AB231" s="479"/>
      <c r="AC231" s="476"/>
      <c r="AD231" s="476"/>
      <c r="AE231" s="476"/>
      <c r="AF231" s="476"/>
      <c r="AG231" s="479"/>
      <c r="AH231" s="476"/>
      <c r="AI231" s="476"/>
      <c r="AJ231" s="476"/>
      <c r="AK231" s="476"/>
      <c r="AL231" s="479"/>
      <c r="AM231" s="476"/>
      <c r="AN231" s="476"/>
      <c r="AO231" s="476"/>
      <c r="AP231" s="476"/>
      <c r="AQ231" s="479"/>
      <c r="AR231" s="476"/>
      <c r="AS231" s="476"/>
      <c r="AT231" s="476"/>
      <c r="AU231" s="476"/>
      <c r="AV231" s="479"/>
      <c r="AW231" s="476"/>
      <c r="AX231" s="476"/>
      <c r="AY231" s="476"/>
      <c r="AZ231" s="476"/>
      <c r="BA231" s="479"/>
      <c r="BB231" s="476"/>
      <c r="BC231" s="476"/>
      <c r="BD231" s="476"/>
      <c r="BE231" s="476"/>
      <c r="BF231" s="479"/>
      <c r="BG231" s="476"/>
      <c r="BH231" s="476"/>
      <c r="BI231" s="476"/>
      <c r="BJ231" s="476"/>
      <c r="BK231" s="479"/>
      <c r="BL231" s="476"/>
      <c r="BM231" s="476"/>
      <c r="BN231" s="476"/>
      <c r="BO231" s="476"/>
    </row>
    <row r="232" spans="1:67" s="58" customFormat="1">
      <c r="A232" s="107"/>
      <c r="C232" s="479"/>
      <c r="D232" s="476"/>
      <c r="E232" s="476"/>
      <c r="F232" s="476"/>
      <c r="G232" s="476"/>
      <c r="H232" s="479"/>
      <c r="I232" s="476"/>
      <c r="J232" s="476"/>
      <c r="K232" s="476"/>
      <c r="L232" s="476"/>
      <c r="M232" s="479"/>
      <c r="N232" s="476"/>
      <c r="O232" s="476"/>
      <c r="P232" s="476"/>
      <c r="Q232" s="476"/>
      <c r="R232" s="479"/>
      <c r="S232" s="476"/>
      <c r="T232" s="476"/>
      <c r="U232" s="476"/>
      <c r="V232" s="476"/>
      <c r="W232" s="479"/>
      <c r="X232" s="476"/>
      <c r="Y232" s="476"/>
      <c r="Z232" s="476"/>
      <c r="AA232" s="476"/>
      <c r="AB232" s="479"/>
      <c r="AC232" s="476"/>
      <c r="AD232" s="476"/>
      <c r="AE232" s="476"/>
      <c r="AF232" s="476"/>
      <c r="AG232" s="479"/>
      <c r="AH232" s="476"/>
      <c r="AI232" s="476"/>
      <c r="AJ232" s="476"/>
      <c r="AK232" s="476"/>
      <c r="AL232" s="479"/>
      <c r="AM232" s="476"/>
      <c r="AN232" s="476"/>
      <c r="AO232" s="476"/>
      <c r="AP232" s="476"/>
      <c r="AQ232" s="479"/>
      <c r="AR232" s="476"/>
      <c r="AS232" s="476"/>
      <c r="AT232" s="476"/>
      <c r="AU232" s="476"/>
      <c r="AV232" s="479"/>
      <c r="AW232" s="476"/>
      <c r="AX232" s="476"/>
      <c r="AY232" s="476"/>
      <c r="AZ232" s="476"/>
      <c r="BA232" s="479"/>
      <c r="BB232" s="476"/>
      <c r="BC232" s="476"/>
      <c r="BD232" s="476"/>
      <c r="BE232" s="476"/>
      <c r="BF232" s="479"/>
      <c r="BG232" s="476"/>
      <c r="BH232" s="476"/>
      <c r="BI232" s="476"/>
      <c r="BJ232" s="476"/>
      <c r="BK232" s="479"/>
      <c r="BL232" s="476"/>
      <c r="BM232" s="476"/>
      <c r="BN232" s="476"/>
      <c r="BO232" s="476"/>
    </row>
    <row r="233" spans="1:67" s="58" customFormat="1">
      <c r="A233" s="107"/>
      <c r="C233" s="429"/>
      <c r="D233" s="477"/>
      <c r="E233" s="477"/>
      <c r="F233" s="477"/>
      <c r="G233" s="477"/>
      <c r="H233" s="429"/>
      <c r="I233" s="477"/>
      <c r="J233" s="477"/>
      <c r="K233" s="477"/>
      <c r="L233" s="477"/>
      <c r="M233" s="429"/>
      <c r="N233" s="477"/>
      <c r="O233" s="477"/>
      <c r="P233" s="477"/>
      <c r="Q233" s="477"/>
      <c r="R233" s="429"/>
      <c r="S233" s="477"/>
      <c r="T233" s="477"/>
      <c r="U233" s="477"/>
      <c r="V233" s="477"/>
      <c r="W233" s="429"/>
      <c r="X233" s="477"/>
      <c r="Y233" s="477"/>
      <c r="Z233" s="477"/>
      <c r="AA233" s="477"/>
      <c r="AB233" s="429"/>
      <c r="AC233" s="477"/>
      <c r="AD233" s="477"/>
      <c r="AE233" s="477"/>
      <c r="AF233" s="477"/>
      <c r="AG233" s="429"/>
      <c r="AH233" s="477"/>
      <c r="AI233" s="477"/>
      <c r="AJ233" s="477"/>
      <c r="AK233" s="477"/>
      <c r="AL233" s="429"/>
      <c r="AM233" s="477"/>
      <c r="AN233" s="477"/>
      <c r="AO233" s="477"/>
      <c r="AP233" s="477"/>
      <c r="AQ233" s="429"/>
      <c r="AR233" s="477"/>
      <c r="AS233" s="477"/>
      <c r="AT233" s="477"/>
      <c r="AU233" s="477"/>
      <c r="AV233" s="429"/>
      <c r="AW233" s="477"/>
      <c r="AX233" s="477"/>
      <c r="AY233" s="477"/>
      <c r="AZ233" s="477"/>
      <c r="BA233" s="429"/>
      <c r="BB233" s="477"/>
      <c r="BC233" s="477"/>
      <c r="BD233" s="477"/>
      <c r="BE233" s="477"/>
      <c r="BF233" s="429"/>
      <c r="BG233" s="477"/>
      <c r="BH233" s="477"/>
      <c r="BI233" s="477"/>
      <c r="BJ233" s="477"/>
      <c r="BK233" s="429"/>
      <c r="BL233" s="477"/>
      <c r="BM233" s="477"/>
      <c r="BN233" s="477"/>
      <c r="BO233" s="477"/>
    </row>
    <row r="234" spans="1:67" s="58" customFormat="1">
      <c r="A234" s="107"/>
      <c r="C234" s="475"/>
      <c r="D234" s="476"/>
      <c r="E234" s="476"/>
      <c r="F234" s="476"/>
      <c r="G234" s="476"/>
      <c r="H234" s="475"/>
      <c r="I234" s="476"/>
      <c r="J234" s="476"/>
      <c r="K234" s="476"/>
      <c r="L234" s="476"/>
      <c r="M234" s="475"/>
      <c r="N234" s="476"/>
      <c r="O234" s="476"/>
      <c r="P234" s="476"/>
      <c r="Q234" s="476"/>
      <c r="R234" s="475"/>
      <c r="S234" s="476"/>
      <c r="T234" s="476"/>
      <c r="U234" s="476"/>
      <c r="V234" s="476"/>
      <c r="W234" s="475"/>
      <c r="X234" s="476"/>
      <c r="Y234" s="476"/>
      <c r="Z234" s="476"/>
      <c r="AA234" s="476"/>
      <c r="AB234" s="475"/>
      <c r="AC234" s="476"/>
      <c r="AD234" s="476"/>
      <c r="AE234" s="476"/>
      <c r="AF234" s="476"/>
      <c r="AG234" s="475"/>
      <c r="AH234" s="476"/>
      <c r="AI234" s="476"/>
      <c r="AJ234" s="476"/>
      <c r="AK234" s="476"/>
      <c r="AL234" s="475"/>
      <c r="AM234" s="476"/>
      <c r="AN234" s="476"/>
      <c r="AO234" s="476"/>
      <c r="AP234" s="476"/>
      <c r="AQ234" s="475"/>
      <c r="AR234" s="476"/>
      <c r="AS234" s="476"/>
      <c r="AT234" s="476"/>
      <c r="AU234" s="476"/>
      <c r="AV234" s="475"/>
      <c r="AW234" s="476"/>
      <c r="AX234" s="476"/>
      <c r="AY234" s="476"/>
      <c r="AZ234" s="476"/>
      <c r="BA234" s="475"/>
      <c r="BB234" s="476"/>
      <c r="BC234" s="476"/>
      <c r="BD234" s="476"/>
      <c r="BE234" s="476"/>
      <c r="BF234" s="475"/>
      <c r="BG234" s="476"/>
      <c r="BH234" s="476"/>
      <c r="BI234" s="476"/>
      <c r="BJ234" s="476"/>
      <c r="BK234" s="475"/>
      <c r="BL234" s="476"/>
      <c r="BM234" s="476"/>
      <c r="BN234" s="476"/>
      <c r="BO234" s="476"/>
    </row>
    <row r="235" spans="1:67" s="58" customFormat="1">
      <c r="A235" s="107"/>
      <c r="C235" s="475"/>
      <c r="D235" s="476"/>
      <c r="E235" s="476"/>
      <c r="F235" s="476"/>
      <c r="G235" s="476"/>
      <c r="H235" s="475"/>
      <c r="I235" s="476"/>
      <c r="J235" s="476"/>
      <c r="K235" s="476"/>
      <c r="L235" s="476"/>
      <c r="M235" s="475"/>
      <c r="N235" s="476"/>
      <c r="O235" s="476"/>
      <c r="P235" s="476"/>
      <c r="Q235" s="476"/>
      <c r="R235" s="475"/>
      <c r="S235" s="476"/>
      <c r="T235" s="476"/>
      <c r="U235" s="476"/>
      <c r="V235" s="476"/>
      <c r="W235" s="475"/>
      <c r="X235" s="476"/>
      <c r="Y235" s="476"/>
      <c r="Z235" s="476"/>
      <c r="AA235" s="476"/>
      <c r="AB235" s="475"/>
      <c r="AC235" s="476"/>
      <c r="AD235" s="476"/>
      <c r="AE235" s="476"/>
      <c r="AF235" s="476"/>
      <c r="AG235" s="475"/>
      <c r="AH235" s="476"/>
      <c r="AI235" s="476"/>
      <c r="AJ235" s="476"/>
      <c r="AK235" s="476"/>
      <c r="AL235" s="475"/>
      <c r="AM235" s="476"/>
      <c r="AN235" s="476"/>
      <c r="AO235" s="476"/>
      <c r="AP235" s="476"/>
      <c r="AQ235" s="475"/>
      <c r="AR235" s="476"/>
      <c r="AS235" s="476"/>
      <c r="AT235" s="476"/>
      <c r="AU235" s="476"/>
      <c r="AV235" s="475"/>
      <c r="AW235" s="476"/>
      <c r="AX235" s="476"/>
      <c r="AY235" s="476"/>
      <c r="AZ235" s="476"/>
      <c r="BA235" s="475"/>
      <c r="BB235" s="476"/>
      <c r="BC235" s="476"/>
      <c r="BD235" s="476"/>
      <c r="BE235" s="476"/>
      <c r="BF235" s="475"/>
      <c r="BG235" s="476"/>
      <c r="BH235" s="476"/>
      <c r="BI235" s="476"/>
      <c r="BJ235" s="476"/>
      <c r="BK235" s="475"/>
      <c r="BL235" s="476"/>
      <c r="BM235" s="476"/>
      <c r="BN235" s="476"/>
      <c r="BO235" s="476"/>
    </row>
    <row r="236" spans="1:67" s="58" customFormat="1">
      <c r="A236" s="107"/>
      <c r="C236" s="475"/>
      <c r="D236" s="476"/>
      <c r="E236" s="476"/>
      <c r="F236" s="476"/>
      <c r="G236" s="476"/>
      <c r="H236" s="475"/>
      <c r="I236" s="476"/>
      <c r="J236" s="476"/>
      <c r="K236" s="476"/>
      <c r="L236" s="476"/>
      <c r="M236" s="475"/>
      <c r="N236" s="476"/>
      <c r="O236" s="476"/>
      <c r="P236" s="476"/>
      <c r="Q236" s="476"/>
      <c r="R236" s="475"/>
      <c r="S236" s="476"/>
      <c r="T236" s="476"/>
      <c r="U236" s="476"/>
      <c r="V236" s="476"/>
      <c r="W236" s="475"/>
      <c r="X236" s="476"/>
      <c r="Y236" s="476"/>
      <c r="Z236" s="476"/>
      <c r="AA236" s="476"/>
      <c r="AB236" s="475"/>
      <c r="AC236" s="476"/>
      <c r="AD236" s="476"/>
      <c r="AE236" s="476"/>
      <c r="AF236" s="476"/>
      <c r="AG236" s="475"/>
      <c r="AH236" s="476"/>
      <c r="AI236" s="476"/>
      <c r="AJ236" s="476"/>
      <c r="AK236" s="476"/>
      <c r="AL236" s="475"/>
      <c r="AM236" s="476"/>
      <c r="AN236" s="476"/>
      <c r="AO236" s="476"/>
      <c r="AP236" s="476"/>
      <c r="AQ236" s="475"/>
      <c r="AR236" s="476"/>
      <c r="AS236" s="476"/>
      <c r="AT236" s="476"/>
      <c r="AU236" s="476"/>
      <c r="AV236" s="475"/>
      <c r="AW236" s="476"/>
      <c r="AX236" s="476"/>
      <c r="AY236" s="476"/>
      <c r="AZ236" s="476"/>
      <c r="BA236" s="475"/>
      <c r="BB236" s="476"/>
      <c r="BC236" s="476"/>
      <c r="BD236" s="476"/>
      <c r="BE236" s="476"/>
      <c r="BF236" s="475"/>
      <c r="BG236" s="476"/>
      <c r="BH236" s="476"/>
      <c r="BI236" s="476"/>
      <c r="BJ236" s="476"/>
      <c r="BK236" s="475"/>
      <c r="BL236" s="476"/>
      <c r="BM236" s="476"/>
      <c r="BN236" s="476"/>
      <c r="BO236" s="476"/>
    </row>
    <row r="237" spans="1:67" s="58" customFormat="1">
      <c r="A237" s="107"/>
      <c r="C237" s="480"/>
      <c r="D237" s="481"/>
      <c r="E237" s="481"/>
      <c r="F237" s="481"/>
      <c r="G237" s="481"/>
      <c r="H237" s="480"/>
      <c r="I237" s="481"/>
      <c r="J237" s="481"/>
      <c r="K237" s="481"/>
      <c r="L237" s="481"/>
      <c r="M237" s="480"/>
      <c r="N237" s="481"/>
      <c r="O237" s="481"/>
      <c r="P237" s="481"/>
      <c r="Q237" s="481"/>
      <c r="R237" s="480"/>
      <c r="S237" s="481"/>
      <c r="T237" s="481"/>
      <c r="U237" s="481"/>
      <c r="V237" s="481"/>
      <c r="W237" s="480"/>
      <c r="X237" s="481"/>
      <c r="Y237" s="481"/>
      <c r="Z237" s="481"/>
      <c r="AA237" s="481"/>
      <c r="AB237" s="480"/>
      <c r="AC237" s="481"/>
      <c r="AD237" s="481"/>
      <c r="AE237" s="481"/>
      <c r="AF237" s="481"/>
      <c r="AG237" s="480"/>
      <c r="AH237" s="481"/>
      <c r="AI237" s="481"/>
      <c r="AJ237" s="481"/>
      <c r="AK237" s="481"/>
      <c r="AL237" s="480"/>
      <c r="AM237" s="481"/>
      <c r="AN237" s="481"/>
      <c r="AO237" s="481"/>
      <c r="AP237" s="481"/>
      <c r="AQ237" s="480"/>
      <c r="AR237" s="481"/>
      <c r="AS237" s="481"/>
      <c r="AT237" s="481"/>
      <c r="AU237" s="481"/>
      <c r="AV237" s="480"/>
      <c r="AW237" s="481"/>
      <c r="AX237" s="481"/>
      <c r="AY237" s="481"/>
      <c r="AZ237" s="481"/>
      <c r="BA237" s="480"/>
      <c r="BB237" s="481"/>
      <c r="BC237" s="481"/>
      <c r="BD237" s="481"/>
      <c r="BE237" s="481"/>
      <c r="BF237" s="480"/>
      <c r="BG237" s="481"/>
      <c r="BH237" s="481"/>
      <c r="BI237" s="481"/>
      <c r="BJ237" s="481"/>
      <c r="BK237" s="480"/>
      <c r="BL237" s="481"/>
      <c r="BM237" s="481"/>
      <c r="BN237" s="481"/>
      <c r="BO237" s="481"/>
    </row>
    <row r="238" spans="1:67" s="58" customFormat="1">
      <c r="A238" s="107"/>
      <c r="C238" s="475"/>
      <c r="D238" s="476"/>
      <c r="E238" s="476"/>
      <c r="F238" s="476"/>
      <c r="G238" s="476"/>
      <c r="H238" s="475"/>
      <c r="I238" s="476"/>
      <c r="J238" s="476"/>
      <c r="K238" s="476"/>
      <c r="L238" s="476"/>
      <c r="M238" s="475"/>
      <c r="N238" s="476"/>
      <c r="O238" s="476"/>
      <c r="P238" s="476"/>
      <c r="Q238" s="476"/>
      <c r="R238" s="475"/>
      <c r="S238" s="476"/>
      <c r="T238" s="476"/>
      <c r="U238" s="476"/>
      <c r="V238" s="476"/>
      <c r="W238" s="475"/>
      <c r="X238" s="476"/>
      <c r="Y238" s="476"/>
      <c r="Z238" s="476"/>
      <c r="AA238" s="476"/>
      <c r="AB238" s="475"/>
      <c r="AC238" s="476"/>
      <c r="AD238" s="476"/>
      <c r="AE238" s="476"/>
      <c r="AF238" s="476"/>
      <c r="AG238" s="475"/>
      <c r="AH238" s="476"/>
      <c r="AI238" s="476"/>
      <c r="AJ238" s="476"/>
      <c r="AK238" s="476"/>
      <c r="AL238" s="475"/>
      <c r="AM238" s="476"/>
      <c r="AN238" s="476"/>
      <c r="AO238" s="476"/>
      <c r="AP238" s="476"/>
      <c r="AQ238" s="475"/>
      <c r="AR238" s="476"/>
      <c r="AS238" s="476"/>
      <c r="AT238" s="476"/>
      <c r="AU238" s="476"/>
      <c r="AV238" s="475"/>
      <c r="AW238" s="476"/>
      <c r="AX238" s="476"/>
      <c r="AY238" s="476"/>
      <c r="AZ238" s="476"/>
      <c r="BA238" s="475"/>
      <c r="BB238" s="476"/>
      <c r="BC238" s="476"/>
      <c r="BD238" s="476"/>
      <c r="BE238" s="476"/>
      <c r="BF238" s="475"/>
      <c r="BG238" s="476"/>
      <c r="BH238" s="476"/>
      <c r="BI238" s="476"/>
      <c r="BJ238" s="476"/>
      <c r="BK238" s="475"/>
      <c r="BL238" s="476"/>
      <c r="BM238" s="476"/>
      <c r="BN238" s="476"/>
      <c r="BO238" s="476"/>
    </row>
    <row r="239" spans="1:67" s="58" customFormat="1">
      <c r="A239" s="107"/>
      <c r="C239" s="475"/>
      <c r="D239" s="476"/>
      <c r="E239" s="476"/>
      <c r="F239" s="476"/>
      <c r="G239" s="476"/>
      <c r="H239" s="475"/>
      <c r="I239" s="476"/>
      <c r="J239" s="476"/>
      <c r="K239" s="476"/>
      <c r="L239" s="476"/>
      <c r="M239" s="475"/>
      <c r="N239" s="476"/>
      <c r="O239" s="476"/>
      <c r="P239" s="476"/>
      <c r="Q239" s="476"/>
      <c r="R239" s="475"/>
      <c r="S239" s="476"/>
      <c r="T239" s="476"/>
      <c r="U239" s="476"/>
      <c r="V239" s="476"/>
      <c r="W239" s="475"/>
      <c r="X239" s="476"/>
      <c r="Y239" s="476"/>
      <c r="Z239" s="476"/>
      <c r="AA239" s="476"/>
      <c r="AB239" s="475"/>
      <c r="AC239" s="476"/>
      <c r="AD239" s="476"/>
      <c r="AE239" s="476"/>
      <c r="AF239" s="476"/>
      <c r="AG239" s="475"/>
      <c r="AH239" s="476"/>
      <c r="AI239" s="476"/>
      <c r="AJ239" s="476"/>
      <c r="AK239" s="476"/>
      <c r="AL239" s="475"/>
      <c r="AM239" s="476"/>
      <c r="AN239" s="476"/>
      <c r="AO239" s="476"/>
      <c r="AP239" s="476"/>
      <c r="AQ239" s="475"/>
      <c r="AR239" s="476"/>
      <c r="AS239" s="476"/>
      <c r="AT239" s="476"/>
      <c r="AU239" s="476"/>
      <c r="AV239" s="475"/>
      <c r="AW239" s="476"/>
      <c r="AX239" s="476"/>
      <c r="AY239" s="476"/>
      <c r="AZ239" s="476"/>
      <c r="BA239" s="475"/>
      <c r="BB239" s="476"/>
      <c r="BC239" s="476"/>
      <c r="BD239" s="476"/>
      <c r="BE239" s="476"/>
      <c r="BF239" s="475"/>
      <c r="BG239" s="476"/>
      <c r="BH239" s="476"/>
      <c r="BI239" s="476"/>
      <c r="BJ239" s="476"/>
      <c r="BK239" s="475"/>
      <c r="BL239" s="476"/>
      <c r="BM239" s="476"/>
      <c r="BN239" s="476"/>
      <c r="BO239" s="476"/>
    </row>
    <row r="240" spans="1:67" s="58" customFormat="1">
      <c r="A240" s="107"/>
      <c r="C240" s="475"/>
      <c r="D240" s="476"/>
      <c r="E240" s="476"/>
      <c r="F240" s="476"/>
      <c r="G240" s="476"/>
      <c r="H240" s="475"/>
      <c r="I240" s="476"/>
      <c r="J240" s="476"/>
      <c r="K240" s="476"/>
      <c r="L240" s="476"/>
      <c r="M240" s="475"/>
      <c r="N240" s="476"/>
      <c r="O240" s="476"/>
      <c r="P240" s="476"/>
      <c r="Q240" s="476"/>
      <c r="R240" s="475"/>
      <c r="S240" s="476"/>
      <c r="T240" s="476"/>
      <c r="U240" s="476"/>
      <c r="V240" s="476"/>
      <c r="W240" s="475"/>
      <c r="X240" s="476"/>
      <c r="Y240" s="476"/>
      <c r="Z240" s="476"/>
      <c r="AA240" s="476"/>
      <c r="AB240" s="475"/>
      <c r="AC240" s="476"/>
      <c r="AD240" s="476"/>
      <c r="AE240" s="476"/>
      <c r="AF240" s="476"/>
      <c r="AG240" s="475"/>
      <c r="AH240" s="476"/>
      <c r="AI240" s="476"/>
      <c r="AJ240" s="476"/>
      <c r="AK240" s="476"/>
      <c r="AL240" s="475"/>
      <c r="AM240" s="476"/>
      <c r="AN240" s="476"/>
      <c r="AO240" s="476"/>
      <c r="AP240" s="476"/>
      <c r="AQ240" s="475"/>
      <c r="AR240" s="476"/>
      <c r="AS240" s="476"/>
      <c r="AT240" s="476"/>
      <c r="AU240" s="476"/>
      <c r="AV240" s="475"/>
      <c r="AW240" s="476"/>
      <c r="AX240" s="476"/>
      <c r="AY240" s="476"/>
      <c r="AZ240" s="476"/>
      <c r="BA240" s="475"/>
      <c r="BB240" s="476"/>
      <c r="BC240" s="476"/>
      <c r="BD240" s="476"/>
      <c r="BE240" s="476"/>
      <c r="BF240" s="475"/>
      <c r="BG240" s="476"/>
      <c r="BH240" s="476"/>
      <c r="BI240" s="476"/>
      <c r="BJ240" s="476"/>
      <c r="BK240" s="475"/>
      <c r="BL240" s="476"/>
      <c r="BM240" s="476"/>
      <c r="BN240" s="476"/>
      <c r="BO240" s="476"/>
    </row>
    <row r="241" spans="1:67" s="58" customFormat="1">
      <c r="A241" s="107"/>
      <c r="C241" s="429"/>
      <c r="D241" s="477"/>
      <c r="E241" s="477"/>
      <c r="F241" s="477"/>
      <c r="G241" s="477"/>
      <c r="H241" s="429"/>
      <c r="I241" s="477"/>
      <c r="J241" s="477"/>
      <c r="K241" s="477"/>
      <c r="L241" s="477"/>
      <c r="M241" s="429"/>
      <c r="N241" s="477"/>
      <c r="O241" s="477"/>
      <c r="P241" s="477"/>
      <c r="Q241" s="477"/>
      <c r="R241" s="429"/>
      <c r="S241" s="477"/>
      <c r="T241" s="477"/>
      <c r="U241" s="477"/>
      <c r="V241" s="477"/>
      <c r="W241" s="429"/>
      <c r="X241" s="477"/>
      <c r="Y241" s="477"/>
      <c r="Z241" s="477"/>
      <c r="AA241" s="477"/>
      <c r="AB241" s="429"/>
      <c r="AC241" s="477"/>
      <c r="AD241" s="477"/>
      <c r="AE241" s="477"/>
      <c r="AF241" s="477"/>
      <c r="AG241" s="429"/>
      <c r="AH241" s="477"/>
      <c r="AI241" s="477"/>
      <c r="AJ241" s="477"/>
      <c r="AK241" s="477"/>
      <c r="AL241" s="429"/>
      <c r="AM241" s="477"/>
      <c r="AN241" s="477"/>
      <c r="AO241" s="477"/>
      <c r="AP241" s="477"/>
      <c r="AQ241" s="429"/>
      <c r="AR241" s="477"/>
      <c r="AS241" s="477"/>
      <c r="AT241" s="477"/>
      <c r="AU241" s="477"/>
      <c r="AV241" s="429"/>
      <c r="AW241" s="477"/>
      <c r="AX241" s="477"/>
      <c r="AY241" s="477"/>
      <c r="AZ241" s="477"/>
      <c r="BA241" s="429"/>
      <c r="BB241" s="477"/>
      <c r="BC241" s="477"/>
      <c r="BD241" s="477"/>
      <c r="BE241" s="477"/>
      <c r="BF241" s="429"/>
      <c r="BG241" s="477"/>
      <c r="BH241" s="477"/>
      <c r="BI241" s="477"/>
      <c r="BJ241" s="477"/>
      <c r="BK241" s="429"/>
      <c r="BL241" s="477"/>
      <c r="BM241" s="477"/>
      <c r="BN241" s="477"/>
      <c r="BO241" s="477"/>
    </row>
    <row r="242" spans="1:67" s="58" customFormat="1">
      <c r="A242" s="107"/>
      <c r="C242" s="475"/>
      <c r="D242" s="476"/>
      <c r="E242" s="476"/>
      <c r="F242" s="476"/>
      <c r="G242" s="476"/>
      <c r="H242" s="475"/>
      <c r="I242" s="476"/>
      <c r="J242" s="476"/>
      <c r="K242" s="476"/>
      <c r="L242" s="476"/>
      <c r="M242" s="475"/>
      <c r="N242" s="476"/>
      <c r="O242" s="476"/>
      <c r="P242" s="476"/>
      <c r="Q242" s="476"/>
      <c r="R242" s="475"/>
      <c r="S242" s="476"/>
      <c r="T242" s="476"/>
      <c r="U242" s="476"/>
      <c r="V242" s="476"/>
      <c r="W242" s="475"/>
      <c r="X242" s="476"/>
      <c r="Y242" s="476"/>
      <c r="Z242" s="476"/>
      <c r="AA242" s="476"/>
      <c r="AB242" s="475"/>
      <c r="AC242" s="476"/>
      <c r="AD242" s="476"/>
      <c r="AE242" s="476"/>
      <c r="AF242" s="476"/>
      <c r="AG242" s="475"/>
      <c r="AH242" s="476"/>
      <c r="AI242" s="476"/>
      <c r="AJ242" s="476"/>
      <c r="AK242" s="476"/>
      <c r="AL242" s="475"/>
      <c r="AM242" s="476"/>
      <c r="AN242" s="476"/>
      <c r="AO242" s="476"/>
      <c r="AP242" s="476"/>
      <c r="AQ242" s="475"/>
      <c r="AR242" s="476"/>
      <c r="AS242" s="476"/>
      <c r="AT242" s="476"/>
      <c r="AU242" s="476"/>
      <c r="AV242" s="475"/>
      <c r="AW242" s="476"/>
      <c r="AX242" s="476"/>
      <c r="AY242" s="476"/>
      <c r="AZ242" s="476"/>
      <c r="BA242" s="475"/>
      <c r="BB242" s="476"/>
      <c r="BC242" s="476"/>
      <c r="BD242" s="476"/>
      <c r="BE242" s="476"/>
      <c r="BF242" s="475"/>
      <c r="BG242" s="476"/>
      <c r="BH242" s="476"/>
      <c r="BI242" s="476"/>
      <c r="BJ242" s="476"/>
      <c r="BK242" s="475"/>
      <c r="BL242" s="476"/>
      <c r="BM242" s="476"/>
      <c r="BN242" s="476"/>
      <c r="BO242" s="476"/>
    </row>
    <row r="243" spans="1:67" s="58" customFormat="1">
      <c r="A243" s="107"/>
      <c r="C243" s="475"/>
      <c r="D243" s="476"/>
      <c r="E243" s="476"/>
      <c r="F243" s="476"/>
      <c r="G243" s="476"/>
      <c r="H243" s="475"/>
      <c r="I243" s="476"/>
      <c r="J243" s="476"/>
      <c r="K243" s="476"/>
      <c r="L243" s="476"/>
      <c r="M243" s="475"/>
      <c r="N243" s="476"/>
      <c r="O243" s="476"/>
      <c r="P243" s="476"/>
      <c r="Q243" s="476"/>
      <c r="R243" s="475"/>
      <c r="S243" s="476"/>
      <c r="T243" s="476"/>
      <c r="U243" s="476"/>
      <c r="V243" s="476"/>
      <c r="W243" s="475"/>
      <c r="X243" s="476"/>
      <c r="Y243" s="476"/>
      <c r="Z243" s="476"/>
      <c r="AA243" s="476"/>
      <c r="AB243" s="475"/>
      <c r="AC243" s="476"/>
      <c r="AD243" s="476"/>
      <c r="AE243" s="476"/>
      <c r="AF243" s="476"/>
      <c r="AG243" s="475"/>
      <c r="AH243" s="476"/>
      <c r="AI243" s="476"/>
      <c r="AJ243" s="476"/>
      <c r="AK243" s="476"/>
      <c r="AL243" s="475"/>
      <c r="AM243" s="476"/>
      <c r="AN243" s="476"/>
      <c r="AO243" s="476"/>
      <c r="AP243" s="476"/>
      <c r="AQ243" s="475"/>
      <c r="AR243" s="476"/>
      <c r="AS243" s="476"/>
      <c r="AT243" s="476"/>
      <c r="AU243" s="476"/>
      <c r="AV243" s="475"/>
      <c r="AW243" s="476"/>
      <c r="AX243" s="476"/>
      <c r="AY243" s="476"/>
      <c r="AZ243" s="476"/>
      <c r="BA243" s="475"/>
      <c r="BB243" s="476"/>
      <c r="BC243" s="476"/>
      <c r="BD243" s="476"/>
      <c r="BE243" s="476"/>
      <c r="BF243" s="475"/>
      <c r="BG243" s="476"/>
      <c r="BH243" s="476"/>
      <c r="BI243" s="476"/>
      <c r="BJ243" s="476"/>
      <c r="BK243" s="475"/>
      <c r="BL243" s="476"/>
      <c r="BM243" s="476"/>
      <c r="BN243" s="476"/>
      <c r="BO243" s="476"/>
    </row>
    <row r="244" spans="1:67" s="58" customFormat="1">
      <c r="A244" s="107"/>
      <c r="C244" s="475"/>
      <c r="D244" s="476"/>
      <c r="E244" s="476"/>
      <c r="F244" s="476"/>
      <c r="G244" s="476"/>
      <c r="H244" s="475"/>
      <c r="I244" s="476"/>
      <c r="J244" s="476"/>
      <c r="K244" s="476"/>
      <c r="L244" s="476"/>
      <c r="M244" s="475"/>
      <c r="N244" s="476"/>
      <c r="O244" s="476"/>
      <c r="P244" s="476"/>
      <c r="Q244" s="476"/>
      <c r="R244" s="475"/>
      <c r="S244" s="476"/>
      <c r="T244" s="476"/>
      <c r="U244" s="476"/>
      <c r="V244" s="476"/>
      <c r="W244" s="475"/>
      <c r="X244" s="476"/>
      <c r="Y244" s="476"/>
      <c r="Z244" s="476"/>
      <c r="AA244" s="476"/>
      <c r="AB244" s="475"/>
      <c r="AC244" s="476"/>
      <c r="AD244" s="476"/>
      <c r="AE244" s="476"/>
      <c r="AF244" s="476"/>
      <c r="AG244" s="475"/>
      <c r="AH244" s="476"/>
      <c r="AI244" s="476"/>
      <c r="AJ244" s="476"/>
      <c r="AK244" s="476"/>
      <c r="AL244" s="475"/>
      <c r="AM244" s="476"/>
      <c r="AN244" s="476"/>
      <c r="AO244" s="476"/>
      <c r="AP244" s="476"/>
      <c r="AQ244" s="475"/>
      <c r="AR244" s="476"/>
      <c r="AS244" s="476"/>
      <c r="AT244" s="476"/>
      <c r="AU244" s="476"/>
      <c r="AV244" s="475"/>
      <c r="AW244" s="476"/>
      <c r="AX244" s="476"/>
      <c r="AY244" s="476"/>
      <c r="AZ244" s="476"/>
      <c r="BA244" s="475"/>
      <c r="BB244" s="476"/>
      <c r="BC244" s="476"/>
      <c r="BD244" s="476"/>
      <c r="BE244" s="476"/>
      <c r="BF244" s="475"/>
      <c r="BG244" s="476"/>
      <c r="BH244" s="476"/>
      <c r="BI244" s="476"/>
      <c r="BJ244" s="476"/>
      <c r="BK244" s="475"/>
      <c r="BL244" s="476"/>
      <c r="BM244" s="476"/>
      <c r="BN244" s="476"/>
      <c r="BO244" s="476"/>
    </row>
    <row r="245" spans="1:67" s="58" customFormat="1">
      <c r="A245" s="107"/>
      <c r="C245" s="482"/>
      <c r="D245" s="483"/>
      <c r="E245" s="483"/>
      <c r="F245" s="483"/>
      <c r="G245" s="483"/>
      <c r="H245" s="482"/>
      <c r="I245" s="483"/>
      <c r="J245" s="483"/>
      <c r="K245" s="483"/>
      <c r="L245" s="483"/>
      <c r="M245" s="482"/>
      <c r="N245" s="483"/>
      <c r="O245" s="483"/>
      <c r="P245" s="483"/>
      <c r="Q245" s="483"/>
      <c r="R245" s="482"/>
      <c r="S245" s="483"/>
      <c r="T245" s="483"/>
      <c r="U245" s="483"/>
      <c r="V245" s="483"/>
      <c r="W245" s="482"/>
      <c r="X245" s="483"/>
      <c r="Y245" s="483"/>
      <c r="Z245" s="483"/>
      <c r="AA245" s="483"/>
      <c r="AB245" s="482"/>
      <c r="AC245" s="483"/>
      <c r="AD245" s="483"/>
      <c r="AE245" s="483"/>
      <c r="AF245" s="483"/>
      <c r="AG245" s="482"/>
      <c r="AH245" s="483"/>
      <c r="AI245" s="483"/>
      <c r="AJ245" s="483"/>
      <c r="AK245" s="483"/>
      <c r="AL245" s="482"/>
      <c r="AM245" s="483"/>
      <c r="AN245" s="483"/>
      <c r="AO245" s="483"/>
      <c r="AP245" s="483"/>
      <c r="AQ245" s="482"/>
      <c r="AR245" s="483"/>
      <c r="AS245" s="483"/>
      <c r="AT245" s="483"/>
      <c r="AU245" s="483"/>
      <c r="AV245" s="482"/>
      <c r="AW245" s="483"/>
      <c r="AX245" s="483"/>
      <c r="AY245" s="483"/>
      <c r="AZ245" s="483"/>
      <c r="BA245" s="482"/>
      <c r="BB245" s="483"/>
      <c r="BC245" s="483"/>
      <c r="BD245" s="483"/>
      <c r="BE245" s="483"/>
      <c r="BF245" s="482"/>
      <c r="BG245" s="483"/>
      <c r="BH245" s="483"/>
      <c r="BI245" s="483"/>
      <c r="BJ245" s="483"/>
      <c r="BK245" s="482"/>
      <c r="BL245" s="483"/>
      <c r="BM245" s="483"/>
      <c r="BN245" s="483"/>
      <c r="BO245" s="483"/>
    </row>
    <row r="246" spans="1:67" s="58" customFormat="1">
      <c r="A246" s="107"/>
      <c r="C246" s="475"/>
      <c r="D246" s="476"/>
      <c r="E246" s="476"/>
      <c r="F246" s="476"/>
      <c r="G246" s="476"/>
      <c r="H246" s="475"/>
      <c r="I246" s="476"/>
      <c r="J246" s="476"/>
      <c r="K246" s="476"/>
      <c r="L246" s="476"/>
      <c r="M246" s="475"/>
      <c r="N246" s="476"/>
      <c r="O246" s="476"/>
      <c r="P246" s="476"/>
      <c r="Q246" s="476"/>
      <c r="R246" s="475"/>
      <c r="S246" s="476"/>
      <c r="T246" s="476"/>
      <c r="U246" s="476"/>
      <c r="V246" s="476"/>
      <c r="W246" s="475"/>
      <c r="X246" s="476"/>
      <c r="Y246" s="476"/>
      <c r="Z246" s="476"/>
      <c r="AA246" s="476"/>
      <c r="AB246" s="475"/>
      <c r="AC246" s="476"/>
      <c r="AD246" s="476"/>
      <c r="AE246" s="476"/>
      <c r="AF246" s="476"/>
      <c r="AG246" s="475"/>
      <c r="AH246" s="476"/>
      <c r="AI246" s="476"/>
      <c r="AJ246" s="476"/>
      <c r="AK246" s="476"/>
      <c r="AL246" s="475"/>
      <c r="AM246" s="476"/>
      <c r="AN246" s="476"/>
      <c r="AO246" s="476"/>
      <c r="AP246" s="476"/>
      <c r="AQ246" s="475"/>
      <c r="AR246" s="476"/>
      <c r="AS246" s="476"/>
      <c r="AT246" s="476"/>
      <c r="AU246" s="476"/>
      <c r="AV246" s="475"/>
      <c r="AW246" s="476"/>
      <c r="AX246" s="476"/>
      <c r="AY246" s="476"/>
      <c r="AZ246" s="476"/>
      <c r="BA246" s="475"/>
      <c r="BB246" s="476"/>
      <c r="BC246" s="476"/>
      <c r="BD246" s="476"/>
      <c r="BE246" s="476"/>
      <c r="BF246" s="475"/>
      <c r="BG246" s="476"/>
      <c r="BH246" s="476"/>
      <c r="BI246" s="476"/>
      <c r="BJ246" s="476"/>
      <c r="BK246" s="475"/>
      <c r="BL246" s="476"/>
      <c r="BM246" s="476"/>
      <c r="BN246" s="476"/>
      <c r="BO246" s="476"/>
    </row>
    <row r="247" spans="1:67" s="58" customFormat="1">
      <c r="A247" s="107"/>
      <c r="C247" s="475"/>
      <c r="D247" s="476"/>
      <c r="E247" s="476"/>
      <c r="F247" s="476"/>
      <c r="G247" s="476"/>
      <c r="H247" s="475"/>
      <c r="I247" s="476"/>
      <c r="J247" s="476"/>
      <c r="K247" s="476"/>
      <c r="L247" s="476"/>
      <c r="M247" s="475"/>
      <c r="N247" s="476"/>
      <c r="O247" s="476"/>
      <c r="P247" s="476"/>
      <c r="Q247" s="476"/>
      <c r="R247" s="475"/>
      <c r="S247" s="476"/>
      <c r="T247" s="476"/>
      <c r="U247" s="476"/>
      <c r="V247" s="476"/>
      <c r="W247" s="475"/>
      <c r="X247" s="476"/>
      <c r="Y247" s="476"/>
      <c r="Z247" s="476"/>
      <c r="AA247" s="476"/>
      <c r="AB247" s="475"/>
      <c r="AC247" s="476"/>
      <c r="AD247" s="476"/>
      <c r="AE247" s="476"/>
      <c r="AF247" s="476"/>
      <c r="AG247" s="475"/>
      <c r="AH247" s="476"/>
      <c r="AI247" s="476"/>
      <c r="AJ247" s="476"/>
      <c r="AK247" s="476"/>
      <c r="AL247" s="475"/>
      <c r="AM247" s="476"/>
      <c r="AN247" s="476"/>
      <c r="AO247" s="476"/>
      <c r="AP247" s="476"/>
      <c r="AQ247" s="475"/>
      <c r="AR247" s="476"/>
      <c r="AS247" s="476"/>
      <c r="AT247" s="476"/>
      <c r="AU247" s="476"/>
      <c r="AV247" s="475"/>
      <c r="AW247" s="476"/>
      <c r="AX247" s="476"/>
      <c r="AY247" s="476"/>
      <c r="AZ247" s="476"/>
      <c r="BA247" s="475"/>
      <c r="BB247" s="476"/>
      <c r="BC247" s="476"/>
      <c r="BD247" s="476"/>
      <c r="BE247" s="476"/>
      <c r="BF247" s="475"/>
      <c r="BG247" s="476"/>
      <c r="BH247" s="476"/>
      <c r="BI247" s="476"/>
      <c r="BJ247" s="476"/>
      <c r="BK247" s="475"/>
      <c r="BL247" s="476"/>
      <c r="BM247" s="476"/>
      <c r="BN247" s="476"/>
      <c r="BO247" s="476"/>
    </row>
    <row r="248" spans="1:67" s="58" customFormat="1">
      <c r="A248" s="107"/>
      <c r="C248" s="484"/>
      <c r="D248" s="485"/>
      <c r="E248" s="485"/>
      <c r="F248" s="485"/>
      <c r="G248" s="485"/>
      <c r="H248" s="484"/>
      <c r="I248" s="485"/>
      <c r="J248" s="485"/>
      <c r="K248" s="485"/>
      <c r="L248" s="485"/>
      <c r="M248" s="484"/>
      <c r="N248" s="485"/>
      <c r="O248" s="485"/>
      <c r="P248" s="485"/>
      <c r="Q248" s="485"/>
      <c r="R248" s="484"/>
      <c r="S248" s="485"/>
      <c r="T248" s="485"/>
      <c r="U248" s="485"/>
      <c r="V248" s="485"/>
      <c r="W248" s="484"/>
      <c r="X248" s="485"/>
      <c r="Y248" s="485"/>
      <c r="Z248" s="485"/>
      <c r="AA248" s="485"/>
      <c r="AB248" s="484"/>
      <c r="AC248" s="485"/>
      <c r="AD248" s="485"/>
      <c r="AE248" s="485"/>
      <c r="AF248" s="485"/>
      <c r="AG248" s="484"/>
      <c r="AH248" s="485"/>
      <c r="AI248" s="485"/>
      <c r="AJ248" s="485"/>
      <c r="AK248" s="485"/>
      <c r="AL248" s="484"/>
      <c r="AM248" s="485"/>
      <c r="AN248" s="485"/>
      <c r="AO248" s="485"/>
      <c r="AP248" s="485"/>
      <c r="AQ248" s="484"/>
      <c r="AR248" s="485"/>
      <c r="AS248" s="485"/>
      <c r="AT248" s="485"/>
      <c r="AU248" s="485"/>
      <c r="AV248" s="484"/>
      <c r="AW248" s="485"/>
      <c r="AX248" s="485"/>
      <c r="AY248" s="485"/>
      <c r="AZ248" s="485"/>
      <c r="BA248" s="484"/>
      <c r="BB248" s="485"/>
      <c r="BC248" s="485"/>
      <c r="BD248" s="485"/>
      <c r="BE248" s="485"/>
      <c r="BF248" s="484"/>
      <c r="BG248" s="485"/>
      <c r="BH248" s="485"/>
      <c r="BI248" s="485"/>
      <c r="BJ248" s="485"/>
      <c r="BK248" s="484"/>
      <c r="BL248" s="485"/>
      <c r="BM248" s="485"/>
      <c r="BN248" s="485"/>
      <c r="BO248" s="485"/>
    </row>
    <row r="250" spans="1:67" s="58" customFormat="1">
      <c r="A250" s="107"/>
      <c r="C250" s="486"/>
      <c r="D250" s="487"/>
      <c r="E250" s="487"/>
      <c r="F250" s="487"/>
      <c r="G250" s="487"/>
      <c r="H250" s="486"/>
      <c r="I250" s="487"/>
      <c r="J250" s="487"/>
      <c r="K250" s="487"/>
      <c r="L250" s="487"/>
      <c r="M250" s="486"/>
      <c r="N250" s="487"/>
      <c r="O250" s="487"/>
      <c r="P250" s="487"/>
      <c r="Q250" s="487"/>
      <c r="R250" s="486"/>
      <c r="S250" s="487"/>
      <c r="T250" s="487"/>
      <c r="U250" s="487"/>
      <c r="V250" s="487"/>
      <c r="W250" s="486"/>
      <c r="X250" s="487"/>
      <c r="Y250" s="487"/>
      <c r="Z250" s="487"/>
      <c r="AA250" s="487"/>
      <c r="AB250" s="486"/>
      <c r="AC250" s="487"/>
      <c r="AD250" s="487"/>
      <c r="AE250" s="487"/>
      <c r="AF250" s="487"/>
      <c r="AG250" s="486"/>
      <c r="AH250" s="487"/>
      <c r="AI250" s="487"/>
      <c r="AJ250" s="487"/>
      <c r="AK250" s="487"/>
      <c r="AL250" s="486"/>
      <c r="AM250" s="487"/>
      <c r="AN250" s="487"/>
      <c r="AO250" s="487"/>
      <c r="AP250" s="487"/>
      <c r="AQ250" s="486"/>
      <c r="AR250" s="487"/>
      <c r="AS250" s="487"/>
      <c r="AT250" s="487"/>
      <c r="AU250" s="487"/>
      <c r="AV250" s="486"/>
      <c r="AW250" s="487"/>
      <c r="AX250" s="487"/>
      <c r="AY250" s="487"/>
      <c r="AZ250" s="487"/>
      <c r="BA250" s="486"/>
      <c r="BB250" s="487"/>
      <c r="BC250" s="487"/>
      <c r="BD250" s="487"/>
      <c r="BE250" s="487"/>
      <c r="BF250" s="486"/>
      <c r="BG250" s="487"/>
      <c r="BH250" s="487"/>
      <c r="BI250" s="487"/>
      <c r="BJ250" s="487"/>
      <c r="BK250" s="486"/>
      <c r="BL250" s="487"/>
      <c r="BM250" s="487"/>
      <c r="BN250" s="487"/>
      <c r="BO250" s="487"/>
    </row>
    <row r="251" spans="1:67" s="58" customFormat="1">
      <c r="A251" s="107"/>
      <c r="C251" s="488"/>
      <c r="D251" s="489"/>
      <c r="E251" s="489"/>
      <c r="F251" s="489"/>
      <c r="G251" s="489"/>
      <c r="H251" s="488"/>
      <c r="I251" s="489"/>
      <c r="J251" s="489"/>
      <c r="K251" s="489"/>
      <c r="L251" s="489"/>
      <c r="M251" s="488"/>
      <c r="N251" s="489"/>
      <c r="O251" s="489"/>
      <c r="P251" s="489"/>
      <c r="Q251" s="489"/>
      <c r="R251" s="488"/>
      <c r="S251" s="489"/>
      <c r="T251" s="489"/>
      <c r="U251" s="489"/>
      <c r="V251" s="489"/>
      <c r="W251" s="488"/>
      <c r="X251" s="489"/>
      <c r="Y251" s="489"/>
      <c r="Z251" s="489"/>
      <c r="AA251" s="489"/>
      <c r="AB251" s="488"/>
      <c r="AC251" s="489"/>
      <c r="AD251" s="489"/>
      <c r="AE251" s="489"/>
      <c r="AF251" s="489"/>
      <c r="AG251" s="488"/>
      <c r="AH251" s="489"/>
      <c r="AI251" s="489"/>
      <c r="AJ251" s="489"/>
      <c r="AK251" s="489"/>
      <c r="AL251" s="488"/>
      <c r="AM251" s="489"/>
      <c r="AN251" s="489"/>
      <c r="AO251" s="489"/>
      <c r="AP251" s="489"/>
      <c r="AQ251" s="488"/>
      <c r="AR251" s="489"/>
      <c r="AS251" s="489"/>
      <c r="AT251" s="489"/>
      <c r="AU251" s="489"/>
      <c r="AV251" s="488"/>
      <c r="AW251" s="489"/>
      <c r="AX251" s="489"/>
      <c r="AY251" s="489"/>
      <c r="AZ251" s="489"/>
      <c r="BA251" s="488"/>
      <c r="BB251" s="489"/>
      <c r="BC251" s="489"/>
      <c r="BD251" s="489"/>
      <c r="BE251" s="489"/>
      <c r="BF251" s="488"/>
      <c r="BG251" s="489"/>
      <c r="BH251" s="489"/>
      <c r="BI251" s="489"/>
      <c r="BJ251" s="489"/>
      <c r="BK251" s="488"/>
      <c r="BL251" s="489"/>
      <c r="BM251" s="489"/>
      <c r="BN251" s="489"/>
      <c r="BO251" s="489"/>
    </row>
    <row r="252" spans="1:67" s="58" customFormat="1">
      <c r="A252" s="107"/>
      <c r="C252" s="490"/>
      <c r="D252" s="491"/>
      <c r="E252" s="491"/>
      <c r="F252" s="491"/>
      <c r="G252" s="491"/>
      <c r="H252" s="490"/>
      <c r="I252" s="491"/>
      <c r="J252" s="491"/>
      <c r="K252" s="491"/>
      <c r="L252" s="491"/>
      <c r="M252" s="490"/>
      <c r="N252" s="491"/>
      <c r="O252" s="491"/>
      <c r="P252" s="491"/>
      <c r="Q252" s="491"/>
      <c r="R252" s="490"/>
      <c r="S252" s="491"/>
      <c r="T252" s="491"/>
      <c r="U252" s="491"/>
      <c r="V252" s="491"/>
      <c r="W252" s="490"/>
      <c r="X252" s="491"/>
      <c r="Y252" s="491"/>
      <c r="Z252" s="491"/>
      <c r="AA252" s="491"/>
      <c r="AB252" s="490"/>
      <c r="AC252" s="491"/>
      <c r="AD252" s="491"/>
      <c r="AE252" s="491"/>
      <c r="AF252" s="491"/>
      <c r="AG252" s="490"/>
      <c r="AH252" s="491"/>
      <c r="AI252" s="491"/>
      <c r="AJ252" s="491"/>
      <c r="AK252" s="491"/>
      <c r="AL252" s="490"/>
      <c r="AM252" s="491"/>
      <c r="AN252" s="491"/>
      <c r="AO252" s="491"/>
      <c r="AP252" s="491"/>
      <c r="AQ252" s="490"/>
      <c r="AR252" s="491"/>
      <c r="AS252" s="491"/>
      <c r="AT252" s="491"/>
      <c r="AU252" s="491"/>
      <c r="AV252" s="490"/>
      <c r="AW252" s="491"/>
      <c r="AX252" s="491"/>
      <c r="AY252" s="491"/>
      <c r="AZ252" s="491"/>
      <c r="BA252" s="490"/>
      <c r="BB252" s="491"/>
      <c r="BC252" s="491"/>
      <c r="BD252" s="491"/>
      <c r="BE252" s="491"/>
      <c r="BF252" s="490"/>
      <c r="BG252" s="491"/>
      <c r="BH252" s="491"/>
      <c r="BI252" s="491"/>
      <c r="BJ252" s="491"/>
      <c r="BK252" s="490"/>
      <c r="BL252" s="491"/>
      <c r="BM252" s="491"/>
      <c r="BN252" s="491"/>
      <c r="BO252" s="491"/>
    </row>
    <row r="253" spans="1:67" s="58" customFormat="1">
      <c r="A253" s="107"/>
      <c r="C253" s="492"/>
      <c r="D253" s="492"/>
      <c r="E253" s="492"/>
      <c r="F253" s="492"/>
      <c r="G253" s="492"/>
      <c r="H253" s="492"/>
      <c r="I253" s="492"/>
      <c r="J253" s="492"/>
      <c r="K253" s="492"/>
      <c r="L253" s="492"/>
      <c r="M253" s="492"/>
      <c r="N253" s="492"/>
      <c r="O253" s="492"/>
      <c r="P253" s="492"/>
      <c r="Q253" s="492"/>
      <c r="R253" s="492"/>
      <c r="S253" s="492"/>
      <c r="T253" s="492"/>
      <c r="U253" s="492"/>
      <c r="V253" s="492"/>
      <c r="W253" s="492"/>
      <c r="X253" s="492"/>
      <c r="Y253" s="492"/>
      <c r="Z253" s="492"/>
      <c r="AA253" s="492"/>
      <c r="AB253" s="492"/>
      <c r="AC253" s="492"/>
      <c r="AD253" s="492"/>
      <c r="AE253" s="492"/>
      <c r="AF253" s="492"/>
      <c r="AG253" s="492"/>
      <c r="AH253" s="492"/>
      <c r="AI253" s="492"/>
      <c r="AJ253" s="492"/>
      <c r="AK253" s="492"/>
      <c r="AL253" s="492"/>
      <c r="AM253" s="492"/>
      <c r="AN253" s="492"/>
      <c r="AO253" s="492"/>
      <c r="AP253" s="492"/>
      <c r="AQ253" s="492"/>
      <c r="AR253" s="492"/>
      <c r="AS253" s="492"/>
      <c r="AT253" s="492"/>
      <c r="AU253" s="492"/>
      <c r="AV253" s="492"/>
      <c r="AW253" s="492"/>
      <c r="AX253" s="492"/>
      <c r="AY253" s="492"/>
      <c r="AZ253" s="492"/>
      <c r="BA253" s="492"/>
      <c r="BB253" s="492"/>
      <c r="BC253" s="492"/>
      <c r="BD253" s="492"/>
      <c r="BE253" s="492"/>
      <c r="BF253" s="492"/>
      <c r="BG253" s="492"/>
      <c r="BH253" s="492"/>
      <c r="BI253" s="492"/>
      <c r="BJ253" s="492"/>
      <c r="BK253" s="492"/>
      <c r="BL253" s="492"/>
      <c r="BM253" s="492"/>
      <c r="BN253" s="492"/>
      <c r="BO253" s="492"/>
    </row>
    <row r="254" spans="1:67" s="58" customFormat="1">
      <c r="A254" s="107"/>
      <c r="C254" s="362"/>
      <c r="D254" s="493"/>
      <c r="E254" s="493"/>
      <c r="F254" s="493"/>
      <c r="G254" s="493"/>
      <c r="H254" s="362"/>
      <c r="I254" s="493"/>
      <c r="J254" s="493"/>
      <c r="K254" s="493"/>
      <c r="L254" s="493"/>
      <c r="M254" s="362"/>
      <c r="N254" s="493"/>
      <c r="O254" s="493"/>
      <c r="P254" s="493"/>
      <c r="Q254" s="493"/>
      <c r="R254" s="362"/>
      <c r="S254" s="493"/>
      <c r="T254" s="493"/>
      <c r="U254" s="493"/>
      <c r="V254" s="493"/>
      <c r="W254" s="362"/>
      <c r="X254" s="493"/>
      <c r="Y254" s="493"/>
      <c r="Z254" s="493"/>
      <c r="AA254" s="493"/>
      <c r="AB254" s="362"/>
      <c r="AC254" s="493"/>
      <c r="AD254" s="493"/>
      <c r="AE254" s="493"/>
      <c r="AF254" s="493"/>
      <c r="AG254" s="362"/>
      <c r="AH254" s="493"/>
      <c r="AI254" s="493"/>
      <c r="AJ254" s="493"/>
      <c r="AK254" s="493"/>
      <c r="AL254" s="362"/>
      <c r="AM254" s="493"/>
      <c r="AN254" s="493"/>
      <c r="AO254" s="493"/>
      <c r="AP254" s="493"/>
      <c r="AQ254" s="362"/>
      <c r="AR254" s="493"/>
      <c r="AS254" s="493"/>
      <c r="AT254" s="493"/>
      <c r="AU254" s="493"/>
      <c r="AV254" s="362"/>
      <c r="AW254" s="493"/>
      <c r="AX254" s="493"/>
      <c r="AY254" s="493"/>
      <c r="AZ254" s="493"/>
      <c r="BA254" s="362"/>
      <c r="BB254" s="493"/>
      <c r="BC254" s="493"/>
      <c r="BD254" s="493"/>
      <c r="BE254" s="493"/>
      <c r="BF254" s="362"/>
      <c r="BG254" s="493"/>
      <c r="BH254" s="493"/>
      <c r="BI254" s="493"/>
      <c r="BJ254" s="493"/>
      <c r="BK254" s="362"/>
      <c r="BL254" s="493"/>
      <c r="BM254" s="493"/>
      <c r="BN254" s="493"/>
      <c r="BO254" s="493"/>
    </row>
    <row r="255" spans="1:67" s="58" customFormat="1">
      <c r="A255" s="107"/>
      <c r="C255" s="479"/>
      <c r="D255" s="475"/>
      <c r="E255" s="475"/>
      <c r="F255" s="475"/>
      <c r="G255" s="475"/>
      <c r="H255" s="479"/>
      <c r="I255" s="475"/>
      <c r="J255" s="475"/>
      <c r="K255" s="475"/>
      <c r="L255" s="475"/>
      <c r="M255" s="479"/>
      <c r="N255" s="475"/>
      <c r="O255" s="475"/>
      <c r="P255" s="475"/>
      <c r="Q255" s="475"/>
      <c r="R255" s="479"/>
      <c r="S255" s="475"/>
      <c r="T255" s="475"/>
      <c r="U255" s="475"/>
      <c r="V255" s="475"/>
      <c r="W255" s="479"/>
      <c r="X255" s="475"/>
      <c r="Y255" s="475"/>
      <c r="Z255" s="475"/>
      <c r="AA255" s="475"/>
      <c r="AB255" s="479"/>
      <c r="AC255" s="475"/>
      <c r="AD255" s="475"/>
      <c r="AE255" s="475"/>
      <c r="AF255" s="475"/>
      <c r="AG255" s="479"/>
      <c r="AH255" s="475"/>
      <c r="AI255" s="475"/>
      <c r="AJ255" s="475"/>
      <c r="AK255" s="475"/>
      <c r="AL255" s="479"/>
      <c r="AM255" s="475"/>
      <c r="AN255" s="475"/>
      <c r="AO255" s="475"/>
      <c r="AP255" s="475"/>
      <c r="AQ255" s="479"/>
      <c r="AR255" s="475"/>
      <c r="AS255" s="475"/>
      <c r="AT255" s="475"/>
      <c r="AU255" s="475"/>
      <c r="AV255" s="479"/>
      <c r="AW255" s="475"/>
      <c r="AX255" s="475"/>
      <c r="AY255" s="475"/>
      <c r="AZ255" s="475"/>
      <c r="BA255" s="479"/>
      <c r="BB255" s="475"/>
      <c r="BC255" s="475"/>
      <c r="BD255" s="475"/>
      <c r="BE255" s="475"/>
      <c r="BF255" s="479"/>
      <c r="BG255" s="475"/>
      <c r="BH255" s="475"/>
      <c r="BI255" s="475"/>
      <c r="BJ255" s="475"/>
      <c r="BK255" s="479"/>
      <c r="BL255" s="475"/>
      <c r="BM255" s="475"/>
      <c r="BN255" s="475"/>
      <c r="BO255" s="475"/>
    </row>
    <row r="256" spans="1:67" s="58" customFormat="1">
      <c r="A256" s="107"/>
      <c r="C256" s="479"/>
      <c r="D256" s="475"/>
      <c r="E256" s="475"/>
      <c r="F256" s="475"/>
      <c r="G256" s="475"/>
      <c r="H256" s="479"/>
      <c r="I256" s="475"/>
      <c r="J256" s="475"/>
      <c r="K256" s="475"/>
      <c r="L256" s="475"/>
      <c r="M256" s="479"/>
      <c r="N256" s="475"/>
      <c r="O256" s="475"/>
      <c r="P256" s="475"/>
      <c r="Q256" s="475"/>
      <c r="R256" s="479"/>
      <c r="S256" s="475"/>
      <c r="T256" s="475"/>
      <c r="U256" s="475"/>
      <c r="V256" s="475"/>
      <c r="W256" s="479"/>
      <c r="X256" s="475"/>
      <c r="Y256" s="475"/>
      <c r="Z256" s="475"/>
      <c r="AA256" s="475"/>
      <c r="AB256" s="479"/>
      <c r="AC256" s="475"/>
      <c r="AD256" s="475"/>
      <c r="AE256" s="475"/>
      <c r="AF256" s="475"/>
      <c r="AG256" s="479"/>
      <c r="AH256" s="475"/>
      <c r="AI256" s="475"/>
      <c r="AJ256" s="475"/>
      <c r="AK256" s="475"/>
      <c r="AL256" s="479"/>
      <c r="AM256" s="475"/>
      <c r="AN256" s="475"/>
      <c r="AO256" s="475"/>
      <c r="AP256" s="475"/>
      <c r="AQ256" s="479"/>
      <c r="AR256" s="475"/>
      <c r="AS256" s="475"/>
      <c r="AT256" s="475"/>
      <c r="AU256" s="475"/>
      <c r="AV256" s="479"/>
      <c r="AW256" s="475"/>
      <c r="AX256" s="475"/>
      <c r="AY256" s="475"/>
      <c r="AZ256" s="475"/>
      <c r="BA256" s="479"/>
      <c r="BB256" s="475"/>
      <c r="BC256" s="475"/>
      <c r="BD256" s="475"/>
      <c r="BE256" s="475"/>
      <c r="BF256" s="479"/>
      <c r="BG256" s="475"/>
      <c r="BH256" s="475"/>
      <c r="BI256" s="475"/>
      <c r="BJ256" s="475"/>
      <c r="BK256" s="479"/>
      <c r="BL256" s="475"/>
      <c r="BM256" s="475"/>
      <c r="BN256" s="475"/>
      <c r="BO256" s="475"/>
    </row>
    <row r="257" spans="1:67" s="58" customFormat="1">
      <c r="A257" s="107"/>
      <c r="C257" s="479"/>
      <c r="D257" s="475"/>
      <c r="E257" s="475"/>
      <c r="F257" s="475"/>
      <c r="G257" s="475"/>
      <c r="H257" s="479"/>
      <c r="I257" s="475"/>
      <c r="J257" s="475"/>
      <c r="K257" s="475"/>
      <c r="L257" s="475"/>
      <c r="M257" s="479"/>
      <c r="N257" s="475"/>
      <c r="O257" s="475"/>
      <c r="P257" s="475"/>
      <c r="Q257" s="475"/>
      <c r="R257" s="479"/>
      <c r="S257" s="475"/>
      <c r="T257" s="475"/>
      <c r="U257" s="475"/>
      <c r="V257" s="475"/>
      <c r="W257" s="479"/>
      <c r="X257" s="475"/>
      <c r="Y257" s="475"/>
      <c r="Z257" s="475"/>
      <c r="AA257" s="475"/>
      <c r="AB257" s="479"/>
      <c r="AC257" s="475"/>
      <c r="AD257" s="475"/>
      <c r="AE257" s="475"/>
      <c r="AF257" s="475"/>
      <c r="AG257" s="479"/>
      <c r="AH257" s="475"/>
      <c r="AI257" s="475"/>
      <c r="AJ257" s="475"/>
      <c r="AK257" s="475"/>
      <c r="AL257" s="479"/>
      <c r="AM257" s="475"/>
      <c r="AN257" s="475"/>
      <c r="AO257" s="475"/>
      <c r="AP257" s="475"/>
      <c r="AQ257" s="479"/>
      <c r="AR257" s="475"/>
      <c r="AS257" s="475"/>
      <c r="AT257" s="475"/>
      <c r="AU257" s="475"/>
      <c r="AV257" s="479"/>
      <c r="AW257" s="475"/>
      <c r="AX257" s="475"/>
      <c r="AY257" s="475"/>
      <c r="AZ257" s="475"/>
      <c r="BA257" s="479"/>
      <c r="BB257" s="475"/>
      <c r="BC257" s="475"/>
      <c r="BD257" s="475"/>
      <c r="BE257" s="475"/>
      <c r="BF257" s="479"/>
      <c r="BG257" s="475"/>
      <c r="BH257" s="475"/>
      <c r="BI257" s="475"/>
      <c r="BJ257" s="475"/>
      <c r="BK257" s="479"/>
      <c r="BL257" s="475"/>
      <c r="BM257" s="475"/>
      <c r="BN257" s="475"/>
      <c r="BO257" s="475"/>
    </row>
    <row r="258" spans="1:67" s="58" customFormat="1">
      <c r="A258" s="107"/>
      <c r="C258" s="479"/>
      <c r="D258" s="475"/>
      <c r="E258" s="475"/>
      <c r="F258" s="475"/>
      <c r="G258" s="475"/>
      <c r="H258" s="479"/>
      <c r="I258" s="475"/>
      <c r="J258" s="475"/>
      <c r="K258" s="475"/>
      <c r="L258" s="475"/>
      <c r="M258" s="479"/>
      <c r="N258" s="475"/>
      <c r="O258" s="475"/>
      <c r="P258" s="475"/>
      <c r="Q258" s="475"/>
      <c r="R258" s="479"/>
      <c r="S258" s="475"/>
      <c r="T258" s="475"/>
      <c r="U258" s="475"/>
      <c r="V258" s="475"/>
      <c r="W258" s="479"/>
      <c r="X258" s="475"/>
      <c r="Y258" s="475"/>
      <c r="Z258" s="475"/>
      <c r="AA258" s="475"/>
      <c r="AB258" s="479"/>
      <c r="AC258" s="475"/>
      <c r="AD258" s="475"/>
      <c r="AE258" s="475"/>
      <c r="AF258" s="475"/>
      <c r="AG258" s="479"/>
      <c r="AH258" s="475"/>
      <c r="AI258" s="475"/>
      <c r="AJ258" s="475"/>
      <c r="AK258" s="475"/>
      <c r="AL258" s="479"/>
      <c r="AM258" s="475"/>
      <c r="AN258" s="475"/>
      <c r="AO258" s="475"/>
      <c r="AP258" s="475"/>
      <c r="AQ258" s="479"/>
      <c r="AR258" s="475"/>
      <c r="AS258" s="475"/>
      <c r="AT258" s="475"/>
      <c r="AU258" s="475"/>
      <c r="AV258" s="479"/>
      <c r="AW258" s="475"/>
      <c r="AX258" s="475"/>
      <c r="AY258" s="475"/>
      <c r="AZ258" s="475"/>
      <c r="BA258" s="479"/>
      <c r="BB258" s="475"/>
      <c r="BC258" s="475"/>
      <c r="BD258" s="475"/>
      <c r="BE258" s="475"/>
      <c r="BF258" s="479"/>
      <c r="BG258" s="475"/>
      <c r="BH258" s="475"/>
      <c r="BI258" s="475"/>
      <c r="BJ258" s="475"/>
      <c r="BK258" s="479"/>
      <c r="BL258" s="475"/>
      <c r="BM258" s="475"/>
      <c r="BN258" s="475"/>
      <c r="BO258" s="475"/>
    </row>
    <row r="259" spans="1:67" s="58" customFormat="1">
      <c r="A259" s="107"/>
      <c r="C259" s="479"/>
      <c r="D259" s="475"/>
      <c r="E259" s="475"/>
      <c r="F259" s="475"/>
      <c r="G259" s="475"/>
      <c r="H259" s="479"/>
      <c r="I259" s="475"/>
      <c r="J259" s="475"/>
      <c r="K259" s="475"/>
      <c r="L259" s="475"/>
      <c r="M259" s="479"/>
      <c r="N259" s="475"/>
      <c r="O259" s="475"/>
      <c r="P259" s="475"/>
      <c r="Q259" s="475"/>
      <c r="R259" s="479"/>
      <c r="S259" s="475"/>
      <c r="T259" s="475"/>
      <c r="U259" s="475"/>
      <c r="V259" s="475"/>
      <c r="W259" s="479"/>
      <c r="X259" s="475"/>
      <c r="Y259" s="475"/>
      <c r="Z259" s="475"/>
      <c r="AA259" s="475"/>
      <c r="AB259" s="479"/>
      <c r="AC259" s="475"/>
      <c r="AD259" s="475"/>
      <c r="AE259" s="475"/>
      <c r="AF259" s="475"/>
      <c r="AG259" s="479"/>
      <c r="AH259" s="475"/>
      <c r="AI259" s="475"/>
      <c r="AJ259" s="475"/>
      <c r="AK259" s="475"/>
      <c r="AL259" s="479"/>
      <c r="AM259" s="475"/>
      <c r="AN259" s="475"/>
      <c r="AO259" s="475"/>
      <c r="AP259" s="475"/>
      <c r="AQ259" s="479"/>
      <c r="AR259" s="475"/>
      <c r="AS259" s="475"/>
      <c r="AT259" s="475"/>
      <c r="AU259" s="475"/>
      <c r="AV259" s="479"/>
      <c r="AW259" s="475"/>
      <c r="AX259" s="475"/>
      <c r="AY259" s="475"/>
      <c r="AZ259" s="475"/>
      <c r="BA259" s="479"/>
      <c r="BB259" s="475"/>
      <c r="BC259" s="475"/>
      <c r="BD259" s="475"/>
      <c r="BE259" s="475"/>
      <c r="BF259" s="479"/>
      <c r="BG259" s="475"/>
      <c r="BH259" s="475"/>
      <c r="BI259" s="475"/>
      <c r="BJ259" s="475"/>
      <c r="BK259" s="479"/>
      <c r="BL259" s="475"/>
      <c r="BM259" s="475"/>
      <c r="BN259" s="475"/>
      <c r="BO259" s="475"/>
    </row>
    <row r="261" spans="1:67" s="58" customFormat="1">
      <c r="A261" s="107"/>
      <c r="C261" s="494"/>
      <c r="D261" s="494"/>
      <c r="E261" s="494"/>
      <c r="F261" s="494"/>
      <c r="G261" s="494"/>
      <c r="H261" s="494"/>
      <c r="I261" s="494"/>
      <c r="J261" s="494"/>
      <c r="K261" s="494"/>
      <c r="L261" s="494"/>
      <c r="M261" s="494"/>
      <c r="N261" s="494"/>
      <c r="O261" s="494"/>
      <c r="P261" s="494"/>
      <c r="Q261" s="494"/>
      <c r="R261" s="494"/>
      <c r="S261" s="494"/>
      <c r="T261" s="494"/>
      <c r="U261" s="494"/>
      <c r="V261" s="494"/>
      <c r="W261" s="494"/>
      <c r="X261" s="494"/>
      <c r="Y261" s="494"/>
      <c r="Z261" s="494"/>
      <c r="AA261" s="494"/>
      <c r="AB261" s="494"/>
      <c r="AC261" s="494"/>
      <c r="AD261" s="494"/>
      <c r="AE261" s="494"/>
      <c r="AF261" s="494"/>
      <c r="AG261" s="494"/>
      <c r="AH261" s="494"/>
      <c r="AI261" s="494"/>
      <c r="AJ261" s="494"/>
      <c r="AK261" s="494"/>
      <c r="AL261" s="494"/>
      <c r="AM261" s="494"/>
      <c r="AN261" s="494"/>
      <c r="AO261" s="494"/>
      <c r="AP261" s="494"/>
      <c r="AQ261" s="494"/>
      <c r="AR261" s="494"/>
      <c r="AS261" s="494"/>
      <c r="AT261" s="494"/>
      <c r="AU261" s="494"/>
      <c r="AV261" s="494"/>
      <c r="AW261" s="494"/>
      <c r="AX261" s="494"/>
      <c r="AY261" s="494"/>
      <c r="AZ261" s="494"/>
      <c r="BA261" s="494"/>
      <c r="BB261" s="494"/>
      <c r="BC261" s="494"/>
      <c r="BD261" s="494"/>
      <c r="BE261" s="494"/>
      <c r="BF261" s="494"/>
      <c r="BG261" s="494"/>
      <c r="BH261" s="494"/>
      <c r="BI261" s="494"/>
      <c r="BJ261" s="494"/>
      <c r="BK261" s="494"/>
      <c r="BL261" s="494"/>
      <c r="BM261" s="494"/>
      <c r="BN261" s="494"/>
      <c r="BO261" s="494"/>
    </row>
    <row r="262" spans="1:67" s="58" customFormat="1">
      <c r="A262" s="107"/>
      <c r="C262" s="490"/>
      <c r="D262" s="490"/>
      <c r="E262" s="490"/>
      <c r="F262" s="490"/>
      <c r="G262" s="490"/>
      <c r="H262" s="490"/>
      <c r="I262" s="490"/>
      <c r="J262" s="490"/>
      <c r="K262" s="490"/>
      <c r="L262" s="490"/>
      <c r="M262" s="490"/>
      <c r="N262" s="490"/>
      <c r="O262" s="490"/>
      <c r="P262" s="490"/>
      <c r="Q262" s="490"/>
      <c r="R262" s="490"/>
      <c r="S262" s="490"/>
      <c r="T262" s="490"/>
      <c r="U262" s="490"/>
      <c r="V262" s="490"/>
      <c r="W262" s="490"/>
      <c r="X262" s="490"/>
      <c r="Y262" s="490"/>
      <c r="Z262" s="490"/>
      <c r="AA262" s="490"/>
      <c r="AB262" s="490"/>
      <c r="AC262" s="490"/>
      <c r="AD262" s="490"/>
      <c r="AE262" s="490"/>
      <c r="AF262" s="490"/>
      <c r="AG262" s="490"/>
      <c r="AH262" s="490"/>
      <c r="AI262" s="490"/>
      <c r="AJ262" s="490"/>
      <c r="AK262" s="490"/>
      <c r="AL262" s="490"/>
      <c r="AM262" s="490"/>
      <c r="AN262" s="490"/>
      <c r="AO262" s="490"/>
      <c r="AP262" s="490"/>
      <c r="AQ262" s="490"/>
      <c r="AR262" s="490"/>
      <c r="AS262" s="490"/>
      <c r="AT262" s="490"/>
      <c r="AU262" s="490"/>
      <c r="AV262" s="490"/>
      <c r="AW262" s="490"/>
      <c r="AX262" s="490"/>
      <c r="AY262" s="490"/>
      <c r="AZ262" s="490"/>
      <c r="BA262" s="490"/>
      <c r="BB262" s="490"/>
      <c r="BC262" s="490"/>
      <c r="BD262" s="490"/>
      <c r="BE262" s="490"/>
      <c r="BF262" s="490"/>
      <c r="BG262" s="490"/>
      <c r="BH262" s="490"/>
      <c r="BI262" s="490"/>
      <c r="BJ262" s="490"/>
      <c r="BK262" s="490"/>
      <c r="BL262" s="490"/>
      <c r="BM262" s="490"/>
      <c r="BN262" s="490"/>
      <c r="BO262" s="490"/>
    </row>
    <row r="263" spans="1:67" s="58" customFormat="1">
      <c r="A263" s="107"/>
      <c r="C263" s="490"/>
      <c r="D263" s="490"/>
      <c r="E263" s="490"/>
      <c r="F263" s="490"/>
      <c r="G263" s="490"/>
      <c r="H263" s="490"/>
      <c r="I263" s="490"/>
      <c r="J263" s="490"/>
      <c r="K263" s="490"/>
      <c r="L263" s="490"/>
      <c r="M263" s="490"/>
      <c r="N263" s="490"/>
      <c r="O263" s="490"/>
      <c r="P263" s="490"/>
      <c r="Q263" s="490"/>
      <c r="R263" s="490"/>
      <c r="S263" s="490"/>
      <c r="T263" s="490"/>
      <c r="U263" s="490"/>
      <c r="V263" s="490"/>
      <c r="W263" s="490"/>
      <c r="X263" s="490"/>
      <c r="Y263" s="490"/>
      <c r="Z263" s="490"/>
      <c r="AA263" s="490"/>
      <c r="AB263" s="490"/>
      <c r="AC263" s="490"/>
      <c r="AD263" s="490"/>
      <c r="AE263" s="490"/>
      <c r="AF263" s="490"/>
      <c r="AG263" s="490"/>
      <c r="AH263" s="490"/>
      <c r="AI263" s="490"/>
      <c r="AJ263" s="490"/>
      <c r="AK263" s="490"/>
      <c r="AL263" s="490"/>
      <c r="AM263" s="490"/>
      <c r="AN263" s="490"/>
      <c r="AO263" s="490"/>
      <c r="AP263" s="490"/>
      <c r="AQ263" s="490"/>
      <c r="AR263" s="490"/>
      <c r="AS263" s="490"/>
      <c r="AT263" s="490"/>
      <c r="AU263" s="490"/>
      <c r="AV263" s="490"/>
      <c r="AW263" s="490"/>
      <c r="AX263" s="490"/>
      <c r="AY263" s="490"/>
      <c r="AZ263" s="490"/>
      <c r="BA263" s="490"/>
      <c r="BB263" s="490"/>
      <c r="BC263" s="490"/>
      <c r="BD263" s="490"/>
      <c r="BE263" s="490"/>
      <c r="BF263" s="490"/>
      <c r="BG263" s="490"/>
      <c r="BH263" s="490"/>
      <c r="BI263" s="490"/>
      <c r="BJ263" s="490"/>
      <c r="BK263" s="490"/>
      <c r="BL263" s="490"/>
      <c r="BM263" s="490"/>
      <c r="BN263" s="490"/>
      <c r="BO263" s="490"/>
    </row>
    <row r="265" spans="1:67" s="58" customFormat="1">
      <c r="A265" s="107"/>
      <c r="C265" s="495"/>
      <c r="D265" s="496"/>
      <c r="E265" s="496"/>
      <c r="F265" s="496"/>
      <c r="G265" s="496"/>
      <c r="H265" s="495"/>
      <c r="I265" s="496"/>
      <c r="J265" s="496"/>
      <c r="K265" s="496"/>
      <c r="L265" s="496"/>
      <c r="M265" s="495"/>
      <c r="N265" s="496"/>
      <c r="O265" s="496"/>
      <c r="P265" s="496"/>
      <c r="Q265" s="496"/>
      <c r="R265" s="495"/>
      <c r="S265" s="496"/>
      <c r="T265" s="496"/>
      <c r="U265" s="496"/>
      <c r="V265" s="496"/>
      <c r="W265" s="495"/>
      <c r="X265" s="496"/>
      <c r="Y265" s="496"/>
      <c r="Z265" s="496"/>
      <c r="AA265" s="496"/>
      <c r="AB265" s="495"/>
      <c r="AC265" s="496"/>
      <c r="AD265" s="496"/>
      <c r="AE265" s="496"/>
      <c r="AF265" s="496"/>
      <c r="AG265" s="495"/>
      <c r="AH265" s="496"/>
      <c r="AI265" s="496"/>
      <c r="AJ265" s="496"/>
      <c r="AK265" s="496"/>
      <c r="AL265" s="495"/>
      <c r="AM265" s="496"/>
      <c r="AN265" s="496"/>
      <c r="AO265" s="496"/>
      <c r="AP265" s="496"/>
      <c r="AQ265" s="495"/>
      <c r="AR265" s="496"/>
      <c r="AS265" s="496"/>
      <c r="AT265" s="496"/>
      <c r="AU265" s="496"/>
      <c r="AV265" s="495"/>
      <c r="AW265" s="496"/>
      <c r="AX265" s="496"/>
      <c r="AY265" s="496"/>
      <c r="AZ265" s="496"/>
      <c r="BA265" s="495"/>
      <c r="BB265" s="496"/>
      <c r="BC265" s="496"/>
      <c r="BD265" s="496"/>
      <c r="BE265" s="496"/>
      <c r="BF265" s="495"/>
      <c r="BG265" s="496"/>
      <c r="BH265" s="496"/>
      <c r="BI265" s="496"/>
      <c r="BJ265" s="496"/>
      <c r="BK265" s="495"/>
      <c r="BL265" s="496"/>
      <c r="BM265" s="496"/>
      <c r="BN265" s="496"/>
      <c r="BO265" s="496"/>
    </row>
    <row r="266" spans="1:67" s="58" customFormat="1">
      <c r="A266" s="107"/>
      <c r="C266" s="497"/>
      <c r="D266" s="498"/>
      <c r="E266" s="498"/>
      <c r="F266" s="498"/>
      <c r="G266" s="498"/>
      <c r="H266" s="497"/>
      <c r="I266" s="498"/>
      <c r="J266" s="498"/>
      <c r="K266" s="498"/>
      <c r="L266" s="498"/>
      <c r="M266" s="497"/>
      <c r="N266" s="498"/>
      <c r="O266" s="498"/>
      <c r="P266" s="498"/>
      <c r="Q266" s="498"/>
      <c r="R266" s="497"/>
      <c r="S266" s="498"/>
      <c r="T266" s="498"/>
      <c r="U266" s="498"/>
      <c r="V266" s="498"/>
      <c r="W266" s="497"/>
      <c r="X266" s="498"/>
      <c r="Y266" s="498"/>
      <c r="Z266" s="498"/>
      <c r="AA266" s="498"/>
      <c r="AB266" s="497"/>
      <c r="AC266" s="498"/>
      <c r="AD266" s="498"/>
      <c r="AE266" s="498"/>
      <c r="AF266" s="498"/>
      <c r="AG266" s="497"/>
      <c r="AH266" s="498"/>
      <c r="AI266" s="498"/>
      <c r="AJ266" s="498"/>
      <c r="AK266" s="498"/>
      <c r="AL266" s="497"/>
      <c r="AM266" s="498"/>
      <c r="AN266" s="498"/>
      <c r="AO266" s="498"/>
      <c r="AP266" s="498"/>
      <c r="AQ266" s="497"/>
      <c r="AR266" s="498"/>
      <c r="AS266" s="498"/>
      <c r="AT266" s="498"/>
      <c r="AU266" s="498"/>
      <c r="AV266" s="497"/>
      <c r="AW266" s="498"/>
      <c r="AX266" s="498"/>
      <c r="AY266" s="498"/>
      <c r="AZ266" s="498"/>
      <c r="BA266" s="497"/>
      <c r="BB266" s="498"/>
      <c r="BC266" s="498"/>
      <c r="BD266" s="498"/>
      <c r="BE266" s="498"/>
      <c r="BF266" s="497"/>
      <c r="BG266" s="498"/>
      <c r="BH266" s="498"/>
      <c r="BI266" s="498"/>
      <c r="BJ266" s="498"/>
      <c r="BK266" s="497"/>
      <c r="BL266" s="498"/>
      <c r="BM266" s="498"/>
      <c r="BN266" s="498"/>
      <c r="BO266" s="498"/>
    </row>
    <row r="267" spans="1:67" s="58" customFormat="1">
      <c r="A267" s="107"/>
      <c r="C267" s="463"/>
      <c r="D267" s="384"/>
      <c r="E267" s="384"/>
      <c r="F267" s="384"/>
      <c r="G267" s="384"/>
      <c r="H267" s="463"/>
      <c r="I267" s="384"/>
      <c r="J267" s="384"/>
      <c r="K267" s="384"/>
      <c r="L267" s="384"/>
      <c r="M267" s="463"/>
      <c r="N267" s="384"/>
      <c r="O267" s="384"/>
      <c r="P267" s="384"/>
      <c r="Q267" s="384"/>
      <c r="R267" s="463"/>
      <c r="S267" s="384"/>
      <c r="T267" s="384"/>
      <c r="U267" s="384"/>
      <c r="V267" s="384"/>
      <c r="W267" s="463"/>
      <c r="X267" s="384"/>
      <c r="Y267" s="384"/>
      <c r="Z267" s="384"/>
      <c r="AA267" s="384"/>
      <c r="AB267" s="463"/>
      <c r="AC267" s="384"/>
      <c r="AD267" s="384"/>
      <c r="AE267" s="384"/>
      <c r="AF267" s="384"/>
      <c r="AG267" s="463"/>
      <c r="AH267" s="384"/>
      <c r="AI267" s="384"/>
      <c r="AJ267" s="384"/>
      <c r="AK267" s="384"/>
      <c r="AL267" s="463"/>
      <c r="AM267" s="384"/>
      <c r="AN267" s="384"/>
      <c r="AO267" s="384"/>
      <c r="AP267" s="384"/>
      <c r="AQ267" s="463"/>
      <c r="AR267" s="384"/>
      <c r="AS267" s="384"/>
      <c r="AT267" s="384"/>
      <c r="AU267" s="384"/>
      <c r="AV267" s="463"/>
      <c r="AW267" s="384"/>
      <c r="AX267" s="384"/>
      <c r="AY267" s="384"/>
      <c r="AZ267" s="384"/>
      <c r="BA267" s="463"/>
      <c r="BB267" s="384"/>
      <c r="BC267" s="384"/>
      <c r="BD267" s="384"/>
      <c r="BE267" s="384"/>
      <c r="BF267" s="463"/>
      <c r="BG267" s="384"/>
      <c r="BH267" s="384"/>
      <c r="BI267" s="384"/>
      <c r="BJ267" s="384"/>
      <c r="BK267" s="463"/>
      <c r="BL267" s="384"/>
      <c r="BM267" s="384"/>
      <c r="BN267" s="384"/>
      <c r="BO267" s="384"/>
    </row>
    <row r="268" spans="1:67" s="58" customFormat="1">
      <c r="A268" s="107"/>
      <c r="C268" s="463"/>
      <c r="D268" s="384"/>
      <c r="E268" s="384"/>
      <c r="F268" s="384"/>
      <c r="G268" s="384"/>
      <c r="H268" s="463"/>
      <c r="I268" s="384"/>
      <c r="J268" s="384"/>
      <c r="K268" s="384"/>
      <c r="L268" s="384"/>
      <c r="M268" s="463"/>
      <c r="N268" s="384"/>
      <c r="O268" s="384"/>
      <c r="P268" s="384"/>
      <c r="Q268" s="384"/>
      <c r="R268" s="463"/>
      <c r="S268" s="384"/>
      <c r="T268" s="384"/>
      <c r="U268" s="384"/>
      <c r="V268" s="384"/>
      <c r="W268" s="463"/>
      <c r="X268" s="384"/>
      <c r="Y268" s="384"/>
      <c r="Z268" s="384"/>
      <c r="AA268" s="384"/>
      <c r="AB268" s="463"/>
      <c r="AC268" s="384"/>
      <c r="AD268" s="384"/>
      <c r="AE268" s="384"/>
      <c r="AF268" s="384"/>
      <c r="AG268" s="463"/>
      <c r="AH268" s="384"/>
      <c r="AI268" s="384"/>
      <c r="AJ268" s="384"/>
      <c r="AK268" s="384"/>
      <c r="AL268" s="463"/>
      <c r="AM268" s="384"/>
      <c r="AN268" s="384"/>
      <c r="AO268" s="384"/>
      <c r="AP268" s="384"/>
      <c r="AQ268" s="463"/>
      <c r="AR268" s="384"/>
      <c r="AS268" s="384"/>
      <c r="AT268" s="384"/>
      <c r="AU268" s="384"/>
      <c r="AV268" s="463"/>
      <c r="AW268" s="384"/>
      <c r="AX268" s="384"/>
      <c r="AY268" s="384"/>
      <c r="AZ268" s="384"/>
      <c r="BA268" s="463"/>
      <c r="BB268" s="384"/>
      <c r="BC268" s="384"/>
      <c r="BD268" s="384"/>
      <c r="BE268" s="384"/>
      <c r="BF268" s="463"/>
      <c r="BG268" s="384"/>
      <c r="BH268" s="384"/>
      <c r="BI268" s="384"/>
      <c r="BJ268" s="384"/>
      <c r="BK268" s="463"/>
      <c r="BL268" s="384"/>
      <c r="BM268" s="384"/>
      <c r="BN268" s="384"/>
      <c r="BO268" s="384"/>
    </row>
    <row r="269" spans="1:67" s="58" customFormat="1">
      <c r="A269" s="107"/>
      <c r="C269" s="463"/>
      <c r="D269" s="384"/>
      <c r="E269" s="384"/>
      <c r="F269" s="384"/>
      <c r="G269" s="384"/>
      <c r="H269" s="463"/>
      <c r="I269" s="384"/>
      <c r="J269" s="384"/>
      <c r="K269" s="384"/>
      <c r="L269" s="384"/>
      <c r="M269" s="463"/>
      <c r="N269" s="384"/>
      <c r="O269" s="384"/>
      <c r="P269" s="384"/>
      <c r="Q269" s="384"/>
      <c r="R269" s="463"/>
      <c r="S269" s="384"/>
      <c r="T269" s="384"/>
      <c r="U269" s="384"/>
      <c r="V269" s="384"/>
      <c r="W269" s="463"/>
      <c r="X269" s="384"/>
      <c r="Y269" s="384"/>
      <c r="Z269" s="384"/>
      <c r="AA269" s="384"/>
      <c r="AB269" s="463"/>
      <c r="AC269" s="384"/>
      <c r="AD269" s="384"/>
      <c r="AE269" s="384"/>
      <c r="AF269" s="384"/>
      <c r="AG269" s="463"/>
      <c r="AH269" s="384"/>
      <c r="AI269" s="384"/>
      <c r="AJ269" s="384"/>
      <c r="AK269" s="384"/>
      <c r="AL269" s="463"/>
      <c r="AM269" s="384"/>
      <c r="AN269" s="384"/>
      <c r="AO269" s="384"/>
      <c r="AP269" s="384"/>
      <c r="AQ269" s="463"/>
      <c r="AR269" s="384"/>
      <c r="AS269" s="384"/>
      <c r="AT269" s="384"/>
      <c r="AU269" s="384"/>
      <c r="AV269" s="463"/>
      <c r="AW269" s="384"/>
      <c r="AX269" s="384"/>
      <c r="AY269" s="384"/>
      <c r="AZ269" s="384"/>
      <c r="BA269" s="463"/>
      <c r="BB269" s="384"/>
      <c r="BC269" s="384"/>
      <c r="BD269" s="384"/>
      <c r="BE269" s="384"/>
      <c r="BF269" s="463"/>
      <c r="BG269" s="384"/>
      <c r="BH269" s="384"/>
      <c r="BI269" s="384"/>
      <c r="BJ269" s="384"/>
      <c r="BK269" s="463"/>
      <c r="BL269" s="384"/>
      <c r="BM269" s="384"/>
      <c r="BN269" s="384"/>
      <c r="BO269" s="384"/>
    </row>
    <row r="270" spans="1:67" s="58" customFormat="1">
      <c r="A270" s="107"/>
      <c r="C270" s="497"/>
      <c r="D270" s="498"/>
      <c r="E270" s="498"/>
      <c r="F270" s="498"/>
      <c r="G270" s="498"/>
      <c r="H270" s="497"/>
      <c r="I270" s="498"/>
      <c r="J270" s="498"/>
      <c r="K270" s="498"/>
      <c r="L270" s="498"/>
      <c r="M270" s="497"/>
      <c r="N270" s="498"/>
      <c r="O270" s="498"/>
      <c r="P270" s="498"/>
      <c r="Q270" s="498"/>
      <c r="R270" s="497"/>
      <c r="S270" s="498"/>
      <c r="T270" s="498"/>
      <c r="U270" s="498"/>
      <c r="V270" s="498"/>
      <c r="W270" s="497"/>
      <c r="X270" s="498"/>
      <c r="Y270" s="498"/>
      <c r="Z270" s="498"/>
      <c r="AA270" s="498"/>
      <c r="AB270" s="497"/>
      <c r="AC270" s="498"/>
      <c r="AD270" s="498"/>
      <c r="AE270" s="498"/>
      <c r="AF270" s="498"/>
      <c r="AG270" s="497"/>
      <c r="AH270" s="498"/>
      <c r="AI270" s="498"/>
      <c r="AJ270" s="498"/>
      <c r="AK270" s="498"/>
      <c r="AL270" s="497"/>
      <c r="AM270" s="498"/>
      <c r="AN270" s="498"/>
      <c r="AO270" s="498"/>
      <c r="AP270" s="498"/>
      <c r="AQ270" s="497"/>
      <c r="AR270" s="498"/>
      <c r="AS270" s="498"/>
      <c r="AT270" s="498"/>
      <c r="AU270" s="498"/>
      <c r="AV270" s="497"/>
      <c r="AW270" s="498"/>
      <c r="AX270" s="498"/>
      <c r="AY270" s="498"/>
      <c r="AZ270" s="498"/>
      <c r="BA270" s="497"/>
      <c r="BB270" s="498"/>
      <c r="BC270" s="498"/>
      <c r="BD270" s="498"/>
      <c r="BE270" s="498"/>
      <c r="BF270" s="497"/>
      <c r="BG270" s="498"/>
      <c r="BH270" s="498"/>
      <c r="BI270" s="498"/>
      <c r="BJ270" s="498"/>
      <c r="BK270" s="497"/>
      <c r="BL270" s="498"/>
      <c r="BM270" s="498"/>
      <c r="BN270" s="498"/>
      <c r="BO270" s="498"/>
    </row>
    <row r="271" spans="1:67" s="58" customFormat="1">
      <c r="A271" s="107"/>
      <c r="C271" s="394"/>
      <c r="D271" s="395"/>
      <c r="E271" s="395"/>
      <c r="F271" s="395"/>
      <c r="G271" s="395"/>
      <c r="H271" s="394"/>
      <c r="I271" s="395"/>
      <c r="J271" s="395"/>
      <c r="K271" s="395"/>
      <c r="L271" s="395"/>
      <c r="M271" s="394"/>
      <c r="N271" s="395"/>
      <c r="O271" s="395"/>
      <c r="P271" s="395"/>
      <c r="Q271" s="395"/>
      <c r="R271" s="394"/>
      <c r="S271" s="395"/>
      <c r="T271" s="395"/>
      <c r="U271" s="395"/>
      <c r="V271" s="395"/>
      <c r="W271" s="394"/>
      <c r="X271" s="395"/>
      <c r="Y271" s="395"/>
      <c r="Z271" s="395"/>
      <c r="AA271" s="395"/>
      <c r="AB271" s="394"/>
      <c r="AC271" s="395"/>
      <c r="AD271" s="395"/>
      <c r="AE271" s="395"/>
      <c r="AF271" s="395"/>
      <c r="AG271" s="394"/>
      <c r="AH271" s="395"/>
      <c r="AI271" s="395"/>
      <c r="AJ271" s="395"/>
      <c r="AK271" s="395"/>
      <c r="AL271" s="394"/>
      <c r="AM271" s="395"/>
      <c r="AN271" s="395"/>
      <c r="AO271" s="395"/>
      <c r="AP271" s="395"/>
      <c r="AQ271" s="394"/>
      <c r="AR271" s="395"/>
      <c r="AS271" s="395"/>
      <c r="AT271" s="395"/>
      <c r="AU271" s="395"/>
      <c r="AV271" s="394"/>
      <c r="AW271" s="395"/>
      <c r="AX271" s="395"/>
      <c r="AY271" s="395"/>
      <c r="AZ271" s="395"/>
      <c r="BA271" s="394"/>
      <c r="BB271" s="395"/>
      <c r="BC271" s="395"/>
      <c r="BD271" s="395"/>
      <c r="BE271" s="395"/>
      <c r="BF271" s="394"/>
      <c r="BG271" s="395"/>
      <c r="BH271" s="395"/>
      <c r="BI271" s="395"/>
      <c r="BJ271" s="395"/>
      <c r="BK271" s="394"/>
      <c r="BL271" s="395"/>
      <c r="BM271" s="395"/>
      <c r="BN271" s="395"/>
      <c r="BO271" s="395"/>
    </row>
    <row r="272" spans="1:67" s="58" customFormat="1">
      <c r="A272" s="107"/>
      <c r="C272" s="394"/>
      <c r="D272" s="395"/>
      <c r="E272" s="395"/>
      <c r="F272" s="395"/>
      <c r="G272" s="395"/>
      <c r="H272" s="394"/>
      <c r="I272" s="395"/>
      <c r="J272" s="395"/>
      <c r="K272" s="395"/>
      <c r="L272" s="395"/>
      <c r="M272" s="394"/>
      <c r="N272" s="395"/>
      <c r="O272" s="395"/>
      <c r="P272" s="395"/>
      <c r="Q272" s="395"/>
      <c r="R272" s="394"/>
      <c r="S272" s="395"/>
      <c r="T272" s="395"/>
      <c r="U272" s="395"/>
      <c r="V272" s="395"/>
      <c r="W272" s="394"/>
      <c r="X272" s="395"/>
      <c r="Y272" s="395"/>
      <c r="Z272" s="395"/>
      <c r="AA272" s="395"/>
      <c r="AB272" s="394"/>
      <c r="AC272" s="395"/>
      <c r="AD272" s="395"/>
      <c r="AE272" s="395"/>
      <c r="AF272" s="395"/>
      <c r="AG272" s="394"/>
      <c r="AH272" s="395"/>
      <c r="AI272" s="395"/>
      <c r="AJ272" s="395"/>
      <c r="AK272" s="395"/>
      <c r="AL272" s="394"/>
      <c r="AM272" s="395"/>
      <c r="AN272" s="395"/>
      <c r="AO272" s="395"/>
      <c r="AP272" s="395"/>
      <c r="AQ272" s="394"/>
      <c r="AR272" s="395"/>
      <c r="AS272" s="395"/>
      <c r="AT272" s="395"/>
      <c r="AU272" s="395"/>
      <c r="AV272" s="394"/>
      <c r="AW272" s="395"/>
      <c r="AX272" s="395"/>
      <c r="AY272" s="395"/>
      <c r="AZ272" s="395"/>
      <c r="BA272" s="394"/>
      <c r="BB272" s="395"/>
      <c r="BC272" s="395"/>
      <c r="BD272" s="395"/>
      <c r="BE272" s="395"/>
      <c r="BF272" s="394"/>
      <c r="BG272" s="395"/>
      <c r="BH272" s="395"/>
      <c r="BI272" s="395"/>
      <c r="BJ272" s="395"/>
      <c r="BK272" s="394"/>
      <c r="BL272" s="395"/>
      <c r="BM272" s="395"/>
      <c r="BN272" s="395"/>
      <c r="BO272" s="395"/>
    </row>
    <row r="273" spans="1:67" s="58" customFormat="1">
      <c r="A273" s="107"/>
      <c r="C273" s="394"/>
      <c r="D273" s="395"/>
      <c r="E273" s="395"/>
      <c r="F273" s="395"/>
      <c r="G273" s="395"/>
      <c r="H273" s="394"/>
      <c r="I273" s="395"/>
      <c r="J273" s="395"/>
      <c r="K273" s="395"/>
      <c r="L273" s="395"/>
      <c r="M273" s="394"/>
      <c r="N273" s="395"/>
      <c r="O273" s="395"/>
      <c r="P273" s="395"/>
      <c r="Q273" s="395"/>
      <c r="R273" s="394"/>
      <c r="S273" s="395"/>
      <c r="T273" s="395"/>
      <c r="U273" s="395"/>
      <c r="V273" s="395"/>
      <c r="W273" s="394"/>
      <c r="X273" s="395"/>
      <c r="Y273" s="395"/>
      <c r="Z273" s="395"/>
      <c r="AA273" s="395"/>
      <c r="AB273" s="394"/>
      <c r="AC273" s="395"/>
      <c r="AD273" s="395"/>
      <c r="AE273" s="395"/>
      <c r="AF273" s="395"/>
      <c r="AG273" s="394"/>
      <c r="AH273" s="395"/>
      <c r="AI273" s="395"/>
      <c r="AJ273" s="395"/>
      <c r="AK273" s="395"/>
      <c r="AL273" s="394"/>
      <c r="AM273" s="395"/>
      <c r="AN273" s="395"/>
      <c r="AO273" s="395"/>
      <c r="AP273" s="395"/>
      <c r="AQ273" s="394"/>
      <c r="AR273" s="395"/>
      <c r="AS273" s="395"/>
      <c r="AT273" s="395"/>
      <c r="AU273" s="395"/>
      <c r="AV273" s="394"/>
      <c r="AW273" s="395"/>
      <c r="AX273" s="395"/>
      <c r="AY273" s="395"/>
      <c r="AZ273" s="395"/>
      <c r="BA273" s="394"/>
      <c r="BB273" s="395"/>
      <c r="BC273" s="395"/>
      <c r="BD273" s="395"/>
      <c r="BE273" s="395"/>
      <c r="BF273" s="394"/>
      <c r="BG273" s="395"/>
      <c r="BH273" s="395"/>
      <c r="BI273" s="395"/>
      <c r="BJ273" s="395"/>
      <c r="BK273" s="394"/>
      <c r="BL273" s="395"/>
      <c r="BM273" s="395"/>
      <c r="BN273" s="395"/>
      <c r="BO273" s="395"/>
    </row>
    <row r="274" spans="1:67" s="58" customFormat="1">
      <c r="A274" s="107"/>
      <c r="C274" s="499"/>
      <c r="D274" s="500"/>
      <c r="E274" s="500"/>
      <c r="F274" s="500"/>
      <c r="G274" s="500"/>
      <c r="H274" s="499"/>
      <c r="I274" s="500"/>
      <c r="J274" s="500"/>
      <c r="K274" s="500"/>
      <c r="L274" s="500"/>
      <c r="M274" s="499"/>
      <c r="N274" s="500"/>
      <c r="O274" s="500"/>
      <c r="P274" s="500"/>
      <c r="Q274" s="500"/>
      <c r="R274" s="499"/>
      <c r="S274" s="500"/>
      <c r="T274" s="500"/>
      <c r="U274" s="500"/>
      <c r="V274" s="500"/>
      <c r="W274" s="499"/>
      <c r="X274" s="500"/>
      <c r="Y274" s="500"/>
      <c r="Z274" s="500"/>
      <c r="AA274" s="500"/>
      <c r="AB274" s="499"/>
      <c r="AC274" s="500"/>
      <c r="AD274" s="500"/>
      <c r="AE274" s="500"/>
      <c r="AF274" s="500"/>
      <c r="AG274" s="499"/>
      <c r="AH274" s="500"/>
      <c r="AI274" s="500"/>
      <c r="AJ274" s="500"/>
      <c r="AK274" s="500"/>
      <c r="AL274" s="499"/>
      <c r="AM274" s="500"/>
      <c r="AN274" s="500"/>
      <c r="AO274" s="500"/>
      <c r="AP274" s="500"/>
      <c r="AQ274" s="499"/>
      <c r="AR274" s="500"/>
      <c r="AS274" s="500"/>
      <c r="AT274" s="500"/>
      <c r="AU274" s="500"/>
      <c r="AV274" s="499"/>
      <c r="AW274" s="500"/>
      <c r="AX274" s="500"/>
      <c r="AY274" s="500"/>
      <c r="AZ274" s="500"/>
      <c r="BA274" s="499"/>
      <c r="BB274" s="500"/>
      <c r="BC274" s="500"/>
      <c r="BD274" s="500"/>
      <c r="BE274" s="500"/>
      <c r="BF274" s="499"/>
      <c r="BG274" s="500"/>
      <c r="BH274" s="500"/>
      <c r="BI274" s="500"/>
      <c r="BJ274" s="500"/>
      <c r="BK274" s="499"/>
      <c r="BL274" s="500"/>
      <c r="BM274" s="500"/>
      <c r="BN274" s="500"/>
      <c r="BO274" s="500"/>
    </row>
    <row r="275" spans="1:67" s="58" customFormat="1">
      <c r="A275" s="107"/>
      <c r="C275" s="394"/>
      <c r="D275" s="395"/>
      <c r="E275" s="395"/>
      <c r="F275" s="395"/>
      <c r="G275" s="395"/>
      <c r="H275" s="394"/>
      <c r="I275" s="395"/>
      <c r="J275" s="395"/>
      <c r="K275" s="395"/>
      <c r="L275" s="395"/>
      <c r="M275" s="394"/>
      <c r="N275" s="395"/>
      <c r="O275" s="395"/>
      <c r="P275" s="395"/>
      <c r="Q275" s="395"/>
      <c r="R275" s="394"/>
      <c r="S275" s="395"/>
      <c r="T275" s="395"/>
      <c r="U275" s="395"/>
      <c r="V275" s="395"/>
      <c r="W275" s="394"/>
      <c r="X275" s="395"/>
      <c r="Y275" s="395"/>
      <c r="Z275" s="395"/>
      <c r="AA275" s="395"/>
      <c r="AB275" s="394"/>
      <c r="AC275" s="395"/>
      <c r="AD275" s="395"/>
      <c r="AE275" s="395"/>
      <c r="AF275" s="395"/>
      <c r="AG275" s="394"/>
      <c r="AH275" s="395"/>
      <c r="AI275" s="395"/>
      <c r="AJ275" s="395"/>
      <c r="AK275" s="395"/>
      <c r="AL275" s="394"/>
      <c r="AM275" s="395"/>
      <c r="AN275" s="395"/>
      <c r="AO275" s="395"/>
      <c r="AP275" s="395"/>
      <c r="AQ275" s="394"/>
      <c r="AR275" s="395"/>
      <c r="AS275" s="395"/>
      <c r="AT275" s="395"/>
      <c r="AU275" s="395"/>
      <c r="AV275" s="394"/>
      <c r="AW275" s="395"/>
      <c r="AX275" s="395"/>
      <c r="AY275" s="395"/>
      <c r="AZ275" s="395"/>
      <c r="BA275" s="394"/>
      <c r="BB275" s="395"/>
      <c r="BC275" s="395"/>
      <c r="BD275" s="395"/>
      <c r="BE275" s="395"/>
      <c r="BF275" s="394"/>
      <c r="BG275" s="395"/>
      <c r="BH275" s="395"/>
      <c r="BI275" s="395"/>
      <c r="BJ275" s="395"/>
      <c r="BK275" s="394"/>
      <c r="BL275" s="395"/>
      <c r="BM275" s="395"/>
      <c r="BN275" s="395"/>
      <c r="BO275" s="395"/>
    </row>
    <row r="276" spans="1:67" s="58" customFormat="1">
      <c r="A276" s="107"/>
      <c r="C276" s="497"/>
      <c r="D276" s="395"/>
      <c r="E276" s="395"/>
      <c r="F276" s="395"/>
      <c r="G276" s="395"/>
      <c r="H276" s="497"/>
      <c r="I276" s="395"/>
      <c r="J276" s="395"/>
      <c r="K276" s="395"/>
      <c r="L276" s="395"/>
      <c r="M276" s="497"/>
      <c r="N276" s="395"/>
      <c r="O276" s="395"/>
      <c r="P276" s="395"/>
      <c r="Q276" s="395"/>
      <c r="R276" s="497"/>
      <c r="S276" s="395"/>
      <c r="T276" s="395"/>
      <c r="U276" s="395"/>
      <c r="V276" s="395"/>
      <c r="W276" s="497"/>
      <c r="X276" s="395"/>
      <c r="Y276" s="395"/>
      <c r="Z276" s="395"/>
      <c r="AA276" s="395"/>
      <c r="AB276" s="497"/>
      <c r="AC276" s="395"/>
      <c r="AD276" s="395"/>
      <c r="AE276" s="395"/>
      <c r="AF276" s="395"/>
      <c r="AG276" s="497"/>
      <c r="AH276" s="395"/>
      <c r="AI276" s="395"/>
      <c r="AJ276" s="395"/>
      <c r="AK276" s="395"/>
      <c r="AL276" s="497"/>
      <c r="AM276" s="395"/>
      <c r="AN276" s="395"/>
      <c r="AO276" s="395"/>
      <c r="AP276" s="395"/>
      <c r="AQ276" s="497"/>
      <c r="AR276" s="395"/>
      <c r="AS276" s="395"/>
      <c r="AT276" s="395"/>
      <c r="AU276" s="395"/>
      <c r="AV276" s="497"/>
      <c r="AW276" s="395"/>
      <c r="AX276" s="395"/>
      <c r="AY276" s="395"/>
      <c r="AZ276" s="395"/>
      <c r="BA276" s="497"/>
      <c r="BB276" s="395"/>
      <c r="BC276" s="395"/>
      <c r="BD276" s="395"/>
      <c r="BE276" s="395"/>
      <c r="BF276" s="497"/>
      <c r="BG276" s="395"/>
      <c r="BH276" s="395"/>
      <c r="BI276" s="395"/>
      <c r="BJ276" s="395"/>
      <c r="BK276" s="497"/>
      <c r="BL276" s="395"/>
      <c r="BM276" s="395"/>
      <c r="BN276" s="395"/>
      <c r="BO276" s="395"/>
    </row>
    <row r="277" spans="1:67" s="58" customFormat="1">
      <c r="A277" s="107"/>
      <c r="C277" s="394"/>
      <c r="D277" s="395"/>
      <c r="E277" s="395"/>
      <c r="F277" s="395"/>
      <c r="G277" s="395"/>
      <c r="H277" s="394"/>
      <c r="I277" s="395"/>
      <c r="J277" s="395"/>
      <c r="K277" s="395"/>
      <c r="L277" s="395"/>
      <c r="M277" s="394"/>
      <c r="N277" s="395"/>
      <c r="O277" s="395"/>
      <c r="P277" s="395"/>
      <c r="Q277" s="395"/>
      <c r="R277" s="394"/>
      <c r="S277" s="395"/>
      <c r="T277" s="395"/>
      <c r="U277" s="395"/>
      <c r="V277" s="395"/>
      <c r="W277" s="394"/>
      <c r="X277" s="395"/>
      <c r="Y277" s="395"/>
      <c r="Z277" s="395"/>
      <c r="AA277" s="395"/>
      <c r="AB277" s="394"/>
      <c r="AC277" s="395"/>
      <c r="AD277" s="395"/>
      <c r="AE277" s="395"/>
      <c r="AF277" s="395"/>
      <c r="AG277" s="394"/>
      <c r="AH277" s="395"/>
      <c r="AI277" s="395"/>
      <c r="AJ277" s="395"/>
      <c r="AK277" s="395"/>
      <c r="AL277" s="394"/>
      <c r="AM277" s="395"/>
      <c r="AN277" s="395"/>
      <c r="AO277" s="395"/>
      <c r="AP277" s="395"/>
      <c r="AQ277" s="394"/>
      <c r="AR277" s="395"/>
      <c r="AS277" s="395"/>
      <c r="AT277" s="395"/>
      <c r="AU277" s="395"/>
      <c r="AV277" s="394"/>
      <c r="AW277" s="395"/>
      <c r="AX277" s="395"/>
      <c r="AY277" s="395"/>
      <c r="AZ277" s="395"/>
      <c r="BA277" s="394"/>
      <c r="BB277" s="395"/>
      <c r="BC277" s="395"/>
      <c r="BD277" s="395"/>
      <c r="BE277" s="395"/>
      <c r="BF277" s="394"/>
      <c r="BG277" s="395"/>
      <c r="BH277" s="395"/>
      <c r="BI277" s="395"/>
      <c r="BJ277" s="395"/>
      <c r="BK277" s="394"/>
      <c r="BL277" s="395"/>
      <c r="BM277" s="395"/>
      <c r="BN277" s="395"/>
      <c r="BO277" s="395"/>
    </row>
    <row r="278" spans="1:67" s="58" customFormat="1">
      <c r="A278" s="107"/>
      <c r="C278" s="394"/>
      <c r="D278" s="501"/>
      <c r="E278" s="501"/>
      <c r="F278" s="501"/>
      <c r="G278" s="501"/>
      <c r="H278" s="394"/>
      <c r="I278" s="501"/>
      <c r="J278" s="501"/>
      <c r="K278" s="501"/>
      <c r="L278" s="501"/>
      <c r="M278" s="394"/>
      <c r="N278" s="501"/>
      <c r="O278" s="501"/>
      <c r="P278" s="501"/>
      <c r="Q278" s="501"/>
      <c r="R278" s="394"/>
      <c r="S278" s="501"/>
      <c r="T278" s="501"/>
      <c r="U278" s="501"/>
      <c r="V278" s="501"/>
      <c r="W278" s="394"/>
      <c r="X278" s="501"/>
      <c r="Y278" s="501"/>
      <c r="Z278" s="501"/>
      <c r="AA278" s="501"/>
      <c r="AB278" s="394"/>
      <c r="AC278" s="501"/>
      <c r="AD278" s="501"/>
      <c r="AE278" s="501"/>
      <c r="AF278" s="501"/>
      <c r="AG278" s="394"/>
      <c r="AH278" s="501"/>
      <c r="AI278" s="501"/>
      <c r="AJ278" s="501"/>
      <c r="AK278" s="501"/>
      <c r="AL278" s="394"/>
      <c r="AM278" s="501"/>
      <c r="AN278" s="501"/>
      <c r="AO278" s="501"/>
      <c r="AP278" s="501"/>
      <c r="AQ278" s="394"/>
      <c r="AR278" s="501"/>
      <c r="AS278" s="501"/>
      <c r="AT278" s="501"/>
      <c r="AU278" s="501"/>
      <c r="AV278" s="394"/>
      <c r="AW278" s="501"/>
      <c r="AX278" s="501"/>
      <c r="AY278" s="501"/>
      <c r="AZ278" s="501"/>
      <c r="BA278" s="394"/>
      <c r="BB278" s="501"/>
      <c r="BC278" s="501"/>
      <c r="BD278" s="501"/>
      <c r="BE278" s="501"/>
      <c r="BF278" s="394"/>
      <c r="BG278" s="501"/>
      <c r="BH278" s="501"/>
      <c r="BI278" s="501"/>
      <c r="BJ278" s="501"/>
      <c r="BK278" s="394"/>
      <c r="BL278" s="501"/>
      <c r="BM278" s="501"/>
      <c r="BN278" s="501"/>
      <c r="BO278" s="501"/>
    </row>
    <row r="279" spans="1:67" s="58" customFormat="1">
      <c r="A279" s="107"/>
      <c r="C279" s="502"/>
      <c r="D279" s="503"/>
      <c r="E279" s="503"/>
      <c r="F279" s="503"/>
      <c r="G279" s="503"/>
      <c r="H279" s="502"/>
      <c r="I279" s="503"/>
      <c r="J279" s="503"/>
      <c r="K279" s="503"/>
      <c r="L279" s="503"/>
      <c r="M279" s="502"/>
      <c r="N279" s="503"/>
      <c r="O279" s="503"/>
      <c r="P279" s="503"/>
      <c r="Q279" s="503"/>
      <c r="R279" s="502"/>
      <c r="S279" s="503"/>
      <c r="T279" s="503"/>
      <c r="U279" s="503"/>
      <c r="V279" s="503"/>
      <c r="W279" s="502"/>
      <c r="X279" s="503"/>
      <c r="Y279" s="503"/>
      <c r="Z279" s="503"/>
      <c r="AA279" s="503"/>
      <c r="AB279" s="502"/>
      <c r="AC279" s="503"/>
      <c r="AD279" s="503"/>
      <c r="AE279" s="503"/>
      <c r="AF279" s="503"/>
      <c r="AG279" s="502"/>
      <c r="AH279" s="503"/>
      <c r="AI279" s="503"/>
      <c r="AJ279" s="503"/>
      <c r="AK279" s="503"/>
      <c r="AL279" s="502"/>
      <c r="AM279" s="503"/>
      <c r="AN279" s="503"/>
      <c r="AO279" s="503"/>
      <c r="AP279" s="503"/>
      <c r="AQ279" s="502"/>
      <c r="AR279" s="503"/>
      <c r="AS279" s="503"/>
      <c r="AT279" s="503"/>
      <c r="AU279" s="503"/>
      <c r="AV279" s="502"/>
      <c r="AW279" s="503"/>
      <c r="AX279" s="503"/>
      <c r="AY279" s="503"/>
      <c r="AZ279" s="503"/>
      <c r="BA279" s="502"/>
      <c r="BB279" s="503"/>
      <c r="BC279" s="503"/>
      <c r="BD279" s="503"/>
      <c r="BE279" s="503"/>
      <c r="BF279" s="502"/>
      <c r="BG279" s="503"/>
      <c r="BH279" s="503"/>
      <c r="BI279" s="503"/>
      <c r="BJ279" s="503"/>
      <c r="BK279" s="502"/>
      <c r="BL279" s="503"/>
      <c r="BM279" s="503"/>
      <c r="BN279" s="503"/>
      <c r="BO279" s="503"/>
    </row>
    <row r="282" spans="1:67" s="58" customFormat="1">
      <c r="A282" s="107"/>
      <c r="C282" s="463"/>
      <c r="D282" s="384"/>
      <c r="E282" s="384"/>
      <c r="F282" s="384"/>
      <c r="G282" s="384"/>
      <c r="H282" s="463"/>
      <c r="I282" s="384"/>
      <c r="J282" s="384"/>
      <c r="K282" s="384"/>
      <c r="L282" s="384"/>
      <c r="M282" s="463"/>
      <c r="N282" s="384"/>
      <c r="O282" s="384"/>
      <c r="P282" s="384"/>
      <c r="Q282" s="384"/>
      <c r="R282" s="463"/>
      <c r="S282" s="384"/>
      <c r="T282" s="384"/>
      <c r="U282" s="384"/>
      <c r="V282" s="384"/>
      <c r="W282" s="463"/>
      <c r="X282" s="384"/>
      <c r="Y282" s="384"/>
      <c r="Z282" s="384"/>
      <c r="AA282" s="384"/>
      <c r="AB282" s="463"/>
      <c r="AC282" s="384"/>
      <c r="AD282" s="384"/>
      <c r="AE282" s="384"/>
      <c r="AF282" s="384"/>
      <c r="AG282" s="463"/>
      <c r="AH282" s="384"/>
      <c r="AI282" s="384"/>
      <c r="AJ282" s="384"/>
      <c r="AK282" s="384"/>
      <c r="AL282" s="463"/>
      <c r="AM282" s="384"/>
      <c r="AN282" s="384"/>
      <c r="AO282" s="384"/>
      <c r="AP282" s="384"/>
      <c r="AQ282" s="463"/>
      <c r="AR282" s="384"/>
      <c r="AS282" s="384"/>
      <c r="AT282" s="384"/>
      <c r="AU282" s="384"/>
      <c r="AV282" s="463"/>
      <c r="AW282" s="384"/>
      <c r="AX282" s="384"/>
      <c r="AY282" s="384"/>
      <c r="AZ282" s="384"/>
      <c r="BA282" s="463"/>
      <c r="BB282" s="384"/>
      <c r="BC282" s="384"/>
      <c r="BD282" s="384"/>
      <c r="BE282" s="384"/>
      <c r="BF282" s="463"/>
      <c r="BG282" s="384"/>
      <c r="BH282" s="384"/>
      <c r="BI282" s="384"/>
      <c r="BJ282" s="384"/>
      <c r="BK282" s="463"/>
      <c r="BL282" s="384"/>
      <c r="BM282" s="384"/>
      <c r="BN282" s="384"/>
      <c r="BO282" s="384"/>
    </row>
    <row r="285" spans="1:67" s="58" customFormat="1">
      <c r="A285" s="107"/>
      <c r="C285" s="504"/>
      <c r="D285" s="505"/>
      <c r="E285" s="505"/>
      <c r="F285" s="505"/>
      <c r="G285" s="505"/>
      <c r="H285" s="504"/>
      <c r="I285" s="505"/>
      <c r="J285" s="505"/>
      <c r="K285" s="505"/>
      <c r="L285" s="505"/>
      <c r="M285" s="504"/>
      <c r="N285" s="505"/>
      <c r="O285" s="505"/>
      <c r="P285" s="505"/>
      <c r="Q285" s="505"/>
      <c r="R285" s="504"/>
      <c r="S285" s="505"/>
      <c r="T285" s="505"/>
      <c r="U285" s="505"/>
      <c r="V285" s="505"/>
      <c r="W285" s="504"/>
      <c r="X285" s="505"/>
      <c r="Y285" s="505"/>
      <c r="Z285" s="505"/>
      <c r="AA285" s="505"/>
      <c r="AB285" s="504"/>
      <c r="AC285" s="505"/>
      <c r="AD285" s="505"/>
      <c r="AE285" s="505"/>
      <c r="AF285" s="505"/>
      <c r="AG285" s="504"/>
      <c r="AH285" s="505"/>
      <c r="AI285" s="505"/>
      <c r="AJ285" s="505"/>
      <c r="AK285" s="505"/>
      <c r="AL285" s="504"/>
      <c r="AM285" s="505"/>
      <c r="AN285" s="505"/>
      <c r="AO285" s="505"/>
      <c r="AP285" s="505"/>
      <c r="AQ285" s="504"/>
      <c r="AR285" s="505"/>
      <c r="AS285" s="505"/>
      <c r="AT285" s="505"/>
      <c r="AU285" s="505"/>
      <c r="AV285" s="504"/>
      <c r="AW285" s="505"/>
      <c r="AX285" s="505"/>
      <c r="AY285" s="505"/>
      <c r="AZ285" s="505"/>
      <c r="BA285" s="504"/>
      <c r="BB285" s="505"/>
      <c r="BC285" s="505"/>
      <c r="BD285" s="505"/>
      <c r="BE285" s="505"/>
      <c r="BF285" s="504"/>
      <c r="BG285" s="505"/>
      <c r="BH285" s="505"/>
      <c r="BI285" s="505"/>
      <c r="BJ285" s="505"/>
      <c r="BK285" s="504"/>
      <c r="BL285" s="505"/>
      <c r="BM285" s="505"/>
      <c r="BN285" s="505"/>
      <c r="BO285" s="505"/>
    </row>
    <row r="288" spans="1:67" s="58" customFormat="1">
      <c r="A288" s="107"/>
      <c r="C288" s="463"/>
      <c r="D288" s="384"/>
      <c r="E288" s="384"/>
      <c r="F288" s="384"/>
      <c r="G288" s="384"/>
      <c r="H288" s="463"/>
      <c r="I288" s="384"/>
      <c r="J288" s="384"/>
      <c r="K288" s="384"/>
      <c r="L288" s="384"/>
      <c r="M288" s="463"/>
      <c r="N288" s="384"/>
      <c r="O288" s="384"/>
      <c r="P288" s="384"/>
      <c r="Q288" s="384"/>
      <c r="R288" s="463"/>
      <c r="S288" s="384"/>
      <c r="T288" s="384"/>
      <c r="U288" s="384"/>
      <c r="V288" s="384"/>
      <c r="W288" s="463"/>
      <c r="X288" s="384"/>
      <c r="Y288" s="384"/>
      <c r="Z288" s="384"/>
      <c r="AA288" s="384"/>
      <c r="AB288" s="463"/>
      <c r="AC288" s="384"/>
      <c r="AD288" s="384"/>
      <c r="AE288" s="384"/>
      <c r="AF288" s="384"/>
      <c r="AG288" s="463"/>
      <c r="AH288" s="384"/>
      <c r="AI288" s="384"/>
      <c r="AJ288" s="384"/>
      <c r="AK288" s="384"/>
      <c r="AL288" s="463"/>
      <c r="AM288" s="384"/>
      <c r="AN288" s="384"/>
      <c r="AO288" s="384"/>
      <c r="AP288" s="384"/>
      <c r="AQ288" s="463"/>
      <c r="AR288" s="384"/>
      <c r="AS288" s="384"/>
      <c r="AT288" s="384"/>
      <c r="AU288" s="384"/>
      <c r="AV288" s="463"/>
      <c r="AW288" s="384"/>
      <c r="AX288" s="384"/>
      <c r="AY288" s="384"/>
      <c r="AZ288" s="384"/>
      <c r="BA288" s="463"/>
      <c r="BB288" s="384"/>
      <c r="BC288" s="384"/>
      <c r="BD288" s="384"/>
      <c r="BE288" s="384"/>
      <c r="BF288" s="463"/>
      <c r="BG288" s="384"/>
      <c r="BH288" s="384"/>
      <c r="BI288" s="384"/>
      <c r="BJ288" s="384"/>
      <c r="BK288" s="463"/>
      <c r="BL288" s="384"/>
      <c r="BM288" s="384"/>
      <c r="BN288" s="384"/>
      <c r="BO288" s="384"/>
    </row>
    <row r="289" spans="1:67" s="58" customFormat="1">
      <c r="A289" s="107"/>
      <c r="C289" s="506"/>
      <c r="D289" s="507"/>
      <c r="E289" s="507"/>
      <c r="F289" s="507"/>
      <c r="G289" s="507"/>
      <c r="H289" s="506"/>
      <c r="I289" s="507"/>
      <c r="J289" s="507"/>
      <c r="K289" s="507"/>
      <c r="L289" s="507"/>
      <c r="M289" s="506"/>
      <c r="N289" s="507"/>
      <c r="O289" s="507"/>
      <c r="P289" s="507"/>
      <c r="Q289" s="507"/>
      <c r="R289" s="506"/>
      <c r="S289" s="507"/>
      <c r="T289" s="507"/>
      <c r="U289" s="507"/>
      <c r="V289" s="507"/>
      <c r="W289" s="506"/>
      <c r="X289" s="507"/>
      <c r="Y289" s="507"/>
      <c r="Z289" s="507"/>
      <c r="AA289" s="507"/>
      <c r="AB289" s="506"/>
      <c r="AC289" s="507"/>
      <c r="AD289" s="507"/>
      <c r="AE289" s="507"/>
      <c r="AF289" s="507"/>
      <c r="AG289" s="506"/>
      <c r="AH289" s="507"/>
      <c r="AI289" s="507"/>
      <c r="AJ289" s="507"/>
      <c r="AK289" s="507"/>
      <c r="AL289" s="506"/>
      <c r="AM289" s="507"/>
      <c r="AN289" s="507"/>
      <c r="AO289" s="507"/>
      <c r="AP289" s="507"/>
      <c r="AQ289" s="506"/>
      <c r="AR289" s="507"/>
      <c r="AS289" s="507"/>
      <c r="AT289" s="507"/>
      <c r="AU289" s="507"/>
      <c r="AV289" s="506"/>
      <c r="AW289" s="507"/>
      <c r="AX289" s="507"/>
      <c r="AY289" s="507"/>
      <c r="AZ289" s="507"/>
      <c r="BA289" s="506"/>
      <c r="BB289" s="507"/>
      <c r="BC289" s="507"/>
      <c r="BD289" s="507"/>
      <c r="BE289" s="507"/>
      <c r="BF289" s="506"/>
      <c r="BG289" s="507"/>
      <c r="BH289" s="507"/>
      <c r="BI289" s="507"/>
      <c r="BJ289" s="507"/>
      <c r="BK289" s="506"/>
      <c r="BL289" s="507"/>
      <c r="BM289" s="507"/>
      <c r="BN289" s="507"/>
      <c r="BO289" s="507"/>
    </row>
    <row r="290" spans="1:67" s="58" customFormat="1">
      <c r="A290" s="107"/>
      <c r="C290" s="502"/>
      <c r="D290" s="384"/>
      <c r="E290" s="384"/>
      <c r="F290" s="384"/>
      <c r="G290" s="384"/>
      <c r="H290" s="502"/>
      <c r="I290" s="384"/>
      <c r="J290" s="384"/>
      <c r="K290" s="384"/>
      <c r="L290" s="384"/>
      <c r="M290" s="502"/>
      <c r="N290" s="384"/>
      <c r="O290" s="384"/>
      <c r="P290" s="384"/>
      <c r="Q290" s="384"/>
      <c r="R290" s="502"/>
      <c r="S290" s="384"/>
      <c r="T290" s="384"/>
      <c r="U290" s="384"/>
      <c r="V290" s="384"/>
      <c r="W290" s="502"/>
      <c r="X290" s="384"/>
      <c r="Y290" s="384"/>
      <c r="Z290" s="384"/>
      <c r="AA290" s="384"/>
      <c r="AB290" s="502"/>
      <c r="AC290" s="384"/>
      <c r="AD290" s="384"/>
      <c r="AE290" s="384"/>
      <c r="AF290" s="384"/>
      <c r="AG290" s="502"/>
      <c r="AH290" s="384"/>
      <c r="AI290" s="384"/>
      <c r="AJ290" s="384"/>
      <c r="AK290" s="384"/>
      <c r="AL290" s="502"/>
      <c r="AM290" s="384"/>
      <c r="AN290" s="384"/>
      <c r="AO290" s="384"/>
      <c r="AP290" s="384"/>
      <c r="AQ290" s="502"/>
      <c r="AR290" s="384"/>
      <c r="AS290" s="384"/>
      <c r="AT290" s="384"/>
      <c r="AU290" s="384"/>
      <c r="AV290" s="502"/>
      <c r="AW290" s="384"/>
      <c r="AX290" s="384"/>
      <c r="AY290" s="384"/>
      <c r="AZ290" s="384"/>
      <c r="BA290" s="502"/>
      <c r="BB290" s="384"/>
      <c r="BC290" s="384"/>
      <c r="BD290" s="384"/>
      <c r="BE290" s="384"/>
      <c r="BF290" s="502"/>
      <c r="BG290" s="384"/>
      <c r="BH290" s="384"/>
      <c r="BI290" s="384"/>
      <c r="BJ290" s="384"/>
      <c r="BK290" s="502"/>
      <c r="BL290" s="384"/>
      <c r="BM290" s="384"/>
      <c r="BN290" s="384"/>
      <c r="BO290" s="384"/>
    </row>
    <row r="292" spans="1:67" s="58" customFormat="1">
      <c r="A292" s="107"/>
      <c r="C292" s="497"/>
      <c r="D292" s="498"/>
      <c r="E292" s="498"/>
      <c r="F292" s="498"/>
      <c r="G292" s="498"/>
      <c r="H292" s="497"/>
      <c r="I292" s="498"/>
      <c r="J292" s="498"/>
      <c r="K292" s="498"/>
      <c r="L292" s="498"/>
      <c r="M292" s="497"/>
      <c r="N292" s="498"/>
      <c r="O292" s="498"/>
      <c r="P292" s="498"/>
      <c r="Q292" s="498"/>
      <c r="R292" s="497"/>
      <c r="S292" s="498"/>
      <c r="T292" s="498"/>
      <c r="U292" s="498"/>
      <c r="V292" s="498"/>
      <c r="W292" s="497"/>
      <c r="X292" s="498"/>
      <c r="Y292" s="498"/>
      <c r="Z292" s="498"/>
      <c r="AA292" s="498"/>
      <c r="AB292" s="497"/>
      <c r="AC292" s="498"/>
      <c r="AD292" s="498"/>
      <c r="AE292" s="498"/>
      <c r="AF292" s="498"/>
      <c r="AG292" s="497"/>
      <c r="AH292" s="498"/>
      <c r="AI292" s="498"/>
      <c r="AJ292" s="498"/>
      <c r="AK292" s="498"/>
      <c r="AL292" s="497"/>
      <c r="AM292" s="498"/>
      <c r="AN292" s="498"/>
      <c r="AO292" s="498"/>
      <c r="AP292" s="498"/>
      <c r="AQ292" s="497"/>
      <c r="AR292" s="498"/>
      <c r="AS292" s="498"/>
      <c r="AT292" s="498"/>
      <c r="AU292" s="498"/>
      <c r="AV292" s="497"/>
      <c r="AW292" s="498"/>
      <c r="AX292" s="498"/>
      <c r="AY292" s="498"/>
      <c r="AZ292" s="498"/>
      <c r="BA292" s="497"/>
      <c r="BB292" s="498"/>
      <c r="BC292" s="498"/>
      <c r="BD292" s="498"/>
      <c r="BE292" s="498"/>
      <c r="BF292" s="497"/>
      <c r="BG292" s="498"/>
      <c r="BH292" s="498"/>
      <c r="BI292" s="498"/>
      <c r="BJ292" s="498"/>
      <c r="BK292" s="497"/>
      <c r="BL292" s="498"/>
      <c r="BM292" s="498"/>
      <c r="BN292" s="498"/>
      <c r="BO292" s="498"/>
    </row>
    <row r="293" spans="1:67" s="58" customFormat="1">
      <c r="A293" s="107"/>
      <c r="C293" s="463"/>
      <c r="D293" s="384"/>
      <c r="E293" s="384"/>
      <c r="F293" s="384"/>
      <c r="G293" s="384"/>
      <c r="H293" s="463"/>
      <c r="I293" s="384"/>
      <c r="J293" s="384"/>
      <c r="K293" s="384"/>
      <c r="L293" s="384"/>
      <c r="M293" s="463"/>
      <c r="N293" s="384"/>
      <c r="O293" s="384"/>
      <c r="P293" s="384"/>
      <c r="Q293" s="384"/>
      <c r="R293" s="463"/>
      <c r="S293" s="384"/>
      <c r="T293" s="384"/>
      <c r="U293" s="384"/>
      <c r="V293" s="384"/>
      <c r="W293" s="463"/>
      <c r="X293" s="384"/>
      <c r="Y293" s="384"/>
      <c r="Z293" s="384"/>
      <c r="AA293" s="384"/>
      <c r="AB293" s="463"/>
      <c r="AC293" s="384"/>
      <c r="AD293" s="384"/>
      <c r="AE293" s="384"/>
      <c r="AF293" s="384"/>
      <c r="AG293" s="463"/>
      <c r="AH293" s="384"/>
      <c r="AI293" s="384"/>
      <c r="AJ293" s="384"/>
      <c r="AK293" s="384"/>
      <c r="AL293" s="463"/>
      <c r="AM293" s="384"/>
      <c r="AN293" s="384"/>
      <c r="AO293" s="384"/>
      <c r="AP293" s="384"/>
      <c r="AQ293" s="463"/>
      <c r="AR293" s="384"/>
      <c r="AS293" s="384"/>
      <c r="AT293" s="384"/>
      <c r="AU293" s="384"/>
      <c r="AV293" s="463"/>
      <c r="AW293" s="384"/>
      <c r="AX293" s="384"/>
      <c r="AY293" s="384"/>
      <c r="AZ293" s="384"/>
      <c r="BA293" s="463"/>
      <c r="BB293" s="384"/>
      <c r="BC293" s="384"/>
      <c r="BD293" s="384"/>
      <c r="BE293" s="384"/>
      <c r="BF293" s="463"/>
      <c r="BG293" s="384"/>
      <c r="BH293" s="384"/>
      <c r="BI293" s="384"/>
      <c r="BJ293" s="384"/>
      <c r="BK293" s="463"/>
      <c r="BL293" s="384"/>
      <c r="BM293" s="384"/>
      <c r="BN293" s="384"/>
      <c r="BO293" s="384"/>
    </row>
    <row r="295" spans="1:67" s="58" customFormat="1">
      <c r="A295" s="107"/>
      <c r="C295" s="508"/>
      <c r="D295" s="501"/>
      <c r="E295" s="501"/>
      <c r="F295" s="501"/>
      <c r="G295" s="501"/>
      <c r="H295" s="508"/>
      <c r="I295" s="501"/>
      <c r="J295" s="501"/>
      <c r="K295" s="501"/>
      <c r="L295" s="501"/>
      <c r="M295" s="508"/>
      <c r="N295" s="501"/>
      <c r="O295" s="501"/>
      <c r="P295" s="501"/>
      <c r="Q295" s="501"/>
      <c r="R295" s="508"/>
      <c r="S295" s="501"/>
      <c r="T295" s="501"/>
      <c r="U295" s="501"/>
      <c r="V295" s="501"/>
      <c r="W295" s="508"/>
      <c r="X295" s="501"/>
      <c r="Y295" s="501"/>
      <c r="Z295" s="501"/>
      <c r="AA295" s="501"/>
      <c r="AB295" s="508"/>
      <c r="AC295" s="501"/>
      <c r="AD295" s="501"/>
      <c r="AE295" s="501"/>
      <c r="AF295" s="501"/>
      <c r="AG295" s="508"/>
      <c r="AH295" s="501"/>
      <c r="AI295" s="501"/>
      <c r="AJ295" s="501"/>
      <c r="AK295" s="501"/>
      <c r="AL295" s="508"/>
      <c r="AM295" s="501"/>
      <c r="AN295" s="501"/>
      <c r="AO295" s="501"/>
      <c r="AP295" s="501"/>
      <c r="AQ295" s="508"/>
      <c r="AR295" s="501"/>
      <c r="AS295" s="501"/>
      <c r="AT295" s="501"/>
      <c r="AU295" s="501"/>
      <c r="AV295" s="508"/>
      <c r="AW295" s="501"/>
      <c r="AX295" s="501"/>
      <c r="AY295" s="501"/>
      <c r="AZ295" s="501"/>
      <c r="BA295" s="508"/>
      <c r="BB295" s="501"/>
      <c r="BC295" s="501"/>
      <c r="BD295" s="501"/>
      <c r="BE295" s="501"/>
      <c r="BF295" s="508"/>
      <c r="BG295" s="501"/>
      <c r="BH295" s="501"/>
      <c r="BI295" s="501"/>
      <c r="BJ295" s="501"/>
      <c r="BK295" s="508"/>
      <c r="BL295" s="501"/>
      <c r="BM295" s="501"/>
      <c r="BN295" s="501"/>
      <c r="BO295" s="501"/>
    </row>
    <row r="296" spans="1:67" s="58" customFormat="1">
      <c r="A296" s="107"/>
      <c r="C296" s="502"/>
      <c r="D296" s="503"/>
      <c r="E296" s="503"/>
      <c r="F296" s="503"/>
      <c r="G296" s="503"/>
      <c r="H296" s="502"/>
      <c r="I296" s="503"/>
      <c r="J296" s="503"/>
      <c r="K296" s="503"/>
      <c r="L296" s="503"/>
      <c r="M296" s="502"/>
      <c r="N296" s="503"/>
      <c r="O296" s="503"/>
      <c r="P296" s="503"/>
      <c r="Q296" s="503"/>
      <c r="R296" s="502"/>
      <c r="S296" s="503"/>
      <c r="T296" s="503"/>
      <c r="U296" s="503"/>
      <c r="V296" s="503"/>
      <c r="W296" s="502"/>
      <c r="X296" s="503"/>
      <c r="Y296" s="503"/>
      <c r="Z296" s="503"/>
      <c r="AA296" s="503"/>
      <c r="AB296" s="502"/>
      <c r="AC296" s="503"/>
      <c r="AD296" s="503"/>
      <c r="AE296" s="503"/>
      <c r="AF296" s="503"/>
      <c r="AG296" s="502"/>
      <c r="AH296" s="503"/>
      <c r="AI296" s="503"/>
      <c r="AJ296" s="503"/>
      <c r="AK296" s="503"/>
      <c r="AL296" s="502"/>
      <c r="AM296" s="503"/>
      <c r="AN296" s="503"/>
      <c r="AO296" s="503"/>
      <c r="AP296" s="503"/>
      <c r="AQ296" s="502"/>
      <c r="AR296" s="503"/>
      <c r="AS296" s="503"/>
      <c r="AT296" s="503"/>
      <c r="AU296" s="503"/>
      <c r="AV296" s="502"/>
      <c r="AW296" s="503"/>
      <c r="AX296" s="503"/>
      <c r="AY296" s="503"/>
      <c r="AZ296" s="503"/>
      <c r="BA296" s="502"/>
      <c r="BB296" s="503"/>
      <c r="BC296" s="503"/>
      <c r="BD296" s="503"/>
      <c r="BE296" s="503"/>
      <c r="BF296" s="502"/>
      <c r="BG296" s="503"/>
      <c r="BH296" s="503"/>
      <c r="BI296" s="503"/>
      <c r="BJ296" s="503"/>
      <c r="BK296" s="502"/>
      <c r="BL296" s="503"/>
      <c r="BM296" s="503"/>
      <c r="BN296" s="503"/>
      <c r="BO296" s="503"/>
    </row>
    <row r="298" spans="1:67" s="58" customFormat="1">
      <c r="A298" s="107"/>
      <c r="C298" s="497"/>
      <c r="D298" s="498"/>
      <c r="E298" s="498"/>
      <c r="F298" s="498"/>
      <c r="G298" s="498"/>
      <c r="H298" s="497"/>
      <c r="I298" s="498"/>
      <c r="J298" s="498"/>
      <c r="K298" s="498"/>
      <c r="L298" s="498"/>
      <c r="M298" s="497"/>
      <c r="N298" s="498"/>
      <c r="O298" s="498"/>
      <c r="P298" s="498"/>
      <c r="Q298" s="498"/>
      <c r="R298" s="497"/>
      <c r="S298" s="498"/>
      <c r="T298" s="498"/>
      <c r="U298" s="498"/>
      <c r="V298" s="498"/>
      <c r="W298" s="497"/>
      <c r="X298" s="498"/>
      <c r="Y298" s="498"/>
      <c r="Z298" s="498"/>
      <c r="AA298" s="498"/>
      <c r="AB298" s="497"/>
      <c r="AC298" s="498"/>
      <c r="AD298" s="498"/>
      <c r="AE298" s="498"/>
      <c r="AF298" s="498"/>
      <c r="AG298" s="497"/>
      <c r="AH298" s="498"/>
      <c r="AI298" s="498"/>
      <c r="AJ298" s="498"/>
      <c r="AK298" s="498"/>
      <c r="AL298" s="497"/>
      <c r="AM298" s="498"/>
      <c r="AN298" s="498"/>
      <c r="AO298" s="498"/>
      <c r="AP298" s="498"/>
      <c r="AQ298" s="497"/>
      <c r="AR298" s="498"/>
      <c r="AS298" s="498"/>
      <c r="AT298" s="498"/>
      <c r="AU298" s="498"/>
      <c r="AV298" s="497"/>
      <c r="AW298" s="498"/>
      <c r="AX298" s="498"/>
      <c r="AY298" s="498"/>
      <c r="AZ298" s="498"/>
      <c r="BA298" s="497"/>
      <c r="BB298" s="498"/>
      <c r="BC298" s="498"/>
      <c r="BD298" s="498"/>
      <c r="BE298" s="498"/>
      <c r="BF298" s="497"/>
      <c r="BG298" s="498"/>
      <c r="BH298" s="498"/>
      <c r="BI298" s="498"/>
      <c r="BJ298" s="498"/>
      <c r="BK298" s="497"/>
      <c r="BL298" s="498"/>
      <c r="BM298" s="498"/>
      <c r="BN298" s="498"/>
      <c r="BO298" s="498"/>
    </row>
    <row r="299" spans="1:67" s="58" customFormat="1">
      <c r="A299" s="107"/>
      <c r="C299" s="463"/>
      <c r="D299" s="384"/>
      <c r="E299" s="384"/>
      <c r="F299" s="384"/>
      <c r="G299" s="384"/>
      <c r="H299" s="463"/>
      <c r="I299" s="384"/>
      <c r="J299" s="384"/>
      <c r="K299" s="384"/>
      <c r="L299" s="384"/>
      <c r="M299" s="463"/>
      <c r="N299" s="384"/>
      <c r="O299" s="384"/>
      <c r="P299" s="384"/>
      <c r="Q299" s="384"/>
      <c r="R299" s="463"/>
      <c r="S299" s="384"/>
      <c r="T299" s="384"/>
      <c r="U299" s="384"/>
      <c r="V299" s="384"/>
      <c r="W299" s="463"/>
      <c r="X299" s="384"/>
      <c r="Y299" s="384"/>
      <c r="Z299" s="384"/>
      <c r="AA299" s="384"/>
      <c r="AB299" s="463"/>
      <c r="AC299" s="384"/>
      <c r="AD299" s="384"/>
      <c r="AE299" s="384"/>
      <c r="AF299" s="384"/>
      <c r="AG299" s="463"/>
      <c r="AH299" s="384"/>
      <c r="AI299" s="384"/>
      <c r="AJ299" s="384"/>
      <c r="AK299" s="384"/>
      <c r="AL299" s="463"/>
      <c r="AM299" s="384"/>
      <c r="AN299" s="384"/>
      <c r="AO299" s="384"/>
      <c r="AP299" s="384"/>
      <c r="AQ299" s="463"/>
      <c r="AR299" s="384"/>
      <c r="AS299" s="384"/>
      <c r="AT299" s="384"/>
      <c r="AU299" s="384"/>
      <c r="AV299" s="463"/>
      <c r="AW299" s="384"/>
      <c r="AX299" s="384"/>
      <c r="AY299" s="384"/>
      <c r="AZ299" s="384"/>
      <c r="BA299" s="463"/>
      <c r="BB299" s="384"/>
      <c r="BC299" s="384"/>
      <c r="BD299" s="384"/>
      <c r="BE299" s="384"/>
      <c r="BF299" s="463"/>
      <c r="BG299" s="384"/>
      <c r="BH299" s="384"/>
      <c r="BI299" s="384"/>
      <c r="BJ299" s="384"/>
      <c r="BK299" s="463"/>
      <c r="BL299" s="384"/>
      <c r="BM299" s="384"/>
      <c r="BN299" s="384"/>
      <c r="BO299" s="384"/>
    </row>
    <row r="301" spans="1:67" s="58" customFormat="1">
      <c r="A301" s="107"/>
      <c r="C301" s="463"/>
      <c r="D301" s="384"/>
      <c r="E301" s="384"/>
      <c r="F301" s="384"/>
      <c r="G301" s="384"/>
      <c r="H301" s="463"/>
      <c r="I301" s="384"/>
      <c r="J301" s="384"/>
      <c r="K301" s="384"/>
      <c r="L301" s="384"/>
      <c r="M301" s="463"/>
      <c r="N301" s="384"/>
      <c r="O301" s="384"/>
      <c r="P301" s="384"/>
      <c r="Q301" s="384"/>
      <c r="R301" s="463"/>
      <c r="S301" s="384"/>
      <c r="T301" s="384"/>
      <c r="U301" s="384"/>
      <c r="V301" s="384"/>
      <c r="W301" s="463"/>
      <c r="X301" s="384"/>
      <c r="Y301" s="384"/>
      <c r="Z301" s="384"/>
      <c r="AA301" s="384"/>
      <c r="AB301" s="463"/>
      <c r="AC301" s="384"/>
      <c r="AD301" s="384"/>
      <c r="AE301" s="384"/>
      <c r="AF301" s="384"/>
      <c r="AG301" s="463"/>
      <c r="AH301" s="384"/>
      <c r="AI301" s="384"/>
      <c r="AJ301" s="384"/>
      <c r="AK301" s="384"/>
      <c r="AL301" s="463"/>
      <c r="AM301" s="384"/>
      <c r="AN301" s="384"/>
      <c r="AO301" s="384"/>
      <c r="AP301" s="384"/>
      <c r="AQ301" s="463"/>
      <c r="AR301" s="384"/>
      <c r="AS301" s="384"/>
      <c r="AT301" s="384"/>
      <c r="AU301" s="384"/>
      <c r="AV301" s="463"/>
      <c r="AW301" s="384"/>
      <c r="AX301" s="384"/>
      <c r="AY301" s="384"/>
      <c r="AZ301" s="384"/>
      <c r="BA301" s="463"/>
      <c r="BB301" s="384"/>
      <c r="BC301" s="384"/>
      <c r="BD301" s="384"/>
      <c r="BE301" s="384"/>
      <c r="BF301" s="463"/>
      <c r="BG301" s="384"/>
      <c r="BH301" s="384"/>
      <c r="BI301" s="384"/>
      <c r="BJ301" s="384"/>
      <c r="BK301" s="463"/>
      <c r="BL301" s="384"/>
      <c r="BM301" s="384"/>
      <c r="BN301" s="384"/>
      <c r="BO301" s="384"/>
    </row>
    <row r="304" spans="1:67" s="58" customFormat="1">
      <c r="A304" s="107"/>
      <c r="C304" s="509"/>
      <c r="D304" s="510"/>
      <c r="E304" s="510"/>
      <c r="F304" s="510"/>
      <c r="G304" s="510"/>
      <c r="H304" s="509"/>
      <c r="I304" s="510"/>
      <c r="J304" s="510"/>
      <c r="K304" s="510"/>
      <c r="L304" s="510"/>
      <c r="M304" s="509"/>
      <c r="N304" s="510"/>
      <c r="O304" s="510"/>
      <c r="P304" s="510"/>
      <c r="Q304" s="510"/>
      <c r="R304" s="509"/>
      <c r="S304" s="510"/>
      <c r="T304" s="510"/>
      <c r="U304" s="510"/>
      <c r="V304" s="510"/>
      <c r="W304" s="509"/>
      <c r="X304" s="510"/>
      <c r="Y304" s="510"/>
      <c r="Z304" s="510"/>
      <c r="AA304" s="510"/>
      <c r="AB304" s="509"/>
      <c r="AC304" s="510"/>
      <c r="AD304" s="510"/>
      <c r="AE304" s="510"/>
      <c r="AF304" s="510"/>
      <c r="AG304" s="509"/>
      <c r="AH304" s="510"/>
      <c r="AI304" s="510"/>
      <c r="AJ304" s="510"/>
      <c r="AK304" s="510"/>
      <c r="AL304" s="509"/>
      <c r="AM304" s="510"/>
      <c r="AN304" s="510"/>
      <c r="AO304" s="510"/>
      <c r="AP304" s="510"/>
      <c r="AQ304" s="509"/>
      <c r="AR304" s="510"/>
      <c r="AS304" s="510"/>
      <c r="AT304" s="510"/>
      <c r="AU304" s="510"/>
      <c r="AV304" s="509"/>
      <c r="AW304" s="510"/>
      <c r="AX304" s="510"/>
      <c r="AY304" s="510"/>
      <c r="AZ304" s="510"/>
      <c r="BA304" s="509"/>
      <c r="BB304" s="510"/>
      <c r="BC304" s="510"/>
      <c r="BD304" s="510"/>
      <c r="BE304" s="510"/>
      <c r="BF304" s="509"/>
      <c r="BG304" s="510"/>
      <c r="BH304" s="510"/>
      <c r="BI304" s="510"/>
      <c r="BJ304" s="510"/>
      <c r="BK304" s="509"/>
      <c r="BL304" s="510"/>
      <c r="BM304" s="510"/>
      <c r="BN304" s="510"/>
      <c r="BO304" s="510"/>
    </row>
    <row r="305" spans="1:67" s="58" customFormat="1">
      <c r="A305" s="107"/>
      <c r="C305" s="463"/>
      <c r="D305" s="384"/>
      <c r="E305" s="384"/>
      <c r="F305" s="384"/>
      <c r="G305" s="384"/>
      <c r="H305" s="463"/>
      <c r="I305" s="384"/>
      <c r="J305" s="384"/>
      <c r="K305" s="384"/>
      <c r="L305" s="384"/>
      <c r="M305" s="463"/>
      <c r="N305" s="384"/>
      <c r="O305" s="384"/>
      <c r="P305" s="384"/>
      <c r="Q305" s="384"/>
      <c r="R305" s="463"/>
      <c r="S305" s="384"/>
      <c r="T305" s="384"/>
      <c r="U305" s="384"/>
      <c r="V305" s="384"/>
      <c r="W305" s="463"/>
      <c r="X305" s="384"/>
      <c r="Y305" s="384"/>
      <c r="Z305" s="384"/>
      <c r="AA305" s="384"/>
      <c r="AB305" s="463"/>
      <c r="AC305" s="384"/>
      <c r="AD305" s="384"/>
      <c r="AE305" s="384"/>
      <c r="AF305" s="384"/>
      <c r="AG305" s="463"/>
      <c r="AH305" s="384"/>
      <c r="AI305" s="384"/>
      <c r="AJ305" s="384"/>
      <c r="AK305" s="384"/>
      <c r="AL305" s="463"/>
      <c r="AM305" s="384"/>
      <c r="AN305" s="384"/>
      <c r="AO305" s="384"/>
      <c r="AP305" s="384"/>
      <c r="AQ305" s="463"/>
      <c r="AR305" s="384"/>
      <c r="AS305" s="384"/>
      <c r="AT305" s="384"/>
      <c r="AU305" s="384"/>
      <c r="AV305" s="463"/>
      <c r="AW305" s="384"/>
      <c r="AX305" s="384"/>
      <c r="AY305" s="384"/>
      <c r="AZ305" s="384"/>
      <c r="BA305" s="463"/>
      <c r="BB305" s="384"/>
      <c r="BC305" s="384"/>
      <c r="BD305" s="384"/>
      <c r="BE305" s="384"/>
      <c r="BF305" s="463"/>
      <c r="BG305" s="384"/>
      <c r="BH305" s="384"/>
      <c r="BI305" s="384"/>
      <c r="BJ305" s="384"/>
      <c r="BK305" s="463"/>
      <c r="BL305" s="384"/>
      <c r="BM305" s="384"/>
      <c r="BN305" s="384"/>
      <c r="BO305" s="384"/>
    </row>
    <row r="308" spans="1:67" s="58" customFormat="1">
      <c r="A308" s="107"/>
      <c r="C308" s="497"/>
      <c r="D308" s="498"/>
      <c r="E308" s="498"/>
      <c r="F308" s="498"/>
      <c r="G308" s="498"/>
      <c r="H308" s="497"/>
      <c r="I308" s="498"/>
      <c r="J308" s="498"/>
      <c r="K308" s="498"/>
      <c r="L308" s="498"/>
      <c r="M308" s="497"/>
      <c r="N308" s="498"/>
      <c r="O308" s="498"/>
      <c r="P308" s="498"/>
      <c r="Q308" s="498"/>
      <c r="R308" s="497"/>
      <c r="S308" s="498"/>
      <c r="T308" s="498"/>
      <c r="U308" s="498"/>
      <c r="V308" s="498"/>
      <c r="W308" s="497"/>
      <c r="X308" s="498"/>
      <c r="Y308" s="498"/>
      <c r="Z308" s="498"/>
      <c r="AA308" s="498"/>
      <c r="AB308" s="497"/>
      <c r="AC308" s="498"/>
      <c r="AD308" s="498"/>
      <c r="AE308" s="498"/>
      <c r="AF308" s="498"/>
      <c r="AG308" s="497"/>
      <c r="AH308" s="498"/>
      <c r="AI308" s="498"/>
      <c r="AJ308" s="498"/>
      <c r="AK308" s="498"/>
      <c r="AL308" s="497"/>
      <c r="AM308" s="498"/>
      <c r="AN308" s="498"/>
      <c r="AO308" s="498"/>
      <c r="AP308" s="498"/>
      <c r="AQ308" s="497"/>
      <c r="AR308" s="498"/>
      <c r="AS308" s="498"/>
      <c r="AT308" s="498"/>
      <c r="AU308" s="498"/>
      <c r="AV308" s="497"/>
      <c r="AW308" s="498"/>
      <c r="AX308" s="498"/>
      <c r="AY308" s="498"/>
      <c r="AZ308" s="498"/>
      <c r="BA308" s="497"/>
      <c r="BB308" s="498"/>
      <c r="BC308" s="498"/>
      <c r="BD308" s="498"/>
      <c r="BE308" s="498"/>
      <c r="BF308" s="497"/>
      <c r="BG308" s="498"/>
      <c r="BH308" s="498"/>
      <c r="BI308" s="498"/>
      <c r="BJ308" s="498"/>
      <c r="BK308" s="497"/>
      <c r="BL308" s="498"/>
      <c r="BM308" s="498"/>
      <c r="BN308" s="498"/>
      <c r="BO308" s="498"/>
    </row>
    <row r="309" spans="1:67" s="58" customFormat="1">
      <c r="A309" s="107"/>
      <c r="C309" s="394"/>
      <c r="D309" s="395"/>
      <c r="E309" s="395"/>
      <c r="F309" s="395"/>
      <c r="G309" s="395"/>
      <c r="H309" s="394"/>
      <c r="I309" s="395"/>
      <c r="J309" s="395"/>
      <c r="K309" s="395"/>
      <c r="L309" s="395"/>
      <c r="M309" s="394"/>
      <c r="N309" s="395"/>
      <c r="O309" s="395"/>
      <c r="P309" s="395"/>
      <c r="Q309" s="395"/>
      <c r="R309" s="394"/>
      <c r="S309" s="395"/>
      <c r="T309" s="395"/>
      <c r="U309" s="395"/>
      <c r="V309" s="395"/>
      <c r="W309" s="394"/>
      <c r="X309" s="395"/>
      <c r="Y309" s="395"/>
      <c r="Z309" s="395"/>
      <c r="AA309" s="395"/>
      <c r="AB309" s="394"/>
      <c r="AC309" s="395"/>
      <c r="AD309" s="395"/>
      <c r="AE309" s="395"/>
      <c r="AF309" s="395"/>
      <c r="AG309" s="394"/>
      <c r="AH309" s="395"/>
      <c r="AI309" s="395"/>
      <c r="AJ309" s="395"/>
      <c r="AK309" s="395"/>
      <c r="AL309" s="394"/>
      <c r="AM309" s="395"/>
      <c r="AN309" s="395"/>
      <c r="AO309" s="395"/>
      <c r="AP309" s="395"/>
      <c r="AQ309" s="394"/>
      <c r="AR309" s="395"/>
      <c r="AS309" s="395"/>
      <c r="AT309" s="395"/>
      <c r="AU309" s="395"/>
      <c r="AV309" s="394"/>
      <c r="AW309" s="395"/>
      <c r="AX309" s="395"/>
      <c r="AY309" s="395"/>
      <c r="AZ309" s="395"/>
      <c r="BA309" s="394"/>
      <c r="BB309" s="395"/>
      <c r="BC309" s="395"/>
      <c r="BD309" s="395"/>
      <c r="BE309" s="395"/>
      <c r="BF309" s="394"/>
      <c r="BG309" s="395"/>
      <c r="BH309" s="395"/>
      <c r="BI309" s="395"/>
      <c r="BJ309" s="395"/>
      <c r="BK309" s="394"/>
      <c r="BL309" s="395"/>
      <c r="BM309" s="395"/>
      <c r="BN309" s="395"/>
      <c r="BO309" s="395"/>
    </row>
    <row r="310" spans="1:67" s="58" customFormat="1">
      <c r="A310" s="107"/>
      <c r="C310" s="394"/>
      <c r="D310" s="395"/>
      <c r="E310" s="395"/>
      <c r="F310" s="395"/>
      <c r="G310" s="395"/>
      <c r="H310" s="394"/>
      <c r="I310" s="395"/>
      <c r="J310" s="395"/>
      <c r="K310" s="395"/>
      <c r="L310" s="395"/>
      <c r="M310" s="394"/>
      <c r="N310" s="395"/>
      <c r="O310" s="395"/>
      <c r="P310" s="395"/>
      <c r="Q310" s="395"/>
      <c r="R310" s="394"/>
      <c r="S310" s="395"/>
      <c r="T310" s="395"/>
      <c r="U310" s="395"/>
      <c r="V310" s="395"/>
      <c r="W310" s="394"/>
      <c r="X310" s="395"/>
      <c r="Y310" s="395"/>
      <c r="Z310" s="395"/>
      <c r="AA310" s="395"/>
      <c r="AB310" s="394"/>
      <c r="AC310" s="395"/>
      <c r="AD310" s="395"/>
      <c r="AE310" s="395"/>
      <c r="AF310" s="395"/>
      <c r="AG310" s="394"/>
      <c r="AH310" s="395"/>
      <c r="AI310" s="395"/>
      <c r="AJ310" s="395"/>
      <c r="AK310" s="395"/>
      <c r="AL310" s="394"/>
      <c r="AM310" s="395"/>
      <c r="AN310" s="395"/>
      <c r="AO310" s="395"/>
      <c r="AP310" s="395"/>
      <c r="AQ310" s="394"/>
      <c r="AR310" s="395"/>
      <c r="AS310" s="395"/>
      <c r="AT310" s="395"/>
      <c r="AU310" s="395"/>
      <c r="AV310" s="394"/>
      <c r="AW310" s="395"/>
      <c r="AX310" s="395"/>
      <c r="AY310" s="395"/>
      <c r="AZ310" s="395"/>
      <c r="BA310" s="394"/>
      <c r="BB310" s="395"/>
      <c r="BC310" s="395"/>
      <c r="BD310" s="395"/>
      <c r="BE310" s="395"/>
      <c r="BF310" s="394"/>
      <c r="BG310" s="395"/>
      <c r="BH310" s="395"/>
      <c r="BI310" s="395"/>
      <c r="BJ310" s="395"/>
      <c r="BK310" s="394"/>
      <c r="BL310" s="395"/>
      <c r="BM310" s="395"/>
      <c r="BN310" s="395"/>
      <c r="BO310" s="395"/>
    </row>
    <row r="311" spans="1:67" s="58" customFormat="1">
      <c r="A311" s="107"/>
      <c r="C311" s="508"/>
      <c r="D311" s="501"/>
      <c r="E311" s="501"/>
      <c r="F311" s="501"/>
      <c r="G311" s="501"/>
      <c r="H311" s="508"/>
      <c r="I311" s="501"/>
      <c r="J311" s="501"/>
      <c r="K311" s="501"/>
      <c r="L311" s="501"/>
      <c r="M311" s="508"/>
      <c r="N311" s="501"/>
      <c r="O311" s="501"/>
      <c r="P311" s="501"/>
      <c r="Q311" s="501"/>
      <c r="R311" s="508"/>
      <c r="S311" s="501"/>
      <c r="T311" s="501"/>
      <c r="U311" s="501"/>
      <c r="V311" s="501"/>
      <c r="W311" s="508"/>
      <c r="X311" s="501"/>
      <c r="Y311" s="501"/>
      <c r="Z311" s="501"/>
      <c r="AA311" s="501"/>
      <c r="AB311" s="508"/>
      <c r="AC311" s="501"/>
      <c r="AD311" s="501"/>
      <c r="AE311" s="501"/>
      <c r="AF311" s="501"/>
      <c r="AG311" s="508"/>
      <c r="AH311" s="501"/>
      <c r="AI311" s="501"/>
      <c r="AJ311" s="501"/>
      <c r="AK311" s="501"/>
      <c r="AL311" s="508"/>
      <c r="AM311" s="501"/>
      <c r="AN311" s="501"/>
      <c r="AO311" s="501"/>
      <c r="AP311" s="501"/>
      <c r="AQ311" s="508"/>
      <c r="AR311" s="501"/>
      <c r="AS311" s="501"/>
      <c r="AT311" s="501"/>
      <c r="AU311" s="501"/>
      <c r="AV311" s="508"/>
      <c r="AW311" s="501"/>
      <c r="AX311" s="501"/>
      <c r="AY311" s="501"/>
      <c r="AZ311" s="501"/>
      <c r="BA311" s="508"/>
      <c r="BB311" s="501"/>
      <c r="BC311" s="501"/>
      <c r="BD311" s="501"/>
      <c r="BE311" s="501"/>
      <c r="BF311" s="508"/>
      <c r="BG311" s="501"/>
      <c r="BH311" s="501"/>
      <c r="BI311" s="501"/>
      <c r="BJ311" s="501"/>
      <c r="BK311" s="508"/>
      <c r="BL311" s="501"/>
      <c r="BM311" s="501"/>
      <c r="BN311" s="501"/>
      <c r="BO311" s="501"/>
    </row>
    <row r="312" spans="1:67" s="58" customFormat="1">
      <c r="A312" s="107"/>
      <c r="C312" s="502"/>
      <c r="D312" s="503"/>
      <c r="E312" s="503"/>
      <c r="F312" s="503"/>
      <c r="G312" s="503"/>
      <c r="H312" s="502"/>
      <c r="I312" s="503"/>
      <c r="J312" s="503"/>
      <c r="K312" s="503"/>
      <c r="L312" s="503"/>
      <c r="M312" s="502"/>
      <c r="N312" s="503"/>
      <c r="O312" s="503"/>
      <c r="P312" s="503"/>
      <c r="Q312" s="503"/>
      <c r="R312" s="502"/>
      <c r="S312" s="503"/>
      <c r="T312" s="503"/>
      <c r="U312" s="503"/>
      <c r="V312" s="503"/>
      <c r="W312" s="502"/>
      <c r="X312" s="503"/>
      <c r="Y312" s="503"/>
      <c r="Z312" s="503"/>
      <c r="AA312" s="503"/>
      <c r="AB312" s="502"/>
      <c r="AC312" s="503"/>
      <c r="AD312" s="503"/>
      <c r="AE312" s="503"/>
      <c r="AF312" s="503"/>
      <c r="AG312" s="502"/>
      <c r="AH312" s="503"/>
      <c r="AI312" s="503"/>
      <c r="AJ312" s="503"/>
      <c r="AK312" s="503"/>
      <c r="AL312" s="502"/>
      <c r="AM312" s="503"/>
      <c r="AN312" s="503"/>
      <c r="AO312" s="503"/>
      <c r="AP312" s="503"/>
      <c r="AQ312" s="502"/>
      <c r="AR312" s="503"/>
      <c r="AS312" s="503"/>
      <c r="AT312" s="503"/>
      <c r="AU312" s="503"/>
      <c r="AV312" s="502"/>
      <c r="AW312" s="503"/>
      <c r="AX312" s="503"/>
      <c r="AY312" s="503"/>
      <c r="AZ312" s="503"/>
      <c r="BA312" s="502"/>
      <c r="BB312" s="503"/>
      <c r="BC312" s="503"/>
      <c r="BD312" s="503"/>
      <c r="BE312" s="503"/>
      <c r="BF312" s="502"/>
      <c r="BG312" s="503"/>
      <c r="BH312" s="503"/>
      <c r="BI312" s="503"/>
      <c r="BJ312" s="503"/>
      <c r="BK312" s="502"/>
      <c r="BL312" s="503"/>
      <c r="BM312" s="503"/>
      <c r="BN312" s="503"/>
      <c r="BO312" s="503"/>
    </row>
    <row r="313" spans="1:67" s="58" customFormat="1">
      <c r="A313" s="107"/>
      <c r="C313" s="394"/>
      <c r="D313" s="395"/>
      <c r="E313" s="395"/>
      <c r="F313" s="395"/>
      <c r="G313" s="395"/>
      <c r="H313" s="394"/>
      <c r="I313" s="395"/>
      <c r="J313" s="395"/>
      <c r="K313" s="395"/>
      <c r="L313" s="395"/>
      <c r="M313" s="394"/>
      <c r="N313" s="395"/>
      <c r="O313" s="395"/>
      <c r="P313" s="395"/>
      <c r="Q313" s="395"/>
      <c r="R313" s="394"/>
      <c r="S313" s="395"/>
      <c r="T313" s="395"/>
      <c r="U313" s="395"/>
      <c r="V313" s="395"/>
      <c r="W313" s="394"/>
      <c r="X313" s="395"/>
      <c r="Y313" s="395"/>
      <c r="Z313" s="395"/>
      <c r="AA313" s="395"/>
      <c r="AB313" s="394"/>
      <c r="AC313" s="395"/>
      <c r="AD313" s="395"/>
      <c r="AE313" s="395"/>
      <c r="AF313" s="395"/>
      <c r="AG313" s="394"/>
      <c r="AH313" s="395"/>
      <c r="AI313" s="395"/>
      <c r="AJ313" s="395"/>
      <c r="AK313" s="395"/>
      <c r="AL313" s="394"/>
      <c r="AM313" s="395"/>
      <c r="AN313" s="395"/>
      <c r="AO313" s="395"/>
      <c r="AP313" s="395"/>
      <c r="AQ313" s="394"/>
      <c r="AR313" s="395"/>
      <c r="AS313" s="395"/>
      <c r="AT313" s="395"/>
      <c r="AU313" s="395"/>
      <c r="AV313" s="394"/>
      <c r="AW313" s="395"/>
      <c r="AX313" s="395"/>
      <c r="AY313" s="395"/>
      <c r="AZ313" s="395"/>
      <c r="BA313" s="394"/>
      <c r="BB313" s="395"/>
      <c r="BC313" s="395"/>
      <c r="BD313" s="395"/>
      <c r="BE313" s="395"/>
      <c r="BF313" s="394"/>
      <c r="BG313" s="395"/>
      <c r="BH313" s="395"/>
      <c r="BI313" s="395"/>
      <c r="BJ313" s="395"/>
      <c r="BK313" s="394"/>
      <c r="BL313" s="395"/>
      <c r="BM313" s="395"/>
      <c r="BN313" s="395"/>
      <c r="BO313" s="395"/>
    </row>
    <row r="314" spans="1:67" s="58" customFormat="1">
      <c r="A314" s="107"/>
      <c r="C314" s="509"/>
      <c r="D314" s="510"/>
      <c r="E314" s="510"/>
      <c r="F314" s="510"/>
      <c r="G314" s="510"/>
      <c r="H314" s="509"/>
      <c r="I314" s="510"/>
      <c r="J314" s="510"/>
      <c r="K314" s="510"/>
      <c r="L314" s="510"/>
      <c r="M314" s="509"/>
      <c r="N314" s="510"/>
      <c r="O314" s="510"/>
      <c r="P314" s="510"/>
      <c r="Q314" s="510"/>
      <c r="R314" s="509"/>
      <c r="S314" s="510"/>
      <c r="T314" s="510"/>
      <c r="U314" s="510"/>
      <c r="V314" s="510"/>
      <c r="W314" s="509"/>
      <c r="X314" s="510"/>
      <c r="Y314" s="510"/>
      <c r="Z314" s="510"/>
      <c r="AA314" s="510"/>
      <c r="AB314" s="509"/>
      <c r="AC314" s="510"/>
      <c r="AD314" s="510"/>
      <c r="AE314" s="510"/>
      <c r="AF314" s="510"/>
      <c r="AG314" s="509"/>
      <c r="AH314" s="510"/>
      <c r="AI314" s="510"/>
      <c r="AJ314" s="510"/>
      <c r="AK314" s="510"/>
      <c r="AL314" s="509"/>
      <c r="AM314" s="510"/>
      <c r="AN314" s="510"/>
      <c r="AO314" s="510"/>
      <c r="AP314" s="510"/>
      <c r="AQ314" s="509"/>
      <c r="AR314" s="510"/>
      <c r="AS314" s="510"/>
      <c r="AT314" s="510"/>
      <c r="AU314" s="510"/>
      <c r="AV314" s="509"/>
      <c r="AW314" s="510"/>
      <c r="AX314" s="510"/>
      <c r="AY314" s="510"/>
      <c r="AZ314" s="510"/>
      <c r="BA314" s="509"/>
      <c r="BB314" s="510"/>
      <c r="BC314" s="510"/>
      <c r="BD314" s="510"/>
      <c r="BE314" s="510"/>
      <c r="BF314" s="509"/>
      <c r="BG314" s="510"/>
      <c r="BH314" s="510"/>
      <c r="BI314" s="510"/>
      <c r="BJ314" s="510"/>
      <c r="BK314" s="509"/>
      <c r="BL314" s="510"/>
      <c r="BM314" s="510"/>
      <c r="BN314" s="510"/>
      <c r="BO314" s="510"/>
    </row>
    <row r="315" spans="1:67" s="58" customFormat="1">
      <c r="A315" s="107"/>
      <c r="C315" s="463"/>
      <c r="D315" s="384"/>
      <c r="E315" s="384"/>
      <c r="F315" s="384"/>
      <c r="G315" s="384"/>
      <c r="H315" s="463"/>
      <c r="I315" s="384"/>
      <c r="J315" s="384"/>
      <c r="K315" s="384"/>
      <c r="L315" s="384"/>
      <c r="M315" s="463"/>
      <c r="N315" s="384"/>
      <c r="O315" s="384"/>
      <c r="P315" s="384"/>
      <c r="Q315" s="384"/>
      <c r="R315" s="463"/>
      <c r="S315" s="384"/>
      <c r="T315" s="384"/>
      <c r="U315" s="384"/>
      <c r="V315" s="384"/>
      <c r="W315" s="463"/>
      <c r="X315" s="384"/>
      <c r="Y315" s="384"/>
      <c r="Z315" s="384"/>
      <c r="AA315" s="384"/>
      <c r="AB315" s="463"/>
      <c r="AC315" s="384"/>
      <c r="AD315" s="384"/>
      <c r="AE315" s="384"/>
      <c r="AF315" s="384"/>
      <c r="AG315" s="463"/>
      <c r="AH315" s="384"/>
      <c r="AI315" s="384"/>
      <c r="AJ315" s="384"/>
      <c r="AK315" s="384"/>
      <c r="AL315" s="463"/>
      <c r="AM315" s="384"/>
      <c r="AN315" s="384"/>
      <c r="AO315" s="384"/>
      <c r="AP315" s="384"/>
      <c r="AQ315" s="463"/>
      <c r="AR315" s="384"/>
      <c r="AS315" s="384"/>
      <c r="AT315" s="384"/>
      <c r="AU315" s="384"/>
      <c r="AV315" s="463"/>
      <c r="AW315" s="384"/>
      <c r="AX315" s="384"/>
      <c r="AY315" s="384"/>
      <c r="AZ315" s="384"/>
      <c r="BA315" s="463"/>
      <c r="BB315" s="384"/>
      <c r="BC315" s="384"/>
      <c r="BD315" s="384"/>
      <c r="BE315" s="384"/>
      <c r="BF315" s="463"/>
      <c r="BG315" s="384"/>
      <c r="BH315" s="384"/>
      <c r="BI315" s="384"/>
      <c r="BJ315" s="384"/>
      <c r="BK315" s="463"/>
      <c r="BL315" s="384"/>
      <c r="BM315" s="384"/>
      <c r="BN315" s="384"/>
      <c r="BO315" s="384"/>
    </row>
    <row r="321" spans="1:67" s="58" customFormat="1">
      <c r="A321" s="107"/>
      <c r="C321" s="511"/>
      <c r="D321" s="512"/>
      <c r="E321" s="512"/>
      <c r="F321" s="512"/>
      <c r="G321" s="512"/>
      <c r="H321" s="511"/>
      <c r="I321" s="512"/>
      <c r="J321" s="512"/>
      <c r="K321" s="512"/>
      <c r="L321" s="512"/>
      <c r="M321" s="511"/>
      <c r="N321" s="512"/>
      <c r="O321" s="512"/>
      <c r="P321" s="512"/>
      <c r="Q321" s="512"/>
      <c r="R321" s="511"/>
      <c r="S321" s="512"/>
      <c r="T321" s="512"/>
      <c r="U321" s="512"/>
      <c r="V321" s="512"/>
      <c r="W321" s="511"/>
      <c r="X321" s="512"/>
      <c r="Y321" s="512"/>
      <c r="Z321" s="512"/>
      <c r="AA321" s="512"/>
      <c r="AB321" s="511"/>
      <c r="AC321" s="512"/>
      <c r="AD321" s="512"/>
      <c r="AE321" s="512"/>
      <c r="AF321" s="512"/>
      <c r="AG321" s="511"/>
      <c r="AH321" s="512"/>
      <c r="AI321" s="512"/>
      <c r="AJ321" s="512"/>
      <c r="AK321" s="512"/>
      <c r="AL321" s="511"/>
      <c r="AM321" s="512"/>
      <c r="AN321" s="512"/>
      <c r="AO321" s="512"/>
      <c r="AP321" s="512"/>
      <c r="AQ321" s="511"/>
      <c r="AR321" s="512"/>
      <c r="AS321" s="512"/>
      <c r="AT321" s="512"/>
      <c r="AU321" s="512"/>
      <c r="AV321" s="511"/>
      <c r="AW321" s="512"/>
      <c r="AX321" s="512"/>
      <c r="AY321" s="512"/>
      <c r="AZ321" s="512"/>
      <c r="BA321" s="511"/>
      <c r="BB321" s="512"/>
      <c r="BC321" s="512"/>
      <c r="BD321" s="512"/>
      <c r="BE321" s="512"/>
      <c r="BF321" s="511"/>
      <c r="BG321" s="512"/>
      <c r="BH321" s="512"/>
      <c r="BI321" s="512"/>
      <c r="BJ321" s="512"/>
      <c r="BK321" s="511"/>
      <c r="BL321" s="512"/>
      <c r="BM321" s="512"/>
      <c r="BN321" s="512"/>
      <c r="BO321" s="512"/>
    </row>
    <row r="322" spans="1:67" s="58" customFormat="1">
      <c r="A322" s="107"/>
      <c r="C322" s="513"/>
      <c r="D322" s="514"/>
      <c r="E322" s="514"/>
      <c r="F322" s="514"/>
      <c r="G322" s="514"/>
      <c r="H322" s="513"/>
      <c r="I322" s="514"/>
      <c r="J322" s="514"/>
      <c r="K322" s="514"/>
      <c r="L322" s="514"/>
      <c r="M322" s="513"/>
      <c r="N322" s="514"/>
      <c r="O322" s="514"/>
      <c r="P322" s="514"/>
      <c r="Q322" s="514"/>
      <c r="R322" s="513"/>
      <c r="S322" s="514"/>
      <c r="T322" s="514"/>
      <c r="U322" s="514"/>
      <c r="V322" s="514"/>
      <c r="W322" s="513"/>
      <c r="X322" s="514"/>
      <c r="Y322" s="514"/>
      <c r="Z322" s="514"/>
      <c r="AA322" s="514"/>
      <c r="AB322" s="513"/>
      <c r="AC322" s="514"/>
      <c r="AD322" s="514"/>
      <c r="AE322" s="514"/>
      <c r="AF322" s="514"/>
      <c r="AG322" s="513"/>
      <c r="AH322" s="514"/>
      <c r="AI322" s="514"/>
      <c r="AJ322" s="514"/>
      <c r="AK322" s="514"/>
      <c r="AL322" s="513"/>
      <c r="AM322" s="514"/>
      <c r="AN322" s="514"/>
      <c r="AO322" s="514"/>
      <c r="AP322" s="514"/>
      <c r="AQ322" s="513"/>
      <c r="AR322" s="514"/>
      <c r="AS322" s="514"/>
      <c r="AT322" s="514"/>
      <c r="AU322" s="514"/>
      <c r="AV322" s="513"/>
      <c r="AW322" s="514"/>
      <c r="AX322" s="514"/>
      <c r="AY322" s="514"/>
      <c r="AZ322" s="514"/>
      <c r="BA322" s="513"/>
      <c r="BB322" s="514"/>
      <c r="BC322" s="514"/>
      <c r="BD322" s="514"/>
      <c r="BE322" s="514"/>
      <c r="BF322" s="513"/>
      <c r="BG322" s="514"/>
      <c r="BH322" s="514"/>
      <c r="BI322" s="514"/>
      <c r="BJ322" s="514"/>
      <c r="BK322" s="513"/>
      <c r="BL322" s="514"/>
      <c r="BM322" s="514"/>
      <c r="BN322" s="514"/>
      <c r="BO322" s="514"/>
    </row>
    <row r="323" spans="1:67" s="58" customFormat="1">
      <c r="A323" s="107"/>
      <c r="C323" s="502"/>
      <c r="D323" s="503"/>
      <c r="E323" s="503"/>
      <c r="F323" s="503"/>
      <c r="G323" s="503"/>
      <c r="H323" s="502"/>
      <c r="I323" s="503"/>
      <c r="J323" s="503"/>
      <c r="K323" s="503"/>
      <c r="L323" s="503"/>
      <c r="M323" s="502"/>
      <c r="N323" s="503"/>
      <c r="O323" s="503"/>
      <c r="P323" s="503"/>
      <c r="Q323" s="503"/>
      <c r="R323" s="502"/>
      <c r="S323" s="503"/>
      <c r="T323" s="503"/>
      <c r="U323" s="503"/>
      <c r="V323" s="503"/>
      <c r="W323" s="502"/>
      <c r="X323" s="503"/>
      <c r="Y323" s="503"/>
      <c r="Z323" s="503"/>
      <c r="AA323" s="503"/>
      <c r="AB323" s="502"/>
      <c r="AC323" s="503"/>
      <c r="AD323" s="503"/>
      <c r="AE323" s="503"/>
      <c r="AF323" s="503"/>
      <c r="AG323" s="502"/>
      <c r="AH323" s="503"/>
      <c r="AI323" s="503"/>
      <c r="AJ323" s="503"/>
      <c r="AK323" s="503"/>
      <c r="AL323" s="502"/>
      <c r="AM323" s="503"/>
      <c r="AN323" s="503"/>
      <c r="AO323" s="503"/>
      <c r="AP323" s="503"/>
      <c r="AQ323" s="502"/>
      <c r="AR323" s="503"/>
      <c r="AS323" s="503"/>
      <c r="AT323" s="503"/>
      <c r="AU323" s="503"/>
      <c r="AV323" s="502"/>
      <c r="AW323" s="503"/>
      <c r="AX323" s="503"/>
      <c r="AY323" s="503"/>
      <c r="AZ323" s="503"/>
      <c r="BA323" s="502"/>
      <c r="BB323" s="503"/>
      <c r="BC323" s="503"/>
      <c r="BD323" s="503"/>
      <c r="BE323" s="503"/>
      <c r="BF323" s="502"/>
      <c r="BG323" s="503"/>
      <c r="BH323" s="503"/>
      <c r="BI323" s="503"/>
      <c r="BJ323" s="503"/>
      <c r="BK323" s="502"/>
      <c r="BL323" s="503"/>
      <c r="BM323" s="503"/>
      <c r="BN323" s="503"/>
      <c r="BO323" s="503"/>
    </row>
    <row r="325" spans="1:67" s="58" customFormat="1">
      <c r="A325" s="107"/>
      <c r="C325" s="497"/>
      <c r="D325" s="498"/>
      <c r="E325" s="498"/>
      <c r="F325" s="498"/>
      <c r="G325" s="498"/>
      <c r="H325" s="497"/>
      <c r="I325" s="498"/>
      <c r="J325" s="498"/>
      <c r="K325" s="498"/>
      <c r="L325" s="498"/>
      <c r="M325" s="497"/>
      <c r="N325" s="498"/>
      <c r="O325" s="498"/>
      <c r="P325" s="498"/>
      <c r="Q325" s="498"/>
      <c r="R325" s="497"/>
      <c r="S325" s="498"/>
      <c r="T325" s="498"/>
      <c r="U325" s="498"/>
      <c r="V325" s="498"/>
      <c r="W325" s="497"/>
      <c r="X325" s="498"/>
      <c r="Y325" s="498"/>
      <c r="Z325" s="498"/>
      <c r="AA325" s="498"/>
      <c r="AB325" s="497"/>
      <c r="AC325" s="498"/>
      <c r="AD325" s="498"/>
      <c r="AE325" s="498"/>
      <c r="AF325" s="498"/>
      <c r="AG325" s="497"/>
      <c r="AH325" s="498"/>
      <c r="AI325" s="498"/>
      <c r="AJ325" s="498"/>
      <c r="AK325" s="498"/>
      <c r="AL325" s="497"/>
      <c r="AM325" s="498"/>
      <c r="AN325" s="498"/>
      <c r="AO325" s="498"/>
      <c r="AP325" s="498"/>
      <c r="AQ325" s="497"/>
      <c r="AR325" s="498"/>
      <c r="AS325" s="498"/>
      <c r="AT325" s="498"/>
      <c r="AU325" s="498"/>
      <c r="AV325" s="497"/>
      <c r="AW325" s="498"/>
      <c r="AX325" s="498"/>
      <c r="AY325" s="498"/>
      <c r="AZ325" s="498"/>
      <c r="BA325" s="497"/>
      <c r="BB325" s="498"/>
      <c r="BC325" s="498"/>
      <c r="BD325" s="498"/>
      <c r="BE325" s="498"/>
      <c r="BF325" s="497"/>
      <c r="BG325" s="498"/>
      <c r="BH325" s="498"/>
      <c r="BI325" s="498"/>
      <c r="BJ325" s="498"/>
      <c r="BK325" s="497"/>
      <c r="BL325" s="498"/>
      <c r="BM325" s="498"/>
      <c r="BN325" s="498"/>
      <c r="BO325" s="498"/>
    </row>
    <row r="326" spans="1:67" s="58" customFormat="1">
      <c r="A326" s="107"/>
      <c r="C326" s="463"/>
      <c r="D326" s="384"/>
      <c r="E326" s="384"/>
      <c r="F326" s="384"/>
      <c r="G326" s="384"/>
      <c r="H326" s="463"/>
      <c r="I326" s="384"/>
      <c r="J326" s="384"/>
      <c r="K326" s="384"/>
      <c r="L326" s="384"/>
      <c r="M326" s="463"/>
      <c r="N326" s="384"/>
      <c r="O326" s="384"/>
      <c r="P326" s="384"/>
      <c r="Q326" s="384"/>
      <c r="R326" s="463"/>
      <c r="S326" s="384"/>
      <c r="T326" s="384"/>
      <c r="U326" s="384"/>
      <c r="V326" s="384"/>
      <c r="W326" s="463"/>
      <c r="X326" s="384"/>
      <c r="Y326" s="384"/>
      <c r="Z326" s="384"/>
      <c r="AA326" s="384"/>
      <c r="AB326" s="463"/>
      <c r="AC326" s="384"/>
      <c r="AD326" s="384"/>
      <c r="AE326" s="384"/>
      <c r="AF326" s="384"/>
      <c r="AG326" s="463"/>
      <c r="AH326" s="384"/>
      <c r="AI326" s="384"/>
      <c r="AJ326" s="384"/>
      <c r="AK326" s="384"/>
      <c r="AL326" s="463"/>
      <c r="AM326" s="384"/>
      <c r="AN326" s="384"/>
      <c r="AO326" s="384"/>
      <c r="AP326" s="384"/>
      <c r="AQ326" s="463"/>
      <c r="AR326" s="384"/>
      <c r="AS326" s="384"/>
      <c r="AT326" s="384"/>
      <c r="AU326" s="384"/>
      <c r="AV326" s="463"/>
      <c r="AW326" s="384"/>
      <c r="AX326" s="384"/>
      <c r="AY326" s="384"/>
      <c r="AZ326" s="384"/>
      <c r="BA326" s="463"/>
      <c r="BB326" s="384"/>
      <c r="BC326" s="384"/>
      <c r="BD326" s="384"/>
      <c r="BE326" s="384"/>
      <c r="BF326" s="463"/>
      <c r="BG326" s="384"/>
      <c r="BH326" s="384"/>
      <c r="BI326" s="384"/>
      <c r="BJ326" s="384"/>
      <c r="BK326" s="463"/>
      <c r="BL326" s="384"/>
      <c r="BM326" s="384"/>
      <c r="BN326" s="384"/>
      <c r="BO326" s="384"/>
    </row>
    <row r="328" spans="1:67" s="58" customFormat="1">
      <c r="A328" s="107"/>
      <c r="C328" s="508"/>
      <c r="D328" s="501"/>
      <c r="E328" s="501"/>
      <c r="F328" s="501"/>
      <c r="G328" s="501"/>
      <c r="H328" s="508"/>
      <c r="I328" s="501"/>
      <c r="J328" s="501"/>
      <c r="K328" s="501"/>
      <c r="L328" s="501"/>
      <c r="M328" s="508"/>
      <c r="N328" s="501"/>
      <c r="O328" s="501"/>
      <c r="P328" s="501"/>
      <c r="Q328" s="501"/>
      <c r="R328" s="508"/>
      <c r="S328" s="501"/>
      <c r="T328" s="501"/>
      <c r="U328" s="501"/>
      <c r="V328" s="501"/>
      <c r="W328" s="508"/>
      <c r="X328" s="501"/>
      <c r="Y328" s="501"/>
      <c r="Z328" s="501"/>
      <c r="AA328" s="501"/>
      <c r="AB328" s="508"/>
      <c r="AC328" s="501"/>
      <c r="AD328" s="501"/>
      <c r="AE328" s="501"/>
      <c r="AF328" s="501"/>
      <c r="AG328" s="508"/>
      <c r="AH328" s="501"/>
      <c r="AI328" s="501"/>
      <c r="AJ328" s="501"/>
      <c r="AK328" s="501"/>
      <c r="AL328" s="508"/>
      <c r="AM328" s="501"/>
      <c r="AN328" s="501"/>
      <c r="AO328" s="501"/>
      <c r="AP328" s="501"/>
      <c r="AQ328" s="508"/>
      <c r="AR328" s="501"/>
      <c r="AS328" s="501"/>
      <c r="AT328" s="501"/>
      <c r="AU328" s="501"/>
      <c r="AV328" s="508"/>
      <c r="AW328" s="501"/>
      <c r="AX328" s="501"/>
      <c r="AY328" s="501"/>
      <c r="AZ328" s="501"/>
      <c r="BA328" s="508"/>
      <c r="BB328" s="501"/>
      <c r="BC328" s="501"/>
      <c r="BD328" s="501"/>
      <c r="BE328" s="501"/>
      <c r="BF328" s="508"/>
      <c r="BG328" s="501"/>
      <c r="BH328" s="501"/>
      <c r="BI328" s="501"/>
      <c r="BJ328" s="501"/>
      <c r="BK328" s="508"/>
      <c r="BL328" s="501"/>
      <c r="BM328" s="501"/>
      <c r="BN328" s="501"/>
      <c r="BO328" s="501"/>
    </row>
    <row r="329" spans="1:67" s="58" customFormat="1">
      <c r="A329" s="107"/>
      <c r="C329" s="502"/>
      <c r="D329" s="503"/>
      <c r="E329" s="503"/>
      <c r="F329" s="503"/>
      <c r="G329" s="503"/>
      <c r="H329" s="502"/>
      <c r="I329" s="503"/>
      <c r="J329" s="503"/>
      <c r="K329" s="503"/>
      <c r="L329" s="503"/>
      <c r="M329" s="502"/>
      <c r="N329" s="503"/>
      <c r="O329" s="503"/>
      <c r="P329" s="503"/>
      <c r="Q329" s="503"/>
      <c r="R329" s="502"/>
      <c r="S329" s="503"/>
      <c r="T329" s="503"/>
      <c r="U329" s="503"/>
      <c r="V329" s="503"/>
      <c r="W329" s="502"/>
      <c r="X329" s="503"/>
      <c r="Y329" s="503"/>
      <c r="Z329" s="503"/>
      <c r="AA329" s="503"/>
      <c r="AB329" s="502"/>
      <c r="AC329" s="503"/>
      <c r="AD329" s="503"/>
      <c r="AE329" s="503"/>
      <c r="AF329" s="503"/>
      <c r="AG329" s="502"/>
      <c r="AH329" s="503"/>
      <c r="AI329" s="503"/>
      <c r="AJ329" s="503"/>
      <c r="AK329" s="503"/>
      <c r="AL329" s="502"/>
      <c r="AM329" s="503"/>
      <c r="AN329" s="503"/>
      <c r="AO329" s="503"/>
      <c r="AP329" s="503"/>
      <c r="AQ329" s="502"/>
      <c r="AR329" s="503"/>
      <c r="AS329" s="503"/>
      <c r="AT329" s="503"/>
      <c r="AU329" s="503"/>
      <c r="AV329" s="502"/>
      <c r="AW329" s="503"/>
      <c r="AX329" s="503"/>
      <c r="AY329" s="503"/>
      <c r="AZ329" s="503"/>
      <c r="BA329" s="502"/>
      <c r="BB329" s="503"/>
      <c r="BC329" s="503"/>
      <c r="BD329" s="503"/>
      <c r="BE329" s="503"/>
      <c r="BF329" s="502"/>
      <c r="BG329" s="503"/>
      <c r="BH329" s="503"/>
      <c r="BI329" s="503"/>
      <c r="BJ329" s="503"/>
      <c r="BK329" s="502"/>
      <c r="BL329" s="503"/>
      <c r="BM329" s="503"/>
      <c r="BN329" s="503"/>
      <c r="BO329" s="503"/>
    </row>
    <row r="331" spans="1:67" s="58" customFormat="1">
      <c r="A331" s="107"/>
      <c r="C331" s="497"/>
      <c r="D331" s="498"/>
      <c r="E331" s="498"/>
      <c r="F331" s="498"/>
      <c r="G331" s="498"/>
      <c r="H331" s="497"/>
      <c r="I331" s="498"/>
      <c r="J331" s="498"/>
      <c r="K331" s="498"/>
      <c r="L331" s="498"/>
      <c r="M331" s="497"/>
      <c r="N331" s="498"/>
      <c r="O331" s="498"/>
      <c r="P331" s="498"/>
      <c r="Q331" s="498"/>
      <c r="R331" s="497"/>
      <c r="S331" s="498"/>
      <c r="T331" s="498"/>
      <c r="U331" s="498"/>
      <c r="V331" s="498"/>
      <c r="W331" s="497"/>
      <c r="X331" s="498"/>
      <c r="Y331" s="498"/>
      <c r="Z331" s="498"/>
      <c r="AA331" s="498"/>
      <c r="AB331" s="497"/>
      <c r="AC331" s="498"/>
      <c r="AD331" s="498"/>
      <c r="AE331" s="498"/>
      <c r="AF331" s="498"/>
      <c r="AG331" s="497"/>
      <c r="AH331" s="498"/>
      <c r="AI331" s="498"/>
      <c r="AJ331" s="498"/>
      <c r="AK331" s="498"/>
      <c r="AL331" s="497"/>
      <c r="AM331" s="498"/>
      <c r="AN331" s="498"/>
      <c r="AO331" s="498"/>
      <c r="AP331" s="498"/>
      <c r="AQ331" s="497"/>
      <c r="AR331" s="498"/>
      <c r="AS331" s="498"/>
      <c r="AT331" s="498"/>
      <c r="AU331" s="498"/>
      <c r="AV331" s="497"/>
      <c r="AW331" s="498"/>
      <c r="AX331" s="498"/>
      <c r="AY331" s="498"/>
      <c r="AZ331" s="498"/>
      <c r="BA331" s="497"/>
      <c r="BB331" s="498"/>
      <c r="BC331" s="498"/>
      <c r="BD331" s="498"/>
      <c r="BE331" s="498"/>
      <c r="BF331" s="497"/>
      <c r="BG331" s="498"/>
      <c r="BH331" s="498"/>
      <c r="BI331" s="498"/>
      <c r="BJ331" s="498"/>
      <c r="BK331" s="497"/>
      <c r="BL331" s="498"/>
      <c r="BM331" s="498"/>
      <c r="BN331" s="498"/>
      <c r="BO331" s="498"/>
    </row>
    <row r="332" spans="1:67" s="58" customFormat="1">
      <c r="A332" s="107"/>
      <c r="C332" s="463"/>
      <c r="D332" s="384"/>
      <c r="E332" s="384"/>
      <c r="F332" s="384"/>
      <c r="G332" s="384"/>
      <c r="H332" s="463"/>
      <c r="I332" s="384"/>
      <c r="J332" s="384"/>
      <c r="K332" s="384"/>
      <c r="L332" s="384"/>
      <c r="M332" s="463"/>
      <c r="N332" s="384"/>
      <c r="O332" s="384"/>
      <c r="P332" s="384"/>
      <c r="Q332" s="384"/>
      <c r="R332" s="463"/>
      <c r="S332" s="384"/>
      <c r="T332" s="384"/>
      <c r="U332" s="384"/>
      <c r="V332" s="384"/>
      <c r="W332" s="463"/>
      <c r="X332" s="384"/>
      <c r="Y332" s="384"/>
      <c r="Z332" s="384"/>
      <c r="AA332" s="384"/>
      <c r="AB332" s="463"/>
      <c r="AC332" s="384"/>
      <c r="AD332" s="384"/>
      <c r="AE332" s="384"/>
      <c r="AF332" s="384"/>
      <c r="AG332" s="463"/>
      <c r="AH332" s="384"/>
      <c r="AI332" s="384"/>
      <c r="AJ332" s="384"/>
      <c r="AK332" s="384"/>
      <c r="AL332" s="463"/>
      <c r="AM332" s="384"/>
      <c r="AN332" s="384"/>
      <c r="AO332" s="384"/>
      <c r="AP332" s="384"/>
      <c r="AQ332" s="463"/>
      <c r="AR332" s="384"/>
      <c r="AS332" s="384"/>
      <c r="AT332" s="384"/>
      <c r="AU332" s="384"/>
      <c r="AV332" s="463"/>
      <c r="AW332" s="384"/>
      <c r="AX332" s="384"/>
      <c r="AY332" s="384"/>
      <c r="AZ332" s="384"/>
      <c r="BA332" s="463"/>
      <c r="BB332" s="384"/>
      <c r="BC332" s="384"/>
      <c r="BD332" s="384"/>
      <c r="BE332" s="384"/>
      <c r="BF332" s="463"/>
      <c r="BG332" s="384"/>
      <c r="BH332" s="384"/>
      <c r="BI332" s="384"/>
      <c r="BJ332" s="384"/>
      <c r="BK332" s="463"/>
      <c r="BL332" s="384"/>
      <c r="BM332" s="384"/>
      <c r="BN332" s="384"/>
      <c r="BO332" s="384"/>
    </row>
    <row r="336" spans="1:67" s="58" customFormat="1">
      <c r="A336" s="107"/>
      <c r="C336" s="504"/>
      <c r="D336" s="505"/>
      <c r="E336" s="505"/>
      <c r="F336" s="505"/>
      <c r="G336" s="505"/>
      <c r="H336" s="504"/>
      <c r="I336" s="505"/>
      <c r="J336" s="505"/>
      <c r="K336" s="505"/>
      <c r="L336" s="505"/>
      <c r="M336" s="504"/>
      <c r="N336" s="505"/>
      <c r="O336" s="505"/>
      <c r="P336" s="505"/>
      <c r="Q336" s="505"/>
      <c r="R336" s="504"/>
      <c r="S336" s="505"/>
      <c r="T336" s="505"/>
      <c r="U336" s="505"/>
      <c r="V336" s="505"/>
      <c r="W336" s="504"/>
      <c r="X336" s="505"/>
      <c r="Y336" s="505"/>
      <c r="Z336" s="505"/>
      <c r="AA336" s="505"/>
      <c r="AB336" s="504"/>
      <c r="AC336" s="505"/>
      <c r="AD336" s="505"/>
      <c r="AE336" s="505"/>
      <c r="AF336" s="505"/>
      <c r="AG336" s="504"/>
      <c r="AH336" s="505"/>
      <c r="AI336" s="505"/>
      <c r="AJ336" s="505"/>
      <c r="AK336" s="505"/>
      <c r="AL336" s="504"/>
      <c r="AM336" s="505"/>
      <c r="AN336" s="505"/>
      <c r="AO336" s="505"/>
      <c r="AP336" s="505"/>
      <c r="AQ336" s="504"/>
      <c r="AR336" s="505"/>
      <c r="AS336" s="505"/>
      <c r="AT336" s="505"/>
      <c r="AU336" s="505"/>
      <c r="AV336" s="504"/>
      <c r="AW336" s="505"/>
      <c r="AX336" s="505"/>
      <c r="AY336" s="505"/>
      <c r="AZ336" s="505"/>
      <c r="BA336" s="504"/>
      <c r="BB336" s="505"/>
      <c r="BC336" s="505"/>
      <c r="BD336" s="505"/>
      <c r="BE336" s="505"/>
      <c r="BF336" s="504"/>
      <c r="BG336" s="505"/>
      <c r="BH336" s="505"/>
      <c r="BI336" s="505"/>
      <c r="BJ336" s="505"/>
      <c r="BK336" s="504"/>
      <c r="BL336" s="505"/>
      <c r="BM336" s="505"/>
      <c r="BN336" s="505"/>
      <c r="BO336" s="505"/>
    </row>
    <row r="337" spans="1:67" s="58" customFormat="1">
      <c r="A337" s="107"/>
      <c r="C337" s="509"/>
      <c r="D337" s="510"/>
      <c r="E337" s="510"/>
      <c r="F337" s="510"/>
      <c r="G337" s="510"/>
      <c r="H337" s="509"/>
      <c r="I337" s="510"/>
      <c r="J337" s="510"/>
      <c r="K337" s="510"/>
      <c r="L337" s="510"/>
      <c r="M337" s="509"/>
      <c r="N337" s="510"/>
      <c r="O337" s="510"/>
      <c r="P337" s="510"/>
      <c r="Q337" s="510"/>
      <c r="R337" s="509"/>
      <c r="S337" s="510"/>
      <c r="T337" s="510"/>
      <c r="U337" s="510"/>
      <c r="V337" s="510"/>
      <c r="W337" s="509"/>
      <c r="X337" s="510"/>
      <c r="Y337" s="510"/>
      <c r="Z337" s="510"/>
      <c r="AA337" s="510"/>
      <c r="AB337" s="509"/>
      <c r="AC337" s="510"/>
      <c r="AD337" s="510"/>
      <c r="AE337" s="510"/>
      <c r="AF337" s="510"/>
      <c r="AG337" s="509"/>
      <c r="AH337" s="510"/>
      <c r="AI337" s="510"/>
      <c r="AJ337" s="510"/>
      <c r="AK337" s="510"/>
      <c r="AL337" s="509"/>
      <c r="AM337" s="510"/>
      <c r="AN337" s="510"/>
      <c r="AO337" s="510"/>
      <c r="AP337" s="510"/>
      <c r="AQ337" s="509"/>
      <c r="AR337" s="510"/>
      <c r="AS337" s="510"/>
      <c r="AT337" s="510"/>
      <c r="AU337" s="510"/>
      <c r="AV337" s="509"/>
      <c r="AW337" s="510"/>
      <c r="AX337" s="510"/>
      <c r="AY337" s="510"/>
      <c r="AZ337" s="510"/>
      <c r="BA337" s="509"/>
      <c r="BB337" s="510"/>
      <c r="BC337" s="510"/>
      <c r="BD337" s="510"/>
      <c r="BE337" s="510"/>
      <c r="BF337" s="509"/>
      <c r="BG337" s="510"/>
      <c r="BH337" s="510"/>
      <c r="BI337" s="510"/>
      <c r="BJ337" s="510"/>
      <c r="BK337" s="509"/>
      <c r="BL337" s="510"/>
      <c r="BM337" s="510"/>
      <c r="BN337" s="510"/>
      <c r="BO337" s="510"/>
    </row>
    <row r="338" spans="1:67" s="58" customFormat="1">
      <c r="A338" s="107"/>
      <c r="C338" s="463"/>
      <c r="D338" s="384"/>
      <c r="E338" s="384"/>
      <c r="F338" s="384"/>
      <c r="G338" s="384"/>
      <c r="H338" s="463"/>
      <c r="I338" s="384"/>
      <c r="J338" s="384"/>
      <c r="K338" s="384"/>
      <c r="L338" s="384"/>
      <c r="M338" s="463"/>
      <c r="N338" s="384"/>
      <c r="O338" s="384"/>
      <c r="P338" s="384"/>
      <c r="Q338" s="384"/>
      <c r="R338" s="463"/>
      <c r="S338" s="384"/>
      <c r="T338" s="384"/>
      <c r="U338" s="384"/>
      <c r="V338" s="384"/>
      <c r="W338" s="463"/>
      <c r="X338" s="384"/>
      <c r="Y338" s="384"/>
      <c r="Z338" s="384"/>
      <c r="AA338" s="384"/>
      <c r="AB338" s="463"/>
      <c r="AC338" s="384"/>
      <c r="AD338" s="384"/>
      <c r="AE338" s="384"/>
      <c r="AF338" s="384"/>
      <c r="AG338" s="463"/>
      <c r="AH338" s="384"/>
      <c r="AI338" s="384"/>
      <c r="AJ338" s="384"/>
      <c r="AK338" s="384"/>
      <c r="AL338" s="463"/>
      <c r="AM338" s="384"/>
      <c r="AN338" s="384"/>
      <c r="AO338" s="384"/>
      <c r="AP338" s="384"/>
      <c r="AQ338" s="463"/>
      <c r="AR338" s="384"/>
      <c r="AS338" s="384"/>
      <c r="AT338" s="384"/>
      <c r="AU338" s="384"/>
      <c r="AV338" s="463"/>
      <c r="AW338" s="384"/>
      <c r="AX338" s="384"/>
      <c r="AY338" s="384"/>
      <c r="AZ338" s="384"/>
      <c r="BA338" s="463"/>
      <c r="BB338" s="384"/>
      <c r="BC338" s="384"/>
      <c r="BD338" s="384"/>
      <c r="BE338" s="384"/>
      <c r="BF338" s="463"/>
      <c r="BG338" s="384"/>
      <c r="BH338" s="384"/>
      <c r="BI338" s="384"/>
      <c r="BJ338" s="384"/>
      <c r="BK338" s="463"/>
      <c r="BL338" s="384"/>
      <c r="BM338" s="384"/>
      <c r="BN338" s="384"/>
      <c r="BO338" s="384"/>
    </row>
    <row r="341" spans="1:67" s="58" customFormat="1">
      <c r="A341" s="107"/>
      <c r="C341" s="497"/>
      <c r="D341" s="498"/>
      <c r="E341" s="498"/>
      <c r="F341" s="498"/>
      <c r="G341" s="498"/>
      <c r="H341" s="497"/>
      <c r="I341" s="498"/>
      <c r="J341" s="498"/>
      <c r="K341" s="498"/>
      <c r="L341" s="498"/>
      <c r="M341" s="497"/>
      <c r="N341" s="498"/>
      <c r="O341" s="498"/>
      <c r="P341" s="498"/>
      <c r="Q341" s="498"/>
      <c r="R341" s="497"/>
      <c r="S341" s="498"/>
      <c r="T341" s="498"/>
      <c r="U341" s="498"/>
      <c r="V341" s="498"/>
      <c r="W341" s="497"/>
      <c r="X341" s="498"/>
      <c r="Y341" s="498"/>
      <c r="Z341" s="498"/>
      <c r="AA341" s="498"/>
      <c r="AB341" s="497"/>
      <c r="AC341" s="498"/>
      <c r="AD341" s="498"/>
      <c r="AE341" s="498"/>
      <c r="AF341" s="498"/>
      <c r="AG341" s="497"/>
      <c r="AH341" s="498"/>
      <c r="AI341" s="498"/>
      <c r="AJ341" s="498"/>
      <c r="AK341" s="498"/>
      <c r="AL341" s="497"/>
      <c r="AM341" s="498"/>
      <c r="AN341" s="498"/>
      <c r="AO341" s="498"/>
      <c r="AP341" s="498"/>
      <c r="AQ341" s="497"/>
      <c r="AR341" s="498"/>
      <c r="AS341" s="498"/>
      <c r="AT341" s="498"/>
      <c r="AU341" s="498"/>
      <c r="AV341" s="497"/>
      <c r="AW341" s="498"/>
      <c r="AX341" s="498"/>
      <c r="AY341" s="498"/>
      <c r="AZ341" s="498"/>
      <c r="BA341" s="497"/>
      <c r="BB341" s="498"/>
      <c r="BC341" s="498"/>
      <c r="BD341" s="498"/>
      <c r="BE341" s="498"/>
      <c r="BF341" s="497"/>
      <c r="BG341" s="498"/>
      <c r="BH341" s="498"/>
      <c r="BI341" s="498"/>
      <c r="BJ341" s="498"/>
      <c r="BK341" s="497"/>
      <c r="BL341" s="498"/>
      <c r="BM341" s="498"/>
      <c r="BN341" s="498"/>
      <c r="BO341" s="498"/>
    </row>
    <row r="342" spans="1:67" s="58" customFormat="1">
      <c r="A342" s="107"/>
      <c r="C342" s="394"/>
      <c r="D342" s="395"/>
      <c r="E342" s="395"/>
      <c r="F342" s="395"/>
      <c r="G342" s="395"/>
      <c r="H342" s="394"/>
      <c r="I342" s="395"/>
      <c r="J342" s="395"/>
      <c r="K342" s="395"/>
      <c r="L342" s="395"/>
      <c r="M342" s="394"/>
      <c r="N342" s="395"/>
      <c r="O342" s="395"/>
      <c r="P342" s="395"/>
      <c r="Q342" s="395"/>
      <c r="R342" s="394"/>
      <c r="S342" s="395"/>
      <c r="T342" s="395"/>
      <c r="U342" s="395"/>
      <c r="V342" s="395"/>
      <c r="W342" s="394"/>
      <c r="X342" s="395"/>
      <c r="Y342" s="395"/>
      <c r="Z342" s="395"/>
      <c r="AA342" s="395"/>
      <c r="AB342" s="394"/>
      <c r="AC342" s="395"/>
      <c r="AD342" s="395"/>
      <c r="AE342" s="395"/>
      <c r="AF342" s="395"/>
      <c r="AG342" s="394"/>
      <c r="AH342" s="395"/>
      <c r="AI342" s="395"/>
      <c r="AJ342" s="395"/>
      <c r="AK342" s="395"/>
      <c r="AL342" s="394"/>
      <c r="AM342" s="395"/>
      <c r="AN342" s="395"/>
      <c r="AO342" s="395"/>
      <c r="AP342" s="395"/>
      <c r="AQ342" s="394"/>
      <c r="AR342" s="395"/>
      <c r="AS342" s="395"/>
      <c r="AT342" s="395"/>
      <c r="AU342" s="395"/>
      <c r="AV342" s="394"/>
      <c r="AW342" s="395"/>
      <c r="AX342" s="395"/>
      <c r="AY342" s="395"/>
      <c r="AZ342" s="395"/>
      <c r="BA342" s="394"/>
      <c r="BB342" s="395"/>
      <c r="BC342" s="395"/>
      <c r="BD342" s="395"/>
      <c r="BE342" s="395"/>
      <c r="BF342" s="394"/>
      <c r="BG342" s="395"/>
      <c r="BH342" s="395"/>
      <c r="BI342" s="395"/>
      <c r="BJ342" s="395"/>
      <c r="BK342" s="394"/>
      <c r="BL342" s="395"/>
      <c r="BM342" s="395"/>
      <c r="BN342" s="395"/>
      <c r="BO342" s="395"/>
    </row>
    <row r="343" spans="1:67" s="58" customFormat="1">
      <c r="A343" s="107"/>
      <c r="C343" s="394"/>
      <c r="D343" s="395"/>
      <c r="E343" s="395"/>
      <c r="F343" s="395"/>
      <c r="G343" s="395"/>
      <c r="H343" s="394"/>
      <c r="I343" s="395"/>
      <c r="J343" s="395"/>
      <c r="K343" s="395"/>
      <c r="L343" s="395"/>
      <c r="M343" s="394"/>
      <c r="N343" s="395"/>
      <c r="O343" s="395"/>
      <c r="P343" s="395"/>
      <c r="Q343" s="395"/>
      <c r="R343" s="394"/>
      <c r="S343" s="395"/>
      <c r="T343" s="395"/>
      <c r="U343" s="395"/>
      <c r="V343" s="395"/>
      <c r="W343" s="394"/>
      <c r="X343" s="395"/>
      <c r="Y343" s="395"/>
      <c r="Z343" s="395"/>
      <c r="AA343" s="395"/>
      <c r="AB343" s="394"/>
      <c r="AC343" s="395"/>
      <c r="AD343" s="395"/>
      <c r="AE343" s="395"/>
      <c r="AF343" s="395"/>
      <c r="AG343" s="394"/>
      <c r="AH343" s="395"/>
      <c r="AI343" s="395"/>
      <c r="AJ343" s="395"/>
      <c r="AK343" s="395"/>
      <c r="AL343" s="394"/>
      <c r="AM343" s="395"/>
      <c r="AN343" s="395"/>
      <c r="AO343" s="395"/>
      <c r="AP343" s="395"/>
      <c r="AQ343" s="394"/>
      <c r="AR343" s="395"/>
      <c r="AS343" s="395"/>
      <c r="AT343" s="395"/>
      <c r="AU343" s="395"/>
      <c r="AV343" s="394"/>
      <c r="AW343" s="395"/>
      <c r="AX343" s="395"/>
      <c r="AY343" s="395"/>
      <c r="AZ343" s="395"/>
      <c r="BA343" s="394"/>
      <c r="BB343" s="395"/>
      <c r="BC343" s="395"/>
      <c r="BD343" s="395"/>
      <c r="BE343" s="395"/>
      <c r="BF343" s="394"/>
      <c r="BG343" s="395"/>
      <c r="BH343" s="395"/>
      <c r="BI343" s="395"/>
      <c r="BJ343" s="395"/>
      <c r="BK343" s="394"/>
      <c r="BL343" s="395"/>
      <c r="BM343" s="395"/>
      <c r="BN343" s="395"/>
      <c r="BO343" s="395"/>
    </row>
    <row r="344" spans="1:67" s="58" customFormat="1">
      <c r="A344" s="107"/>
      <c r="C344" s="394"/>
      <c r="D344" s="395"/>
      <c r="E344" s="395"/>
      <c r="F344" s="395"/>
      <c r="G344" s="395"/>
      <c r="H344" s="394"/>
      <c r="I344" s="395"/>
      <c r="J344" s="395"/>
      <c r="K344" s="395"/>
      <c r="L344" s="395"/>
      <c r="M344" s="394"/>
      <c r="N344" s="395"/>
      <c r="O344" s="395"/>
      <c r="P344" s="395"/>
      <c r="Q344" s="395"/>
      <c r="R344" s="394"/>
      <c r="S344" s="395"/>
      <c r="T344" s="395"/>
      <c r="U344" s="395"/>
      <c r="V344" s="395"/>
      <c r="W344" s="394"/>
      <c r="X344" s="395"/>
      <c r="Y344" s="395"/>
      <c r="Z344" s="395"/>
      <c r="AA344" s="395"/>
      <c r="AB344" s="394"/>
      <c r="AC344" s="395"/>
      <c r="AD344" s="395"/>
      <c r="AE344" s="395"/>
      <c r="AF344" s="395"/>
      <c r="AG344" s="394"/>
      <c r="AH344" s="395"/>
      <c r="AI344" s="395"/>
      <c r="AJ344" s="395"/>
      <c r="AK344" s="395"/>
      <c r="AL344" s="394"/>
      <c r="AM344" s="395"/>
      <c r="AN344" s="395"/>
      <c r="AO344" s="395"/>
      <c r="AP344" s="395"/>
      <c r="AQ344" s="394"/>
      <c r="AR344" s="395"/>
      <c r="AS344" s="395"/>
      <c r="AT344" s="395"/>
      <c r="AU344" s="395"/>
      <c r="AV344" s="394"/>
      <c r="AW344" s="395"/>
      <c r="AX344" s="395"/>
      <c r="AY344" s="395"/>
      <c r="AZ344" s="395"/>
      <c r="BA344" s="394"/>
      <c r="BB344" s="395"/>
      <c r="BC344" s="395"/>
      <c r="BD344" s="395"/>
      <c r="BE344" s="395"/>
      <c r="BF344" s="394"/>
      <c r="BG344" s="395"/>
      <c r="BH344" s="395"/>
      <c r="BI344" s="395"/>
      <c r="BJ344" s="395"/>
      <c r="BK344" s="394"/>
      <c r="BL344" s="395"/>
      <c r="BM344" s="395"/>
      <c r="BN344" s="395"/>
      <c r="BO344" s="395"/>
    </row>
    <row r="345" spans="1:67" s="58" customFormat="1">
      <c r="A345" s="107"/>
      <c r="C345" s="499"/>
      <c r="D345" s="395"/>
      <c r="E345" s="395"/>
      <c r="F345" s="395"/>
      <c r="G345" s="395"/>
      <c r="H345" s="499"/>
      <c r="I345" s="395"/>
      <c r="J345" s="395"/>
      <c r="K345" s="395"/>
      <c r="L345" s="395"/>
      <c r="M345" s="499"/>
      <c r="N345" s="395"/>
      <c r="O345" s="395"/>
      <c r="P345" s="395"/>
      <c r="Q345" s="395"/>
      <c r="R345" s="499"/>
      <c r="S345" s="395"/>
      <c r="T345" s="395"/>
      <c r="U345" s="395"/>
      <c r="V345" s="395"/>
      <c r="W345" s="499"/>
      <c r="X345" s="395"/>
      <c r="Y345" s="395"/>
      <c r="Z345" s="395"/>
      <c r="AA345" s="395"/>
      <c r="AB345" s="499"/>
      <c r="AC345" s="395"/>
      <c r="AD345" s="395"/>
      <c r="AE345" s="395"/>
      <c r="AF345" s="395"/>
      <c r="AG345" s="499"/>
      <c r="AH345" s="395"/>
      <c r="AI345" s="395"/>
      <c r="AJ345" s="395"/>
      <c r="AK345" s="395"/>
      <c r="AL345" s="499"/>
      <c r="AM345" s="395"/>
      <c r="AN345" s="395"/>
      <c r="AO345" s="395"/>
      <c r="AP345" s="395"/>
      <c r="AQ345" s="499"/>
      <c r="AR345" s="395"/>
      <c r="AS345" s="395"/>
      <c r="AT345" s="395"/>
      <c r="AU345" s="395"/>
      <c r="AV345" s="499"/>
      <c r="AW345" s="395"/>
      <c r="AX345" s="395"/>
      <c r="AY345" s="395"/>
      <c r="AZ345" s="395"/>
      <c r="BA345" s="499"/>
      <c r="BB345" s="395"/>
      <c r="BC345" s="395"/>
      <c r="BD345" s="395"/>
      <c r="BE345" s="395"/>
      <c r="BF345" s="499"/>
      <c r="BG345" s="395"/>
      <c r="BH345" s="395"/>
      <c r="BI345" s="395"/>
      <c r="BJ345" s="395"/>
      <c r="BK345" s="499"/>
      <c r="BL345" s="395"/>
      <c r="BM345" s="395"/>
      <c r="BN345" s="395"/>
      <c r="BO345" s="395"/>
    </row>
    <row r="346" spans="1:67" s="58" customFormat="1">
      <c r="A346" s="107"/>
      <c r="C346" s="394"/>
      <c r="D346" s="395"/>
      <c r="E346" s="395"/>
      <c r="F346" s="395"/>
      <c r="G346" s="395"/>
      <c r="H346" s="394"/>
      <c r="I346" s="395"/>
      <c r="J346" s="395"/>
      <c r="K346" s="395"/>
      <c r="L346" s="395"/>
      <c r="M346" s="394"/>
      <c r="N346" s="395"/>
      <c r="O346" s="395"/>
      <c r="P346" s="395"/>
      <c r="Q346" s="395"/>
      <c r="R346" s="394"/>
      <c r="S346" s="395"/>
      <c r="T346" s="395"/>
      <c r="U346" s="395"/>
      <c r="V346" s="395"/>
      <c r="W346" s="394"/>
      <c r="X346" s="395"/>
      <c r="Y346" s="395"/>
      <c r="Z346" s="395"/>
      <c r="AA346" s="395"/>
      <c r="AB346" s="394"/>
      <c r="AC346" s="395"/>
      <c r="AD346" s="395"/>
      <c r="AE346" s="395"/>
      <c r="AF346" s="395"/>
      <c r="AG346" s="394"/>
      <c r="AH346" s="395"/>
      <c r="AI346" s="395"/>
      <c r="AJ346" s="395"/>
      <c r="AK346" s="395"/>
      <c r="AL346" s="394"/>
      <c r="AM346" s="395"/>
      <c r="AN346" s="395"/>
      <c r="AO346" s="395"/>
      <c r="AP346" s="395"/>
      <c r="AQ346" s="394"/>
      <c r="AR346" s="395"/>
      <c r="AS346" s="395"/>
      <c r="AT346" s="395"/>
      <c r="AU346" s="395"/>
      <c r="AV346" s="394"/>
      <c r="AW346" s="395"/>
      <c r="AX346" s="395"/>
      <c r="AY346" s="395"/>
      <c r="AZ346" s="395"/>
      <c r="BA346" s="394"/>
      <c r="BB346" s="395"/>
      <c r="BC346" s="395"/>
      <c r="BD346" s="395"/>
      <c r="BE346" s="395"/>
      <c r="BF346" s="394"/>
      <c r="BG346" s="395"/>
      <c r="BH346" s="395"/>
      <c r="BI346" s="395"/>
      <c r="BJ346" s="395"/>
      <c r="BK346" s="394"/>
      <c r="BL346" s="395"/>
      <c r="BM346" s="395"/>
      <c r="BN346" s="395"/>
      <c r="BO346" s="395"/>
    </row>
    <row r="347" spans="1:67" s="58" customFormat="1">
      <c r="A347" s="107"/>
      <c r="C347" s="497"/>
      <c r="D347" s="395"/>
      <c r="E347" s="395"/>
      <c r="F347" s="395"/>
      <c r="G347" s="395"/>
      <c r="H347" s="497"/>
      <c r="I347" s="395"/>
      <c r="J347" s="395"/>
      <c r="K347" s="395"/>
      <c r="L347" s="395"/>
      <c r="M347" s="497"/>
      <c r="N347" s="395"/>
      <c r="O347" s="395"/>
      <c r="P347" s="395"/>
      <c r="Q347" s="395"/>
      <c r="R347" s="497"/>
      <c r="S347" s="395"/>
      <c r="T347" s="395"/>
      <c r="U347" s="395"/>
      <c r="V347" s="395"/>
      <c r="W347" s="497"/>
      <c r="X347" s="395"/>
      <c r="Y347" s="395"/>
      <c r="Z347" s="395"/>
      <c r="AA347" s="395"/>
      <c r="AB347" s="497"/>
      <c r="AC347" s="395"/>
      <c r="AD347" s="395"/>
      <c r="AE347" s="395"/>
      <c r="AF347" s="395"/>
      <c r="AG347" s="497"/>
      <c r="AH347" s="395"/>
      <c r="AI347" s="395"/>
      <c r="AJ347" s="395"/>
      <c r="AK347" s="395"/>
      <c r="AL347" s="497"/>
      <c r="AM347" s="395"/>
      <c r="AN347" s="395"/>
      <c r="AO347" s="395"/>
      <c r="AP347" s="395"/>
      <c r="AQ347" s="497"/>
      <c r="AR347" s="395"/>
      <c r="AS347" s="395"/>
      <c r="AT347" s="395"/>
      <c r="AU347" s="395"/>
      <c r="AV347" s="497"/>
      <c r="AW347" s="395"/>
      <c r="AX347" s="395"/>
      <c r="AY347" s="395"/>
      <c r="AZ347" s="395"/>
      <c r="BA347" s="497"/>
      <c r="BB347" s="395"/>
      <c r="BC347" s="395"/>
      <c r="BD347" s="395"/>
      <c r="BE347" s="395"/>
      <c r="BF347" s="497"/>
      <c r="BG347" s="395"/>
      <c r="BH347" s="395"/>
      <c r="BI347" s="395"/>
      <c r="BJ347" s="395"/>
      <c r="BK347" s="497"/>
      <c r="BL347" s="395"/>
      <c r="BM347" s="395"/>
      <c r="BN347" s="395"/>
      <c r="BO347" s="395"/>
    </row>
    <row r="348" spans="1:67" s="58" customFormat="1">
      <c r="A348" s="107"/>
      <c r="C348" s="394"/>
      <c r="D348" s="395"/>
      <c r="E348" s="395"/>
      <c r="F348" s="395"/>
      <c r="G348" s="395"/>
      <c r="H348" s="394"/>
      <c r="I348" s="395"/>
      <c r="J348" s="395"/>
      <c r="K348" s="395"/>
      <c r="L348" s="395"/>
      <c r="M348" s="394"/>
      <c r="N348" s="395"/>
      <c r="O348" s="395"/>
      <c r="P348" s="395"/>
      <c r="Q348" s="395"/>
      <c r="R348" s="394"/>
      <c r="S348" s="395"/>
      <c r="T348" s="395"/>
      <c r="U348" s="395"/>
      <c r="V348" s="395"/>
      <c r="W348" s="394"/>
      <c r="X348" s="395"/>
      <c r="Y348" s="395"/>
      <c r="Z348" s="395"/>
      <c r="AA348" s="395"/>
      <c r="AB348" s="394"/>
      <c r="AC348" s="395"/>
      <c r="AD348" s="395"/>
      <c r="AE348" s="395"/>
      <c r="AF348" s="395"/>
      <c r="AG348" s="394"/>
      <c r="AH348" s="395"/>
      <c r="AI348" s="395"/>
      <c r="AJ348" s="395"/>
      <c r="AK348" s="395"/>
      <c r="AL348" s="394"/>
      <c r="AM348" s="395"/>
      <c r="AN348" s="395"/>
      <c r="AO348" s="395"/>
      <c r="AP348" s="395"/>
      <c r="AQ348" s="394"/>
      <c r="AR348" s="395"/>
      <c r="AS348" s="395"/>
      <c r="AT348" s="395"/>
      <c r="AU348" s="395"/>
      <c r="AV348" s="394"/>
      <c r="AW348" s="395"/>
      <c r="AX348" s="395"/>
      <c r="AY348" s="395"/>
      <c r="AZ348" s="395"/>
      <c r="BA348" s="394"/>
      <c r="BB348" s="395"/>
      <c r="BC348" s="395"/>
      <c r="BD348" s="395"/>
      <c r="BE348" s="395"/>
      <c r="BF348" s="394"/>
      <c r="BG348" s="395"/>
      <c r="BH348" s="395"/>
      <c r="BI348" s="395"/>
      <c r="BJ348" s="395"/>
      <c r="BK348" s="394"/>
      <c r="BL348" s="395"/>
      <c r="BM348" s="395"/>
      <c r="BN348" s="395"/>
      <c r="BO348" s="395"/>
    </row>
    <row r="349" spans="1:67" s="58" customFormat="1">
      <c r="A349" s="107"/>
      <c r="C349" s="394"/>
      <c r="D349" s="395"/>
      <c r="E349" s="395"/>
      <c r="F349" s="395"/>
      <c r="G349" s="395"/>
      <c r="H349" s="394"/>
      <c r="I349" s="395"/>
      <c r="J349" s="395"/>
      <c r="K349" s="395"/>
      <c r="L349" s="395"/>
      <c r="M349" s="394"/>
      <c r="N349" s="395"/>
      <c r="O349" s="395"/>
      <c r="P349" s="395"/>
      <c r="Q349" s="395"/>
      <c r="R349" s="394"/>
      <c r="S349" s="395"/>
      <c r="T349" s="395"/>
      <c r="U349" s="395"/>
      <c r="V349" s="395"/>
      <c r="W349" s="394"/>
      <c r="X349" s="395"/>
      <c r="Y349" s="395"/>
      <c r="Z349" s="395"/>
      <c r="AA349" s="395"/>
      <c r="AB349" s="394"/>
      <c r="AC349" s="395"/>
      <c r="AD349" s="395"/>
      <c r="AE349" s="395"/>
      <c r="AF349" s="395"/>
      <c r="AG349" s="394"/>
      <c r="AH349" s="395"/>
      <c r="AI349" s="395"/>
      <c r="AJ349" s="395"/>
      <c r="AK349" s="395"/>
      <c r="AL349" s="394"/>
      <c r="AM349" s="395"/>
      <c r="AN349" s="395"/>
      <c r="AO349" s="395"/>
      <c r="AP349" s="395"/>
      <c r="AQ349" s="394"/>
      <c r="AR349" s="395"/>
      <c r="AS349" s="395"/>
      <c r="AT349" s="395"/>
      <c r="AU349" s="395"/>
      <c r="AV349" s="394"/>
      <c r="AW349" s="395"/>
      <c r="AX349" s="395"/>
      <c r="AY349" s="395"/>
      <c r="AZ349" s="395"/>
      <c r="BA349" s="394"/>
      <c r="BB349" s="395"/>
      <c r="BC349" s="395"/>
      <c r="BD349" s="395"/>
      <c r="BE349" s="395"/>
      <c r="BF349" s="394"/>
      <c r="BG349" s="395"/>
      <c r="BH349" s="395"/>
      <c r="BI349" s="395"/>
      <c r="BJ349" s="395"/>
      <c r="BK349" s="394"/>
      <c r="BL349" s="395"/>
      <c r="BM349" s="395"/>
      <c r="BN349" s="395"/>
      <c r="BO349" s="395"/>
    </row>
    <row r="350" spans="1:67" s="58" customFormat="1">
      <c r="A350" s="107"/>
      <c r="C350" s="513"/>
      <c r="D350" s="514"/>
      <c r="E350" s="514"/>
      <c r="F350" s="514"/>
      <c r="G350" s="514"/>
      <c r="H350" s="513"/>
      <c r="I350" s="514"/>
      <c r="J350" s="514"/>
      <c r="K350" s="514"/>
      <c r="L350" s="514"/>
      <c r="M350" s="513"/>
      <c r="N350" s="514"/>
      <c r="O350" s="514"/>
      <c r="P350" s="514"/>
      <c r="Q350" s="514"/>
      <c r="R350" s="513"/>
      <c r="S350" s="514"/>
      <c r="T350" s="514"/>
      <c r="U350" s="514"/>
      <c r="V350" s="514"/>
      <c r="W350" s="513"/>
      <c r="X350" s="514"/>
      <c r="Y350" s="514"/>
      <c r="Z350" s="514"/>
      <c r="AA350" s="514"/>
      <c r="AB350" s="513"/>
      <c r="AC350" s="514"/>
      <c r="AD350" s="514"/>
      <c r="AE350" s="514"/>
      <c r="AF350" s="514"/>
      <c r="AG350" s="513"/>
      <c r="AH350" s="514"/>
      <c r="AI350" s="514"/>
      <c r="AJ350" s="514"/>
      <c r="AK350" s="514"/>
      <c r="AL350" s="513"/>
      <c r="AM350" s="514"/>
      <c r="AN350" s="514"/>
      <c r="AO350" s="514"/>
      <c r="AP350" s="514"/>
      <c r="AQ350" s="513"/>
      <c r="AR350" s="514"/>
      <c r="AS350" s="514"/>
      <c r="AT350" s="514"/>
      <c r="AU350" s="514"/>
      <c r="AV350" s="513"/>
      <c r="AW350" s="514"/>
      <c r="AX350" s="514"/>
      <c r="AY350" s="514"/>
      <c r="AZ350" s="514"/>
      <c r="BA350" s="513"/>
      <c r="BB350" s="514"/>
      <c r="BC350" s="514"/>
      <c r="BD350" s="514"/>
      <c r="BE350" s="514"/>
      <c r="BF350" s="513"/>
      <c r="BG350" s="514"/>
      <c r="BH350" s="514"/>
      <c r="BI350" s="514"/>
      <c r="BJ350" s="514"/>
      <c r="BK350" s="513"/>
      <c r="BL350" s="514"/>
      <c r="BM350" s="514"/>
      <c r="BN350" s="514"/>
      <c r="BO350" s="514"/>
    </row>
    <row r="351" spans="1:67" s="58" customFormat="1">
      <c r="A351" s="107"/>
      <c r="C351" s="502"/>
      <c r="D351" s="503"/>
      <c r="E351" s="503"/>
      <c r="F351" s="503"/>
      <c r="G351" s="503"/>
      <c r="H351" s="502"/>
      <c r="I351" s="503"/>
      <c r="J351" s="503"/>
      <c r="K351" s="503"/>
      <c r="L351" s="503"/>
      <c r="M351" s="502"/>
      <c r="N351" s="503"/>
      <c r="O351" s="503"/>
      <c r="P351" s="503"/>
      <c r="Q351" s="503"/>
      <c r="R351" s="502"/>
      <c r="S351" s="503"/>
      <c r="T351" s="503"/>
      <c r="U351" s="503"/>
      <c r="V351" s="503"/>
      <c r="W351" s="502"/>
      <c r="X351" s="503"/>
      <c r="Y351" s="503"/>
      <c r="Z351" s="503"/>
      <c r="AA351" s="503"/>
      <c r="AB351" s="502"/>
      <c r="AC351" s="503"/>
      <c r="AD351" s="503"/>
      <c r="AE351" s="503"/>
      <c r="AF351" s="503"/>
      <c r="AG351" s="502"/>
      <c r="AH351" s="503"/>
      <c r="AI351" s="503"/>
      <c r="AJ351" s="503"/>
      <c r="AK351" s="503"/>
      <c r="AL351" s="502"/>
      <c r="AM351" s="503"/>
      <c r="AN351" s="503"/>
      <c r="AO351" s="503"/>
      <c r="AP351" s="503"/>
      <c r="AQ351" s="502"/>
      <c r="AR351" s="503"/>
      <c r="AS351" s="503"/>
      <c r="AT351" s="503"/>
      <c r="AU351" s="503"/>
      <c r="AV351" s="502"/>
      <c r="AW351" s="503"/>
      <c r="AX351" s="503"/>
      <c r="AY351" s="503"/>
      <c r="AZ351" s="503"/>
      <c r="BA351" s="502"/>
      <c r="BB351" s="503"/>
      <c r="BC351" s="503"/>
      <c r="BD351" s="503"/>
      <c r="BE351" s="503"/>
      <c r="BF351" s="502"/>
      <c r="BG351" s="503"/>
      <c r="BH351" s="503"/>
      <c r="BI351" s="503"/>
      <c r="BJ351" s="503"/>
      <c r="BK351" s="502"/>
      <c r="BL351" s="503"/>
      <c r="BM351" s="503"/>
      <c r="BN351" s="503"/>
      <c r="BO351" s="503"/>
    </row>
    <row r="352" spans="1:67" s="58" customFormat="1">
      <c r="A352" s="107"/>
      <c r="C352" s="394"/>
      <c r="D352" s="395"/>
      <c r="E352" s="395"/>
      <c r="F352" s="395"/>
      <c r="G352" s="395"/>
      <c r="H352" s="394"/>
      <c r="I352" s="395"/>
      <c r="J352" s="395"/>
      <c r="K352" s="395"/>
      <c r="L352" s="395"/>
      <c r="M352" s="394"/>
      <c r="N352" s="395"/>
      <c r="O352" s="395"/>
      <c r="P352" s="395"/>
      <c r="Q352" s="395"/>
      <c r="R352" s="394"/>
      <c r="S352" s="395"/>
      <c r="T352" s="395"/>
      <c r="U352" s="395"/>
      <c r="V352" s="395"/>
      <c r="W352" s="394"/>
      <c r="X352" s="395"/>
      <c r="Y352" s="395"/>
      <c r="Z352" s="395"/>
      <c r="AA352" s="395"/>
      <c r="AB352" s="394"/>
      <c r="AC352" s="395"/>
      <c r="AD352" s="395"/>
      <c r="AE352" s="395"/>
      <c r="AF352" s="395"/>
      <c r="AG352" s="394"/>
      <c r="AH352" s="395"/>
      <c r="AI352" s="395"/>
      <c r="AJ352" s="395"/>
      <c r="AK352" s="395"/>
      <c r="AL352" s="394"/>
      <c r="AM352" s="395"/>
      <c r="AN352" s="395"/>
      <c r="AO352" s="395"/>
      <c r="AP352" s="395"/>
      <c r="AQ352" s="394"/>
      <c r="AR352" s="395"/>
      <c r="AS352" s="395"/>
      <c r="AT352" s="395"/>
      <c r="AU352" s="395"/>
      <c r="AV352" s="394"/>
      <c r="AW352" s="395"/>
      <c r="AX352" s="395"/>
      <c r="AY352" s="395"/>
      <c r="AZ352" s="395"/>
      <c r="BA352" s="394"/>
      <c r="BB352" s="395"/>
      <c r="BC352" s="395"/>
      <c r="BD352" s="395"/>
      <c r="BE352" s="395"/>
      <c r="BF352" s="394"/>
      <c r="BG352" s="395"/>
      <c r="BH352" s="395"/>
      <c r="BI352" s="395"/>
      <c r="BJ352" s="395"/>
      <c r="BK352" s="394"/>
      <c r="BL352" s="395"/>
      <c r="BM352" s="395"/>
      <c r="BN352" s="395"/>
      <c r="BO352" s="395"/>
    </row>
    <row r="353" spans="1:67" s="58" customFormat="1">
      <c r="A353" s="107"/>
      <c r="C353" s="463"/>
      <c r="D353" s="384"/>
      <c r="E353" s="384"/>
      <c r="F353" s="384"/>
      <c r="G353" s="384"/>
      <c r="H353" s="463"/>
      <c r="I353" s="384"/>
      <c r="J353" s="384"/>
      <c r="K353" s="384"/>
      <c r="L353" s="384"/>
      <c r="M353" s="463"/>
      <c r="N353" s="384"/>
      <c r="O353" s="384"/>
      <c r="P353" s="384"/>
      <c r="Q353" s="384"/>
      <c r="R353" s="463"/>
      <c r="S353" s="384"/>
      <c r="T353" s="384"/>
      <c r="U353" s="384"/>
      <c r="V353" s="384"/>
      <c r="W353" s="463"/>
      <c r="X353" s="384"/>
      <c r="Y353" s="384"/>
      <c r="Z353" s="384"/>
      <c r="AA353" s="384"/>
      <c r="AB353" s="463"/>
      <c r="AC353" s="384"/>
      <c r="AD353" s="384"/>
      <c r="AE353" s="384"/>
      <c r="AF353" s="384"/>
      <c r="AG353" s="463"/>
      <c r="AH353" s="384"/>
      <c r="AI353" s="384"/>
      <c r="AJ353" s="384"/>
      <c r="AK353" s="384"/>
      <c r="AL353" s="463"/>
      <c r="AM353" s="384"/>
      <c r="AN353" s="384"/>
      <c r="AO353" s="384"/>
      <c r="AP353" s="384"/>
      <c r="AQ353" s="463"/>
      <c r="AR353" s="384"/>
      <c r="AS353" s="384"/>
      <c r="AT353" s="384"/>
      <c r="AU353" s="384"/>
      <c r="AV353" s="463"/>
      <c r="AW353" s="384"/>
      <c r="AX353" s="384"/>
      <c r="AY353" s="384"/>
      <c r="AZ353" s="384"/>
      <c r="BA353" s="463"/>
      <c r="BB353" s="384"/>
      <c r="BC353" s="384"/>
      <c r="BD353" s="384"/>
      <c r="BE353" s="384"/>
      <c r="BF353" s="463"/>
      <c r="BG353" s="384"/>
      <c r="BH353" s="384"/>
      <c r="BI353" s="384"/>
      <c r="BJ353" s="384"/>
      <c r="BK353" s="463"/>
      <c r="BL353" s="384"/>
      <c r="BM353" s="384"/>
      <c r="BN353" s="384"/>
      <c r="BO353" s="384"/>
    </row>
    <row r="355" spans="1:67" s="58" customFormat="1">
      <c r="A355" s="107"/>
      <c r="C355" s="509"/>
      <c r="D355" s="510"/>
      <c r="E355" s="510"/>
      <c r="F355" s="510"/>
      <c r="G355" s="510"/>
      <c r="H355" s="509"/>
      <c r="I355" s="510"/>
      <c r="J355" s="510"/>
      <c r="K355" s="510"/>
      <c r="L355" s="510"/>
      <c r="M355" s="509"/>
      <c r="N355" s="510"/>
      <c r="O355" s="510"/>
      <c r="P355" s="510"/>
      <c r="Q355" s="510"/>
      <c r="R355" s="509"/>
      <c r="S355" s="510"/>
      <c r="T355" s="510"/>
      <c r="U355" s="510"/>
      <c r="V355" s="510"/>
      <c r="W355" s="509"/>
      <c r="X355" s="510"/>
      <c r="Y355" s="510"/>
      <c r="Z355" s="510"/>
      <c r="AA355" s="510"/>
      <c r="AB355" s="509"/>
      <c r="AC355" s="510"/>
      <c r="AD355" s="510"/>
      <c r="AE355" s="510"/>
      <c r="AF355" s="510"/>
      <c r="AG355" s="509"/>
      <c r="AH355" s="510"/>
      <c r="AI355" s="510"/>
      <c r="AJ355" s="510"/>
      <c r="AK355" s="510"/>
      <c r="AL355" s="509"/>
      <c r="AM355" s="510"/>
      <c r="AN355" s="510"/>
      <c r="AO355" s="510"/>
      <c r="AP355" s="510"/>
      <c r="AQ355" s="509"/>
      <c r="AR355" s="510"/>
      <c r="AS355" s="510"/>
      <c r="AT355" s="510"/>
      <c r="AU355" s="510"/>
      <c r="AV355" s="509"/>
      <c r="AW355" s="510"/>
      <c r="AX355" s="510"/>
      <c r="AY355" s="510"/>
      <c r="AZ355" s="510"/>
      <c r="BA355" s="509"/>
      <c r="BB355" s="510"/>
      <c r="BC355" s="510"/>
      <c r="BD355" s="510"/>
      <c r="BE355" s="510"/>
      <c r="BF355" s="509"/>
      <c r="BG355" s="510"/>
      <c r="BH355" s="510"/>
      <c r="BI355" s="510"/>
      <c r="BJ355" s="510"/>
      <c r="BK355" s="509"/>
      <c r="BL355" s="510"/>
      <c r="BM355" s="510"/>
      <c r="BN355" s="510"/>
      <c r="BO355" s="510"/>
    </row>
    <row r="356" spans="1:67" s="58" customFormat="1">
      <c r="A356" s="107"/>
      <c r="C356" s="463"/>
      <c r="D356" s="384"/>
      <c r="E356" s="384"/>
      <c r="F356" s="384"/>
      <c r="G356" s="384"/>
      <c r="H356" s="463"/>
      <c r="I356" s="384"/>
      <c r="J356" s="384"/>
      <c r="K356" s="384"/>
      <c r="L356" s="384"/>
      <c r="M356" s="463"/>
      <c r="N356" s="384"/>
      <c r="O356" s="384"/>
      <c r="P356" s="384"/>
      <c r="Q356" s="384"/>
      <c r="R356" s="463"/>
      <c r="S356" s="384"/>
      <c r="T356" s="384"/>
      <c r="U356" s="384"/>
      <c r="V356" s="384"/>
      <c r="W356" s="463"/>
      <c r="X356" s="384"/>
      <c r="Y356" s="384"/>
      <c r="Z356" s="384"/>
      <c r="AA356" s="384"/>
      <c r="AB356" s="463"/>
      <c r="AC356" s="384"/>
      <c r="AD356" s="384"/>
      <c r="AE356" s="384"/>
      <c r="AF356" s="384"/>
      <c r="AG356" s="463"/>
      <c r="AH356" s="384"/>
      <c r="AI356" s="384"/>
      <c r="AJ356" s="384"/>
      <c r="AK356" s="384"/>
      <c r="AL356" s="463"/>
      <c r="AM356" s="384"/>
      <c r="AN356" s="384"/>
      <c r="AO356" s="384"/>
      <c r="AP356" s="384"/>
      <c r="AQ356" s="463"/>
      <c r="AR356" s="384"/>
      <c r="AS356" s="384"/>
      <c r="AT356" s="384"/>
      <c r="AU356" s="384"/>
      <c r="AV356" s="463"/>
      <c r="AW356" s="384"/>
      <c r="AX356" s="384"/>
      <c r="AY356" s="384"/>
      <c r="AZ356" s="384"/>
      <c r="BA356" s="463"/>
      <c r="BB356" s="384"/>
      <c r="BC356" s="384"/>
      <c r="BD356" s="384"/>
      <c r="BE356" s="384"/>
      <c r="BF356" s="463"/>
      <c r="BG356" s="384"/>
      <c r="BH356" s="384"/>
      <c r="BI356" s="384"/>
      <c r="BJ356" s="384"/>
      <c r="BK356" s="463"/>
      <c r="BL356" s="384"/>
      <c r="BM356" s="384"/>
      <c r="BN356" s="384"/>
      <c r="BO356" s="384"/>
    </row>
    <row r="359" spans="1:67" s="58" customFormat="1">
      <c r="A359" s="107"/>
      <c r="C359" s="504"/>
      <c r="D359" s="505"/>
      <c r="E359" s="505"/>
      <c r="F359" s="505"/>
      <c r="G359" s="505"/>
      <c r="H359" s="504"/>
      <c r="I359" s="505"/>
      <c r="J359" s="505"/>
      <c r="K359" s="505"/>
      <c r="L359" s="505"/>
      <c r="M359" s="504"/>
      <c r="N359" s="505"/>
      <c r="O359" s="505"/>
      <c r="P359" s="505"/>
      <c r="Q359" s="505"/>
      <c r="R359" s="504"/>
      <c r="S359" s="505"/>
      <c r="T359" s="505"/>
      <c r="U359" s="505"/>
      <c r="V359" s="505"/>
      <c r="W359" s="504"/>
      <c r="X359" s="505"/>
      <c r="Y359" s="505"/>
      <c r="Z359" s="505"/>
      <c r="AA359" s="505"/>
      <c r="AB359" s="504"/>
      <c r="AC359" s="505"/>
      <c r="AD359" s="505"/>
      <c r="AE359" s="505"/>
      <c r="AF359" s="505"/>
      <c r="AG359" s="504"/>
      <c r="AH359" s="505"/>
      <c r="AI359" s="505"/>
      <c r="AJ359" s="505"/>
      <c r="AK359" s="505"/>
      <c r="AL359" s="504"/>
      <c r="AM359" s="505"/>
      <c r="AN359" s="505"/>
      <c r="AO359" s="505"/>
      <c r="AP359" s="505"/>
      <c r="AQ359" s="504"/>
      <c r="AR359" s="505"/>
      <c r="AS359" s="505"/>
      <c r="AT359" s="505"/>
      <c r="AU359" s="505"/>
      <c r="AV359" s="504"/>
      <c r="AW359" s="505"/>
      <c r="AX359" s="505"/>
      <c r="AY359" s="505"/>
      <c r="AZ359" s="505"/>
      <c r="BA359" s="504"/>
      <c r="BB359" s="505"/>
      <c r="BC359" s="505"/>
      <c r="BD359" s="505"/>
      <c r="BE359" s="505"/>
      <c r="BF359" s="504"/>
      <c r="BG359" s="505"/>
      <c r="BH359" s="505"/>
      <c r="BI359" s="505"/>
      <c r="BJ359" s="505"/>
      <c r="BK359" s="504"/>
      <c r="BL359" s="505"/>
      <c r="BM359" s="505"/>
      <c r="BN359" s="505"/>
      <c r="BO359" s="505"/>
    </row>
    <row r="362" spans="1:67" s="58" customFormat="1">
      <c r="A362" s="107"/>
      <c r="C362" s="513"/>
      <c r="D362" s="514"/>
      <c r="E362" s="514"/>
      <c r="F362" s="514"/>
      <c r="G362" s="514"/>
      <c r="H362" s="513"/>
      <c r="I362" s="514"/>
      <c r="J362" s="514"/>
      <c r="K362" s="514"/>
      <c r="L362" s="514"/>
      <c r="M362" s="513"/>
      <c r="N362" s="514"/>
      <c r="O362" s="514"/>
      <c r="P362" s="514"/>
      <c r="Q362" s="514"/>
      <c r="R362" s="513"/>
      <c r="S362" s="514"/>
      <c r="T362" s="514"/>
      <c r="U362" s="514"/>
      <c r="V362" s="514"/>
      <c r="W362" s="513"/>
      <c r="X362" s="514"/>
      <c r="Y362" s="514"/>
      <c r="Z362" s="514"/>
      <c r="AA362" s="514"/>
      <c r="AB362" s="513"/>
      <c r="AC362" s="514"/>
      <c r="AD362" s="514"/>
      <c r="AE362" s="514"/>
      <c r="AF362" s="514"/>
      <c r="AG362" s="513"/>
      <c r="AH362" s="514"/>
      <c r="AI362" s="514"/>
      <c r="AJ362" s="514"/>
      <c r="AK362" s="514"/>
      <c r="AL362" s="513"/>
      <c r="AM362" s="514"/>
      <c r="AN362" s="514"/>
      <c r="AO362" s="514"/>
      <c r="AP362" s="514"/>
      <c r="AQ362" s="513"/>
      <c r="AR362" s="514"/>
      <c r="AS362" s="514"/>
      <c r="AT362" s="514"/>
      <c r="AU362" s="514"/>
      <c r="AV362" s="513"/>
      <c r="AW362" s="514"/>
      <c r="AX362" s="514"/>
      <c r="AY362" s="514"/>
      <c r="AZ362" s="514"/>
      <c r="BA362" s="513"/>
      <c r="BB362" s="514"/>
      <c r="BC362" s="514"/>
      <c r="BD362" s="514"/>
      <c r="BE362" s="514"/>
      <c r="BF362" s="513"/>
      <c r="BG362" s="514"/>
      <c r="BH362" s="514"/>
      <c r="BI362" s="514"/>
      <c r="BJ362" s="514"/>
      <c r="BK362" s="513"/>
      <c r="BL362" s="514"/>
      <c r="BM362" s="514"/>
      <c r="BN362" s="514"/>
      <c r="BO362" s="514"/>
    </row>
    <row r="363" spans="1:67" s="58" customFormat="1">
      <c r="A363" s="107"/>
      <c r="C363" s="502"/>
      <c r="D363" s="503"/>
      <c r="E363" s="503"/>
      <c r="F363" s="503"/>
      <c r="G363" s="503"/>
      <c r="H363" s="502"/>
      <c r="I363" s="503"/>
      <c r="J363" s="503"/>
      <c r="K363" s="503"/>
      <c r="L363" s="503"/>
      <c r="M363" s="502"/>
      <c r="N363" s="503"/>
      <c r="O363" s="503"/>
      <c r="P363" s="503"/>
      <c r="Q363" s="503"/>
      <c r="R363" s="502"/>
      <c r="S363" s="503"/>
      <c r="T363" s="503"/>
      <c r="U363" s="503"/>
      <c r="V363" s="503"/>
      <c r="W363" s="502"/>
      <c r="X363" s="503"/>
      <c r="Y363" s="503"/>
      <c r="Z363" s="503"/>
      <c r="AA363" s="503"/>
      <c r="AB363" s="502"/>
      <c r="AC363" s="503"/>
      <c r="AD363" s="503"/>
      <c r="AE363" s="503"/>
      <c r="AF363" s="503"/>
      <c r="AG363" s="502"/>
      <c r="AH363" s="503"/>
      <c r="AI363" s="503"/>
      <c r="AJ363" s="503"/>
      <c r="AK363" s="503"/>
      <c r="AL363" s="502"/>
      <c r="AM363" s="503"/>
      <c r="AN363" s="503"/>
      <c r="AO363" s="503"/>
      <c r="AP363" s="503"/>
      <c r="AQ363" s="502"/>
      <c r="AR363" s="503"/>
      <c r="AS363" s="503"/>
      <c r="AT363" s="503"/>
      <c r="AU363" s="503"/>
      <c r="AV363" s="502"/>
      <c r="AW363" s="503"/>
      <c r="AX363" s="503"/>
      <c r="AY363" s="503"/>
      <c r="AZ363" s="503"/>
      <c r="BA363" s="502"/>
      <c r="BB363" s="503"/>
      <c r="BC363" s="503"/>
      <c r="BD363" s="503"/>
      <c r="BE363" s="503"/>
      <c r="BF363" s="502"/>
      <c r="BG363" s="503"/>
      <c r="BH363" s="503"/>
      <c r="BI363" s="503"/>
      <c r="BJ363" s="503"/>
      <c r="BK363" s="502"/>
      <c r="BL363" s="503"/>
      <c r="BM363" s="503"/>
      <c r="BN363" s="503"/>
      <c r="BO363" s="503"/>
    </row>
    <row r="365" spans="1:67" s="58" customFormat="1">
      <c r="A365" s="107"/>
      <c r="C365" s="463"/>
      <c r="D365" s="384"/>
      <c r="E365" s="384"/>
      <c r="F365" s="384"/>
      <c r="G365" s="384"/>
      <c r="H365" s="463"/>
      <c r="I365" s="384"/>
      <c r="J365" s="384"/>
      <c r="K365" s="384"/>
      <c r="L365" s="384"/>
      <c r="M365" s="463"/>
      <c r="N365" s="384"/>
      <c r="O365" s="384"/>
      <c r="P365" s="384"/>
      <c r="Q365" s="384"/>
      <c r="R365" s="463"/>
      <c r="S365" s="384"/>
      <c r="T365" s="384"/>
      <c r="U365" s="384"/>
      <c r="V365" s="384"/>
      <c r="W365" s="463"/>
      <c r="X365" s="384"/>
      <c r="Y365" s="384"/>
      <c r="Z365" s="384"/>
      <c r="AA365" s="384"/>
      <c r="AB365" s="463"/>
      <c r="AC365" s="384"/>
      <c r="AD365" s="384"/>
      <c r="AE365" s="384"/>
      <c r="AF365" s="384"/>
      <c r="AG365" s="463"/>
      <c r="AH365" s="384"/>
      <c r="AI365" s="384"/>
      <c r="AJ365" s="384"/>
      <c r="AK365" s="384"/>
      <c r="AL365" s="463"/>
      <c r="AM365" s="384"/>
      <c r="AN365" s="384"/>
      <c r="AO365" s="384"/>
      <c r="AP365" s="384"/>
      <c r="AQ365" s="463"/>
      <c r="AR365" s="384"/>
      <c r="AS365" s="384"/>
      <c r="AT365" s="384"/>
      <c r="AU365" s="384"/>
      <c r="AV365" s="463"/>
      <c r="AW365" s="384"/>
      <c r="AX365" s="384"/>
      <c r="AY365" s="384"/>
      <c r="AZ365" s="384"/>
      <c r="BA365" s="463"/>
      <c r="BB365" s="384"/>
      <c r="BC365" s="384"/>
      <c r="BD365" s="384"/>
      <c r="BE365" s="384"/>
      <c r="BF365" s="463"/>
      <c r="BG365" s="384"/>
      <c r="BH365" s="384"/>
      <c r="BI365" s="384"/>
      <c r="BJ365" s="384"/>
      <c r="BK365" s="463"/>
      <c r="BL365" s="384"/>
      <c r="BM365" s="384"/>
      <c r="BN365" s="384"/>
      <c r="BO365" s="384"/>
    </row>
    <row r="368" spans="1:67" s="58" customFormat="1">
      <c r="A368" s="107"/>
      <c r="C368" s="463"/>
      <c r="D368" s="384"/>
      <c r="E368" s="384"/>
      <c r="F368" s="384"/>
      <c r="G368" s="384"/>
      <c r="H368" s="463"/>
      <c r="I368" s="384"/>
      <c r="J368" s="384"/>
      <c r="K368" s="384"/>
      <c r="L368" s="384"/>
      <c r="M368" s="463"/>
      <c r="N368" s="384"/>
      <c r="O368" s="384"/>
      <c r="P368" s="384"/>
      <c r="Q368" s="384"/>
      <c r="R368" s="463"/>
      <c r="S368" s="384"/>
      <c r="T368" s="384"/>
      <c r="U368" s="384"/>
      <c r="V368" s="384"/>
      <c r="W368" s="463"/>
      <c r="X368" s="384"/>
      <c r="Y368" s="384"/>
      <c r="Z368" s="384"/>
      <c r="AA368" s="384"/>
      <c r="AB368" s="463"/>
      <c r="AC368" s="384"/>
      <c r="AD368" s="384"/>
      <c r="AE368" s="384"/>
      <c r="AF368" s="384"/>
      <c r="AG368" s="463"/>
      <c r="AH368" s="384"/>
      <c r="AI368" s="384"/>
      <c r="AJ368" s="384"/>
      <c r="AK368" s="384"/>
      <c r="AL368" s="463"/>
      <c r="AM368" s="384"/>
      <c r="AN368" s="384"/>
      <c r="AO368" s="384"/>
      <c r="AP368" s="384"/>
      <c r="AQ368" s="463"/>
      <c r="AR368" s="384"/>
      <c r="AS368" s="384"/>
      <c r="AT368" s="384"/>
      <c r="AU368" s="384"/>
      <c r="AV368" s="463"/>
      <c r="AW368" s="384"/>
      <c r="AX368" s="384"/>
      <c r="AY368" s="384"/>
      <c r="AZ368" s="384"/>
      <c r="BA368" s="463"/>
      <c r="BB368" s="384"/>
      <c r="BC368" s="384"/>
      <c r="BD368" s="384"/>
      <c r="BE368" s="384"/>
      <c r="BF368" s="463"/>
      <c r="BG368" s="384"/>
      <c r="BH368" s="384"/>
      <c r="BI368" s="384"/>
      <c r="BJ368" s="384"/>
      <c r="BK368" s="463"/>
      <c r="BL368" s="384"/>
      <c r="BM368" s="384"/>
      <c r="BN368" s="384"/>
      <c r="BO368" s="384"/>
    </row>
    <row r="370" spans="1:67" s="58" customFormat="1">
      <c r="A370" s="107"/>
      <c r="C370" s="508"/>
      <c r="D370" s="501"/>
      <c r="E370" s="501"/>
      <c r="F370" s="501"/>
      <c r="G370" s="501"/>
      <c r="H370" s="508"/>
      <c r="I370" s="501"/>
      <c r="J370" s="501"/>
      <c r="K370" s="501"/>
      <c r="L370" s="501"/>
      <c r="M370" s="508"/>
      <c r="N370" s="501"/>
      <c r="O370" s="501"/>
      <c r="P370" s="501"/>
      <c r="Q370" s="501"/>
      <c r="R370" s="508"/>
      <c r="S370" s="501"/>
      <c r="T370" s="501"/>
      <c r="U370" s="501"/>
      <c r="V370" s="501"/>
      <c r="W370" s="508"/>
      <c r="X370" s="501"/>
      <c r="Y370" s="501"/>
      <c r="Z370" s="501"/>
      <c r="AA370" s="501"/>
      <c r="AB370" s="508"/>
      <c r="AC370" s="501"/>
      <c r="AD370" s="501"/>
      <c r="AE370" s="501"/>
      <c r="AF370" s="501"/>
      <c r="AG370" s="508"/>
      <c r="AH370" s="501"/>
      <c r="AI370" s="501"/>
      <c r="AJ370" s="501"/>
      <c r="AK370" s="501"/>
      <c r="AL370" s="508"/>
      <c r="AM370" s="501"/>
      <c r="AN370" s="501"/>
      <c r="AO370" s="501"/>
      <c r="AP370" s="501"/>
      <c r="AQ370" s="508"/>
      <c r="AR370" s="501"/>
      <c r="AS370" s="501"/>
      <c r="AT370" s="501"/>
      <c r="AU370" s="501"/>
      <c r="AV370" s="508"/>
      <c r="AW370" s="501"/>
      <c r="AX370" s="501"/>
      <c r="AY370" s="501"/>
      <c r="AZ370" s="501"/>
      <c r="BA370" s="508"/>
      <c r="BB370" s="501"/>
      <c r="BC370" s="501"/>
      <c r="BD370" s="501"/>
      <c r="BE370" s="501"/>
      <c r="BF370" s="508"/>
      <c r="BG370" s="501"/>
      <c r="BH370" s="501"/>
      <c r="BI370" s="501"/>
      <c r="BJ370" s="501"/>
      <c r="BK370" s="508"/>
      <c r="BL370" s="501"/>
      <c r="BM370" s="501"/>
      <c r="BN370" s="501"/>
      <c r="BO370" s="501"/>
    </row>
    <row r="371" spans="1:67" s="58" customFormat="1">
      <c r="A371" s="107"/>
      <c r="C371" s="502"/>
      <c r="D371" s="503"/>
      <c r="E371" s="503"/>
      <c r="F371" s="503"/>
      <c r="G371" s="503"/>
      <c r="H371" s="502"/>
      <c r="I371" s="503"/>
      <c r="J371" s="503"/>
      <c r="K371" s="503"/>
      <c r="L371" s="503"/>
      <c r="M371" s="502"/>
      <c r="N371" s="503"/>
      <c r="O371" s="503"/>
      <c r="P371" s="503"/>
      <c r="Q371" s="503"/>
      <c r="R371" s="502"/>
      <c r="S371" s="503"/>
      <c r="T371" s="503"/>
      <c r="U371" s="503"/>
      <c r="V371" s="503"/>
      <c r="W371" s="502"/>
      <c r="X371" s="503"/>
      <c r="Y371" s="503"/>
      <c r="Z371" s="503"/>
      <c r="AA371" s="503"/>
      <c r="AB371" s="502"/>
      <c r="AC371" s="503"/>
      <c r="AD371" s="503"/>
      <c r="AE371" s="503"/>
      <c r="AF371" s="503"/>
      <c r="AG371" s="502"/>
      <c r="AH371" s="503"/>
      <c r="AI371" s="503"/>
      <c r="AJ371" s="503"/>
      <c r="AK371" s="503"/>
      <c r="AL371" s="502"/>
      <c r="AM371" s="503"/>
      <c r="AN371" s="503"/>
      <c r="AO371" s="503"/>
      <c r="AP371" s="503"/>
      <c r="AQ371" s="502"/>
      <c r="AR371" s="503"/>
      <c r="AS371" s="503"/>
      <c r="AT371" s="503"/>
      <c r="AU371" s="503"/>
      <c r="AV371" s="502"/>
      <c r="AW371" s="503"/>
      <c r="AX371" s="503"/>
      <c r="AY371" s="503"/>
      <c r="AZ371" s="503"/>
      <c r="BA371" s="502"/>
      <c r="BB371" s="503"/>
      <c r="BC371" s="503"/>
      <c r="BD371" s="503"/>
      <c r="BE371" s="503"/>
      <c r="BF371" s="502"/>
      <c r="BG371" s="503"/>
      <c r="BH371" s="503"/>
      <c r="BI371" s="503"/>
      <c r="BJ371" s="503"/>
      <c r="BK371" s="502"/>
      <c r="BL371" s="503"/>
      <c r="BM371" s="503"/>
      <c r="BN371" s="503"/>
      <c r="BO371" s="503"/>
    </row>
    <row r="373" spans="1:67" s="58" customFormat="1">
      <c r="A373" s="107"/>
      <c r="C373" s="463"/>
      <c r="D373" s="384"/>
      <c r="E373" s="384"/>
      <c r="F373" s="384"/>
      <c r="G373" s="384"/>
      <c r="H373" s="463"/>
      <c r="I373" s="384"/>
      <c r="J373" s="384"/>
      <c r="K373" s="384"/>
      <c r="L373" s="384"/>
      <c r="M373" s="463"/>
      <c r="N373" s="384"/>
      <c r="O373" s="384"/>
      <c r="P373" s="384"/>
      <c r="Q373" s="384"/>
      <c r="R373" s="463"/>
      <c r="S373" s="384"/>
      <c r="T373" s="384"/>
      <c r="U373" s="384"/>
      <c r="V373" s="384"/>
      <c r="W373" s="463"/>
      <c r="X373" s="384"/>
      <c r="Y373" s="384"/>
      <c r="Z373" s="384"/>
      <c r="AA373" s="384"/>
      <c r="AB373" s="463"/>
      <c r="AC373" s="384"/>
      <c r="AD373" s="384"/>
      <c r="AE373" s="384"/>
      <c r="AF373" s="384"/>
      <c r="AG373" s="463"/>
      <c r="AH373" s="384"/>
      <c r="AI373" s="384"/>
      <c r="AJ373" s="384"/>
      <c r="AK373" s="384"/>
      <c r="AL373" s="463"/>
      <c r="AM373" s="384"/>
      <c r="AN373" s="384"/>
      <c r="AO373" s="384"/>
      <c r="AP373" s="384"/>
      <c r="AQ373" s="463"/>
      <c r="AR373" s="384"/>
      <c r="AS373" s="384"/>
      <c r="AT373" s="384"/>
      <c r="AU373" s="384"/>
      <c r="AV373" s="463"/>
      <c r="AW373" s="384"/>
      <c r="AX373" s="384"/>
      <c r="AY373" s="384"/>
      <c r="AZ373" s="384"/>
      <c r="BA373" s="463"/>
      <c r="BB373" s="384"/>
      <c r="BC373" s="384"/>
      <c r="BD373" s="384"/>
      <c r="BE373" s="384"/>
      <c r="BF373" s="463"/>
      <c r="BG373" s="384"/>
      <c r="BH373" s="384"/>
      <c r="BI373" s="384"/>
      <c r="BJ373" s="384"/>
      <c r="BK373" s="463"/>
      <c r="BL373" s="384"/>
      <c r="BM373" s="384"/>
      <c r="BN373" s="384"/>
      <c r="BO373" s="384"/>
    </row>
    <row r="375" spans="1:67" s="58" customFormat="1">
      <c r="A375" s="107"/>
      <c r="C375" s="497"/>
      <c r="D375" s="498"/>
      <c r="E375" s="498"/>
      <c r="F375" s="498"/>
      <c r="G375" s="498"/>
      <c r="H375" s="497"/>
      <c r="I375" s="498"/>
      <c r="J375" s="498"/>
      <c r="K375" s="498"/>
      <c r="L375" s="498"/>
      <c r="M375" s="497"/>
      <c r="N375" s="498"/>
      <c r="O375" s="498"/>
      <c r="P375" s="498"/>
      <c r="Q375" s="498"/>
      <c r="R375" s="497"/>
      <c r="S375" s="498"/>
      <c r="T375" s="498"/>
      <c r="U375" s="498"/>
      <c r="V375" s="498"/>
      <c r="W375" s="497"/>
      <c r="X375" s="498"/>
      <c r="Y375" s="498"/>
      <c r="Z375" s="498"/>
      <c r="AA375" s="498"/>
      <c r="AB375" s="497"/>
      <c r="AC375" s="498"/>
      <c r="AD375" s="498"/>
      <c r="AE375" s="498"/>
      <c r="AF375" s="498"/>
      <c r="AG375" s="497"/>
      <c r="AH375" s="498"/>
      <c r="AI375" s="498"/>
      <c r="AJ375" s="498"/>
      <c r="AK375" s="498"/>
      <c r="AL375" s="497"/>
      <c r="AM375" s="498"/>
      <c r="AN375" s="498"/>
      <c r="AO375" s="498"/>
      <c r="AP375" s="498"/>
      <c r="AQ375" s="497"/>
      <c r="AR375" s="498"/>
      <c r="AS375" s="498"/>
      <c r="AT375" s="498"/>
      <c r="AU375" s="498"/>
      <c r="AV375" s="497"/>
      <c r="AW375" s="498"/>
      <c r="AX375" s="498"/>
      <c r="AY375" s="498"/>
      <c r="AZ375" s="498"/>
      <c r="BA375" s="497"/>
      <c r="BB375" s="498"/>
      <c r="BC375" s="498"/>
      <c r="BD375" s="498"/>
      <c r="BE375" s="498"/>
      <c r="BF375" s="497"/>
      <c r="BG375" s="498"/>
      <c r="BH375" s="498"/>
      <c r="BI375" s="498"/>
      <c r="BJ375" s="498"/>
      <c r="BK375" s="497"/>
      <c r="BL375" s="498"/>
      <c r="BM375" s="498"/>
      <c r="BN375" s="498"/>
      <c r="BO375" s="498"/>
    </row>
    <row r="376" spans="1:67" s="58" customFormat="1">
      <c r="A376" s="107"/>
      <c r="C376" s="463"/>
      <c r="D376" s="384"/>
      <c r="E376" s="384"/>
      <c r="F376" s="384"/>
      <c r="G376" s="384"/>
      <c r="H376" s="463"/>
      <c r="I376" s="384"/>
      <c r="J376" s="384"/>
      <c r="K376" s="384"/>
      <c r="L376" s="384"/>
      <c r="M376" s="463"/>
      <c r="N376" s="384"/>
      <c r="O376" s="384"/>
      <c r="P376" s="384"/>
      <c r="Q376" s="384"/>
      <c r="R376" s="463"/>
      <c r="S376" s="384"/>
      <c r="T376" s="384"/>
      <c r="U376" s="384"/>
      <c r="V376" s="384"/>
      <c r="W376" s="463"/>
      <c r="X376" s="384"/>
      <c r="Y376" s="384"/>
      <c r="Z376" s="384"/>
      <c r="AA376" s="384"/>
      <c r="AB376" s="463"/>
      <c r="AC376" s="384"/>
      <c r="AD376" s="384"/>
      <c r="AE376" s="384"/>
      <c r="AF376" s="384"/>
      <c r="AG376" s="463"/>
      <c r="AH376" s="384"/>
      <c r="AI376" s="384"/>
      <c r="AJ376" s="384"/>
      <c r="AK376" s="384"/>
      <c r="AL376" s="463"/>
      <c r="AM376" s="384"/>
      <c r="AN376" s="384"/>
      <c r="AO376" s="384"/>
      <c r="AP376" s="384"/>
      <c r="AQ376" s="463"/>
      <c r="AR376" s="384"/>
      <c r="AS376" s="384"/>
      <c r="AT376" s="384"/>
      <c r="AU376" s="384"/>
      <c r="AV376" s="463"/>
      <c r="AW376" s="384"/>
      <c r="AX376" s="384"/>
      <c r="AY376" s="384"/>
      <c r="AZ376" s="384"/>
      <c r="BA376" s="463"/>
      <c r="BB376" s="384"/>
      <c r="BC376" s="384"/>
      <c r="BD376" s="384"/>
      <c r="BE376" s="384"/>
      <c r="BF376" s="463"/>
      <c r="BG376" s="384"/>
      <c r="BH376" s="384"/>
      <c r="BI376" s="384"/>
      <c r="BJ376" s="384"/>
      <c r="BK376" s="463"/>
      <c r="BL376" s="384"/>
      <c r="BM376" s="384"/>
      <c r="BN376" s="384"/>
      <c r="BO376" s="384"/>
    </row>
    <row r="380" spans="1:67" s="58" customFormat="1">
      <c r="A380" s="107"/>
      <c r="C380" s="463"/>
      <c r="D380" s="384"/>
      <c r="E380" s="384"/>
      <c r="F380" s="384"/>
      <c r="G380" s="384"/>
      <c r="H380" s="463"/>
      <c r="I380" s="384"/>
      <c r="J380" s="384"/>
      <c r="K380" s="384"/>
      <c r="L380" s="384"/>
      <c r="M380" s="463"/>
      <c r="N380" s="384"/>
      <c r="O380" s="384"/>
      <c r="P380" s="384"/>
      <c r="Q380" s="384"/>
      <c r="R380" s="463"/>
      <c r="S380" s="384"/>
      <c r="T380" s="384"/>
      <c r="U380" s="384"/>
      <c r="V380" s="384"/>
      <c r="W380" s="463"/>
      <c r="X380" s="384"/>
      <c r="Y380" s="384"/>
      <c r="Z380" s="384"/>
      <c r="AA380" s="384"/>
      <c r="AB380" s="463"/>
      <c r="AC380" s="384"/>
      <c r="AD380" s="384"/>
      <c r="AE380" s="384"/>
      <c r="AF380" s="384"/>
      <c r="AG380" s="463"/>
      <c r="AH380" s="384"/>
      <c r="AI380" s="384"/>
      <c r="AJ380" s="384"/>
      <c r="AK380" s="384"/>
      <c r="AL380" s="463"/>
      <c r="AM380" s="384"/>
      <c r="AN380" s="384"/>
      <c r="AO380" s="384"/>
      <c r="AP380" s="384"/>
      <c r="AQ380" s="463"/>
      <c r="AR380" s="384"/>
      <c r="AS380" s="384"/>
      <c r="AT380" s="384"/>
      <c r="AU380" s="384"/>
      <c r="AV380" s="463"/>
      <c r="AW380" s="384"/>
      <c r="AX380" s="384"/>
      <c r="AY380" s="384"/>
      <c r="AZ380" s="384"/>
      <c r="BA380" s="463"/>
      <c r="BB380" s="384"/>
      <c r="BC380" s="384"/>
      <c r="BD380" s="384"/>
      <c r="BE380" s="384"/>
      <c r="BF380" s="463"/>
      <c r="BG380" s="384"/>
      <c r="BH380" s="384"/>
      <c r="BI380" s="384"/>
      <c r="BJ380" s="384"/>
      <c r="BK380" s="463"/>
      <c r="BL380" s="384"/>
      <c r="BM380" s="384"/>
      <c r="BN380" s="384"/>
      <c r="BO380" s="384"/>
    </row>
    <row r="381" spans="1:67" s="58" customFormat="1">
      <c r="A381" s="107"/>
      <c r="C381" s="463"/>
      <c r="D381" s="384"/>
      <c r="E381" s="384"/>
      <c r="F381" s="384"/>
      <c r="G381" s="384"/>
      <c r="H381" s="463"/>
      <c r="I381" s="384"/>
      <c r="J381" s="384"/>
      <c r="K381" s="384"/>
      <c r="L381" s="384"/>
      <c r="M381" s="463"/>
      <c r="N381" s="384"/>
      <c r="O381" s="384"/>
      <c r="P381" s="384"/>
      <c r="Q381" s="384"/>
      <c r="R381" s="463"/>
      <c r="S381" s="384"/>
      <c r="T381" s="384"/>
      <c r="U381" s="384"/>
      <c r="V381" s="384"/>
      <c r="W381" s="463"/>
      <c r="X381" s="384"/>
      <c r="Y381" s="384"/>
      <c r="Z381" s="384"/>
      <c r="AA381" s="384"/>
      <c r="AB381" s="463"/>
      <c r="AC381" s="384"/>
      <c r="AD381" s="384"/>
      <c r="AE381" s="384"/>
      <c r="AF381" s="384"/>
      <c r="AG381" s="463"/>
      <c r="AH381" s="384"/>
      <c r="AI381" s="384"/>
      <c r="AJ381" s="384"/>
      <c r="AK381" s="384"/>
      <c r="AL381" s="463"/>
      <c r="AM381" s="384"/>
      <c r="AN381" s="384"/>
      <c r="AO381" s="384"/>
      <c r="AP381" s="384"/>
      <c r="AQ381" s="463"/>
      <c r="AR381" s="384"/>
      <c r="AS381" s="384"/>
      <c r="AT381" s="384"/>
      <c r="AU381" s="384"/>
      <c r="AV381" s="463"/>
      <c r="AW381" s="384"/>
      <c r="AX381" s="384"/>
      <c r="AY381" s="384"/>
      <c r="AZ381" s="384"/>
      <c r="BA381" s="463"/>
      <c r="BB381" s="384"/>
      <c r="BC381" s="384"/>
      <c r="BD381" s="384"/>
      <c r="BE381" s="384"/>
      <c r="BF381" s="463"/>
      <c r="BG381" s="384"/>
      <c r="BH381" s="384"/>
      <c r="BI381" s="384"/>
      <c r="BJ381" s="384"/>
      <c r="BK381" s="463"/>
      <c r="BL381" s="384"/>
      <c r="BM381" s="384"/>
      <c r="BN381" s="384"/>
      <c r="BO381" s="384"/>
    </row>
    <row r="382" spans="1:67" s="58" customFormat="1">
      <c r="A382" s="107"/>
      <c r="C382" s="504"/>
      <c r="D382" s="505"/>
      <c r="E382" s="505"/>
      <c r="F382" s="505"/>
      <c r="G382" s="505"/>
      <c r="H382" s="504"/>
      <c r="I382" s="505"/>
      <c r="J382" s="505"/>
      <c r="K382" s="505"/>
      <c r="L382" s="505"/>
      <c r="M382" s="504"/>
      <c r="N382" s="505"/>
      <c r="O382" s="505"/>
      <c r="P382" s="505"/>
      <c r="Q382" s="505"/>
      <c r="R382" s="504"/>
      <c r="S382" s="505"/>
      <c r="T382" s="505"/>
      <c r="U382" s="505"/>
      <c r="V382" s="505"/>
      <c r="W382" s="504"/>
      <c r="X382" s="505"/>
      <c r="Y382" s="505"/>
      <c r="Z382" s="505"/>
      <c r="AA382" s="505"/>
      <c r="AB382" s="504"/>
      <c r="AC382" s="505"/>
      <c r="AD382" s="505"/>
      <c r="AE382" s="505"/>
      <c r="AF382" s="505"/>
      <c r="AG382" s="504"/>
      <c r="AH382" s="505"/>
      <c r="AI382" s="505"/>
      <c r="AJ382" s="505"/>
      <c r="AK382" s="505"/>
      <c r="AL382" s="504"/>
      <c r="AM382" s="505"/>
      <c r="AN382" s="505"/>
      <c r="AO382" s="505"/>
      <c r="AP382" s="505"/>
      <c r="AQ382" s="504"/>
      <c r="AR382" s="505"/>
      <c r="AS382" s="505"/>
      <c r="AT382" s="505"/>
      <c r="AU382" s="505"/>
      <c r="AV382" s="504"/>
      <c r="AW382" s="505"/>
      <c r="AX382" s="505"/>
      <c r="AY382" s="505"/>
      <c r="AZ382" s="505"/>
      <c r="BA382" s="504"/>
      <c r="BB382" s="505"/>
      <c r="BC382" s="505"/>
      <c r="BD382" s="505"/>
      <c r="BE382" s="505"/>
      <c r="BF382" s="504"/>
      <c r="BG382" s="505"/>
      <c r="BH382" s="505"/>
      <c r="BI382" s="505"/>
      <c r="BJ382" s="505"/>
      <c r="BK382" s="504"/>
      <c r="BL382" s="505"/>
      <c r="BM382" s="505"/>
      <c r="BN382" s="505"/>
      <c r="BO382" s="505"/>
    </row>
    <row r="383" spans="1:67" s="58" customFormat="1">
      <c r="A383" s="107"/>
      <c r="C383" s="463"/>
      <c r="D383" s="384"/>
      <c r="E383" s="384"/>
      <c r="F383" s="384"/>
      <c r="G383" s="384"/>
      <c r="H383" s="463"/>
      <c r="I383" s="384"/>
      <c r="J383" s="384"/>
      <c r="K383" s="384"/>
      <c r="L383" s="384"/>
      <c r="M383" s="463"/>
      <c r="N383" s="384"/>
      <c r="O383" s="384"/>
      <c r="P383" s="384"/>
      <c r="Q383" s="384"/>
      <c r="R383" s="463"/>
      <c r="S383" s="384"/>
      <c r="T383" s="384"/>
      <c r="U383" s="384"/>
      <c r="V383" s="384"/>
      <c r="W383" s="463"/>
      <c r="X383" s="384"/>
      <c r="Y383" s="384"/>
      <c r="Z383" s="384"/>
      <c r="AA383" s="384"/>
      <c r="AB383" s="463"/>
      <c r="AC383" s="384"/>
      <c r="AD383" s="384"/>
      <c r="AE383" s="384"/>
      <c r="AF383" s="384"/>
      <c r="AG383" s="463"/>
      <c r="AH383" s="384"/>
      <c r="AI383" s="384"/>
      <c r="AJ383" s="384"/>
      <c r="AK383" s="384"/>
      <c r="AL383" s="463"/>
      <c r="AM383" s="384"/>
      <c r="AN383" s="384"/>
      <c r="AO383" s="384"/>
      <c r="AP383" s="384"/>
      <c r="AQ383" s="463"/>
      <c r="AR383" s="384"/>
      <c r="AS383" s="384"/>
      <c r="AT383" s="384"/>
      <c r="AU383" s="384"/>
      <c r="AV383" s="463"/>
      <c r="AW383" s="384"/>
      <c r="AX383" s="384"/>
      <c r="AY383" s="384"/>
      <c r="AZ383" s="384"/>
      <c r="BA383" s="463"/>
      <c r="BB383" s="384"/>
      <c r="BC383" s="384"/>
      <c r="BD383" s="384"/>
      <c r="BE383" s="384"/>
      <c r="BF383" s="463"/>
      <c r="BG383" s="384"/>
      <c r="BH383" s="384"/>
      <c r="BI383" s="384"/>
      <c r="BJ383" s="384"/>
      <c r="BK383" s="463"/>
      <c r="BL383" s="384"/>
      <c r="BM383" s="384"/>
      <c r="BN383" s="384"/>
      <c r="BO383" s="384"/>
    </row>
    <row r="384" spans="1:67" s="58" customFormat="1">
      <c r="A384" s="107"/>
      <c r="C384" s="511"/>
      <c r="D384" s="512"/>
      <c r="E384" s="512"/>
      <c r="F384" s="512"/>
      <c r="G384" s="512"/>
      <c r="H384" s="511"/>
      <c r="I384" s="512"/>
      <c r="J384" s="512"/>
      <c r="K384" s="512"/>
      <c r="L384" s="512"/>
      <c r="M384" s="511"/>
      <c r="N384" s="512"/>
      <c r="O384" s="512"/>
      <c r="P384" s="512"/>
      <c r="Q384" s="512"/>
      <c r="R384" s="511"/>
      <c r="S384" s="512"/>
      <c r="T384" s="512"/>
      <c r="U384" s="512"/>
      <c r="V384" s="512"/>
      <c r="W384" s="511"/>
      <c r="X384" s="512"/>
      <c r="Y384" s="512"/>
      <c r="Z384" s="512"/>
      <c r="AA384" s="512"/>
      <c r="AB384" s="511"/>
      <c r="AC384" s="512"/>
      <c r="AD384" s="512"/>
      <c r="AE384" s="512"/>
      <c r="AF384" s="512"/>
      <c r="AG384" s="511"/>
      <c r="AH384" s="512"/>
      <c r="AI384" s="512"/>
      <c r="AJ384" s="512"/>
      <c r="AK384" s="512"/>
      <c r="AL384" s="511"/>
      <c r="AM384" s="512"/>
      <c r="AN384" s="512"/>
      <c r="AO384" s="512"/>
      <c r="AP384" s="512"/>
      <c r="AQ384" s="511"/>
      <c r="AR384" s="512"/>
      <c r="AS384" s="512"/>
      <c r="AT384" s="512"/>
      <c r="AU384" s="512"/>
      <c r="AV384" s="511"/>
      <c r="AW384" s="512"/>
      <c r="AX384" s="512"/>
      <c r="AY384" s="512"/>
      <c r="AZ384" s="512"/>
      <c r="BA384" s="511"/>
      <c r="BB384" s="512"/>
      <c r="BC384" s="512"/>
      <c r="BD384" s="512"/>
      <c r="BE384" s="512"/>
      <c r="BF384" s="511"/>
      <c r="BG384" s="512"/>
      <c r="BH384" s="512"/>
      <c r="BI384" s="512"/>
      <c r="BJ384" s="512"/>
      <c r="BK384" s="511"/>
      <c r="BL384" s="512"/>
      <c r="BM384" s="512"/>
      <c r="BN384" s="512"/>
      <c r="BO384" s="512"/>
    </row>
    <row r="387" spans="1:67" s="58" customFormat="1">
      <c r="A387" s="107"/>
      <c r="C387" s="504"/>
      <c r="D387" s="505"/>
      <c r="E387" s="505"/>
      <c r="F387" s="505"/>
      <c r="G387" s="505"/>
      <c r="H387" s="504"/>
      <c r="I387" s="505"/>
      <c r="J387" s="505"/>
      <c r="K387" s="505"/>
      <c r="L387" s="505"/>
      <c r="M387" s="504"/>
      <c r="N387" s="505"/>
      <c r="O387" s="505"/>
      <c r="P387" s="505"/>
      <c r="Q387" s="505"/>
      <c r="R387" s="504"/>
      <c r="S387" s="505"/>
      <c r="T387" s="505"/>
      <c r="U387" s="505"/>
      <c r="V387" s="505"/>
      <c r="W387" s="504"/>
      <c r="X387" s="505"/>
      <c r="Y387" s="505"/>
      <c r="Z387" s="505"/>
      <c r="AA387" s="505"/>
      <c r="AB387" s="504"/>
      <c r="AC387" s="505"/>
      <c r="AD387" s="505"/>
      <c r="AE387" s="505"/>
      <c r="AF387" s="505"/>
      <c r="AG387" s="504"/>
      <c r="AH387" s="505"/>
      <c r="AI387" s="505"/>
      <c r="AJ387" s="505"/>
      <c r="AK387" s="505"/>
      <c r="AL387" s="504"/>
      <c r="AM387" s="505"/>
      <c r="AN387" s="505"/>
      <c r="AO387" s="505"/>
      <c r="AP387" s="505"/>
      <c r="AQ387" s="504"/>
      <c r="AR387" s="505"/>
      <c r="AS387" s="505"/>
      <c r="AT387" s="505"/>
      <c r="AU387" s="505"/>
      <c r="AV387" s="504"/>
      <c r="AW387" s="505"/>
      <c r="AX387" s="505"/>
      <c r="AY387" s="505"/>
      <c r="AZ387" s="505"/>
      <c r="BA387" s="504"/>
      <c r="BB387" s="505"/>
      <c r="BC387" s="505"/>
      <c r="BD387" s="505"/>
      <c r="BE387" s="505"/>
      <c r="BF387" s="504"/>
      <c r="BG387" s="505"/>
      <c r="BH387" s="505"/>
      <c r="BI387" s="505"/>
      <c r="BJ387" s="505"/>
      <c r="BK387" s="504"/>
      <c r="BL387" s="505"/>
      <c r="BM387" s="505"/>
      <c r="BN387" s="505"/>
      <c r="BO387" s="505"/>
    </row>
    <row r="388" spans="1:67" s="58" customFormat="1">
      <c r="A388" s="107"/>
      <c r="C388" s="463"/>
      <c r="D388" s="384"/>
      <c r="E388" s="384"/>
      <c r="F388" s="384"/>
      <c r="G388" s="384"/>
      <c r="H388" s="463"/>
      <c r="I388" s="384"/>
      <c r="J388" s="384"/>
      <c r="K388" s="384"/>
      <c r="L388" s="384"/>
      <c r="M388" s="463"/>
      <c r="N388" s="384"/>
      <c r="O388" s="384"/>
      <c r="P388" s="384"/>
      <c r="Q388" s="384"/>
      <c r="R388" s="463"/>
      <c r="S388" s="384"/>
      <c r="T388" s="384"/>
      <c r="U388" s="384"/>
      <c r="V388" s="384"/>
      <c r="W388" s="463"/>
      <c r="X388" s="384"/>
      <c r="Y388" s="384"/>
      <c r="Z388" s="384"/>
      <c r="AA388" s="384"/>
      <c r="AB388" s="463"/>
      <c r="AC388" s="384"/>
      <c r="AD388" s="384"/>
      <c r="AE388" s="384"/>
      <c r="AF388" s="384"/>
      <c r="AG388" s="463"/>
      <c r="AH388" s="384"/>
      <c r="AI388" s="384"/>
      <c r="AJ388" s="384"/>
      <c r="AK388" s="384"/>
      <c r="AL388" s="463"/>
      <c r="AM388" s="384"/>
      <c r="AN388" s="384"/>
      <c r="AO388" s="384"/>
      <c r="AP388" s="384"/>
      <c r="AQ388" s="463"/>
      <c r="AR388" s="384"/>
      <c r="AS388" s="384"/>
      <c r="AT388" s="384"/>
      <c r="AU388" s="384"/>
      <c r="AV388" s="463"/>
      <c r="AW388" s="384"/>
      <c r="AX388" s="384"/>
      <c r="AY388" s="384"/>
      <c r="AZ388" s="384"/>
      <c r="BA388" s="463"/>
      <c r="BB388" s="384"/>
      <c r="BC388" s="384"/>
      <c r="BD388" s="384"/>
      <c r="BE388" s="384"/>
      <c r="BF388" s="463"/>
      <c r="BG388" s="384"/>
      <c r="BH388" s="384"/>
      <c r="BI388" s="384"/>
      <c r="BJ388" s="384"/>
      <c r="BK388" s="463"/>
      <c r="BL388" s="384"/>
      <c r="BM388" s="384"/>
      <c r="BN388" s="384"/>
      <c r="BO388" s="384"/>
    </row>
    <row r="389" spans="1:67" s="58" customFormat="1">
      <c r="A389" s="107"/>
      <c r="C389" s="511"/>
      <c r="D389" s="512"/>
      <c r="E389" s="512"/>
      <c r="F389" s="512"/>
      <c r="G389" s="512"/>
      <c r="H389" s="511"/>
      <c r="I389" s="512"/>
      <c r="J389" s="512"/>
      <c r="K389" s="512"/>
      <c r="L389" s="512"/>
      <c r="M389" s="511"/>
      <c r="N389" s="512"/>
      <c r="O389" s="512"/>
      <c r="P389" s="512"/>
      <c r="Q389" s="512"/>
      <c r="R389" s="511"/>
      <c r="S389" s="512"/>
      <c r="T389" s="512"/>
      <c r="U389" s="512"/>
      <c r="V389" s="512"/>
      <c r="W389" s="511"/>
      <c r="X389" s="512"/>
      <c r="Y389" s="512"/>
      <c r="Z389" s="512"/>
      <c r="AA389" s="512"/>
      <c r="AB389" s="511"/>
      <c r="AC389" s="512"/>
      <c r="AD389" s="512"/>
      <c r="AE389" s="512"/>
      <c r="AF389" s="512"/>
      <c r="AG389" s="511"/>
      <c r="AH389" s="512"/>
      <c r="AI389" s="512"/>
      <c r="AJ389" s="512"/>
      <c r="AK389" s="512"/>
      <c r="AL389" s="511"/>
      <c r="AM389" s="512"/>
      <c r="AN389" s="512"/>
      <c r="AO389" s="512"/>
      <c r="AP389" s="512"/>
      <c r="AQ389" s="511"/>
      <c r="AR389" s="512"/>
      <c r="AS389" s="512"/>
      <c r="AT389" s="512"/>
      <c r="AU389" s="512"/>
      <c r="AV389" s="511"/>
      <c r="AW389" s="512"/>
      <c r="AX389" s="512"/>
      <c r="AY389" s="512"/>
      <c r="AZ389" s="512"/>
      <c r="BA389" s="511"/>
      <c r="BB389" s="512"/>
      <c r="BC389" s="512"/>
      <c r="BD389" s="512"/>
      <c r="BE389" s="512"/>
      <c r="BF389" s="511"/>
      <c r="BG389" s="512"/>
      <c r="BH389" s="512"/>
      <c r="BI389" s="512"/>
      <c r="BJ389" s="512"/>
      <c r="BK389" s="511"/>
      <c r="BL389" s="512"/>
      <c r="BM389" s="512"/>
      <c r="BN389" s="512"/>
      <c r="BO389" s="512"/>
    </row>
    <row r="391" spans="1:67" s="58" customFormat="1">
      <c r="A391" s="107"/>
      <c r="C391" s="515"/>
      <c r="D391" s="516"/>
      <c r="E391" s="516"/>
      <c r="F391" s="516"/>
      <c r="G391" s="516"/>
      <c r="H391" s="515"/>
      <c r="I391" s="516"/>
      <c r="J391" s="516"/>
      <c r="K391" s="516"/>
      <c r="L391" s="516"/>
      <c r="M391" s="515"/>
      <c r="N391" s="516"/>
      <c r="O391" s="516"/>
      <c r="P391" s="516"/>
      <c r="Q391" s="516"/>
      <c r="R391" s="515"/>
      <c r="S391" s="516"/>
      <c r="T391" s="516"/>
      <c r="U391" s="516"/>
      <c r="V391" s="516"/>
      <c r="W391" s="515"/>
      <c r="X391" s="516"/>
      <c r="Y391" s="516"/>
      <c r="Z391" s="516"/>
      <c r="AA391" s="516"/>
      <c r="AB391" s="515"/>
      <c r="AC391" s="516"/>
      <c r="AD391" s="516"/>
      <c r="AE391" s="516"/>
      <c r="AF391" s="516"/>
      <c r="AG391" s="515"/>
      <c r="AH391" s="516"/>
      <c r="AI391" s="516"/>
      <c r="AJ391" s="516"/>
      <c r="AK391" s="516"/>
      <c r="AL391" s="515"/>
      <c r="AM391" s="516"/>
      <c r="AN391" s="516"/>
      <c r="AO391" s="516"/>
      <c r="AP391" s="516"/>
      <c r="AQ391" s="515"/>
      <c r="AR391" s="516"/>
      <c r="AS391" s="516"/>
      <c r="AT391" s="516"/>
      <c r="AU391" s="516"/>
      <c r="AV391" s="515"/>
      <c r="AW391" s="516"/>
      <c r="AX391" s="516"/>
      <c r="AY391" s="516"/>
      <c r="AZ391" s="516"/>
      <c r="BA391" s="515"/>
      <c r="BB391" s="516"/>
      <c r="BC391" s="516"/>
      <c r="BD391" s="516"/>
      <c r="BE391" s="516"/>
      <c r="BF391" s="515"/>
      <c r="BG391" s="516"/>
      <c r="BH391" s="516"/>
      <c r="BI391" s="516"/>
      <c r="BJ391" s="516"/>
      <c r="BK391" s="515"/>
      <c r="BL391" s="516"/>
      <c r="BM391" s="516"/>
      <c r="BN391" s="516"/>
      <c r="BO391" s="516"/>
    </row>
    <row r="392" spans="1:67" s="58" customFormat="1">
      <c r="A392" s="107"/>
      <c r="C392" s="509"/>
      <c r="D392" s="510"/>
      <c r="E392" s="510"/>
      <c r="F392" s="510"/>
      <c r="G392" s="510"/>
      <c r="H392" s="509"/>
      <c r="I392" s="510"/>
      <c r="J392" s="510"/>
      <c r="K392" s="510"/>
      <c r="L392" s="510"/>
      <c r="M392" s="509"/>
      <c r="N392" s="510"/>
      <c r="O392" s="510"/>
      <c r="P392" s="510"/>
      <c r="Q392" s="510"/>
      <c r="R392" s="509"/>
      <c r="S392" s="510"/>
      <c r="T392" s="510"/>
      <c r="U392" s="510"/>
      <c r="V392" s="510"/>
      <c r="W392" s="509"/>
      <c r="X392" s="510"/>
      <c r="Y392" s="510"/>
      <c r="Z392" s="510"/>
      <c r="AA392" s="510"/>
      <c r="AB392" s="509"/>
      <c r="AC392" s="510"/>
      <c r="AD392" s="510"/>
      <c r="AE392" s="510"/>
      <c r="AF392" s="510"/>
      <c r="AG392" s="509"/>
      <c r="AH392" s="510"/>
      <c r="AI392" s="510"/>
      <c r="AJ392" s="510"/>
      <c r="AK392" s="510"/>
      <c r="AL392" s="509"/>
      <c r="AM392" s="510"/>
      <c r="AN392" s="510"/>
      <c r="AO392" s="510"/>
      <c r="AP392" s="510"/>
      <c r="AQ392" s="509"/>
      <c r="AR392" s="510"/>
      <c r="AS392" s="510"/>
      <c r="AT392" s="510"/>
      <c r="AU392" s="510"/>
      <c r="AV392" s="509"/>
      <c r="AW392" s="510"/>
      <c r="AX392" s="510"/>
      <c r="AY392" s="510"/>
      <c r="AZ392" s="510"/>
      <c r="BA392" s="509"/>
      <c r="BB392" s="510"/>
      <c r="BC392" s="510"/>
      <c r="BD392" s="510"/>
      <c r="BE392" s="510"/>
      <c r="BF392" s="509"/>
      <c r="BG392" s="510"/>
      <c r="BH392" s="510"/>
      <c r="BI392" s="510"/>
      <c r="BJ392" s="510"/>
      <c r="BK392" s="509"/>
      <c r="BL392" s="510"/>
      <c r="BM392" s="510"/>
      <c r="BN392" s="510"/>
      <c r="BO392" s="510"/>
    </row>
    <row r="393" spans="1:67" s="58" customFormat="1">
      <c r="A393" s="107"/>
      <c r="C393" s="463"/>
      <c r="D393" s="384"/>
      <c r="E393" s="384"/>
      <c r="F393" s="384"/>
      <c r="G393" s="384"/>
      <c r="H393" s="463"/>
      <c r="I393" s="384"/>
      <c r="J393" s="384"/>
      <c r="K393" s="384"/>
      <c r="L393" s="384"/>
      <c r="M393" s="463"/>
      <c r="N393" s="384"/>
      <c r="O393" s="384"/>
      <c r="P393" s="384"/>
      <c r="Q393" s="384"/>
      <c r="R393" s="463"/>
      <c r="S393" s="384"/>
      <c r="T393" s="384"/>
      <c r="U393" s="384"/>
      <c r="V393" s="384"/>
      <c r="W393" s="463"/>
      <c r="X393" s="384"/>
      <c r="Y393" s="384"/>
      <c r="Z393" s="384"/>
      <c r="AA393" s="384"/>
      <c r="AB393" s="463"/>
      <c r="AC393" s="384"/>
      <c r="AD393" s="384"/>
      <c r="AE393" s="384"/>
      <c r="AF393" s="384"/>
      <c r="AG393" s="463"/>
      <c r="AH393" s="384"/>
      <c r="AI393" s="384"/>
      <c r="AJ393" s="384"/>
      <c r="AK393" s="384"/>
      <c r="AL393" s="463"/>
      <c r="AM393" s="384"/>
      <c r="AN393" s="384"/>
      <c r="AO393" s="384"/>
      <c r="AP393" s="384"/>
      <c r="AQ393" s="463"/>
      <c r="AR393" s="384"/>
      <c r="AS393" s="384"/>
      <c r="AT393" s="384"/>
      <c r="AU393" s="384"/>
      <c r="AV393" s="463"/>
      <c r="AW393" s="384"/>
      <c r="AX393" s="384"/>
      <c r="AY393" s="384"/>
      <c r="AZ393" s="384"/>
      <c r="BA393" s="463"/>
      <c r="BB393" s="384"/>
      <c r="BC393" s="384"/>
      <c r="BD393" s="384"/>
      <c r="BE393" s="384"/>
      <c r="BF393" s="463"/>
      <c r="BG393" s="384"/>
      <c r="BH393" s="384"/>
      <c r="BI393" s="384"/>
      <c r="BJ393" s="384"/>
      <c r="BK393" s="463"/>
      <c r="BL393" s="384"/>
      <c r="BM393" s="384"/>
      <c r="BN393" s="384"/>
      <c r="BO393" s="384"/>
    </row>
    <row r="394" spans="1:67" s="58" customFormat="1">
      <c r="A394" s="107"/>
      <c r="C394" s="511"/>
      <c r="D394" s="512"/>
      <c r="E394" s="512"/>
      <c r="F394" s="512"/>
      <c r="G394" s="512"/>
      <c r="H394" s="511"/>
      <c r="I394" s="512"/>
      <c r="J394" s="512"/>
      <c r="K394" s="512"/>
      <c r="L394" s="512"/>
      <c r="M394" s="511"/>
      <c r="N394" s="512"/>
      <c r="O394" s="512"/>
      <c r="P394" s="512"/>
      <c r="Q394" s="512"/>
      <c r="R394" s="511"/>
      <c r="S394" s="512"/>
      <c r="T394" s="512"/>
      <c r="U394" s="512"/>
      <c r="V394" s="512"/>
      <c r="W394" s="511"/>
      <c r="X394" s="512"/>
      <c r="Y394" s="512"/>
      <c r="Z394" s="512"/>
      <c r="AA394" s="512"/>
      <c r="AB394" s="511"/>
      <c r="AC394" s="512"/>
      <c r="AD394" s="512"/>
      <c r="AE394" s="512"/>
      <c r="AF394" s="512"/>
      <c r="AG394" s="511"/>
      <c r="AH394" s="512"/>
      <c r="AI394" s="512"/>
      <c r="AJ394" s="512"/>
      <c r="AK394" s="512"/>
      <c r="AL394" s="511"/>
      <c r="AM394" s="512"/>
      <c r="AN394" s="512"/>
      <c r="AO394" s="512"/>
      <c r="AP394" s="512"/>
      <c r="AQ394" s="511"/>
      <c r="AR394" s="512"/>
      <c r="AS394" s="512"/>
      <c r="AT394" s="512"/>
      <c r="AU394" s="512"/>
      <c r="AV394" s="511"/>
      <c r="AW394" s="512"/>
      <c r="AX394" s="512"/>
      <c r="AY394" s="512"/>
      <c r="AZ394" s="512"/>
      <c r="BA394" s="511"/>
      <c r="BB394" s="512"/>
      <c r="BC394" s="512"/>
      <c r="BD394" s="512"/>
      <c r="BE394" s="512"/>
      <c r="BF394" s="511"/>
      <c r="BG394" s="512"/>
      <c r="BH394" s="512"/>
      <c r="BI394" s="512"/>
      <c r="BJ394" s="512"/>
      <c r="BK394" s="511"/>
      <c r="BL394" s="512"/>
      <c r="BM394" s="512"/>
      <c r="BN394" s="512"/>
      <c r="BO394" s="512"/>
    </row>
    <row r="396" spans="1:67" s="58" customFormat="1">
      <c r="A396" s="107"/>
      <c r="C396" s="517"/>
      <c r="D396" s="518"/>
      <c r="E396" s="518"/>
      <c r="F396" s="518"/>
      <c r="G396" s="518"/>
      <c r="H396" s="517"/>
      <c r="I396" s="518"/>
      <c r="J396" s="518"/>
      <c r="K396" s="518"/>
      <c r="L396" s="518"/>
      <c r="M396" s="517"/>
      <c r="N396" s="518"/>
      <c r="O396" s="518"/>
      <c r="P396" s="518"/>
      <c r="Q396" s="518"/>
      <c r="R396" s="517"/>
      <c r="S396" s="518"/>
      <c r="T396" s="518"/>
      <c r="U396" s="518"/>
      <c r="V396" s="518"/>
      <c r="W396" s="517"/>
      <c r="X396" s="518"/>
      <c r="Y396" s="518"/>
      <c r="Z396" s="518"/>
      <c r="AA396" s="518"/>
      <c r="AB396" s="517"/>
      <c r="AC396" s="518"/>
      <c r="AD396" s="518"/>
      <c r="AE396" s="518"/>
      <c r="AF396" s="518"/>
      <c r="AG396" s="517"/>
      <c r="AH396" s="518"/>
      <c r="AI396" s="518"/>
      <c r="AJ396" s="518"/>
      <c r="AK396" s="518"/>
      <c r="AL396" s="517"/>
      <c r="AM396" s="518"/>
      <c r="AN396" s="518"/>
      <c r="AO396" s="518"/>
      <c r="AP396" s="518"/>
      <c r="AQ396" s="517"/>
      <c r="AR396" s="518"/>
      <c r="AS396" s="518"/>
      <c r="AT396" s="518"/>
      <c r="AU396" s="518"/>
      <c r="AV396" s="517"/>
      <c r="AW396" s="518"/>
      <c r="AX396" s="518"/>
      <c r="AY396" s="518"/>
      <c r="AZ396" s="518"/>
      <c r="BA396" s="517"/>
      <c r="BB396" s="518"/>
      <c r="BC396" s="518"/>
      <c r="BD396" s="518"/>
      <c r="BE396" s="518"/>
      <c r="BF396" s="517"/>
      <c r="BG396" s="518"/>
      <c r="BH396" s="518"/>
      <c r="BI396" s="518"/>
      <c r="BJ396" s="518"/>
      <c r="BK396" s="517"/>
      <c r="BL396" s="518"/>
      <c r="BM396" s="518"/>
      <c r="BN396" s="518"/>
      <c r="BO396" s="518"/>
    </row>
    <row r="397" spans="1:67" s="58" customFormat="1">
      <c r="A397" s="107"/>
      <c r="C397" s="519"/>
      <c r="D397" s="520"/>
      <c r="E397" s="520"/>
      <c r="F397" s="520"/>
      <c r="G397" s="520"/>
      <c r="H397" s="519"/>
      <c r="I397" s="520"/>
      <c r="J397" s="520"/>
      <c r="K397" s="520"/>
      <c r="L397" s="520"/>
      <c r="M397" s="519"/>
      <c r="N397" s="520"/>
      <c r="O397" s="520"/>
      <c r="P397" s="520"/>
      <c r="Q397" s="520"/>
      <c r="R397" s="519"/>
      <c r="S397" s="520"/>
      <c r="T397" s="520"/>
      <c r="U397" s="520"/>
      <c r="V397" s="520"/>
      <c r="W397" s="519"/>
      <c r="X397" s="520"/>
      <c r="Y397" s="520"/>
      <c r="Z397" s="520"/>
      <c r="AA397" s="520"/>
      <c r="AB397" s="519"/>
      <c r="AC397" s="520"/>
      <c r="AD397" s="520"/>
      <c r="AE397" s="520"/>
      <c r="AF397" s="520"/>
      <c r="AG397" s="519"/>
      <c r="AH397" s="520"/>
      <c r="AI397" s="520"/>
      <c r="AJ397" s="520"/>
      <c r="AK397" s="520"/>
      <c r="AL397" s="519"/>
      <c r="AM397" s="520"/>
      <c r="AN397" s="520"/>
      <c r="AO397" s="520"/>
      <c r="AP397" s="520"/>
      <c r="AQ397" s="519"/>
      <c r="AR397" s="520"/>
      <c r="AS397" s="520"/>
      <c r="AT397" s="520"/>
      <c r="AU397" s="520"/>
      <c r="AV397" s="519"/>
      <c r="AW397" s="520"/>
      <c r="AX397" s="520"/>
      <c r="AY397" s="520"/>
      <c r="AZ397" s="520"/>
      <c r="BA397" s="519"/>
      <c r="BB397" s="520"/>
      <c r="BC397" s="520"/>
      <c r="BD397" s="520"/>
      <c r="BE397" s="520"/>
      <c r="BF397" s="519"/>
      <c r="BG397" s="520"/>
      <c r="BH397" s="520"/>
      <c r="BI397" s="520"/>
      <c r="BJ397" s="520"/>
      <c r="BK397" s="519"/>
      <c r="BL397" s="520"/>
      <c r="BM397" s="520"/>
      <c r="BN397" s="520"/>
      <c r="BO397" s="520"/>
    </row>
    <row r="398" spans="1:67" s="58" customFormat="1">
      <c r="A398" s="107"/>
      <c r="C398" s="463"/>
      <c r="D398" s="384"/>
      <c r="E398" s="384"/>
      <c r="F398" s="384"/>
      <c r="G398" s="384"/>
      <c r="H398" s="463"/>
      <c r="I398" s="384"/>
      <c r="J398" s="384"/>
      <c r="K398" s="384"/>
      <c r="L398" s="384"/>
      <c r="M398" s="463"/>
      <c r="N398" s="384"/>
      <c r="O398" s="384"/>
      <c r="P398" s="384"/>
      <c r="Q398" s="384"/>
      <c r="R398" s="463"/>
      <c r="S398" s="384"/>
      <c r="T398" s="384"/>
      <c r="U398" s="384"/>
      <c r="V398" s="384"/>
      <c r="W398" s="463"/>
      <c r="X398" s="384"/>
      <c r="Y398" s="384"/>
      <c r="Z398" s="384"/>
      <c r="AA398" s="384"/>
      <c r="AB398" s="463"/>
      <c r="AC398" s="384"/>
      <c r="AD398" s="384"/>
      <c r="AE398" s="384"/>
      <c r="AF398" s="384"/>
      <c r="AG398" s="463"/>
      <c r="AH398" s="384"/>
      <c r="AI398" s="384"/>
      <c r="AJ398" s="384"/>
      <c r="AK398" s="384"/>
      <c r="AL398" s="463"/>
      <c r="AM398" s="384"/>
      <c r="AN398" s="384"/>
      <c r="AO398" s="384"/>
      <c r="AP398" s="384"/>
      <c r="AQ398" s="463"/>
      <c r="AR398" s="384"/>
      <c r="AS398" s="384"/>
      <c r="AT398" s="384"/>
      <c r="AU398" s="384"/>
      <c r="AV398" s="463"/>
      <c r="AW398" s="384"/>
      <c r="AX398" s="384"/>
      <c r="AY398" s="384"/>
      <c r="AZ398" s="384"/>
      <c r="BA398" s="463"/>
      <c r="BB398" s="384"/>
      <c r="BC398" s="384"/>
      <c r="BD398" s="384"/>
      <c r="BE398" s="384"/>
      <c r="BF398" s="463"/>
      <c r="BG398" s="384"/>
      <c r="BH398" s="384"/>
      <c r="BI398" s="384"/>
      <c r="BJ398" s="384"/>
      <c r="BK398" s="463"/>
      <c r="BL398" s="384"/>
      <c r="BM398" s="384"/>
      <c r="BN398" s="384"/>
      <c r="BO398" s="384"/>
    </row>
    <row r="399" spans="1:67" s="58" customFormat="1">
      <c r="A399" s="107"/>
      <c r="C399" s="463"/>
      <c r="D399" s="384"/>
      <c r="E399" s="384"/>
      <c r="F399" s="384"/>
      <c r="G399" s="384"/>
      <c r="H399" s="463"/>
      <c r="I399" s="384"/>
      <c r="J399" s="384"/>
      <c r="K399" s="384"/>
      <c r="L399" s="384"/>
      <c r="M399" s="463"/>
      <c r="N399" s="384"/>
      <c r="O399" s="384"/>
      <c r="P399" s="384"/>
      <c r="Q399" s="384"/>
      <c r="R399" s="463"/>
      <c r="S399" s="384"/>
      <c r="T399" s="384"/>
      <c r="U399" s="384"/>
      <c r="V399" s="384"/>
      <c r="W399" s="463"/>
      <c r="X399" s="384"/>
      <c r="Y399" s="384"/>
      <c r="Z399" s="384"/>
      <c r="AA399" s="384"/>
      <c r="AB399" s="463"/>
      <c r="AC399" s="384"/>
      <c r="AD399" s="384"/>
      <c r="AE399" s="384"/>
      <c r="AF399" s="384"/>
      <c r="AG399" s="463"/>
      <c r="AH399" s="384"/>
      <c r="AI399" s="384"/>
      <c r="AJ399" s="384"/>
      <c r="AK399" s="384"/>
      <c r="AL399" s="463"/>
      <c r="AM399" s="384"/>
      <c r="AN399" s="384"/>
      <c r="AO399" s="384"/>
      <c r="AP399" s="384"/>
      <c r="AQ399" s="463"/>
      <c r="AR399" s="384"/>
      <c r="AS399" s="384"/>
      <c r="AT399" s="384"/>
      <c r="AU399" s="384"/>
      <c r="AV399" s="463"/>
      <c r="AW399" s="384"/>
      <c r="AX399" s="384"/>
      <c r="AY399" s="384"/>
      <c r="AZ399" s="384"/>
      <c r="BA399" s="463"/>
      <c r="BB399" s="384"/>
      <c r="BC399" s="384"/>
      <c r="BD399" s="384"/>
      <c r="BE399" s="384"/>
      <c r="BF399" s="463"/>
      <c r="BG399" s="384"/>
      <c r="BH399" s="384"/>
      <c r="BI399" s="384"/>
      <c r="BJ399" s="384"/>
      <c r="BK399" s="463"/>
      <c r="BL399" s="384"/>
      <c r="BM399" s="384"/>
      <c r="BN399" s="384"/>
      <c r="BO399" s="384"/>
    </row>
    <row r="400" spans="1:67" s="58" customFormat="1">
      <c r="A400" s="107"/>
      <c r="C400" s="463"/>
      <c r="D400" s="384"/>
      <c r="E400" s="384"/>
      <c r="F400" s="384"/>
      <c r="G400" s="384"/>
      <c r="H400" s="463"/>
      <c r="I400" s="384"/>
      <c r="J400" s="384"/>
      <c r="K400" s="384"/>
      <c r="L400" s="384"/>
      <c r="M400" s="463"/>
      <c r="N400" s="384"/>
      <c r="O400" s="384"/>
      <c r="P400" s="384"/>
      <c r="Q400" s="384"/>
      <c r="R400" s="463"/>
      <c r="S400" s="384"/>
      <c r="T400" s="384"/>
      <c r="U400" s="384"/>
      <c r="V400" s="384"/>
      <c r="W400" s="463"/>
      <c r="X400" s="384"/>
      <c r="Y400" s="384"/>
      <c r="Z400" s="384"/>
      <c r="AA400" s="384"/>
      <c r="AB400" s="463"/>
      <c r="AC400" s="384"/>
      <c r="AD400" s="384"/>
      <c r="AE400" s="384"/>
      <c r="AF400" s="384"/>
      <c r="AG400" s="463"/>
      <c r="AH400" s="384"/>
      <c r="AI400" s="384"/>
      <c r="AJ400" s="384"/>
      <c r="AK400" s="384"/>
      <c r="AL400" s="463"/>
      <c r="AM400" s="384"/>
      <c r="AN400" s="384"/>
      <c r="AO400" s="384"/>
      <c r="AP400" s="384"/>
      <c r="AQ400" s="463"/>
      <c r="AR400" s="384"/>
      <c r="AS400" s="384"/>
      <c r="AT400" s="384"/>
      <c r="AU400" s="384"/>
      <c r="AV400" s="463"/>
      <c r="AW400" s="384"/>
      <c r="AX400" s="384"/>
      <c r="AY400" s="384"/>
      <c r="AZ400" s="384"/>
      <c r="BA400" s="463"/>
      <c r="BB400" s="384"/>
      <c r="BC400" s="384"/>
      <c r="BD400" s="384"/>
      <c r="BE400" s="384"/>
      <c r="BF400" s="463"/>
      <c r="BG400" s="384"/>
      <c r="BH400" s="384"/>
      <c r="BI400" s="384"/>
      <c r="BJ400" s="384"/>
      <c r="BK400" s="463"/>
      <c r="BL400" s="384"/>
      <c r="BM400" s="384"/>
      <c r="BN400" s="384"/>
      <c r="BO400" s="384"/>
    </row>
    <row r="401" spans="1:67" s="58" customFormat="1">
      <c r="A401" s="107"/>
      <c r="C401" s="463"/>
      <c r="D401" s="384"/>
      <c r="E401" s="384"/>
      <c r="F401" s="384"/>
      <c r="G401" s="384"/>
      <c r="H401" s="463"/>
      <c r="I401" s="384"/>
      <c r="J401" s="384"/>
      <c r="K401" s="384"/>
      <c r="L401" s="384"/>
      <c r="M401" s="463"/>
      <c r="N401" s="384"/>
      <c r="O401" s="384"/>
      <c r="P401" s="384"/>
      <c r="Q401" s="384"/>
      <c r="R401" s="463"/>
      <c r="S401" s="384"/>
      <c r="T401" s="384"/>
      <c r="U401" s="384"/>
      <c r="V401" s="384"/>
      <c r="W401" s="463"/>
      <c r="X401" s="384"/>
      <c r="Y401" s="384"/>
      <c r="Z401" s="384"/>
      <c r="AA401" s="384"/>
      <c r="AB401" s="463"/>
      <c r="AC401" s="384"/>
      <c r="AD401" s="384"/>
      <c r="AE401" s="384"/>
      <c r="AF401" s="384"/>
      <c r="AG401" s="463"/>
      <c r="AH401" s="384"/>
      <c r="AI401" s="384"/>
      <c r="AJ401" s="384"/>
      <c r="AK401" s="384"/>
      <c r="AL401" s="463"/>
      <c r="AM401" s="384"/>
      <c r="AN401" s="384"/>
      <c r="AO401" s="384"/>
      <c r="AP401" s="384"/>
      <c r="AQ401" s="463"/>
      <c r="AR401" s="384"/>
      <c r="AS401" s="384"/>
      <c r="AT401" s="384"/>
      <c r="AU401" s="384"/>
      <c r="AV401" s="463"/>
      <c r="AW401" s="384"/>
      <c r="AX401" s="384"/>
      <c r="AY401" s="384"/>
      <c r="AZ401" s="384"/>
      <c r="BA401" s="463"/>
      <c r="BB401" s="384"/>
      <c r="BC401" s="384"/>
      <c r="BD401" s="384"/>
      <c r="BE401" s="384"/>
      <c r="BF401" s="463"/>
      <c r="BG401" s="384"/>
      <c r="BH401" s="384"/>
      <c r="BI401" s="384"/>
      <c r="BJ401" s="384"/>
      <c r="BK401" s="463"/>
      <c r="BL401" s="384"/>
      <c r="BM401" s="384"/>
      <c r="BN401" s="384"/>
      <c r="BO401" s="384"/>
    </row>
    <row r="402" spans="1:67" s="58" customFormat="1">
      <c r="A402" s="107"/>
      <c r="C402" s="521"/>
      <c r="D402" s="522"/>
      <c r="E402" s="522"/>
      <c r="F402" s="522"/>
      <c r="G402" s="522"/>
      <c r="H402" s="521"/>
      <c r="I402" s="522"/>
      <c r="J402" s="522"/>
      <c r="K402" s="522"/>
      <c r="L402" s="522"/>
      <c r="M402" s="521"/>
      <c r="N402" s="522"/>
      <c r="O402" s="522"/>
      <c r="P402" s="522"/>
      <c r="Q402" s="522"/>
      <c r="R402" s="521"/>
      <c r="S402" s="522"/>
      <c r="T402" s="522"/>
      <c r="U402" s="522"/>
      <c r="V402" s="522"/>
      <c r="W402" s="521"/>
      <c r="X402" s="522"/>
      <c r="Y402" s="522"/>
      <c r="Z402" s="522"/>
      <c r="AA402" s="522"/>
      <c r="AB402" s="521"/>
      <c r="AC402" s="522"/>
      <c r="AD402" s="522"/>
      <c r="AE402" s="522"/>
      <c r="AF402" s="522"/>
      <c r="AG402" s="521"/>
      <c r="AH402" s="522"/>
      <c r="AI402" s="522"/>
      <c r="AJ402" s="522"/>
      <c r="AK402" s="522"/>
      <c r="AL402" s="521"/>
      <c r="AM402" s="522"/>
      <c r="AN402" s="522"/>
      <c r="AO402" s="522"/>
      <c r="AP402" s="522"/>
      <c r="AQ402" s="521"/>
      <c r="AR402" s="522"/>
      <c r="AS402" s="522"/>
      <c r="AT402" s="522"/>
      <c r="AU402" s="522"/>
      <c r="AV402" s="521"/>
      <c r="AW402" s="522"/>
      <c r="AX402" s="522"/>
      <c r="AY402" s="522"/>
      <c r="AZ402" s="522"/>
      <c r="BA402" s="521"/>
      <c r="BB402" s="522"/>
      <c r="BC402" s="522"/>
      <c r="BD402" s="522"/>
      <c r="BE402" s="522"/>
      <c r="BF402" s="521"/>
      <c r="BG402" s="522"/>
      <c r="BH402" s="522"/>
      <c r="BI402" s="522"/>
      <c r="BJ402" s="522"/>
      <c r="BK402" s="521"/>
      <c r="BL402" s="522"/>
      <c r="BM402" s="522"/>
      <c r="BN402" s="522"/>
      <c r="BO402" s="522"/>
    </row>
    <row r="403" spans="1:67" s="58" customFormat="1">
      <c r="A403" s="107"/>
      <c r="C403" s="523"/>
      <c r="D403" s="466"/>
      <c r="E403" s="466"/>
      <c r="F403" s="466"/>
      <c r="G403" s="466"/>
      <c r="H403" s="523"/>
      <c r="I403" s="466"/>
      <c r="J403" s="466"/>
      <c r="K403" s="466"/>
      <c r="L403" s="466"/>
      <c r="M403" s="523"/>
      <c r="N403" s="466"/>
      <c r="O403" s="466"/>
      <c r="P403" s="466"/>
      <c r="Q403" s="466"/>
      <c r="R403" s="523"/>
      <c r="S403" s="466"/>
      <c r="T403" s="466"/>
      <c r="U403" s="466"/>
      <c r="V403" s="466"/>
      <c r="W403" s="523"/>
      <c r="X403" s="466"/>
      <c r="Y403" s="466"/>
      <c r="Z403" s="466"/>
      <c r="AA403" s="466"/>
      <c r="AB403" s="523"/>
      <c r="AC403" s="466"/>
      <c r="AD403" s="466"/>
      <c r="AE403" s="466"/>
      <c r="AF403" s="466"/>
      <c r="AG403" s="523"/>
      <c r="AH403" s="466"/>
      <c r="AI403" s="466"/>
      <c r="AJ403" s="466"/>
      <c r="AK403" s="466"/>
      <c r="AL403" s="523"/>
      <c r="AM403" s="466"/>
      <c r="AN403" s="466"/>
      <c r="AO403" s="466"/>
      <c r="AP403" s="466"/>
      <c r="AQ403" s="523"/>
      <c r="AR403" s="466"/>
      <c r="AS403" s="466"/>
      <c r="AT403" s="466"/>
      <c r="AU403" s="466"/>
      <c r="AV403" s="523"/>
      <c r="AW403" s="466"/>
      <c r="AX403" s="466"/>
      <c r="AY403" s="466"/>
      <c r="AZ403" s="466"/>
      <c r="BA403" s="523"/>
      <c r="BB403" s="466"/>
      <c r="BC403" s="466"/>
      <c r="BD403" s="466"/>
      <c r="BE403" s="466"/>
      <c r="BF403" s="523"/>
      <c r="BG403" s="466"/>
      <c r="BH403" s="466"/>
      <c r="BI403" s="466"/>
      <c r="BJ403" s="466"/>
      <c r="BK403" s="523"/>
      <c r="BL403" s="466"/>
      <c r="BM403" s="466"/>
      <c r="BN403" s="466"/>
      <c r="BO403" s="466"/>
    </row>
    <row r="404" spans="1:67" s="58" customFormat="1">
      <c r="A404" s="107"/>
      <c r="C404" s="523"/>
      <c r="D404" s="466"/>
      <c r="E404" s="466"/>
      <c r="F404" s="466"/>
      <c r="G404" s="466"/>
      <c r="H404" s="523"/>
      <c r="I404" s="466"/>
      <c r="J404" s="466"/>
      <c r="K404" s="466"/>
      <c r="L404" s="466"/>
      <c r="M404" s="523"/>
      <c r="N404" s="466"/>
      <c r="O404" s="466"/>
      <c r="P404" s="466"/>
      <c r="Q404" s="466"/>
      <c r="R404" s="523"/>
      <c r="S404" s="466"/>
      <c r="T404" s="466"/>
      <c r="U404" s="466"/>
      <c r="V404" s="466"/>
      <c r="W404" s="523"/>
      <c r="X404" s="466"/>
      <c r="Y404" s="466"/>
      <c r="Z404" s="466"/>
      <c r="AA404" s="466"/>
      <c r="AB404" s="523"/>
      <c r="AC404" s="466"/>
      <c r="AD404" s="466"/>
      <c r="AE404" s="466"/>
      <c r="AF404" s="466"/>
      <c r="AG404" s="523"/>
      <c r="AH404" s="466"/>
      <c r="AI404" s="466"/>
      <c r="AJ404" s="466"/>
      <c r="AK404" s="466"/>
      <c r="AL404" s="523"/>
      <c r="AM404" s="466"/>
      <c r="AN404" s="466"/>
      <c r="AO404" s="466"/>
      <c r="AP404" s="466"/>
      <c r="AQ404" s="523"/>
      <c r="AR404" s="466"/>
      <c r="AS404" s="466"/>
      <c r="AT404" s="466"/>
      <c r="AU404" s="466"/>
      <c r="AV404" s="523"/>
      <c r="AW404" s="466"/>
      <c r="AX404" s="466"/>
      <c r="AY404" s="466"/>
      <c r="AZ404" s="466"/>
      <c r="BA404" s="523"/>
      <c r="BB404" s="466"/>
      <c r="BC404" s="466"/>
      <c r="BD404" s="466"/>
      <c r="BE404" s="466"/>
      <c r="BF404" s="523"/>
      <c r="BG404" s="466"/>
      <c r="BH404" s="466"/>
      <c r="BI404" s="466"/>
      <c r="BJ404" s="466"/>
      <c r="BK404" s="523"/>
      <c r="BL404" s="466"/>
      <c r="BM404" s="466"/>
      <c r="BN404" s="466"/>
      <c r="BO404" s="466"/>
    </row>
    <row r="405" spans="1:67" s="58" customFormat="1">
      <c r="A405" s="107"/>
      <c r="C405" s="524"/>
      <c r="D405" s="384"/>
      <c r="E405" s="384"/>
      <c r="F405" s="384"/>
      <c r="G405" s="384"/>
      <c r="H405" s="524"/>
      <c r="I405" s="384"/>
      <c r="J405" s="384"/>
      <c r="K405" s="384"/>
      <c r="L405" s="384"/>
      <c r="M405" s="524"/>
      <c r="N405" s="384"/>
      <c r="O405" s="384"/>
      <c r="P405" s="384"/>
      <c r="Q405" s="384"/>
      <c r="R405" s="524"/>
      <c r="S405" s="384"/>
      <c r="T405" s="384"/>
      <c r="U405" s="384"/>
      <c r="V405" s="384"/>
      <c r="W405" s="524"/>
      <c r="X405" s="384"/>
      <c r="Y405" s="384"/>
      <c r="Z405" s="384"/>
      <c r="AA405" s="384"/>
      <c r="AB405" s="524"/>
      <c r="AC405" s="384"/>
      <c r="AD405" s="384"/>
      <c r="AE405" s="384"/>
      <c r="AF405" s="384"/>
      <c r="AG405" s="524"/>
      <c r="AH405" s="384"/>
      <c r="AI405" s="384"/>
      <c r="AJ405" s="384"/>
      <c r="AK405" s="384"/>
      <c r="AL405" s="524"/>
      <c r="AM405" s="384"/>
      <c r="AN405" s="384"/>
      <c r="AO405" s="384"/>
      <c r="AP405" s="384"/>
      <c r="AQ405" s="524"/>
      <c r="AR405" s="384"/>
      <c r="AS405" s="384"/>
      <c r="AT405" s="384"/>
      <c r="AU405" s="384"/>
      <c r="AV405" s="524"/>
      <c r="AW405" s="384"/>
      <c r="AX405" s="384"/>
      <c r="AY405" s="384"/>
      <c r="AZ405" s="384"/>
      <c r="BA405" s="524"/>
      <c r="BB405" s="384"/>
      <c r="BC405" s="384"/>
      <c r="BD405" s="384"/>
      <c r="BE405" s="384"/>
      <c r="BF405" s="524"/>
      <c r="BG405" s="384"/>
      <c r="BH405" s="384"/>
      <c r="BI405" s="384"/>
      <c r="BJ405" s="384"/>
      <c r="BK405" s="524"/>
      <c r="BL405" s="384"/>
      <c r="BM405" s="384"/>
      <c r="BN405" s="384"/>
      <c r="BO405" s="384"/>
    </row>
    <row r="407" spans="1:67" s="58" customFormat="1">
      <c r="A407" s="107"/>
      <c r="C407" s="525"/>
      <c r="D407" s="522"/>
      <c r="E407" s="522"/>
      <c r="F407" s="522"/>
      <c r="G407" s="522"/>
      <c r="H407" s="525"/>
      <c r="I407" s="522"/>
      <c r="J407" s="522"/>
      <c r="K407" s="522"/>
      <c r="L407" s="522"/>
      <c r="M407" s="525"/>
      <c r="N407" s="522"/>
      <c r="O407" s="522"/>
      <c r="P407" s="522"/>
      <c r="Q407" s="522"/>
      <c r="R407" s="525"/>
      <c r="S407" s="522"/>
      <c r="T407" s="522"/>
      <c r="U407" s="522"/>
      <c r="V407" s="522"/>
      <c r="W407" s="525"/>
      <c r="X407" s="522"/>
      <c r="Y407" s="522"/>
      <c r="Z407" s="522"/>
      <c r="AA407" s="522"/>
      <c r="AB407" s="525"/>
      <c r="AC407" s="522"/>
      <c r="AD407" s="522"/>
      <c r="AE407" s="522"/>
      <c r="AF407" s="522"/>
      <c r="AG407" s="525"/>
      <c r="AH407" s="522"/>
      <c r="AI407" s="522"/>
      <c r="AJ407" s="522"/>
      <c r="AK407" s="522"/>
      <c r="AL407" s="525"/>
      <c r="AM407" s="522"/>
      <c r="AN407" s="522"/>
      <c r="AO407" s="522"/>
      <c r="AP407" s="522"/>
      <c r="AQ407" s="525"/>
      <c r="AR407" s="522"/>
      <c r="AS407" s="522"/>
      <c r="AT407" s="522"/>
      <c r="AU407" s="522"/>
      <c r="AV407" s="525"/>
      <c r="AW407" s="522"/>
      <c r="AX407" s="522"/>
      <c r="AY407" s="522"/>
      <c r="AZ407" s="522"/>
      <c r="BA407" s="525"/>
      <c r="BB407" s="522"/>
      <c r="BC407" s="522"/>
      <c r="BD407" s="522"/>
      <c r="BE407" s="522"/>
      <c r="BF407" s="525"/>
      <c r="BG407" s="522"/>
      <c r="BH407" s="522"/>
      <c r="BI407" s="522"/>
      <c r="BJ407" s="522"/>
      <c r="BK407" s="525"/>
      <c r="BL407" s="522"/>
      <c r="BM407" s="522"/>
      <c r="BN407" s="522"/>
      <c r="BO407" s="522"/>
    </row>
    <row r="412" spans="1:67" s="58" customFormat="1">
      <c r="A412" s="107"/>
      <c r="C412" s="525"/>
      <c r="D412" s="522"/>
      <c r="E412" s="522"/>
      <c r="F412" s="522"/>
      <c r="G412" s="522"/>
      <c r="H412" s="525"/>
      <c r="I412" s="522"/>
      <c r="J412" s="522"/>
      <c r="K412" s="522"/>
      <c r="L412" s="522"/>
      <c r="M412" s="525"/>
      <c r="N412" s="522"/>
      <c r="O412" s="522"/>
      <c r="P412" s="522"/>
      <c r="Q412" s="522"/>
      <c r="R412" s="525"/>
      <c r="S412" s="522"/>
      <c r="T412" s="522"/>
      <c r="U412" s="522"/>
      <c r="V412" s="522"/>
      <c r="W412" s="525"/>
      <c r="X412" s="522"/>
      <c r="Y412" s="522"/>
      <c r="Z412" s="522"/>
      <c r="AA412" s="522"/>
      <c r="AB412" s="525"/>
      <c r="AC412" s="522"/>
      <c r="AD412" s="522"/>
      <c r="AE412" s="522"/>
      <c r="AF412" s="522"/>
      <c r="AG412" s="525"/>
      <c r="AH412" s="522"/>
      <c r="AI412" s="522"/>
      <c r="AJ412" s="522"/>
      <c r="AK412" s="522"/>
      <c r="AL412" s="525"/>
      <c r="AM412" s="522"/>
      <c r="AN412" s="522"/>
      <c r="AO412" s="522"/>
      <c r="AP412" s="522"/>
      <c r="AQ412" s="525"/>
      <c r="AR412" s="522"/>
      <c r="AS412" s="522"/>
      <c r="AT412" s="522"/>
      <c r="AU412" s="522"/>
      <c r="AV412" s="525"/>
      <c r="AW412" s="522"/>
      <c r="AX412" s="522"/>
      <c r="AY412" s="522"/>
      <c r="AZ412" s="522"/>
      <c r="BA412" s="525"/>
      <c r="BB412" s="522"/>
      <c r="BC412" s="522"/>
      <c r="BD412" s="522"/>
      <c r="BE412" s="522"/>
      <c r="BF412" s="525"/>
      <c r="BG412" s="522"/>
      <c r="BH412" s="522"/>
      <c r="BI412" s="522"/>
      <c r="BJ412" s="522"/>
      <c r="BK412" s="525"/>
      <c r="BL412" s="522"/>
      <c r="BM412" s="522"/>
      <c r="BN412" s="522"/>
      <c r="BO412" s="522"/>
    </row>
    <row r="413" spans="1:67" s="58" customFormat="1">
      <c r="A413" s="107"/>
      <c r="C413" s="463"/>
      <c r="D413" s="384"/>
      <c r="E413" s="384"/>
      <c r="F413" s="384"/>
      <c r="G413" s="384"/>
      <c r="H413" s="463"/>
      <c r="I413" s="384"/>
      <c r="J413" s="384"/>
      <c r="K413" s="384"/>
      <c r="L413" s="384"/>
      <c r="M413" s="463"/>
      <c r="N413" s="384"/>
      <c r="O413" s="384"/>
      <c r="P413" s="384"/>
      <c r="Q413" s="384"/>
      <c r="R413" s="463"/>
      <c r="S413" s="384"/>
      <c r="T413" s="384"/>
      <c r="U413" s="384"/>
      <c r="V413" s="384"/>
      <c r="W413" s="463"/>
      <c r="X413" s="384"/>
      <c r="Y413" s="384"/>
      <c r="Z413" s="384"/>
      <c r="AA413" s="384"/>
      <c r="AB413" s="463"/>
      <c r="AC413" s="384"/>
      <c r="AD413" s="384"/>
      <c r="AE413" s="384"/>
      <c r="AF413" s="384"/>
      <c r="AG413" s="463"/>
      <c r="AH413" s="384"/>
      <c r="AI413" s="384"/>
      <c r="AJ413" s="384"/>
      <c r="AK413" s="384"/>
      <c r="AL413" s="463"/>
      <c r="AM413" s="384"/>
      <c r="AN413" s="384"/>
      <c r="AO413" s="384"/>
      <c r="AP413" s="384"/>
      <c r="AQ413" s="463"/>
      <c r="AR413" s="384"/>
      <c r="AS413" s="384"/>
      <c r="AT413" s="384"/>
      <c r="AU413" s="384"/>
      <c r="AV413" s="463"/>
      <c r="AW413" s="384"/>
      <c r="AX413" s="384"/>
      <c r="AY413" s="384"/>
      <c r="AZ413" s="384"/>
      <c r="BA413" s="463"/>
      <c r="BB413" s="384"/>
      <c r="BC413" s="384"/>
      <c r="BD413" s="384"/>
      <c r="BE413" s="384"/>
      <c r="BF413" s="463"/>
      <c r="BG413" s="384"/>
      <c r="BH413" s="384"/>
      <c r="BI413" s="384"/>
      <c r="BJ413" s="384"/>
      <c r="BK413" s="463"/>
      <c r="BL413" s="384"/>
      <c r="BM413" s="384"/>
      <c r="BN413" s="384"/>
      <c r="BO413" s="384"/>
    </row>
    <row r="414" spans="1:67" s="58" customFormat="1">
      <c r="A414" s="107"/>
      <c r="C414" s="463"/>
      <c r="D414" s="384"/>
      <c r="E414" s="384"/>
      <c r="F414" s="384"/>
      <c r="G414" s="384"/>
      <c r="H414" s="463"/>
      <c r="I414" s="384"/>
      <c r="J414" s="384"/>
      <c r="K414" s="384"/>
      <c r="L414" s="384"/>
      <c r="M414" s="463"/>
      <c r="N414" s="384"/>
      <c r="O414" s="384"/>
      <c r="P414" s="384"/>
      <c r="Q414" s="384"/>
      <c r="R414" s="463"/>
      <c r="S414" s="384"/>
      <c r="T414" s="384"/>
      <c r="U414" s="384"/>
      <c r="V414" s="384"/>
      <c r="W414" s="463"/>
      <c r="X414" s="384"/>
      <c r="Y414" s="384"/>
      <c r="Z414" s="384"/>
      <c r="AA414" s="384"/>
      <c r="AB414" s="463"/>
      <c r="AC414" s="384"/>
      <c r="AD414" s="384"/>
      <c r="AE414" s="384"/>
      <c r="AF414" s="384"/>
      <c r="AG414" s="463"/>
      <c r="AH414" s="384"/>
      <c r="AI414" s="384"/>
      <c r="AJ414" s="384"/>
      <c r="AK414" s="384"/>
      <c r="AL414" s="463"/>
      <c r="AM414" s="384"/>
      <c r="AN414" s="384"/>
      <c r="AO414" s="384"/>
      <c r="AP414" s="384"/>
      <c r="AQ414" s="463"/>
      <c r="AR414" s="384"/>
      <c r="AS414" s="384"/>
      <c r="AT414" s="384"/>
      <c r="AU414" s="384"/>
      <c r="AV414" s="463"/>
      <c r="AW414" s="384"/>
      <c r="AX414" s="384"/>
      <c r="AY414" s="384"/>
      <c r="AZ414" s="384"/>
      <c r="BA414" s="463"/>
      <c r="BB414" s="384"/>
      <c r="BC414" s="384"/>
      <c r="BD414" s="384"/>
      <c r="BE414" s="384"/>
      <c r="BF414" s="463"/>
      <c r="BG414" s="384"/>
      <c r="BH414" s="384"/>
      <c r="BI414" s="384"/>
      <c r="BJ414" s="384"/>
      <c r="BK414" s="463"/>
      <c r="BL414" s="384"/>
      <c r="BM414" s="384"/>
      <c r="BN414" s="384"/>
      <c r="BO414" s="384"/>
    </row>
    <row r="415" spans="1:67" s="58" customFormat="1">
      <c r="A415" s="107"/>
      <c r="C415" s="463"/>
      <c r="D415" s="384"/>
      <c r="E415" s="384"/>
      <c r="F415" s="384"/>
      <c r="G415" s="384"/>
      <c r="H415" s="463"/>
      <c r="I415" s="384"/>
      <c r="J415" s="384"/>
      <c r="K415" s="384"/>
      <c r="L415" s="384"/>
      <c r="M415" s="463"/>
      <c r="N415" s="384"/>
      <c r="O415" s="384"/>
      <c r="P415" s="384"/>
      <c r="Q415" s="384"/>
      <c r="R415" s="463"/>
      <c r="S415" s="384"/>
      <c r="T415" s="384"/>
      <c r="U415" s="384"/>
      <c r="V415" s="384"/>
      <c r="W415" s="463"/>
      <c r="X415" s="384"/>
      <c r="Y415" s="384"/>
      <c r="Z415" s="384"/>
      <c r="AA415" s="384"/>
      <c r="AB415" s="463"/>
      <c r="AC415" s="384"/>
      <c r="AD415" s="384"/>
      <c r="AE415" s="384"/>
      <c r="AF415" s="384"/>
      <c r="AG415" s="463"/>
      <c r="AH415" s="384"/>
      <c r="AI415" s="384"/>
      <c r="AJ415" s="384"/>
      <c r="AK415" s="384"/>
      <c r="AL415" s="463"/>
      <c r="AM415" s="384"/>
      <c r="AN415" s="384"/>
      <c r="AO415" s="384"/>
      <c r="AP415" s="384"/>
      <c r="AQ415" s="463"/>
      <c r="AR415" s="384"/>
      <c r="AS415" s="384"/>
      <c r="AT415" s="384"/>
      <c r="AU415" s="384"/>
      <c r="AV415" s="463"/>
      <c r="AW415" s="384"/>
      <c r="AX415" s="384"/>
      <c r="AY415" s="384"/>
      <c r="AZ415" s="384"/>
      <c r="BA415" s="463"/>
      <c r="BB415" s="384"/>
      <c r="BC415" s="384"/>
      <c r="BD415" s="384"/>
      <c r="BE415" s="384"/>
      <c r="BF415" s="463"/>
      <c r="BG415" s="384"/>
      <c r="BH415" s="384"/>
      <c r="BI415" s="384"/>
      <c r="BJ415" s="384"/>
      <c r="BK415" s="463"/>
      <c r="BL415" s="384"/>
      <c r="BM415" s="384"/>
      <c r="BN415" s="384"/>
      <c r="BO415" s="384"/>
    </row>
    <row r="417" spans="1:67" s="58" customFormat="1">
      <c r="A417" s="107"/>
      <c r="C417" s="526"/>
      <c r="D417" s="527"/>
      <c r="E417" s="527"/>
      <c r="F417" s="527"/>
      <c r="G417" s="527"/>
      <c r="H417" s="526"/>
      <c r="I417" s="527"/>
      <c r="J417" s="527"/>
      <c r="K417" s="527"/>
      <c r="L417" s="527"/>
      <c r="M417" s="526"/>
      <c r="N417" s="527"/>
      <c r="O417" s="527"/>
      <c r="P417" s="527"/>
      <c r="Q417" s="527"/>
      <c r="R417" s="526"/>
      <c r="S417" s="527"/>
      <c r="T417" s="527"/>
      <c r="U417" s="527"/>
      <c r="V417" s="527"/>
      <c r="W417" s="526"/>
      <c r="X417" s="527"/>
      <c r="Y417" s="527"/>
      <c r="Z417" s="527"/>
      <c r="AA417" s="527"/>
      <c r="AB417" s="526"/>
      <c r="AC417" s="527"/>
      <c r="AD417" s="527"/>
      <c r="AE417" s="527"/>
      <c r="AF417" s="527"/>
      <c r="AG417" s="526"/>
      <c r="AH417" s="527"/>
      <c r="AI417" s="527"/>
      <c r="AJ417" s="527"/>
      <c r="AK417" s="527"/>
      <c r="AL417" s="526"/>
      <c r="AM417" s="527"/>
      <c r="AN417" s="527"/>
      <c r="AO417" s="527"/>
      <c r="AP417" s="527"/>
      <c r="AQ417" s="526"/>
      <c r="AR417" s="527"/>
      <c r="AS417" s="527"/>
      <c r="AT417" s="527"/>
      <c r="AU417" s="527"/>
      <c r="AV417" s="526"/>
      <c r="AW417" s="527"/>
      <c r="AX417" s="527"/>
      <c r="AY417" s="527"/>
      <c r="AZ417" s="527"/>
      <c r="BA417" s="526"/>
      <c r="BB417" s="527"/>
      <c r="BC417" s="527"/>
      <c r="BD417" s="527"/>
      <c r="BE417" s="527"/>
      <c r="BF417" s="526"/>
      <c r="BG417" s="527"/>
      <c r="BH417" s="527"/>
      <c r="BI417" s="527"/>
      <c r="BJ417" s="527"/>
      <c r="BK417" s="526"/>
      <c r="BL417" s="527"/>
      <c r="BM417" s="527"/>
      <c r="BN417" s="527"/>
      <c r="BO417" s="527"/>
    </row>
    <row r="418" spans="1:67" s="58" customFormat="1">
      <c r="A418" s="107"/>
      <c r="C418" s="524"/>
      <c r="D418" s="384"/>
      <c r="E418" s="384"/>
      <c r="F418" s="384"/>
      <c r="G418" s="384"/>
      <c r="H418" s="524"/>
      <c r="I418" s="384"/>
      <c r="J418" s="384"/>
      <c r="K418" s="384"/>
      <c r="L418" s="384"/>
      <c r="M418" s="524"/>
      <c r="N418" s="384"/>
      <c r="O418" s="384"/>
      <c r="P418" s="384"/>
      <c r="Q418" s="384"/>
      <c r="R418" s="524"/>
      <c r="S418" s="384"/>
      <c r="T418" s="384"/>
      <c r="U418" s="384"/>
      <c r="V418" s="384"/>
      <c r="W418" s="524"/>
      <c r="X418" s="384"/>
      <c r="Y418" s="384"/>
      <c r="Z418" s="384"/>
      <c r="AA418" s="384"/>
      <c r="AB418" s="524"/>
      <c r="AC418" s="384"/>
      <c r="AD418" s="384"/>
      <c r="AE418" s="384"/>
      <c r="AF418" s="384"/>
      <c r="AG418" s="524"/>
      <c r="AH418" s="384"/>
      <c r="AI418" s="384"/>
      <c r="AJ418" s="384"/>
      <c r="AK418" s="384"/>
      <c r="AL418" s="524"/>
      <c r="AM418" s="384"/>
      <c r="AN418" s="384"/>
      <c r="AO418" s="384"/>
      <c r="AP418" s="384"/>
      <c r="AQ418" s="524"/>
      <c r="AR418" s="384"/>
      <c r="AS418" s="384"/>
      <c r="AT418" s="384"/>
      <c r="AU418" s="384"/>
      <c r="AV418" s="524"/>
      <c r="AW418" s="384"/>
      <c r="AX418" s="384"/>
      <c r="AY418" s="384"/>
      <c r="AZ418" s="384"/>
      <c r="BA418" s="524"/>
      <c r="BB418" s="384"/>
      <c r="BC418" s="384"/>
      <c r="BD418" s="384"/>
      <c r="BE418" s="384"/>
      <c r="BF418" s="524"/>
      <c r="BG418" s="384"/>
      <c r="BH418" s="384"/>
      <c r="BI418" s="384"/>
      <c r="BJ418" s="384"/>
      <c r="BK418" s="524"/>
      <c r="BL418" s="384"/>
      <c r="BM418" s="384"/>
      <c r="BN418" s="384"/>
      <c r="BO418" s="384"/>
    </row>
    <row r="419" spans="1:67" s="58" customFormat="1">
      <c r="A419" s="107"/>
      <c r="C419" s="524"/>
      <c r="D419" s="384"/>
      <c r="E419" s="384"/>
      <c r="F419" s="384"/>
      <c r="G419" s="384"/>
      <c r="H419" s="524"/>
      <c r="I419" s="384"/>
      <c r="J419" s="384"/>
      <c r="K419" s="384"/>
      <c r="L419" s="384"/>
      <c r="M419" s="524"/>
      <c r="N419" s="384"/>
      <c r="O419" s="384"/>
      <c r="P419" s="384"/>
      <c r="Q419" s="384"/>
      <c r="R419" s="524"/>
      <c r="S419" s="384"/>
      <c r="T419" s="384"/>
      <c r="U419" s="384"/>
      <c r="V419" s="384"/>
      <c r="W419" s="524"/>
      <c r="X419" s="384"/>
      <c r="Y419" s="384"/>
      <c r="Z419" s="384"/>
      <c r="AA419" s="384"/>
      <c r="AB419" s="524"/>
      <c r="AC419" s="384"/>
      <c r="AD419" s="384"/>
      <c r="AE419" s="384"/>
      <c r="AF419" s="384"/>
      <c r="AG419" s="524"/>
      <c r="AH419" s="384"/>
      <c r="AI419" s="384"/>
      <c r="AJ419" s="384"/>
      <c r="AK419" s="384"/>
      <c r="AL419" s="524"/>
      <c r="AM419" s="384"/>
      <c r="AN419" s="384"/>
      <c r="AO419" s="384"/>
      <c r="AP419" s="384"/>
      <c r="AQ419" s="524"/>
      <c r="AR419" s="384"/>
      <c r="AS419" s="384"/>
      <c r="AT419" s="384"/>
      <c r="AU419" s="384"/>
      <c r="AV419" s="524"/>
      <c r="AW419" s="384"/>
      <c r="AX419" s="384"/>
      <c r="AY419" s="384"/>
      <c r="AZ419" s="384"/>
      <c r="BA419" s="524"/>
      <c r="BB419" s="384"/>
      <c r="BC419" s="384"/>
      <c r="BD419" s="384"/>
      <c r="BE419" s="384"/>
      <c r="BF419" s="524"/>
      <c r="BG419" s="384"/>
      <c r="BH419" s="384"/>
      <c r="BI419" s="384"/>
      <c r="BJ419" s="384"/>
      <c r="BK419" s="524"/>
      <c r="BL419" s="384"/>
      <c r="BM419" s="384"/>
      <c r="BN419" s="384"/>
      <c r="BO419" s="384"/>
    </row>
    <row r="420" spans="1:67" s="58" customFormat="1">
      <c r="A420" s="107"/>
      <c r="C420" s="524"/>
      <c r="D420" s="384"/>
      <c r="E420" s="384"/>
      <c r="F420" s="384"/>
      <c r="G420" s="384"/>
      <c r="H420" s="524"/>
      <c r="I420" s="384"/>
      <c r="J420" s="384"/>
      <c r="K420" s="384"/>
      <c r="L420" s="384"/>
      <c r="M420" s="524"/>
      <c r="N420" s="384"/>
      <c r="O420" s="384"/>
      <c r="P420" s="384"/>
      <c r="Q420" s="384"/>
      <c r="R420" s="524"/>
      <c r="S420" s="384"/>
      <c r="T420" s="384"/>
      <c r="U420" s="384"/>
      <c r="V420" s="384"/>
      <c r="W420" s="524"/>
      <c r="X420" s="384"/>
      <c r="Y420" s="384"/>
      <c r="Z420" s="384"/>
      <c r="AA420" s="384"/>
      <c r="AB420" s="524"/>
      <c r="AC420" s="384"/>
      <c r="AD420" s="384"/>
      <c r="AE420" s="384"/>
      <c r="AF420" s="384"/>
      <c r="AG420" s="524"/>
      <c r="AH420" s="384"/>
      <c r="AI420" s="384"/>
      <c r="AJ420" s="384"/>
      <c r="AK420" s="384"/>
      <c r="AL420" s="524"/>
      <c r="AM420" s="384"/>
      <c r="AN420" s="384"/>
      <c r="AO420" s="384"/>
      <c r="AP420" s="384"/>
      <c r="AQ420" s="524"/>
      <c r="AR420" s="384"/>
      <c r="AS420" s="384"/>
      <c r="AT420" s="384"/>
      <c r="AU420" s="384"/>
      <c r="AV420" s="524"/>
      <c r="AW420" s="384"/>
      <c r="AX420" s="384"/>
      <c r="AY420" s="384"/>
      <c r="AZ420" s="384"/>
      <c r="BA420" s="524"/>
      <c r="BB420" s="384"/>
      <c r="BC420" s="384"/>
      <c r="BD420" s="384"/>
      <c r="BE420" s="384"/>
      <c r="BF420" s="524"/>
      <c r="BG420" s="384"/>
      <c r="BH420" s="384"/>
      <c r="BI420" s="384"/>
      <c r="BJ420" s="384"/>
      <c r="BK420" s="524"/>
      <c r="BL420" s="384"/>
      <c r="BM420" s="384"/>
      <c r="BN420" s="384"/>
      <c r="BO420" s="384"/>
    </row>
    <row r="422" spans="1:67" s="58" customFormat="1">
      <c r="A422" s="107"/>
      <c r="C422" s="528"/>
      <c r="D422" s="498"/>
      <c r="E422" s="498"/>
      <c r="F422" s="498"/>
      <c r="G422" s="498"/>
      <c r="H422" s="528"/>
      <c r="I422" s="498"/>
      <c r="J422" s="498"/>
      <c r="K422" s="498"/>
      <c r="L422" s="498"/>
      <c r="M422" s="528"/>
      <c r="N422" s="498"/>
      <c r="O422" s="498"/>
      <c r="P422" s="498"/>
      <c r="Q422" s="498"/>
      <c r="R422" s="528"/>
      <c r="S422" s="498"/>
      <c r="T422" s="498"/>
      <c r="U422" s="498"/>
      <c r="V422" s="498"/>
      <c r="W422" s="528"/>
      <c r="X422" s="498"/>
      <c r="Y422" s="498"/>
      <c r="Z422" s="498"/>
      <c r="AA422" s="498"/>
      <c r="AB422" s="528"/>
      <c r="AC422" s="498"/>
      <c r="AD422" s="498"/>
      <c r="AE422" s="498"/>
      <c r="AF422" s="498"/>
      <c r="AG422" s="528"/>
      <c r="AH422" s="498"/>
      <c r="AI422" s="498"/>
      <c r="AJ422" s="498"/>
      <c r="AK422" s="498"/>
      <c r="AL422" s="528"/>
      <c r="AM422" s="498"/>
      <c r="AN422" s="498"/>
      <c r="AO422" s="498"/>
      <c r="AP422" s="498"/>
      <c r="AQ422" s="528"/>
      <c r="AR422" s="498"/>
      <c r="AS422" s="498"/>
      <c r="AT422" s="498"/>
      <c r="AU422" s="498"/>
      <c r="AV422" s="528"/>
      <c r="AW422" s="498"/>
      <c r="AX422" s="498"/>
      <c r="AY422" s="498"/>
      <c r="AZ422" s="498"/>
      <c r="BA422" s="528"/>
      <c r="BB422" s="498"/>
      <c r="BC422" s="498"/>
      <c r="BD422" s="498"/>
      <c r="BE422" s="498"/>
      <c r="BF422" s="528"/>
      <c r="BG422" s="498"/>
      <c r="BH422" s="498"/>
      <c r="BI422" s="498"/>
      <c r="BJ422" s="498"/>
      <c r="BK422" s="528"/>
      <c r="BL422" s="498"/>
      <c r="BM422" s="498"/>
      <c r="BN422" s="498"/>
      <c r="BO422" s="498"/>
    </row>
    <row r="423" spans="1:67" s="58" customFormat="1">
      <c r="A423" s="107"/>
      <c r="C423" s="529"/>
      <c r="D423" s="466"/>
      <c r="E423" s="466"/>
      <c r="F423" s="466"/>
      <c r="G423" s="466"/>
      <c r="H423" s="529"/>
      <c r="I423" s="466"/>
      <c r="J423" s="466"/>
      <c r="K423" s="466"/>
      <c r="L423" s="466"/>
      <c r="M423" s="529"/>
      <c r="N423" s="466"/>
      <c r="O423" s="466"/>
      <c r="P423" s="466"/>
      <c r="Q423" s="466"/>
      <c r="R423" s="529"/>
      <c r="S423" s="466"/>
      <c r="T423" s="466"/>
      <c r="U423" s="466"/>
      <c r="V423" s="466"/>
      <c r="W423" s="529"/>
      <c r="X423" s="466"/>
      <c r="Y423" s="466"/>
      <c r="Z423" s="466"/>
      <c r="AA423" s="466"/>
      <c r="AB423" s="529"/>
      <c r="AC423" s="466"/>
      <c r="AD423" s="466"/>
      <c r="AE423" s="466"/>
      <c r="AF423" s="466"/>
      <c r="AG423" s="529"/>
      <c r="AH423" s="466"/>
      <c r="AI423" s="466"/>
      <c r="AJ423" s="466"/>
      <c r="AK423" s="466"/>
      <c r="AL423" s="529"/>
      <c r="AM423" s="466"/>
      <c r="AN423" s="466"/>
      <c r="AO423" s="466"/>
      <c r="AP423" s="466"/>
      <c r="AQ423" s="529"/>
      <c r="AR423" s="466"/>
      <c r="AS423" s="466"/>
      <c r="AT423" s="466"/>
      <c r="AU423" s="466"/>
      <c r="AV423" s="529"/>
      <c r="AW423" s="466"/>
      <c r="AX423" s="466"/>
      <c r="AY423" s="466"/>
      <c r="AZ423" s="466"/>
      <c r="BA423" s="529"/>
      <c r="BB423" s="466"/>
      <c r="BC423" s="466"/>
      <c r="BD423" s="466"/>
      <c r="BE423" s="466"/>
      <c r="BF423" s="529"/>
      <c r="BG423" s="466"/>
      <c r="BH423" s="466"/>
      <c r="BI423" s="466"/>
      <c r="BJ423" s="466"/>
      <c r="BK423" s="529"/>
      <c r="BL423" s="466"/>
      <c r="BM423" s="466"/>
      <c r="BN423" s="466"/>
      <c r="BO423" s="466"/>
    </row>
    <row r="424" spans="1:67" s="58" customFormat="1">
      <c r="A424" s="107"/>
      <c r="C424" s="529"/>
      <c r="D424" s="466"/>
      <c r="E424" s="466"/>
      <c r="F424" s="466"/>
      <c r="G424" s="466"/>
      <c r="H424" s="529"/>
      <c r="I424" s="466"/>
      <c r="J424" s="466"/>
      <c r="K424" s="466"/>
      <c r="L424" s="466"/>
      <c r="M424" s="529"/>
      <c r="N424" s="466"/>
      <c r="O424" s="466"/>
      <c r="P424" s="466"/>
      <c r="Q424" s="466"/>
      <c r="R424" s="529"/>
      <c r="S424" s="466"/>
      <c r="T424" s="466"/>
      <c r="U424" s="466"/>
      <c r="V424" s="466"/>
      <c r="W424" s="529"/>
      <c r="X424" s="466"/>
      <c r="Y424" s="466"/>
      <c r="Z424" s="466"/>
      <c r="AA424" s="466"/>
      <c r="AB424" s="529"/>
      <c r="AC424" s="466"/>
      <c r="AD424" s="466"/>
      <c r="AE424" s="466"/>
      <c r="AF424" s="466"/>
      <c r="AG424" s="529"/>
      <c r="AH424" s="466"/>
      <c r="AI424" s="466"/>
      <c r="AJ424" s="466"/>
      <c r="AK424" s="466"/>
      <c r="AL424" s="529"/>
      <c r="AM424" s="466"/>
      <c r="AN424" s="466"/>
      <c r="AO424" s="466"/>
      <c r="AP424" s="466"/>
      <c r="AQ424" s="529"/>
      <c r="AR424" s="466"/>
      <c r="AS424" s="466"/>
      <c r="AT424" s="466"/>
      <c r="AU424" s="466"/>
      <c r="AV424" s="529"/>
      <c r="AW424" s="466"/>
      <c r="AX424" s="466"/>
      <c r="AY424" s="466"/>
      <c r="AZ424" s="466"/>
      <c r="BA424" s="529"/>
      <c r="BB424" s="466"/>
      <c r="BC424" s="466"/>
      <c r="BD424" s="466"/>
      <c r="BE424" s="466"/>
      <c r="BF424" s="529"/>
      <c r="BG424" s="466"/>
      <c r="BH424" s="466"/>
      <c r="BI424" s="466"/>
      <c r="BJ424" s="466"/>
      <c r="BK424" s="529"/>
      <c r="BL424" s="466"/>
      <c r="BM424" s="466"/>
      <c r="BN424" s="466"/>
      <c r="BO424" s="466"/>
    </row>
    <row r="426" spans="1:67" s="58" customFormat="1">
      <c r="A426" s="107"/>
      <c r="C426" s="530"/>
      <c r="D426" s="531"/>
      <c r="E426" s="531"/>
      <c r="F426" s="531"/>
      <c r="G426" s="531"/>
      <c r="H426" s="530"/>
      <c r="I426" s="531"/>
      <c r="J426" s="531"/>
      <c r="K426" s="531"/>
      <c r="L426" s="531"/>
      <c r="M426" s="530"/>
      <c r="N426" s="531"/>
      <c r="O426" s="531"/>
      <c r="P426" s="531"/>
      <c r="Q426" s="531"/>
      <c r="R426" s="530"/>
      <c r="S426" s="531"/>
      <c r="T426" s="531"/>
      <c r="U426" s="531"/>
      <c r="V426" s="531"/>
      <c r="W426" s="530"/>
      <c r="X426" s="531"/>
      <c r="Y426" s="531"/>
      <c r="Z426" s="531"/>
      <c r="AA426" s="531"/>
      <c r="AB426" s="530"/>
      <c r="AC426" s="531"/>
      <c r="AD426" s="531"/>
      <c r="AE426" s="531"/>
      <c r="AF426" s="531"/>
      <c r="AG426" s="530"/>
      <c r="AH426" s="531"/>
      <c r="AI426" s="531"/>
      <c r="AJ426" s="531"/>
      <c r="AK426" s="531"/>
      <c r="AL426" s="530"/>
      <c r="AM426" s="531"/>
      <c r="AN426" s="531"/>
      <c r="AO426" s="531"/>
      <c r="AP426" s="531"/>
      <c r="AQ426" s="530"/>
      <c r="AR426" s="531"/>
      <c r="AS426" s="531"/>
      <c r="AT426" s="531"/>
      <c r="AU426" s="531"/>
      <c r="AV426" s="530"/>
      <c r="AW426" s="531"/>
      <c r="AX426" s="531"/>
      <c r="AY426" s="531"/>
      <c r="AZ426" s="531"/>
      <c r="BA426" s="530"/>
      <c r="BB426" s="531"/>
      <c r="BC426" s="531"/>
      <c r="BD426" s="531"/>
      <c r="BE426" s="531"/>
      <c r="BF426" s="530"/>
      <c r="BG426" s="531"/>
      <c r="BH426" s="531"/>
      <c r="BI426" s="531"/>
      <c r="BJ426" s="531"/>
      <c r="BK426" s="530"/>
      <c r="BL426" s="531"/>
      <c r="BM426" s="531"/>
      <c r="BN426" s="531"/>
      <c r="BO426" s="531"/>
    </row>
    <row r="427" spans="1:67" s="58" customFormat="1">
      <c r="A427" s="107"/>
      <c r="C427" s="532"/>
      <c r="D427" s="533"/>
      <c r="E427" s="533"/>
      <c r="F427" s="533"/>
      <c r="G427" s="533"/>
      <c r="H427" s="532"/>
      <c r="I427" s="533"/>
      <c r="J427" s="533"/>
      <c r="K427" s="533"/>
      <c r="L427" s="533"/>
      <c r="M427" s="532"/>
      <c r="N427" s="533"/>
      <c r="O427" s="533"/>
      <c r="P427" s="533"/>
      <c r="Q427" s="533"/>
      <c r="R427" s="532"/>
      <c r="S427" s="533"/>
      <c r="T427" s="533"/>
      <c r="U427" s="533"/>
      <c r="V427" s="533"/>
      <c r="W427" s="532"/>
      <c r="X427" s="533"/>
      <c r="Y427" s="533"/>
      <c r="Z427" s="533"/>
      <c r="AA427" s="533"/>
      <c r="AB427" s="532"/>
      <c r="AC427" s="533"/>
      <c r="AD427" s="533"/>
      <c r="AE427" s="533"/>
      <c r="AF427" s="533"/>
      <c r="AG427" s="532"/>
      <c r="AH427" s="533"/>
      <c r="AI427" s="533"/>
      <c r="AJ427" s="533"/>
      <c r="AK427" s="533"/>
      <c r="AL427" s="532"/>
      <c r="AM427" s="533"/>
      <c r="AN427" s="533"/>
      <c r="AO427" s="533"/>
      <c r="AP427" s="533"/>
      <c r="AQ427" s="532"/>
      <c r="AR427" s="533"/>
      <c r="AS427" s="533"/>
      <c r="AT427" s="533"/>
      <c r="AU427" s="533"/>
      <c r="AV427" s="532"/>
      <c r="AW427" s="533"/>
      <c r="AX427" s="533"/>
      <c r="AY427" s="533"/>
      <c r="AZ427" s="533"/>
      <c r="BA427" s="532"/>
      <c r="BB427" s="533"/>
      <c r="BC427" s="533"/>
      <c r="BD427" s="533"/>
      <c r="BE427" s="533"/>
      <c r="BF427" s="532"/>
      <c r="BG427" s="533"/>
      <c r="BH427" s="533"/>
      <c r="BI427" s="533"/>
      <c r="BJ427" s="533"/>
      <c r="BK427" s="532"/>
      <c r="BL427" s="533"/>
      <c r="BM427" s="533"/>
      <c r="BN427" s="533"/>
      <c r="BO427" s="533"/>
    </row>
    <row r="434" spans="1:67" s="58" customFormat="1">
      <c r="A434" s="107"/>
      <c r="C434" s="463"/>
      <c r="D434" s="384"/>
      <c r="E434" s="384"/>
      <c r="F434" s="384"/>
      <c r="G434" s="384"/>
      <c r="H434" s="463"/>
      <c r="I434" s="384"/>
      <c r="J434" s="384"/>
      <c r="K434" s="384"/>
      <c r="L434" s="384"/>
      <c r="M434" s="463"/>
      <c r="N434" s="384"/>
      <c r="O434" s="384"/>
      <c r="P434" s="384"/>
      <c r="Q434" s="384"/>
      <c r="R434" s="463"/>
      <c r="S434" s="384"/>
      <c r="T434" s="384"/>
      <c r="U434" s="384"/>
      <c r="V434" s="384"/>
      <c r="W434" s="463"/>
      <c r="X434" s="384"/>
      <c r="Y434" s="384"/>
      <c r="Z434" s="384"/>
      <c r="AA434" s="384"/>
      <c r="AB434" s="463"/>
      <c r="AC434" s="384"/>
      <c r="AD434" s="384"/>
      <c r="AE434" s="384"/>
      <c r="AF434" s="384"/>
      <c r="AG434" s="463"/>
      <c r="AH434" s="384"/>
      <c r="AI434" s="384"/>
      <c r="AJ434" s="384"/>
      <c r="AK434" s="384"/>
      <c r="AL434" s="463"/>
      <c r="AM434" s="384"/>
      <c r="AN434" s="384"/>
      <c r="AO434" s="384"/>
      <c r="AP434" s="384"/>
      <c r="AQ434" s="463"/>
      <c r="AR434" s="384"/>
      <c r="AS434" s="384"/>
      <c r="AT434" s="384"/>
      <c r="AU434" s="384"/>
      <c r="AV434" s="463"/>
      <c r="AW434" s="384"/>
      <c r="AX434" s="384"/>
      <c r="AY434" s="384"/>
      <c r="AZ434" s="384"/>
      <c r="BA434" s="463"/>
      <c r="BB434" s="384"/>
      <c r="BC434" s="384"/>
      <c r="BD434" s="384"/>
      <c r="BE434" s="384"/>
      <c r="BF434" s="463"/>
      <c r="BG434" s="384"/>
      <c r="BH434" s="384"/>
      <c r="BI434" s="384"/>
      <c r="BJ434" s="384"/>
      <c r="BK434" s="463"/>
      <c r="BL434" s="384"/>
      <c r="BM434" s="384"/>
      <c r="BN434" s="384"/>
      <c r="BO434" s="384"/>
    </row>
    <row r="435" spans="1:67" s="58" customFormat="1">
      <c r="A435" s="107"/>
      <c r="C435" s="463"/>
      <c r="D435" s="384"/>
      <c r="E435" s="384"/>
      <c r="F435" s="384"/>
      <c r="G435" s="384"/>
      <c r="H435" s="463"/>
      <c r="I435" s="384"/>
      <c r="J435" s="384"/>
      <c r="K435" s="384"/>
      <c r="L435" s="384"/>
      <c r="M435" s="463"/>
      <c r="N435" s="384"/>
      <c r="O435" s="384"/>
      <c r="P435" s="384"/>
      <c r="Q435" s="384"/>
      <c r="R435" s="463"/>
      <c r="S435" s="384"/>
      <c r="T435" s="384"/>
      <c r="U435" s="384"/>
      <c r="V435" s="384"/>
      <c r="W435" s="463"/>
      <c r="X435" s="384"/>
      <c r="Y435" s="384"/>
      <c r="Z435" s="384"/>
      <c r="AA435" s="384"/>
      <c r="AB435" s="463"/>
      <c r="AC435" s="384"/>
      <c r="AD435" s="384"/>
      <c r="AE435" s="384"/>
      <c r="AF435" s="384"/>
      <c r="AG435" s="463"/>
      <c r="AH435" s="384"/>
      <c r="AI435" s="384"/>
      <c r="AJ435" s="384"/>
      <c r="AK435" s="384"/>
      <c r="AL435" s="463"/>
      <c r="AM435" s="384"/>
      <c r="AN435" s="384"/>
      <c r="AO435" s="384"/>
      <c r="AP435" s="384"/>
      <c r="AQ435" s="463"/>
      <c r="AR435" s="384"/>
      <c r="AS435" s="384"/>
      <c r="AT435" s="384"/>
      <c r="AU435" s="384"/>
      <c r="AV435" s="463"/>
      <c r="AW435" s="384"/>
      <c r="AX435" s="384"/>
      <c r="AY435" s="384"/>
      <c r="AZ435" s="384"/>
      <c r="BA435" s="463"/>
      <c r="BB435" s="384"/>
      <c r="BC435" s="384"/>
      <c r="BD435" s="384"/>
      <c r="BE435" s="384"/>
      <c r="BF435" s="463"/>
      <c r="BG435" s="384"/>
      <c r="BH435" s="384"/>
      <c r="BI435" s="384"/>
      <c r="BJ435" s="384"/>
      <c r="BK435" s="463"/>
      <c r="BL435" s="384"/>
      <c r="BM435" s="384"/>
      <c r="BN435" s="384"/>
      <c r="BO435" s="384"/>
    </row>
    <row r="437" spans="1:67" s="58" customFormat="1">
      <c r="A437" s="107"/>
      <c r="C437" s="463"/>
      <c r="D437" s="384"/>
      <c r="E437" s="384"/>
      <c r="F437" s="384"/>
      <c r="G437" s="384"/>
      <c r="H437" s="463"/>
      <c r="I437" s="384"/>
      <c r="J437" s="384"/>
      <c r="K437" s="384"/>
      <c r="L437" s="384"/>
      <c r="M437" s="463"/>
      <c r="N437" s="384"/>
      <c r="O437" s="384"/>
      <c r="P437" s="384"/>
      <c r="Q437" s="384"/>
      <c r="R437" s="463"/>
      <c r="S437" s="384"/>
      <c r="T437" s="384"/>
      <c r="U437" s="384"/>
      <c r="V437" s="384"/>
      <c r="W437" s="463"/>
      <c r="X437" s="384"/>
      <c r="Y437" s="384"/>
      <c r="Z437" s="384"/>
      <c r="AA437" s="384"/>
      <c r="AB437" s="463"/>
      <c r="AC437" s="384"/>
      <c r="AD437" s="384"/>
      <c r="AE437" s="384"/>
      <c r="AF437" s="384"/>
      <c r="AG437" s="463"/>
      <c r="AH437" s="384"/>
      <c r="AI437" s="384"/>
      <c r="AJ437" s="384"/>
      <c r="AK437" s="384"/>
      <c r="AL437" s="463"/>
      <c r="AM437" s="384"/>
      <c r="AN437" s="384"/>
      <c r="AO437" s="384"/>
      <c r="AP437" s="384"/>
      <c r="AQ437" s="463"/>
      <c r="AR437" s="384"/>
      <c r="AS437" s="384"/>
      <c r="AT437" s="384"/>
      <c r="AU437" s="384"/>
      <c r="AV437" s="463"/>
      <c r="AW437" s="384"/>
      <c r="AX437" s="384"/>
      <c r="AY437" s="384"/>
      <c r="AZ437" s="384"/>
      <c r="BA437" s="463"/>
      <c r="BB437" s="384"/>
      <c r="BC437" s="384"/>
      <c r="BD437" s="384"/>
      <c r="BE437" s="384"/>
      <c r="BF437" s="463"/>
      <c r="BG437" s="384"/>
      <c r="BH437" s="384"/>
      <c r="BI437" s="384"/>
      <c r="BJ437" s="384"/>
      <c r="BK437" s="463"/>
      <c r="BL437" s="384"/>
      <c r="BM437" s="384"/>
      <c r="BN437" s="384"/>
      <c r="BO437" s="384"/>
    </row>
    <row r="438" spans="1:67" s="58" customFormat="1">
      <c r="A438" s="107"/>
      <c r="C438" s="463"/>
      <c r="D438" s="384"/>
      <c r="E438" s="384"/>
      <c r="F438" s="384"/>
      <c r="G438" s="384"/>
      <c r="H438" s="463"/>
      <c r="I438" s="384"/>
      <c r="J438" s="384"/>
      <c r="K438" s="384"/>
      <c r="L438" s="384"/>
      <c r="M438" s="463"/>
      <c r="N438" s="384"/>
      <c r="O438" s="384"/>
      <c r="P438" s="384"/>
      <c r="Q438" s="384"/>
      <c r="R438" s="463"/>
      <c r="S438" s="384"/>
      <c r="T438" s="384"/>
      <c r="U438" s="384"/>
      <c r="V438" s="384"/>
      <c r="W438" s="463"/>
      <c r="X438" s="384"/>
      <c r="Y438" s="384"/>
      <c r="Z438" s="384"/>
      <c r="AA438" s="384"/>
      <c r="AB438" s="463"/>
      <c r="AC438" s="384"/>
      <c r="AD438" s="384"/>
      <c r="AE438" s="384"/>
      <c r="AF438" s="384"/>
      <c r="AG438" s="463"/>
      <c r="AH438" s="384"/>
      <c r="AI438" s="384"/>
      <c r="AJ438" s="384"/>
      <c r="AK438" s="384"/>
      <c r="AL438" s="463"/>
      <c r="AM438" s="384"/>
      <c r="AN438" s="384"/>
      <c r="AO438" s="384"/>
      <c r="AP438" s="384"/>
      <c r="AQ438" s="463"/>
      <c r="AR438" s="384"/>
      <c r="AS438" s="384"/>
      <c r="AT438" s="384"/>
      <c r="AU438" s="384"/>
      <c r="AV438" s="463"/>
      <c r="AW438" s="384"/>
      <c r="AX438" s="384"/>
      <c r="AY438" s="384"/>
      <c r="AZ438" s="384"/>
      <c r="BA438" s="463"/>
      <c r="BB438" s="384"/>
      <c r="BC438" s="384"/>
      <c r="BD438" s="384"/>
      <c r="BE438" s="384"/>
      <c r="BF438" s="463"/>
      <c r="BG438" s="384"/>
      <c r="BH438" s="384"/>
      <c r="BI438" s="384"/>
      <c r="BJ438" s="384"/>
      <c r="BK438" s="463"/>
      <c r="BL438" s="384"/>
      <c r="BM438" s="384"/>
      <c r="BN438" s="384"/>
      <c r="BO438" s="384"/>
    </row>
    <row r="439" spans="1:67" s="58" customFormat="1">
      <c r="A439" s="107"/>
      <c r="C439" s="534"/>
      <c r="D439" s="535"/>
      <c r="E439" s="535"/>
      <c r="F439" s="535"/>
      <c r="G439" s="535"/>
      <c r="H439" s="534"/>
      <c r="I439" s="535"/>
      <c r="J439" s="535"/>
      <c r="K439" s="535"/>
      <c r="L439" s="535"/>
      <c r="M439" s="534"/>
      <c r="N439" s="535"/>
      <c r="O439" s="535"/>
      <c r="P439" s="535"/>
      <c r="Q439" s="535"/>
      <c r="R439" s="534"/>
      <c r="S439" s="535"/>
      <c r="T439" s="535"/>
      <c r="U439" s="535"/>
      <c r="V439" s="535"/>
      <c r="W439" s="534"/>
      <c r="X439" s="535"/>
      <c r="Y439" s="535"/>
      <c r="Z439" s="535"/>
      <c r="AA439" s="535"/>
      <c r="AB439" s="534"/>
      <c r="AC439" s="535"/>
      <c r="AD439" s="535"/>
      <c r="AE439" s="535"/>
      <c r="AF439" s="535"/>
      <c r="AG439" s="534"/>
      <c r="AH439" s="535"/>
      <c r="AI439" s="535"/>
      <c r="AJ439" s="535"/>
      <c r="AK439" s="535"/>
      <c r="AL439" s="534"/>
      <c r="AM439" s="535"/>
      <c r="AN439" s="535"/>
      <c r="AO439" s="535"/>
      <c r="AP439" s="535"/>
      <c r="AQ439" s="534"/>
      <c r="AR439" s="535"/>
      <c r="AS439" s="535"/>
      <c r="AT439" s="535"/>
      <c r="AU439" s="535"/>
      <c r="AV439" s="534"/>
      <c r="AW439" s="535"/>
      <c r="AX439" s="535"/>
      <c r="AY439" s="535"/>
      <c r="AZ439" s="535"/>
      <c r="BA439" s="534"/>
      <c r="BB439" s="535"/>
      <c r="BC439" s="535"/>
      <c r="BD439" s="535"/>
      <c r="BE439" s="535"/>
      <c r="BF439" s="534"/>
      <c r="BG439" s="535"/>
      <c r="BH439" s="535"/>
      <c r="BI439" s="535"/>
      <c r="BJ439" s="535"/>
      <c r="BK439" s="534"/>
      <c r="BL439" s="535"/>
      <c r="BM439" s="535"/>
      <c r="BN439" s="535"/>
      <c r="BO439" s="535"/>
    </row>
    <row r="440" spans="1:67" s="58" customFormat="1">
      <c r="A440" s="107"/>
      <c r="C440" s="463"/>
      <c r="D440" s="384"/>
      <c r="E440" s="384"/>
      <c r="F440" s="384"/>
      <c r="G440" s="384"/>
      <c r="H440" s="463"/>
      <c r="I440" s="384"/>
      <c r="J440" s="384"/>
      <c r="K440" s="384"/>
      <c r="L440" s="384"/>
      <c r="M440" s="463"/>
      <c r="N440" s="384"/>
      <c r="O440" s="384"/>
      <c r="P440" s="384"/>
      <c r="Q440" s="384"/>
      <c r="R440" s="463"/>
      <c r="S440" s="384"/>
      <c r="T440" s="384"/>
      <c r="U440" s="384"/>
      <c r="V440" s="384"/>
      <c r="W440" s="463"/>
      <c r="X440" s="384"/>
      <c r="Y440" s="384"/>
      <c r="Z440" s="384"/>
      <c r="AA440" s="384"/>
      <c r="AB440" s="463"/>
      <c r="AC440" s="384"/>
      <c r="AD440" s="384"/>
      <c r="AE440" s="384"/>
      <c r="AF440" s="384"/>
      <c r="AG440" s="463"/>
      <c r="AH440" s="384"/>
      <c r="AI440" s="384"/>
      <c r="AJ440" s="384"/>
      <c r="AK440" s="384"/>
      <c r="AL440" s="463"/>
      <c r="AM440" s="384"/>
      <c r="AN440" s="384"/>
      <c r="AO440" s="384"/>
      <c r="AP440" s="384"/>
      <c r="AQ440" s="463"/>
      <c r="AR440" s="384"/>
      <c r="AS440" s="384"/>
      <c r="AT440" s="384"/>
      <c r="AU440" s="384"/>
      <c r="AV440" s="463"/>
      <c r="AW440" s="384"/>
      <c r="AX440" s="384"/>
      <c r="AY440" s="384"/>
      <c r="AZ440" s="384"/>
      <c r="BA440" s="463"/>
      <c r="BB440" s="384"/>
      <c r="BC440" s="384"/>
      <c r="BD440" s="384"/>
      <c r="BE440" s="384"/>
      <c r="BF440" s="463"/>
      <c r="BG440" s="384"/>
      <c r="BH440" s="384"/>
      <c r="BI440" s="384"/>
      <c r="BJ440" s="384"/>
      <c r="BK440" s="463"/>
      <c r="BL440" s="384"/>
      <c r="BM440" s="384"/>
      <c r="BN440" s="384"/>
      <c r="BO440" s="384"/>
    </row>
    <row r="443" spans="1:67" s="58" customFormat="1">
      <c r="A443" s="107"/>
      <c r="C443" s="536"/>
      <c r="D443" s="537"/>
      <c r="E443" s="537"/>
      <c r="F443" s="537"/>
      <c r="G443" s="537"/>
      <c r="H443" s="536"/>
      <c r="I443" s="537"/>
      <c r="J443" s="537"/>
      <c r="K443" s="537"/>
      <c r="L443" s="537"/>
      <c r="M443" s="536"/>
      <c r="N443" s="537"/>
      <c r="O443" s="537"/>
      <c r="P443" s="537"/>
      <c r="Q443" s="537"/>
      <c r="R443" s="536"/>
      <c r="S443" s="537"/>
      <c r="T443" s="537"/>
      <c r="U443" s="537"/>
      <c r="V443" s="537"/>
      <c r="W443" s="536"/>
      <c r="X443" s="537"/>
      <c r="Y443" s="537"/>
      <c r="Z443" s="537"/>
      <c r="AA443" s="537"/>
      <c r="AB443" s="536"/>
      <c r="AC443" s="537"/>
      <c r="AD443" s="537"/>
      <c r="AE443" s="537"/>
      <c r="AF443" s="537"/>
      <c r="AG443" s="536"/>
      <c r="AH443" s="537"/>
      <c r="AI443" s="537"/>
      <c r="AJ443" s="537"/>
      <c r="AK443" s="537"/>
      <c r="AL443" s="536"/>
      <c r="AM443" s="537"/>
      <c r="AN443" s="537"/>
      <c r="AO443" s="537"/>
      <c r="AP443" s="537"/>
      <c r="AQ443" s="536"/>
      <c r="AR443" s="537"/>
      <c r="AS443" s="537"/>
      <c r="AT443" s="537"/>
      <c r="AU443" s="537"/>
      <c r="AV443" s="536"/>
      <c r="AW443" s="537"/>
      <c r="AX443" s="537"/>
      <c r="AY443" s="537"/>
      <c r="AZ443" s="537"/>
      <c r="BA443" s="536"/>
      <c r="BB443" s="537"/>
      <c r="BC443" s="537"/>
      <c r="BD443" s="537"/>
      <c r="BE443" s="537"/>
      <c r="BF443" s="536"/>
      <c r="BG443" s="537"/>
      <c r="BH443" s="537"/>
      <c r="BI443" s="537"/>
      <c r="BJ443" s="537"/>
      <c r="BK443" s="536"/>
      <c r="BL443" s="537"/>
      <c r="BM443" s="537"/>
      <c r="BN443" s="537"/>
      <c r="BO443" s="537"/>
    </row>
    <row r="444" spans="1:67" s="58" customFormat="1">
      <c r="A444" s="107"/>
      <c r="C444" s="463"/>
      <c r="D444" s="384"/>
      <c r="E444" s="384"/>
      <c r="F444" s="384"/>
      <c r="G444" s="384"/>
      <c r="H444" s="463"/>
      <c r="I444" s="384"/>
      <c r="J444" s="384"/>
      <c r="K444" s="384"/>
      <c r="L444" s="384"/>
      <c r="M444" s="463"/>
      <c r="N444" s="384"/>
      <c r="O444" s="384"/>
      <c r="P444" s="384"/>
      <c r="Q444" s="384"/>
      <c r="R444" s="463"/>
      <c r="S444" s="384"/>
      <c r="T444" s="384"/>
      <c r="U444" s="384"/>
      <c r="V444" s="384"/>
      <c r="W444" s="463"/>
      <c r="X444" s="384"/>
      <c r="Y444" s="384"/>
      <c r="Z444" s="384"/>
      <c r="AA444" s="384"/>
      <c r="AB444" s="463"/>
      <c r="AC444" s="384"/>
      <c r="AD444" s="384"/>
      <c r="AE444" s="384"/>
      <c r="AF444" s="384"/>
      <c r="AG444" s="463"/>
      <c r="AH444" s="384"/>
      <c r="AI444" s="384"/>
      <c r="AJ444" s="384"/>
      <c r="AK444" s="384"/>
      <c r="AL444" s="463"/>
      <c r="AM444" s="384"/>
      <c r="AN444" s="384"/>
      <c r="AO444" s="384"/>
      <c r="AP444" s="384"/>
      <c r="AQ444" s="463"/>
      <c r="AR444" s="384"/>
      <c r="AS444" s="384"/>
      <c r="AT444" s="384"/>
      <c r="AU444" s="384"/>
      <c r="AV444" s="463"/>
      <c r="AW444" s="384"/>
      <c r="AX444" s="384"/>
      <c r="AY444" s="384"/>
      <c r="AZ444" s="384"/>
      <c r="BA444" s="463"/>
      <c r="BB444" s="384"/>
      <c r="BC444" s="384"/>
      <c r="BD444" s="384"/>
      <c r="BE444" s="384"/>
      <c r="BF444" s="463"/>
      <c r="BG444" s="384"/>
      <c r="BH444" s="384"/>
      <c r="BI444" s="384"/>
      <c r="BJ444" s="384"/>
      <c r="BK444" s="463"/>
      <c r="BL444" s="384"/>
      <c r="BM444" s="384"/>
      <c r="BN444" s="384"/>
      <c r="BO444" s="384"/>
    </row>
    <row r="445" spans="1:67" s="58" customFormat="1">
      <c r="A445" s="107"/>
      <c r="C445" s="463"/>
      <c r="D445" s="384"/>
      <c r="E445" s="384"/>
      <c r="F445" s="384"/>
      <c r="G445" s="384"/>
      <c r="H445" s="463"/>
      <c r="I445" s="384"/>
      <c r="J445" s="384"/>
      <c r="K445" s="384"/>
      <c r="L445" s="384"/>
      <c r="M445" s="463"/>
      <c r="N445" s="384"/>
      <c r="O445" s="384"/>
      <c r="P445" s="384"/>
      <c r="Q445" s="384"/>
      <c r="R445" s="463"/>
      <c r="S445" s="384"/>
      <c r="T445" s="384"/>
      <c r="U445" s="384"/>
      <c r="V445" s="384"/>
      <c r="W445" s="463"/>
      <c r="X445" s="384"/>
      <c r="Y445" s="384"/>
      <c r="Z445" s="384"/>
      <c r="AA445" s="384"/>
      <c r="AB445" s="463"/>
      <c r="AC445" s="384"/>
      <c r="AD445" s="384"/>
      <c r="AE445" s="384"/>
      <c r="AF445" s="384"/>
      <c r="AG445" s="463"/>
      <c r="AH445" s="384"/>
      <c r="AI445" s="384"/>
      <c r="AJ445" s="384"/>
      <c r="AK445" s="384"/>
      <c r="AL445" s="463"/>
      <c r="AM445" s="384"/>
      <c r="AN445" s="384"/>
      <c r="AO445" s="384"/>
      <c r="AP445" s="384"/>
      <c r="AQ445" s="463"/>
      <c r="AR445" s="384"/>
      <c r="AS445" s="384"/>
      <c r="AT445" s="384"/>
      <c r="AU445" s="384"/>
      <c r="AV445" s="463"/>
      <c r="AW445" s="384"/>
      <c r="AX445" s="384"/>
      <c r="AY445" s="384"/>
      <c r="AZ445" s="384"/>
      <c r="BA445" s="463"/>
      <c r="BB445" s="384"/>
      <c r="BC445" s="384"/>
      <c r="BD445" s="384"/>
      <c r="BE445" s="384"/>
      <c r="BF445" s="463"/>
      <c r="BG445" s="384"/>
      <c r="BH445" s="384"/>
      <c r="BI445" s="384"/>
      <c r="BJ445" s="384"/>
      <c r="BK445" s="463"/>
      <c r="BL445" s="384"/>
      <c r="BM445" s="384"/>
      <c r="BN445" s="384"/>
      <c r="BO445" s="384"/>
    </row>
    <row r="446" spans="1:67" s="58" customFormat="1">
      <c r="A446" s="107"/>
      <c r="C446" s="536"/>
      <c r="D446" s="537"/>
      <c r="E446" s="537"/>
      <c r="F446" s="537"/>
      <c r="G446" s="537"/>
      <c r="H446" s="536"/>
      <c r="I446" s="537"/>
      <c r="J446" s="537"/>
      <c r="K446" s="537"/>
      <c r="L446" s="537"/>
      <c r="M446" s="536"/>
      <c r="N446" s="537"/>
      <c r="O446" s="537"/>
      <c r="P446" s="537"/>
      <c r="Q446" s="537"/>
      <c r="R446" s="536"/>
      <c r="S446" s="537"/>
      <c r="T446" s="537"/>
      <c r="U446" s="537"/>
      <c r="V446" s="537"/>
      <c r="W446" s="536"/>
      <c r="X446" s="537"/>
      <c r="Y446" s="537"/>
      <c r="Z446" s="537"/>
      <c r="AA446" s="537"/>
      <c r="AB446" s="536"/>
      <c r="AC446" s="537"/>
      <c r="AD446" s="537"/>
      <c r="AE446" s="537"/>
      <c r="AF446" s="537"/>
      <c r="AG446" s="536"/>
      <c r="AH446" s="537"/>
      <c r="AI446" s="537"/>
      <c r="AJ446" s="537"/>
      <c r="AK446" s="537"/>
      <c r="AL446" s="536"/>
      <c r="AM446" s="537"/>
      <c r="AN446" s="537"/>
      <c r="AO446" s="537"/>
      <c r="AP446" s="537"/>
      <c r="AQ446" s="536"/>
      <c r="AR446" s="537"/>
      <c r="AS446" s="537"/>
      <c r="AT446" s="537"/>
      <c r="AU446" s="537"/>
      <c r="AV446" s="536"/>
      <c r="AW446" s="537"/>
      <c r="AX446" s="537"/>
      <c r="AY446" s="537"/>
      <c r="AZ446" s="537"/>
      <c r="BA446" s="536"/>
      <c r="BB446" s="537"/>
      <c r="BC446" s="537"/>
      <c r="BD446" s="537"/>
      <c r="BE446" s="537"/>
      <c r="BF446" s="536"/>
      <c r="BG446" s="537"/>
      <c r="BH446" s="537"/>
      <c r="BI446" s="537"/>
      <c r="BJ446" s="537"/>
      <c r="BK446" s="536"/>
      <c r="BL446" s="537"/>
      <c r="BM446" s="537"/>
      <c r="BN446" s="537"/>
      <c r="BO446" s="537"/>
    </row>
    <row r="447" spans="1:67" s="58" customFormat="1">
      <c r="A447" s="107"/>
      <c r="C447" s="463"/>
      <c r="D447" s="384"/>
      <c r="E447" s="384"/>
      <c r="F447" s="384"/>
      <c r="G447" s="384"/>
      <c r="H447" s="463"/>
      <c r="I447" s="384"/>
      <c r="J447" s="384"/>
      <c r="K447" s="384"/>
      <c r="L447" s="384"/>
      <c r="M447" s="463"/>
      <c r="N447" s="384"/>
      <c r="O447" s="384"/>
      <c r="P447" s="384"/>
      <c r="Q447" s="384"/>
      <c r="R447" s="463"/>
      <c r="S447" s="384"/>
      <c r="T447" s="384"/>
      <c r="U447" s="384"/>
      <c r="V447" s="384"/>
      <c r="W447" s="463"/>
      <c r="X447" s="384"/>
      <c r="Y447" s="384"/>
      <c r="Z447" s="384"/>
      <c r="AA447" s="384"/>
      <c r="AB447" s="463"/>
      <c r="AC447" s="384"/>
      <c r="AD447" s="384"/>
      <c r="AE447" s="384"/>
      <c r="AF447" s="384"/>
      <c r="AG447" s="463"/>
      <c r="AH447" s="384"/>
      <c r="AI447" s="384"/>
      <c r="AJ447" s="384"/>
      <c r="AK447" s="384"/>
      <c r="AL447" s="463"/>
      <c r="AM447" s="384"/>
      <c r="AN447" s="384"/>
      <c r="AO447" s="384"/>
      <c r="AP447" s="384"/>
      <c r="AQ447" s="463"/>
      <c r="AR447" s="384"/>
      <c r="AS447" s="384"/>
      <c r="AT447" s="384"/>
      <c r="AU447" s="384"/>
      <c r="AV447" s="463"/>
      <c r="AW447" s="384"/>
      <c r="AX447" s="384"/>
      <c r="AY447" s="384"/>
      <c r="AZ447" s="384"/>
      <c r="BA447" s="463"/>
      <c r="BB447" s="384"/>
      <c r="BC447" s="384"/>
      <c r="BD447" s="384"/>
      <c r="BE447" s="384"/>
      <c r="BF447" s="463"/>
      <c r="BG447" s="384"/>
      <c r="BH447" s="384"/>
      <c r="BI447" s="384"/>
      <c r="BJ447" s="384"/>
      <c r="BK447" s="463"/>
      <c r="BL447" s="384"/>
      <c r="BM447" s="384"/>
      <c r="BN447" s="384"/>
      <c r="BO447" s="384"/>
    </row>
    <row r="448" spans="1:67" s="58" customFormat="1">
      <c r="A448" s="107"/>
      <c r="C448" s="463"/>
      <c r="D448" s="384"/>
      <c r="E448" s="384"/>
      <c r="F448" s="384"/>
      <c r="G448" s="384"/>
      <c r="H448" s="463"/>
      <c r="I448" s="384"/>
      <c r="J448" s="384"/>
      <c r="K448" s="384"/>
      <c r="L448" s="384"/>
      <c r="M448" s="463"/>
      <c r="N448" s="384"/>
      <c r="O448" s="384"/>
      <c r="P448" s="384"/>
      <c r="Q448" s="384"/>
      <c r="R448" s="463"/>
      <c r="S448" s="384"/>
      <c r="T448" s="384"/>
      <c r="U448" s="384"/>
      <c r="V448" s="384"/>
      <c r="W448" s="463"/>
      <c r="X448" s="384"/>
      <c r="Y448" s="384"/>
      <c r="Z448" s="384"/>
      <c r="AA448" s="384"/>
      <c r="AB448" s="463"/>
      <c r="AC448" s="384"/>
      <c r="AD448" s="384"/>
      <c r="AE448" s="384"/>
      <c r="AF448" s="384"/>
      <c r="AG448" s="463"/>
      <c r="AH448" s="384"/>
      <c r="AI448" s="384"/>
      <c r="AJ448" s="384"/>
      <c r="AK448" s="384"/>
      <c r="AL448" s="463"/>
      <c r="AM448" s="384"/>
      <c r="AN448" s="384"/>
      <c r="AO448" s="384"/>
      <c r="AP448" s="384"/>
      <c r="AQ448" s="463"/>
      <c r="AR448" s="384"/>
      <c r="AS448" s="384"/>
      <c r="AT448" s="384"/>
      <c r="AU448" s="384"/>
      <c r="AV448" s="463"/>
      <c r="AW448" s="384"/>
      <c r="AX448" s="384"/>
      <c r="AY448" s="384"/>
      <c r="AZ448" s="384"/>
      <c r="BA448" s="463"/>
      <c r="BB448" s="384"/>
      <c r="BC448" s="384"/>
      <c r="BD448" s="384"/>
      <c r="BE448" s="384"/>
      <c r="BF448" s="463"/>
      <c r="BG448" s="384"/>
      <c r="BH448" s="384"/>
      <c r="BI448" s="384"/>
      <c r="BJ448" s="384"/>
      <c r="BK448" s="463"/>
      <c r="BL448" s="384"/>
      <c r="BM448" s="384"/>
      <c r="BN448" s="384"/>
      <c r="BO448" s="384"/>
    </row>
    <row r="450" spans="1:67" s="58" customFormat="1">
      <c r="A450" s="107"/>
      <c r="C450" s="463"/>
      <c r="D450" s="384"/>
      <c r="E450" s="384"/>
      <c r="F450" s="384"/>
      <c r="G450" s="384"/>
      <c r="H450" s="463"/>
      <c r="I450" s="384"/>
      <c r="J450" s="384"/>
      <c r="K450" s="384"/>
      <c r="L450" s="384"/>
      <c r="M450" s="463"/>
      <c r="N450" s="384"/>
      <c r="O450" s="384"/>
      <c r="P450" s="384"/>
      <c r="Q450" s="384"/>
      <c r="R450" s="463"/>
      <c r="S450" s="384"/>
      <c r="T450" s="384"/>
      <c r="U450" s="384"/>
      <c r="V450" s="384"/>
      <c r="W450" s="463"/>
      <c r="X450" s="384"/>
      <c r="Y450" s="384"/>
      <c r="Z450" s="384"/>
      <c r="AA450" s="384"/>
      <c r="AB450" s="463"/>
      <c r="AC450" s="384"/>
      <c r="AD450" s="384"/>
      <c r="AE450" s="384"/>
      <c r="AF450" s="384"/>
      <c r="AG450" s="463"/>
      <c r="AH450" s="384"/>
      <c r="AI450" s="384"/>
      <c r="AJ450" s="384"/>
      <c r="AK450" s="384"/>
      <c r="AL450" s="463"/>
      <c r="AM450" s="384"/>
      <c r="AN450" s="384"/>
      <c r="AO450" s="384"/>
      <c r="AP450" s="384"/>
      <c r="AQ450" s="463"/>
      <c r="AR450" s="384"/>
      <c r="AS450" s="384"/>
      <c r="AT450" s="384"/>
      <c r="AU450" s="384"/>
      <c r="AV450" s="463"/>
      <c r="AW450" s="384"/>
      <c r="AX450" s="384"/>
      <c r="AY450" s="384"/>
      <c r="AZ450" s="384"/>
      <c r="BA450" s="463"/>
      <c r="BB450" s="384"/>
      <c r="BC450" s="384"/>
      <c r="BD450" s="384"/>
      <c r="BE450" s="384"/>
      <c r="BF450" s="463"/>
      <c r="BG450" s="384"/>
      <c r="BH450" s="384"/>
      <c r="BI450" s="384"/>
      <c r="BJ450" s="384"/>
      <c r="BK450" s="463"/>
      <c r="BL450" s="384"/>
      <c r="BM450" s="384"/>
      <c r="BN450" s="384"/>
      <c r="BO450" s="384"/>
    </row>
    <row r="451" spans="1:67" s="58" customFormat="1">
      <c r="A451" s="107"/>
      <c r="C451" s="463"/>
      <c r="D451" s="384"/>
      <c r="E451" s="384"/>
      <c r="F451" s="384"/>
      <c r="G451" s="384"/>
      <c r="H451" s="463"/>
      <c r="I451" s="384"/>
      <c r="J451" s="384"/>
      <c r="K451" s="384"/>
      <c r="L451" s="384"/>
      <c r="M451" s="463"/>
      <c r="N451" s="384"/>
      <c r="O451" s="384"/>
      <c r="P451" s="384"/>
      <c r="Q451" s="384"/>
      <c r="R451" s="463"/>
      <c r="S451" s="384"/>
      <c r="T451" s="384"/>
      <c r="U451" s="384"/>
      <c r="V451" s="384"/>
      <c r="W451" s="463"/>
      <c r="X451" s="384"/>
      <c r="Y451" s="384"/>
      <c r="Z451" s="384"/>
      <c r="AA451" s="384"/>
      <c r="AB451" s="463"/>
      <c r="AC451" s="384"/>
      <c r="AD451" s="384"/>
      <c r="AE451" s="384"/>
      <c r="AF451" s="384"/>
      <c r="AG451" s="463"/>
      <c r="AH451" s="384"/>
      <c r="AI451" s="384"/>
      <c r="AJ451" s="384"/>
      <c r="AK451" s="384"/>
      <c r="AL451" s="463"/>
      <c r="AM451" s="384"/>
      <c r="AN451" s="384"/>
      <c r="AO451" s="384"/>
      <c r="AP451" s="384"/>
      <c r="AQ451" s="463"/>
      <c r="AR451" s="384"/>
      <c r="AS451" s="384"/>
      <c r="AT451" s="384"/>
      <c r="AU451" s="384"/>
      <c r="AV451" s="463"/>
      <c r="AW451" s="384"/>
      <c r="AX451" s="384"/>
      <c r="AY451" s="384"/>
      <c r="AZ451" s="384"/>
      <c r="BA451" s="463"/>
      <c r="BB451" s="384"/>
      <c r="BC451" s="384"/>
      <c r="BD451" s="384"/>
      <c r="BE451" s="384"/>
      <c r="BF451" s="463"/>
      <c r="BG451" s="384"/>
      <c r="BH451" s="384"/>
      <c r="BI451" s="384"/>
      <c r="BJ451" s="384"/>
      <c r="BK451" s="463"/>
      <c r="BL451" s="384"/>
      <c r="BM451" s="384"/>
      <c r="BN451" s="384"/>
      <c r="BO451" s="384"/>
    </row>
    <row r="452" spans="1:67" s="58" customFormat="1">
      <c r="A452" s="107"/>
      <c r="C452" s="463"/>
      <c r="D452" s="384"/>
      <c r="E452" s="384"/>
      <c r="F452" s="384"/>
      <c r="G452" s="384"/>
      <c r="H452" s="463"/>
      <c r="I452" s="384"/>
      <c r="J452" s="384"/>
      <c r="K452" s="384"/>
      <c r="L452" s="384"/>
      <c r="M452" s="463"/>
      <c r="N452" s="384"/>
      <c r="O452" s="384"/>
      <c r="P452" s="384"/>
      <c r="Q452" s="384"/>
      <c r="R452" s="463"/>
      <c r="S452" s="384"/>
      <c r="T452" s="384"/>
      <c r="U452" s="384"/>
      <c r="V452" s="384"/>
      <c r="W452" s="463"/>
      <c r="X452" s="384"/>
      <c r="Y452" s="384"/>
      <c r="Z452" s="384"/>
      <c r="AA452" s="384"/>
      <c r="AB452" s="463"/>
      <c r="AC452" s="384"/>
      <c r="AD452" s="384"/>
      <c r="AE452" s="384"/>
      <c r="AF452" s="384"/>
      <c r="AG452" s="463"/>
      <c r="AH452" s="384"/>
      <c r="AI452" s="384"/>
      <c r="AJ452" s="384"/>
      <c r="AK452" s="384"/>
      <c r="AL452" s="463"/>
      <c r="AM452" s="384"/>
      <c r="AN452" s="384"/>
      <c r="AO452" s="384"/>
      <c r="AP452" s="384"/>
      <c r="AQ452" s="463"/>
      <c r="AR452" s="384"/>
      <c r="AS452" s="384"/>
      <c r="AT452" s="384"/>
      <c r="AU452" s="384"/>
      <c r="AV452" s="463"/>
      <c r="AW452" s="384"/>
      <c r="AX452" s="384"/>
      <c r="AY452" s="384"/>
      <c r="AZ452" s="384"/>
      <c r="BA452" s="463"/>
      <c r="BB452" s="384"/>
      <c r="BC452" s="384"/>
      <c r="BD452" s="384"/>
      <c r="BE452" s="384"/>
      <c r="BF452" s="463"/>
      <c r="BG452" s="384"/>
      <c r="BH452" s="384"/>
      <c r="BI452" s="384"/>
      <c r="BJ452" s="384"/>
      <c r="BK452" s="463"/>
      <c r="BL452" s="384"/>
      <c r="BM452" s="384"/>
      <c r="BN452" s="384"/>
      <c r="BO452" s="384"/>
    </row>
    <row r="456" spans="1:67" s="58" customFormat="1">
      <c r="A456" s="107"/>
      <c r="C456" s="463"/>
      <c r="D456" s="384"/>
      <c r="E456" s="384"/>
      <c r="F456" s="384"/>
      <c r="G456" s="384"/>
      <c r="H456" s="463"/>
      <c r="I456" s="384"/>
      <c r="J456" s="384"/>
      <c r="K456" s="384"/>
      <c r="L456" s="384"/>
      <c r="M456" s="463"/>
      <c r="N456" s="384"/>
      <c r="O456" s="384"/>
      <c r="P456" s="384"/>
      <c r="Q456" s="384"/>
      <c r="R456" s="463"/>
      <c r="S456" s="384"/>
      <c r="T456" s="384"/>
      <c r="U456" s="384"/>
      <c r="V456" s="384"/>
      <c r="W456" s="463"/>
      <c r="X456" s="384"/>
      <c r="Y456" s="384"/>
      <c r="Z456" s="384"/>
      <c r="AA456" s="384"/>
      <c r="AB456" s="463"/>
      <c r="AC456" s="384"/>
      <c r="AD456" s="384"/>
      <c r="AE456" s="384"/>
      <c r="AF456" s="384"/>
      <c r="AG456" s="463"/>
      <c r="AH456" s="384"/>
      <c r="AI456" s="384"/>
      <c r="AJ456" s="384"/>
      <c r="AK456" s="384"/>
      <c r="AL456" s="463"/>
      <c r="AM456" s="384"/>
      <c r="AN456" s="384"/>
      <c r="AO456" s="384"/>
      <c r="AP456" s="384"/>
      <c r="AQ456" s="463"/>
      <c r="AR456" s="384"/>
      <c r="AS456" s="384"/>
      <c r="AT456" s="384"/>
      <c r="AU456" s="384"/>
      <c r="AV456" s="463"/>
      <c r="AW456" s="384"/>
      <c r="AX456" s="384"/>
      <c r="AY456" s="384"/>
      <c r="AZ456" s="384"/>
      <c r="BA456" s="463"/>
      <c r="BB456" s="384"/>
      <c r="BC456" s="384"/>
      <c r="BD456" s="384"/>
      <c r="BE456" s="384"/>
      <c r="BF456" s="463"/>
      <c r="BG456" s="384"/>
      <c r="BH456" s="384"/>
      <c r="BI456" s="384"/>
      <c r="BJ456" s="384"/>
      <c r="BK456" s="463"/>
      <c r="BL456" s="384"/>
      <c r="BM456" s="384"/>
      <c r="BN456" s="384"/>
      <c r="BO456" s="384"/>
    </row>
    <row r="457" spans="1:67" s="58" customFormat="1">
      <c r="A457" s="107"/>
      <c r="C457" s="463"/>
      <c r="D457" s="384"/>
      <c r="E457" s="384"/>
      <c r="F457" s="384"/>
      <c r="G457" s="384"/>
      <c r="H457" s="463"/>
      <c r="I457" s="384"/>
      <c r="J457" s="384"/>
      <c r="K457" s="384"/>
      <c r="L457" s="384"/>
      <c r="M457" s="463"/>
      <c r="N457" s="384"/>
      <c r="O457" s="384"/>
      <c r="P457" s="384"/>
      <c r="Q457" s="384"/>
      <c r="R457" s="463"/>
      <c r="S457" s="384"/>
      <c r="T457" s="384"/>
      <c r="U457" s="384"/>
      <c r="V457" s="384"/>
      <c r="W457" s="463"/>
      <c r="X457" s="384"/>
      <c r="Y457" s="384"/>
      <c r="Z457" s="384"/>
      <c r="AA457" s="384"/>
      <c r="AB457" s="463"/>
      <c r="AC457" s="384"/>
      <c r="AD457" s="384"/>
      <c r="AE457" s="384"/>
      <c r="AF457" s="384"/>
      <c r="AG457" s="463"/>
      <c r="AH457" s="384"/>
      <c r="AI457" s="384"/>
      <c r="AJ457" s="384"/>
      <c r="AK457" s="384"/>
      <c r="AL457" s="463"/>
      <c r="AM457" s="384"/>
      <c r="AN457" s="384"/>
      <c r="AO457" s="384"/>
      <c r="AP457" s="384"/>
      <c r="AQ457" s="463"/>
      <c r="AR457" s="384"/>
      <c r="AS457" s="384"/>
      <c r="AT457" s="384"/>
      <c r="AU457" s="384"/>
      <c r="AV457" s="463"/>
      <c r="AW457" s="384"/>
      <c r="AX457" s="384"/>
      <c r="AY457" s="384"/>
      <c r="AZ457" s="384"/>
      <c r="BA457" s="463"/>
      <c r="BB457" s="384"/>
      <c r="BC457" s="384"/>
      <c r="BD457" s="384"/>
      <c r="BE457" s="384"/>
      <c r="BF457" s="463"/>
      <c r="BG457" s="384"/>
      <c r="BH457" s="384"/>
      <c r="BI457" s="384"/>
      <c r="BJ457" s="384"/>
      <c r="BK457" s="463"/>
      <c r="BL457" s="384"/>
      <c r="BM457" s="384"/>
      <c r="BN457" s="384"/>
      <c r="BO457" s="384"/>
    </row>
    <row r="458" spans="1:67" s="58" customFormat="1">
      <c r="A458" s="107"/>
      <c r="C458" s="463"/>
      <c r="D458" s="384"/>
      <c r="E458" s="384"/>
      <c r="F458" s="384"/>
      <c r="G458" s="384"/>
      <c r="H458" s="463"/>
      <c r="I458" s="384"/>
      <c r="J458" s="384"/>
      <c r="K458" s="384"/>
      <c r="L458" s="384"/>
      <c r="M458" s="463"/>
      <c r="N458" s="384"/>
      <c r="O458" s="384"/>
      <c r="P458" s="384"/>
      <c r="Q458" s="384"/>
      <c r="R458" s="463"/>
      <c r="S458" s="384"/>
      <c r="T458" s="384"/>
      <c r="U458" s="384"/>
      <c r="V458" s="384"/>
      <c r="W458" s="463"/>
      <c r="X458" s="384"/>
      <c r="Y458" s="384"/>
      <c r="Z458" s="384"/>
      <c r="AA458" s="384"/>
      <c r="AB458" s="463"/>
      <c r="AC458" s="384"/>
      <c r="AD458" s="384"/>
      <c r="AE458" s="384"/>
      <c r="AF458" s="384"/>
      <c r="AG458" s="463"/>
      <c r="AH458" s="384"/>
      <c r="AI458" s="384"/>
      <c r="AJ458" s="384"/>
      <c r="AK458" s="384"/>
      <c r="AL458" s="463"/>
      <c r="AM458" s="384"/>
      <c r="AN458" s="384"/>
      <c r="AO458" s="384"/>
      <c r="AP458" s="384"/>
      <c r="AQ458" s="463"/>
      <c r="AR458" s="384"/>
      <c r="AS458" s="384"/>
      <c r="AT458" s="384"/>
      <c r="AU458" s="384"/>
      <c r="AV458" s="463"/>
      <c r="AW458" s="384"/>
      <c r="AX458" s="384"/>
      <c r="AY458" s="384"/>
      <c r="AZ458" s="384"/>
      <c r="BA458" s="463"/>
      <c r="BB458" s="384"/>
      <c r="BC458" s="384"/>
      <c r="BD458" s="384"/>
      <c r="BE458" s="384"/>
      <c r="BF458" s="463"/>
      <c r="BG458" s="384"/>
      <c r="BH458" s="384"/>
      <c r="BI458" s="384"/>
      <c r="BJ458" s="384"/>
      <c r="BK458" s="463"/>
      <c r="BL458" s="384"/>
      <c r="BM458" s="384"/>
      <c r="BN458" s="384"/>
      <c r="BO458" s="384"/>
    </row>
    <row r="459" spans="1:67" s="58" customFormat="1">
      <c r="A459" s="107"/>
      <c r="C459" s="463"/>
      <c r="D459" s="384"/>
      <c r="E459" s="384"/>
      <c r="F459" s="384"/>
      <c r="G459" s="384"/>
      <c r="H459" s="463"/>
      <c r="I459" s="384"/>
      <c r="J459" s="384"/>
      <c r="K459" s="384"/>
      <c r="L459" s="384"/>
      <c r="M459" s="463"/>
      <c r="N459" s="384"/>
      <c r="O459" s="384"/>
      <c r="P459" s="384"/>
      <c r="Q459" s="384"/>
      <c r="R459" s="463"/>
      <c r="S459" s="384"/>
      <c r="T459" s="384"/>
      <c r="U459" s="384"/>
      <c r="V459" s="384"/>
      <c r="W459" s="463"/>
      <c r="X459" s="384"/>
      <c r="Y459" s="384"/>
      <c r="Z459" s="384"/>
      <c r="AA459" s="384"/>
      <c r="AB459" s="463"/>
      <c r="AC459" s="384"/>
      <c r="AD459" s="384"/>
      <c r="AE459" s="384"/>
      <c r="AF459" s="384"/>
      <c r="AG459" s="463"/>
      <c r="AH459" s="384"/>
      <c r="AI459" s="384"/>
      <c r="AJ459" s="384"/>
      <c r="AK459" s="384"/>
      <c r="AL459" s="463"/>
      <c r="AM459" s="384"/>
      <c r="AN459" s="384"/>
      <c r="AO459" s="384"/>
      <c r="AP459" s="384"/>
      <c r="AQ459" s="463"/>
      <c r="AR459" s="384"/>
      <c r="AS459" s="384"/>
      <c r="AT459" s="384"/>
      <c r="AU459" s="384"/>
      <c r="AV459" s="463"/>
      <c r="AW459" s="384"/>
      <c r="AX459" s="384"/>
      <c r="AY459" s="384"/>
      <c r="AZ459" s="384"/>
      <c r="BA459" s="463"/>
      <c r="BB459" s="384"/>
      <c r="BC459" s="384"/>
      <c r="BD459" s="384"/>
      <c r="BE459" s="384"/>
      <c r="BF459" s="463"/>
      <c r="BG459" s="384"/>
      <c r="BH459" s="384"/>
      <c r="BI459" s="384"/>
      <c r="BJ459" s="384"/>
      <c r="BK459" s="463"/>
      <c r="BL459" s="384"/>
      <c r="BM459" s="384"/>
      <c r="BN459" s="384"/>
      <c r="BO459" s="384"/>
    </row>
    <row r="462" spans="1:67" s="58" customFormat="1">
      <c r="A462" s="107"/>
      <c r="C462" s="490"/>
      <c r="D462" s="490"/>
      <c r="E462" s="490"/>
      <c r="F462" s="490"/>
      <c r="G462" s="490"/>
      <c r="H462" s="490"/>
      <c r="I462" s="490"/>
      <c r="J462" s="490"/>
      <c r="K462" s="490"/>
      <c r="L462" s="490"/>
      <c r="M462" s="490"/>
      <c r="N462" s="490"/>
      <c r="O462" s="490"/>
      <c r="P462" s="490"/>
      <c r="Q462" s="490"/>
      <c r="R462" s="490"/>
      <c r="S462" s="490"/>
      <c r="T462" s="490"/>
      <c r="U462" s="490"/>
      <c r="V462" s="490"/>
      <c r="W462" s="490"/>
      <c r="X462" s="490"/>
      <c r="Y462" s="490"/>
      <c r="Z462" s="490"/>
      <c r="AA462" s="490"/>
      <c r="AB462" s="490"/>
      <c r="AC462" s="490"/>
      <c r="AD462" s="490"/>
      <c r="AE462" s="490"/>
      <c r="AF462" s="490"/>
      <c r="AG462" s="490"/>
      <c r="AH462" s="490"/>
      <c r="AI462" s="490"/>
      <c r="AJ462" s="490"/>
      <c r="AK462" s="490"/>
      <c r="AL462" s="490"/>
      <c r="AM462" s="490"/>
      <c r="AN462" s="490"/>
      <c r="AO462" s="490"/>
      <c r="AP462" s="490"/>
      <c r="AQ462" s="490"/>
      <c r="AR462" s="490"/>
      <c r="AS462" s="490"/>
      <c r="AT462" s="490"/>
      <c r="AU462" s="490"/>
      <c r="AV462" s="490"/>
      <c r="AW462" s="490"/>
      <c r="AX462" s="490"/>
      <c r="AY462" s="490"/>
      <c r="AZ462" s="490"/>
      <c r="BA462" s="490"/>
      <c r="BB462" s="490"/>
      <c r="BC462" s="490"/>
      <c r="BD462" s="490"/>
      <c r="BE462" s="490"/>
      <c r="BF462" s="490"/>
      <c r="BG462" s="490"/>
      <c r="BH462" s="490"/>
      <c r="BI462" s="490"/>
      <c r="BJ462" s="490"/>
      <c r="BK462" s="490"/>
      <c r="BL462" s="490"/>
      <c r="BM462" s="490"/>
      <c r="BN462" s="490"/>
      <c r="BO462" s="490"/>
    </row>
    <row r="463" spans="1:67" s="58" customFormat="1">
      <c r="A463" s="107"/>
      <c r="C463" s="490"/>
      <c r="D463" s="490"/>
      <c r="E463" s="490"/>
      <c r="F463" s="490"/>
      <c r="G463" s="490"/>
      <c r="H463" s="490"/>
      <c r="I463" s="490"/>
      <c r="J463" s="490"/>
      <c r="K463" s="490"/>
      <c r="L463" s="490"/>
      <c r="M463" s="490"/>
      <c r="N463" s="490"/>
      <c r="O463" s="490"/>
      <c r="P463" s="490"/>
      <c r="Q463" s="490"/>
      <c r="R463" s="490"/>
      <c r="S463" s="490"/>
      <c r="T463" s="490"/>
      <c r="U463" s="490"/>
      <c r="V463" s="490"/>
      <c r="W463" s="490"/>
      <c r="X463" s="490"/>
      <c r="Y463" s="490"/>
      <c r="Z463" s="490"/>
      <c r="AA463" s="490"/>
      <c r="AB463" s="490"/>
      <c r="AC463" s="490"/>
      <c r="AD463" s="490"/>
      <c r="AE463" s="490"/>
      <c r="AF463" s="490"/>
      <c r="AG463" s="490"/>
      <c r="AH463" s="490"/>
      <c r="AI463" s="490"/>
      <c r="AJ463" s="490"/>
      <c r="AK463" s="490"/>
      <c r="AL463" s="490"/>
      <c r="AM463" s="490"/>
      <c r="AN463" s="490"/>
      <c r="AO463" s="490"/>
      <c r="AP463" s="490"/>
      <c r="AQ463" s="490"/>
      <c r="AR463" s="490"/>
      <c r="AS463" s="490"/>
      <c r="AT463" s="490"/>
      <c r="AU463" s="490"/>
      <c r="AV463" s="490"/>
      <c r="AW463" s="490"/>
      <c r="AX463" s="490"/>
      <c r="AY463" s="490"/>
      <c r="AZ463" s="490"/>
      <c r="BA463" s="490"/>
      <c r="BB463" s="490"/>
      <c r="BC463" s="490"/>
      <c r="BD463" s="490"/>
      <c r="BE463" s="490"/>
      <c r="BF463" s="490"/>
      <c r="BG463" s="490"/>
      <c r="BH463" s="490"/>
      <c r="BI463" s="490"/>
      <c r="BJ463" s="490"/>
      <c r="BK463" s="490"/>
      <c r="BL463" s="490"/>
      <c r="BM463" s="490"/>
      <c r="BN463" s="490"/>
      <c r="BO463" s="490"/>
    </row>
    <row r="464" spans="1:67" s="58" customFormat="1">
      <c r="A464" s="107"/>
      <c r="C464" s="490"/>
      <c r="D464" s="490"/>
      <c r="E464" s="490"/>
      <c r="F464" s="490"/>
      <c r="G464" s="490"/>
      <c r="H464" s="490"/>
      <c r="I464" s="490"/>
      <c r="J464" s="490"/>
      <c r="K464" s="490"/>
      <c r="L464" s="490"/>
      <c r="M464" s="490"/>
      <c r="N464" s="490"/>
      <c r="O464" s="490"/>
      <c r="P464" s="490"/>
      <c r="Q464" s="490"/>
      <c r="R464" s="490"/>
      <c r="S464" s="490"/>
      <c r="T464" s="490"/>
      <c r="U464" s="490"/>
      <c r="V464" s="490"/>
      <c r="W464" s="490"/>
      <c r="X464" s="490"/>
      <c r="Y464" s="490"/>
      <c r="Z464" s="490"/>
      <c r="AA464" s="490"/>
      <c r="AB464" s="490"/>
      <c r="AC464" s="490"/>
      <c r="AD464" s="490"/>
      <c r="AE464" s="490"/>
      <c r="AF464" s="490"/>
      <c r="AG464" s="490"/>
      <c r="AH464" s="490"/>
      <c r="AI464" s="490"/>
      <c r="AJ464" s="490"/>
      <c r="AK464" s="490"/>
      <c r="AL464" s="490"/>
      <c r="AM464" s="490"/>
      <c r="AN464" s="490"/>
      <c r="AO464" s="490"/>
      <c r="AP464" s="490"/>
      <c r="AQ464" s="490"/>
      <c r="AR464" s="490"/>
      <c r="AS464" s="490"/>
      <c r="AT464" s="490"/>
      <c r="AU464" s="490"/>
      <c r="AV464" s="490"/>
      <c r="AW464" s="490"/>
      <c r="AX464" s="490"/>
      <c r="AY464" s="490"/>
      <c r="AZ464" s="490"/>
      <c r="BA464" s="490"/>
      <c r="BB464" s="490"/>
      <c r="BC464" s="490"/>
      <c r="BD464" s="490"/>
      <c r="BE464" s="490"/>
      <c r="BF464" s="490"/>
      <c r="BG464" s="490"/>
      <c r="BH464" s="490"/>
      <c r="BI464" s="490"/>
      <c r="BJ464" s="490"/>
      <c r="BK464" s="490"/>
      <c r="BL464" s="490"/>
      <c r="BM464" s="490"/>
      <c r="BN464" s="490"/>
      <c r="BO464" s="490"/>
    </row>
    <row r="465" spans="1:67" s="58" customFormat="1">
      <c r="A465" s="107"/>
      <c r="C465" s="394"/>
      <c r="D465" s="394"/>
      <c r="E465" s="394"/>
      <c r="F465" s="394"/>
      <c r="G465" s="394"/>
      <c r="H465" s="394"/>
      <c r="I465" s="394"/>
      <c r="J465" s="394"/>
      <c r="K465" s="394"/>
      <c r="L465" s="394"/>
      <c r="M465" s="394"/>
      <c r="N465" s="394"/>
      <c r="O465" s="394"/>
      <c r="P465" s="394"/>
      <c r="Q465" s="394"/>
      <c r="R465" s="394"/>
      <c r="S465" s="394"/>
      <c r="T465" s="394"/>
      <c r="U465" s="394"/>
      <c r="V465" s="394"/>
      <c r="W465" s="394"/>
      <c r="X465" s="394"/>
      <c r="Y465" s="394"/>
      <c r="Z465" s="394"/>
      <c r="AA465" s="394"/>
      <c r="AB465" s="394"/>
      <c r="AC465" s="394"/>
      <c r="AD465" s="394"/>
      <c r="AE465" s="394"/>
      <c r="AF465" s="394"/>
      <c r="AG465" s="394"/>
      <c r="AH465" s="394"/>
      <c r="AI465" s="394"/>
      <c r="AJ465" s="394"/>
      <c r="AK465" s="394"/>
      <c r="AL465" s="394"/>
      <c r="AM465" s="394"/>
      <c r="AN465" s="394"/>
      <c r="AO465" s="394"/>
      <c r="AP465" s="394"/>
      <c r="AQ465" s="394"/>
      <c r="AR465" s="394"/>
      <c r="AS465" s="394"/>
      <c r="AT465" s="394"/>
      <c r="AU465" s="394"/>
      <c r="AV465" s="394"/>
      <c r="AW465" s="394"/>
      <c r="AX465" s="394"/>
      <c r="AY465" s="394"/>
      <c r="AZ465" s="394"/>
      <c r="BA465" s="394"/>
      <c r="BB465" s="394"/>
      <c r="BC465" s="394"/>
      <c r="BD465" s="394"/>
      <c r="BE465" s="394"/>
      <c r="BF465" s="394"/>
      <c r="BG465" s="394"/>
      <c r="BH465" s="394"/>
      <c r="BI465" s="394"/>
      <c r="BJ465" s="394"/>
      <c r="BK465" s="394"/>
      <c r="BL465" s="394"/>
      <c r="BM465" s="394"/>
      <c r="BN465" s="394"/>
      <c r="BO465" s="394"/>
    </row>
    <row r="466" spans="1:67" s="58" customFormat="1">
      <c r="A466" s="107"/>
      <c r="C466" s="538"/>
      <c r="D466" s="538"/>
      <c r="E466" s="538"/>
      <c r="F466" s="538"/>
      <c r="G466" s="538"/>
      <c r="H466" s="538"/>
      <c r="I466" s="538"/>
      <c r="J466" s="538"/>
      <c r="K466" s="538"/>
      <c r="L466" s="538"/>
      <c r="M466" s="538"/>
      <c r="N466" s="538"/>
      <c r="O466" s="538"/>
      <c r="P466" s="538"/>
      <c r="Q466" s="538"/>
      <c r="R466" s="538"/>
      <c r="S466" s="538"/>
      <c r="T466" s="538"/>
      <c r="U466" s="538"/>
      <c r="V466" s="538"/>
      <c r="W466" s="538"/>
      <c r="X466" s="538"/>
      <c r="Y466" s="538"/>
      <c r="Z466" s="538"/>
      <c r="AA466" s="538"/>
      <c r="AB466" s="538"/>
      <c r="AC466" s="538"/>
      <c r="AD466" s="538"/>
      <c r="AE466" s="538"/>
      <c r="AF466" s="538"/>
      <c r="AG466" s="538"/>
      <c r="AH466" s="538"/>
      <c r="AI466" s="538"/>
      <c r="AJ466" s="538"/>
      <c r="AK466" s="538"/>
      <c r="AL466" s="538"/>
      <c r="AM466" s="538"/>
      <c r="AN466" s="538"/>
      <c r="AO466" s="538"/>
      <c r="AP466" s="538"/>
      <c r="AQ466" s="538"/>
      <c r="AR466" s="538"/>
      <c r="AS466" s="538"/>
      <c r="AT466" s="538"/>
      <c r="AU466" s="538"/>
      <c r="AV466" s="538"/>
      <c r="AW466" s="538"/>
      <c r="AX466" s="538"/>
      <c r="AY466" s="538"/>
      <c r="AZ466" s="538"/>
      <c r="BA466" s="538"/>
      <c r="BB466" s="538"/>
      <c r="BC466" s="538"/>
      <c r="BD466" s="538"/>
      <c r="BE466" s="538"/>
      <c r="BF466" s="538"/>
      <c r="BG466" s="538"/>
      <c r="BH466" s="538"/>
      <c r="BI466" s="538"/>
      <c r="BJ466" s="538"/>
      <c r="BK466" s="538"/>
      <c r="BL466" s="538"/>
      <c r="BM466" s="538"/>
      <c r="BN466" s="538"/>
      <c r="BO466" s="538"/>
    </row>
    <row r="467" spans="1:67" s="58" customFormat="1">
      <c r="A467" s="107"/>
      <c r="C467" s="490"/>
      <c r="D467" s="490"/>
      <c r="E467" s="490"/>
      <c r="F467" s="490"/>
      <c r="G467" s="490"/>
      <c r="H467" s="490"/>
      <c r="I467" s="490"/>
      <c r="J467" s="490"/>
      <c r="K467" s="490"/>
      <c r="L467" s="490"/>
      <c r="M467" s="490"/>
      <c r="N467" s="490"/>
      <c r="O467" s="490"/>
      <c r="P467" s="490"/>
      <c r="Q467" s="490"/>
      <c r="R467" s="490"/>
      <c r="S467" s="490"/>
      <c r="T467" s="490"/>
      <c r="U467" s="490"/>
      <c r="V467" s="490"/>
      <c r="W467" s="490"/>
      <c r="X467" s="490"/>
      <c r="Y467" s="490"/>
      <c r="Z467" s="490"/>
      <c r="AA467" s="490"/>
      <c r="AB467" s="490"/>
      <c r="AC467" s="490"/>
      <c r="AD467" s="490"/>
      <c r="AE467" s="490"/>
      <c r="AF467" s="490"/>
      <c r="AG467" s="490"/>
      <c r="AH467" s="490"/>
      <c r="AI467" s="490"/>
      <c r="AJ467" s="490"/>
      <c r="AK467" s="490"/>
      <c r="AL467" s="490"/>
      <c r="AM467" s="490"/>
      <c r="AN467" s="490"/>
      <c r="AO467" s="490"/>
      <c r="AP467" s="490"/>
      <c r="AQ467" s="490"/>
      <c r="AR467" s="490"/>
      <c r="AS467" s="490"/>
      <c r="AT467" s="490"/>
      <c r="AU467" s="490"/>
      <c r="AV467" s="490"/>
      <c r="AW467" s="490"/>
      <c r="AX467" s="490"/>
      <c r="AY467" s="490"/>
      <c r="AZ467" s="490"/>
      <c r="BA467" s="490"/>
      <c r="BB467" s="490"/>
      <c r="BC467" s="490"/>
      <c r="BD467" s="490"/>
      <c r="BE467" s="490"/>
      <c r="BF467" s="490"/>
      <c r="BG467" s="490"/>
      <c r="BH467" s="490"/>
      <c r="BI467" s="490"/>
      <c r="BJ467" s="490"/>
      <c r="BK467" s="490"/>
      <c r="BL467" s="490"/>
      <c r="BM467" s="490"/>
      <c r="BN467" s="490"/>
      <c r="BO467" s="490"/>
    </row>
    <row r="468" spans="1:67" s="58" customFormat="1">
      <c r="A468" s="107"/>
      <c r="C468" s="490"/>
      <c r="D468" s="490"/>
      <c r="E468" s="490"/>
      <c r="F468" s="490"/>
      <c r="G468" s="490"/>
      <c r="H468" s="490"/>
      <c r="I468" s="490"/>
      <c r="J468" s="490"/>
      <c r="K468" s="490"/>
      <c r="L468" s="490"/>
      <c r="M468" s="490"/>
      <c r="N468" s="490"/>
      <c r="O468" s="490"/>
      <c r="P468" s="490"/>
      <c r="Q468" s="490"/>
      <c r="R468" s="490"/>
      <c r="S468" s="490"/>
      <c r="T468" s="490"/>
      <c r="U468" s="490"/>
      <c r="V468" s="490"/>
      <c r="W468" s="490"/>
      <c r="X468" s="490"/>
      <c r="Y468" s="490"/>
      <c r="Z468" s="490"/>
      <c r="AA468" s="490"/>
      <c r="AB468" s="490"/>
      <c r="AC468" s="490"/>
      <c r="AD468" s="490"/>
      <c r="AE468" s="490"/>
      <c r="AF468" s="490"/>
      <c r="AG468" s="490"/>
      <c r="AH468" s="490"/>
      <c r="AI468" s="490"/>
      <c r="AJ468" s="490"/>
      <c r="AK468" s="490"/>
      <c r="AL468" s="490"/>
      <c r="AM468" s="490"/>
      <c r="AN468" s="490"/>
      <c r="AO468" s="490"/>
      <c r="AP468" s="490"/>
      <c r="AQ468" s="490"/>
      <c r="AR468" s="490"/>
      <c r="AS468" s="490"/>
      <c r="AT468" s="490"/>
      <c r="AU468" s="490"/>
      <c r="AV468" s="490"/>
      <c r="AW468" s="490"/>
      <c r="AX468" s="490"/>
      <c r="AY468" s="490"/>
      <c r="AZ468" s="490"/>
      <c r="BA468" s="490"/>
      <c r="BB468" s="490"/>
      <c r="BC468" s="490"/>
      <c r="BD468" s="490"/>
      <c r="BE468" s="490"/>
      <c r="BF468" s="490"/>
      <c r="BG468" s="490"/>
      <c r="BH468" s="490"/>
      <c r="BI468" s="490"/>
      <c r="BJ468" s="490"/>
      <c r="BK468" s="490"/>
      <c r="BL468" s="490"/>
      <c r="BM468" s="490"/>
      <c r="BN468" s="490"/>
      <c r="BO468" s="490"/>
    </row>
    <row r="469" spans="1:67" s="58" customFormat="1">
      <c r="A469" s="107"/>
      <c r="C469" s="394"/>
      <c r="D469" s="394"/>
      <c r="E469" s="394"/>
      <c r="F469" s="394"/>
      <c r="G469" s="394"/>
      <c r="H469" s="394"/>
      <c r="I469" s="394"/>
      <c r="J469" s="394"/>
      <c r="K469" s="394"/>
      <c r="L469" s="394"/>
      <c r="M469" s="394"/>
      <c r="N469" s="394"/>
      <c r="O469" s="394"/>
      <c r="P469" s="394"/>
      <c r="Q469" s="394"/>
      <c r="R469" s="394"/>
      <c r="S469" s="394"/>
      <c r="T469" s="394"/>
      <c r="U469" s="394"/>
      <c r="V469" s="394"/>
      <c r="W469" s="394"/>
      <c r="X469" s="394"/>
      <c r="Y469" s="394"/>
      <c r="Z469" s="394"/>
      <c r="AA469" s="394"/>
      <c r="AB469" s="394"/>
      <c r="AC469" s="394"/>
      <c r="AD469" s="394"/>
      <c r="AE469" s="394"/>
      <c r="AF469" s="394"/>
      <c r="AG469" s="394"/>
      <c r="AH469" s="394"/>
      <c r="AI469" s="394"/>
      <c r="AJ469" s="394"/>
      <c r="AK469" s="394"/>
      <c r="AL469" s="394"/>
      <c r="AM469" s="394"/>
      <c r="AN469" s="394"/>
      <c r="AO469" s="394"/>
      <c r="AP469" s="394"/>
      <c r="AQ469" s="394"/>
      <c r="AR469" s="394"/>
      <c r="AS469" s="394"/>
      <c r="AT469" s="394"/>
      <c r="AU469" s="394"/>
      <c r="AV469" s="394"/>
      <c r="AW469" s="394"/>
      <c r="AX469" s="394"/>
      <c r="AY469" s="394"/>
      <c r="AZ469" s="394"/>
      <c r="BA469" s="394"/>
      <c r="BB469" s="394"/>
      <c r="BC469" s="394"/>
      <c r="BD469" s="394"/>
      <c r="BE469" s="394"/>
      <c r="BF469" s="394"/>
      <c r="BG469" s="394"/>
      <c r="BH469" s="394"/>
      <c r="BI469" s="394"/>
      <c r="BJ469" s="394"/>
      <c r="BK469" s="394"/>
      <c r="BL469" s="394"/>
      <c r="BM469" s="394"/>
      <c r="BN469" s="394"/>
      <c r="BO469" s="394"/>
    </row>
    <row r="470" spans="1:67" s="58" customFormat="1">
      <c r="A470" s="107"/>
      <c r="C470" s="394"/>
      <c r="D470" s="394"/>
      <c r="E470" s="394"/>
      <c r="F470" s="394"/>
      <c r="G470" s="394"/>
      <c r="H470" s="394"/>
      <c r="I470" s="394"/>
      <c r="J470" s="394"/>
      <c r="K470" s="394"/>
      <c r="L470" s="394"/>
      <c r="M470" s="394"/>
      <c r="N470" s="394"/>
      <c r="O470" s="394"/>
      <c r="P470" s="394"/>
      <c r="Q470" s="394"/>
      <c r="R470" s="394"/>
      <c r="S470" s="394"/>
      <c r="T470" s="394"/>
      <c r="U470" s="394"/>
      <c r="V470" s="394"/>
      <c r="W470" s="394"/>
      <c r="X470" s="394"/>
      <c r="Y470" s="394"/>
      <c r="Z470" s="394"/>
      <c r="AA470" s="394"/>
      <c r="AB470" s="394"/>
      <c r="AC470" s="394"/>
      <c r="AD470" s="394"/>
      <c r="AE470" s="394"/>
      <c r="AF470" s="394"/>
      <c r="AG470" s="394"/>
      <c r="AH470" s="394"/>
      <c r="AI470" s="394"/>
      <c r="AJ470" s="394"/>
      <c r="AK470" s="394"/>
      <c r="AL470" s="394"/>
      <c r="AM470" s="394"/>
      <c r="AN470" s="394"/>
      <c r="AO470" s="394"/>
      <c r="AP470" s="394"/>
      <c r="AQ470" s="394"/>
      <c r="AR470" s="394"/>
      <c r="AS470" s="394"/>
      <c r="AT470" s="394"/>
      <c r="AU470" s="394"/>
      <c r="AV470" s="394"/>
      <c r="AW470" s="394"/>
      <c r="AX470" s="394"/>
      <c r="AY470" s="394"/>
      <c r="AZ470" s="394"/>
      <c r="BA470" s="394"/>
      <c r="BB470" s="394"/>
      <c r="BC470" s="394"/>
      <c r="BD470" s="394"/>
      <c r="BE470" s="394"/>
      <c r="BF470" s="394"/>
      <c r="BG470" s="394"/>
      <c r="BH470" s="394"/>
      <c r="BI470" s="394"/>
      <c r="BJ470" s="394"/>
      <c r="BK470" s="394"/>
      <c r="BL470" s="394"/>
      <c r="BM470" s="394"/>
      <c r="BN470" s="394"/>
      <c r="BO470" s="394"/>
    </row>
    <row r="471" spans="1:67" s="58" customFormat="1">
      <c r="A471" s="107"/>
      <c r="C471" s="490"/>
      <c r="D471" s="490"/>
      <c r="E471" s="490"/>
      <c r="F471" s="490"/>
      <c r="G471" s="490"/>
      <c r="H471" s="490"/>
      <c r="I471" s="490"/>
      <c r="J471" s="490"/>
      <c r="K471" s="490"/>
      <c r="L471" s="490"/>
      <c r="M471" s="490"/>
      <c r="N471" s="490"/>
      <c r="O471" s="490"/>
      <c r="P471" s="490"/>
      <c r="Q471" s="490"/>
      <c r="R471" s="490"/>
      <c r="S471" s="490"/>
      <c r="T471" s="490"/>
      <c r="U471" s="490"/>
      <c r="V471" s="490"/>
      <c r="W471" s="490"/>
      <c r="X471" s="490"/>
      <c r="Y471" s="490"/>
      <c r="Z471" s="490"/>
      <c r="AA471" s="490"/>
      <c r="AB471" s="490"/>
      <c r="AC471" s="490"/>
      <c r="AD471" s="490"/>
      <c r="AE471" s="490"/>
      <c r="AF471" s="490"/>
      <c r="AG471" s="490"/>
      <c r="AH471" s="490"/>
      <c r="AI471" s="490"/>
      <c r="AJ471" s="490"/>
      <c r="AK471" s="490"/>
      <c r="AL471" s="490"/>
      <c r="AM471" s="490"/>
      <c r="AN471" s="490"/>
      <c r="AO471" s="490"/>
      <c r="AP471" s="490"/>
      <c r="AQ471" s="490"/>
      <c r="AR471" s="490"/>
      <c r="AS471" s="490"/>
      <c r="AT471" s="490"/>
      <c r="AU471" s="490"/>
      <c r="AV471" s="490"/>
      <c r="AW471" s="490"/>
      <c r="AX471" s="490"/>
      <c r="AY471" s="490"/>
      <c r="AZ471" s="490"/>
      <c r="BA471" s="490"/>
      <c r="BB471" s="490"/>
      <c r="BC471" s="490"/>
      <c r="BD471" s="490"/>
      <c r="BE471" s="490"/>
      <c r="BF471" s="490"/>
      <c r="BG471" s="490"/>
      <c r="BH471" s="490"/>
      <c r="BI471" s="490"/>
      <c r="BJ471" s="490"/>
      <c r="BK471" s="490"/>
      <c r="BL471" s="490"/>
      <c r="BM471" s="490"/>
      <c r="BN471" s="490"/>
      <c r="BO471" s="490"/>
    </row>
    <row r="472" spans="1:67" s="58" customFormat="1">
      <c r="A472" s="107"/>
      <c r="C472" s="539"/>
      <c r="D472" s="539"/>
      <c r="E472" s="539"/>
      <c r="F472" s="539"/>
      <c r="G472" s="539"/>
      <c r="H472" s="539"/>
      <c r="I472" s="539"/>
      <c r="J472" s="539"/>
      <c r="K472" s="539"/>
      <c r="L472" s="539"/>
      <c r="M472" s="539"/>
      <c r="N472" s="539"/>
      <c r="O472" s="539"/>
      <c r="P472" s="539"/>
      <c r="Q472" s="539"/>
      <c r="R472" s="539"/>
      <c r="S472" s="539"/>
      <c r="T472" s="539"/>
      <c r="U472" s="539"/>
      <c r="V472" s="539"/>
      <c r="W472" s="539"/>
      <c r="X472" s="539"/>
      <c r="Y472" s="539"/>
      <c r="Z472" s="539"/>
      <c r="AA472" s="539"/>
      <c r="AB472" s="539"/>
      <c r="AC472" s="539"/>
      <c r="AD472" s="539"/>
      <c r="AE472" s="539"/>
      <c r="AF472" s="539"/>
      <c r="AG472" s="539"/>
      <c r="AH472" s="539"/>
      <c r="AI472" s="539"/>
      <c r="AJ472" s="539"/>
      <c r="AK472" s="539"/>
      <c r="AL472" s="539"/>
      <c r="AM472" s="539"/>
      <c r="AN472" s="539"/>
      <c r="AO472" s="539"/>
      <c r="AP472" s="539"/>
      <c r="AQ472" s="539"/>
      <c r="AR472" s="539"/>
      <c r="AS472" s="539"/>
      <c r="AT472" s="539"/>
      <c r="AU472" s="539"/>
      <c r="AV472" s="539"/>
      <c r="AW472" s="539"/>
      <c r="AX472" s="539"/>
      <c r="AY472" s="539"/>
      <c r="AZ472" s="539"/>
      <c r="BA472" s="539"/>
      <c r="BB472" s="539"/>
      <c r="BC472" s="539"/>
      <c r="BD472" s="539"/>
      <c r="BE472" s="539"/>
      <c r="BF472" s="539"/>
      <c r="BG472" s="539"/>
      <c r="BH472" s="539"/>
      <c r="BI472" s="539"/>
      <c r="BJ472" s="539"/>
      <c r="BK472" s="539"/>
      <c r="BL472" s="539"/>
      <c r="BM472" s="539"/>
      <c r="BN472" s="539"/>
      <c r="BO472" s="539"/>
    </row>
    <row r="473" spans="1:67" s="58" customFormat="1">
      <c r="A473" s="107"/>
      <c r="C473" s="394"/>
      <c r="D473" s="394"/>
      <c r="E473" s="394"/>
      <c r="F473" s="394"/>
      <c r="G473" s="394"/>
      <c r="H473" s="394"/>
      <c r="I473" s="394"/>
      <c r="J473" s="394"/>
      <c r="K473" s="394"/>
      <c r="L473" s="394"/>
      <c r="M473" s="394"/>
      <c r="N473" s="394"/>
      <c r="O473" s="394"/>
      <c r="P473" s="394"/>
      <c r="Q473" s="394"/>
      <c r="R473" s="394"/>
      <c r="S473" s="394"/>
      <c r="T473" s="394"/>
      <c r="U473" s="394"/>
      <c r="V473" s="394"/>
      <c r="W473" s="394"/>
      <c r="X473" s="394"/>
      <c r="Y473" s="394"/>
      <c r="Z473" s="394"/>
      <c r="AA473" s="394"/>
      <c r="AB473" s="394"/>
      <c r="AC473" s="394"/>
      <c r="AD473" s="394"/>
      <c r="AE473" s="394"/>
      <c r="AF473" s="394"/>
      <c r="AG473" s="394"/>
      <c r="AH473" s="394"/>
      <c r="AI473" s="394"/>
      <c r="AJ473" s="394"/>
      <c r="AK473" s="394"/>
      <c r="AL473" s="394"/>
      <c r="AM473" s="394"/>
      <c r="AN473" s="394"/>
      <c r="AO473" s="394"/>
      <c r="AP473" s="394"/>
      <c r="AQ473" s="394"/>
      <c r="AR473" s="394"/>
      <c r="AS473" s="394"/>
      <c r="AT473" s="394"/>
      <c r="AU473" s="394"/>
      <c r="AV473" s="394"/>
      <c r="AW473" s="394"/>
      <c r="AX473" s="394"/>
      <c r="AY473" s="394"/>
      <c r="AZ473" s="394"/>
      <c r="BA473" s="394"/>
      <c r="BB473" s="394"/>
      <c r="BC473" s="394"/>
      <c r="BD473" s="394"/>
      <c r="BE473" s="394"/>
      <c r="BF473" s="394"/>
      <c r="BG473" s="394"/>
      <c r="BH473" s="394"/>
      <c r="BI473" s="394"/>
      <c r="BJ473" s="394"/>
      <c r="BK473" s="394"/>
      <c r="BL473" s="394"/>
      <c r="BM473" s="394"/>
      <c r="BN473" s="394"/>
      <c r="BO473" s="394"/>
    </row>
    <row r="474" spans="1:67" s="58" customFormat="1">
      <c r="A474" s="107"/>
      <c r="C474" s="394"/>
      <c r="D474" s="394"/>
      <c r="E474" s="394"/>
      <c r="F474" s="394"/>
      <c r="G474" s="394"/>
      <c r="H474" s="394"/>
      <c r="I474" s="394"/>
      <c r="J474" s="394"/>
      <c r="K474" s="394"/>
      <c r="L474" s="394"/>
      <c r="M474" s="394"/>
      <c r="N474" s="394"/>
      <c r="O474" s="394"/>
      <c r="P474" s="394"/>
      <c r="Q474" s="394"/>
      <c r="R474" s="394"/>
      <c r="S474" s="394"/>
      <c r="T474" s="394"/>
      <c r="U474" s="394"/>
      <c r="V474" s="394"/>
      <c r="W474" s="394"/>
      <c r="X474" s="394"/>
      <c r="Y474" s="394"/>
      <c r="Z474" s="394"/>
      <c r="AA474" s="394"/>
      <c r="AB474" s="394"/>
      <c r="AC474" s="394"/>
      <c r="AD474" s="394"/>
      <c r="AE474" s="394"/>
      <c r="AF474" s="394"/>
      <c r="AG474" s="394"/>
      <c r="AH474" s="394"/>
      <c r="AI474" s="394"/>
      <c r="AJ474" s="394"/>
      <c r="AK474" s="394"/>
      <c r="AL474" s="394"/>
      <c r="AM474" s="394"/>
      <c r="AN474" s="394"/>
      <c r="AO474" s="394"/>
      <c r="AP474" s="394"/>
      <c r="AQ474" s="394"/>
      <c r="AR474" s="394"/>
      <c r="AS474" s="394"/>
      <c r="AT474" s="394"/>
      <c r="AU474" s="394"/>
      <c r="AV474" s="394"/>
      <c r="AW474" s="394"/>
      <c r="AX474" s="394"/>
      <c r="AY474" s="394"/>
      <c r="AZ474" s="394"/>
      <c r="BA474" s="394"/>
      <c r="BB474" s="394"/>
      <c r="BC474" s="394"/>
      <c r="BD474" s="394"/>
      <c r="BE474" s="394"/>
      <c r="BF474" s="394"/>
      <c r="BG474" s="394"/>
      <c r="BH474" s="394"/>
      <c r="BI474" s="394"/>
      <c r="BJ474" s="394"/>
      <c r="BK474" s="394"/>
      <c r="BL474" s="394"/>
      <c r="BM474" s="394"/>
      <c r="BN474" s="394"/>
      <c r="BO474" s="394"/>
    </row>
    <row r="475" spans="1:67" s="58" customFormat="1">
      <c r="A475" s="107"/>
      <c r="C475" s="540"/>
      <c r="D475" s="540"/>
      <c r="E475" s="540"/>
      <c r="F475" s="540"/>
      <c r="G475" s="540"/>
      <c r="H475" s="540"/>
      <c r="I475" s="540"/>
      <c r="J475" s="540"/>
      <c r="K475" s="540"/>
      <c r="L475" s="540"/>
      <c r="M475" s="540"/>
      <c r="N475" s="540"/>
      <c r="O475" s="540"/>
      <c r="P475" s="540"/>
      <c r="Q475" s="540"/>
      <c r="R475" s="540"/>
      <c r="S475" s="540"/>
      <c r="T475" s="540"/>
      <c r="U475" s="540"/>
      <c r="V475" s="540"/>
      <c r="W475" s="540"/>
      <c r="X475" s="540"/>
      <c r="Y475" s="540"/>
      <c r="Z475" s="540"/>
      <c r="AA475" s="540"/>
      <c r="AB475" s="540"/>
      <c r="AC475" s="540"/>
      <c r="AD475" s="540"/>
      <c r="AE475" s="540"/>
      <c r="AF475" s="540"/>
      <c r="AG475" s="540"/>
      <c r="AH475" s="540"/>
      <c r="AI475" s="540"/>
      <c r="AJ475" s="540"/>
      <c r="AK475" s="540"/>
      <c r="AL475" s="540"/>
      <c r="AM475" s="540"/>
      <c r="AN475" s="540"/>
      <c r="AO475" s="540"/>
      <c r="AP475" s="540"/>
      <c r="AQ475" s="540"/>
      <c r="AR475" s="540"/>
      <c r="AS475" s="540"/>
      <c r="AT475" s="540"/>
      <c r="AU475" s="540"/>
      <c r="AV475" s="540"/>
      <c r="AW475" s="540"/>
      <c r="AX475" s="540"/>
      <c r="AY475" s="540"/>
      <c r="AZ475" s="540"/>
      <c r="BA475" s="540"/>
      <c r="BB475" s="540"/>
      <c r="BC475" s="540"/>
      <c r="BD475" s="540"/>
      <c r="BE475" s="540"/>
      <c r="BF475" s="540"/>
      <c r="BG475" s="540"/>
      <c r="BH475" s="540"/>
      <c r="BI475" s="540"/>
      <c r="BJ475" s="540"/>
      <c r="BK475" s="540"/>
      <c r="BL475" s="540"/>
      <c r="BM475" s="540"/>
      <c r="BN475" s="540"/>
      <c r="BO475" s="540"/>
    </row>
    <row r="476" spans="1:67" s="58" customFormat="1">
      <c r="A476" s="107"/>
      <c r="C476" s="490"/>
      <c r="D476" s="490"/>
      <c r="E476" s="490"/>
      <c r="F476" s="490"/>
      <c r="G476" s="490"/>
      <c r="H476" s="490"/>
      <c r="I476" s="490"/>
      <c r="J476" s="490"/>
      <c r="K476" s="490"/>
      <c r="L476" s="490"/>
      <c r="M476" s="490"/>
      <c r="N476" s="490"/>
      <c r="O476" s="490"/>
      <c r="P476" s="490"/>
      <c r="Q476" s="490"/>
      <c r="R476" s="490"/>
      <c r="S476" s="490"/>
      <c r="T476" s="490"/>
      <c r="U476" s="490"/>
      <c r="V476" s="490"/>
      <c r="W476" s="490"/>
      <c r="X476" s="490"/>
      <c r="Y476" s="490"/>
      <c r="Z476" s="490"/>
      <c r="AA476" s="490"/>
      <c r="AB476" s="490"/>
      <c r="AC476" s="490"/>
      <c r="AD476" s="490"/>
      <c r="AE476" s="490"/>
      <c r="AF476" s="490"/>
      <c r="AG476" s="490"/>
      <c r="AH476" s="490"/>
      <c r="AI476" s="490"/>
      <c r="AJ476" s="490"/>
      <c r="AK476" s="490"/>
      <c r="AL476" s="490"/>
      <c r="AM476" s="490"/>
      <c r="AN476" s="490"/>
      <c r="AO476" s="490"/>
      <c r="AP476" s="490"/>
      <c r="AQ476" s="490"/>
      <c r="AR476" s="490"/>
      <c r="AS476" s="490"/>
      <c r="AT476" s="490"/>
      <c r="AU476" s="490"/>
      <c r="AV476" s="490"/>
      <c r="AW476" s="490"/>
      <c r="AX476" s="490"/>
      <c r="AY476" s="490"/>
      <c r="AZ476" s="490"/>
      <c r="BA476" s="490"/>
      <c r="BB476" s="490"/>
      <c r="BC476" s="490"/>
      <c r="BD476" s="490"/>
      <c r="BE476" s="490"/>
      <c r="BF476" s="490"/>
      <c r="BG476" s="490"/>
      <c r="BH476" s="490"/>
      <c r="BI476" s="490"/>
      <c r="BJ476" s="490"/>
      <c r="BK476" s="490"/>
      <c r="BL476" s="490"/>
      <c r="BM476" s="490"/>
      <c r="BN476" s="490"/>
      <c r="BO476" s="490"/>
    </row>
    <row r="477" spans="1:67" s="58" customFormat="1">
      <c r="A477" s="107"/>
      <c r="C477" s="490"/>
      <c r="D477" s="490"/>
      <c r="E477" s="490"/>
      <c r="F477" s="490"/>
      <c r="G477" s="490"/>
      <c r="H477" s="490"/>
      <c r="I477" s="490"/>
      <c r="J477" s="490"/>
      <c r="K477" s="490"/>
      <c r="L477" s="490"/>
      <c r="M477" s="490"/>
      <c r="N477" s="490"/>
      <c r="O477" s="490"/>
      <c r="P477" s="490"/>
      <c r="Q477" s="490"/>
      <c r="R477" s="490"/>
      <c r="S477" s="490"/>
      <c r="T477" s="490"/>
      <c r="U477" s="490"/>
      <c r="V477" s="490"/>
      <c r="W477" s="490"/>
      <c r="X477" s="490"/>
      <c r="Y477" s="490"/>
      <c r="Z477" s="490"/>
      <c r="AA477" s="490"/>
      <c r="AB477" s="490"/>
      <c r="AC477" s="490"/>
      <c r="AD477" s="490"/>
      <c r="AE477" s="490"/>
      <c r="AF477" s="490"/>
      <c r="AG477" s="490"/>
      <c r="AH477" s="490"/>
      <c r="AI477" s="490"/>
      <c r="AJ477" s="490"/>
      <c r="AK477" s="490"/>
      <c r="AL477" s="490"/>
      <c r="AM477" s="490"/>
      <c r="AN477" s="490"/>
      <c r="AO477" s="490"/>
      <c r="AP477" s="490"/>
      <c r="AQ477" s="490"/>
      <c r="AR477" s="490"/>
      <c r="AS477" s="490"/>
      <c r="AT477" s="490"/>
      <c r="AU477" s="490"/>
      <c r="AV477" s="490"/>
      <c r="AW477" s="490"/>
      <c r="AX477" s="490"/>
      <c r="AY477" s="490"/>
      <c r="AZ477" s="490"/>
      <c r="BA477" s="490"/>
      <c r="BB477" s="490"/>
      <c r="BC477" s="490"/>
      <c r="BD477" s="490"/>
      <c r="BE477" s="490"/>
      <c r="BF477" s="490"/>
      <c r="BG477" s="490"/>
      <c r="BH477" s="490"/>
      <c r="BI477" s="490"/>
      <c r="BJ477" s="490"/>
      <c r="BK477" s="490"/>
      <c r="BL477" s="490"/>
      <c r="BM477" s="490"/>
      <c r="BN477" s="490"/>
      <c r="BO477" s="490"/>
    </row>
    <row r="478" spans="1:67" s="58" customFormat="1">
      <c r="A478" s="107"/>
      <c r="C478" s="541"/>
      <c r="D478" s="541"/>
      <c r="E478" s="541"/>
      <c r="F478" s="541"/>
      <c r="G478" s="541"/>
      <c r="H478" s="541"/>
      <c r="I478" s="541"/>
      <c r="J478" s="541"/>
      <c r="K478" s="541"/>
      <c r="L478" s="541"/>
      <c r="M478" s="541"/>
      <c r="N478" s="541"/>
      <c r="O478" s="541"/>
      <c r="P478" s="541"/>
      <c r="Q478" s="541"/>
      <c r="R478" s="541"/>
      <c r="S478" s="541"/>
      <c r="T478" s="541"/>
      <c r="U478" s="541"/>
      <c r="V478" s="541"/>
      <c r="W478" s="541"/>
      <c r="X478" s="541"/>
      <c r="Y478" s="541"/>
      <c r="Z478" s="541"/>
      <c r="AA478" s="541"/>
      <c r="AB478" s="541"/>
      <c r="AC478" s="541"/>
      <c r="AD478" s="541"/>
      <c r="AE478" s="541"/>
      <c r="AF478" s="541"/>
      <c r="AG478" s="541"/>
      <c r="AH478" s="541"/>
      <c r="AI478" s="541"/>
      <c r="AJ478" s="541"/>
      <c r="AK478" s="541"/>
      <c r="AL478" s="541"/>
      <c r="AM478" s="541"/>
      <c r="AN478" s="541"/>
      <c r="AO478" s="541"/>
      <c r="AP478" s="541"/>
      <c r="AQ478" s="541"/>
      <c r="AR478" s="541"/>
      <c r="AS478" s="541"/>
      <c r="AT478" s="541"/>
      <c r="AU478" s="541"/>
      <c r="AV478" s="541"/>
      <c r="AW478" s="541"/>
      <c r="AX478" s="541"/>
      <c r="AY478" s="541"/>
      <c r="AZ478" s="541"/>
      <c r="BA478" s="541"/>
      <c r="BB478" s="541"/>
      <c r="BC478" s="541"/>
      <c r="BD478" s="541"/>
      <c r="BE478" s="541"/>
      <c r="BF478" s="541"/>
      <c r="BG478" s="541"/>
      <c r="BH478" s="541"/>
      <c r="BI478" s="541"/>
      <c r="BJ478" s="541"/>
      <c r="BK478" s="541"/>
      <c r="BL478" s="541"/>
      <c r="BM478" s="541"/>
      <c r="BN478" s="541"/>
      <c r="BO478" s="541"/>
    </row>
    <row r="479" spans="1:67" s="58" customFormat="1">
      <c r="A479" s="107"/>
      <c r="C479" s="394"/>
      <c r="D479" s="394"/>
      <c r="E479" s="394"/>
      <c r="F479" s="394"/>
      <c r="G479" s="394"/>
      <c r="H479" s="394"/>
      <c r="I479" s="394"/>
      <c r="J479" s="394"/>
      <c r="K479" s="394"/>
      <c r="L479" s="394"/>
      <c r="M479" s="394"/>
      <c r="N479" s="394"/>
      <c r="O479" s="394"/>
      <c r="P479" s="394"/>
      <c r="Q479" s="394"/>
      <c r="R479" s="394"/>
      <c r="S479" s="394"/>
      <c r="T479" s="394"/>
      <c r="U479" s="394"/>
      <c r="V479" s="394"/>
      <c r="W479" s="394"/>
      <c r="X479" s="394"/>
      <c r="Y479" s="394"/>
      <c r="Z479" s="394"/>
      <c r="AA479" s="394"/>
      <c r="AB479" s="394"/>
      <c r="AC479" s="394"/>
      <c r="AD479" s="394"/>
      <c r="AE479" s="394"/>
      <c r="AF479" s="394"/>
      <c r="AG479" s="394"/>
      <c r="AH479" s="394"/>
      <c r="AI479" s="394"/>
      <c r="AJ479" s="394"/>
      <c r="AK479" s="394"/>
      <c r="AL479" s="394"/>
      <c r="AM479" s="394"/>
      <c r="AN479" s="394"/>
      <c r="AO479" s="394"/>
      <c r="AP479" s="394"/>
      <c r="AQ479" s="394"/>
      <c r="AR479" s="394"/>
      <c r="AS479" s="394"/>
      <c r="AT479" s="394"/>
      <c r="AU479" s="394"/>
      <c r="AV479" s="394"/>
      <c r="AW479" s="394"/>
      <c r="AX479" s="394"/>
      <c r="AY479" s="394"/>
      <c r="AZ479" s="394"/>
      <c r="BA479" s="394"/>
      <c r="BB479" s="394"/>
      <c r="BC479" s="394"/>
      <c r="BD479" s="394"/>
      <c r="BE479" s="394"/>
      <c r="BF479" s="394"/>
      <c r="BG479" s="394"/>
      <c r="BH479" s="394"/>
      <c r="BI479" s="394"/>
      <c r="BJ479" s="394"/>
      <c r="BK479" s="394"/>
      <c r="BL479" s="394"/>
      <c r="BM479" s="394"/>
      <c r="BN479" s="394"/>
      <c r="BO479" s="394"/>
    </row>
    <row r="480" spans="1:67" s="58" customFormat="1">
      <c r="A480" s="107"/>
      <c r="C480" s="542"/>
      <c r="D480" s="542"/>
      <c r="E480" s="542"/>
      <c r="F480" s="542"/>
      <c r="G480" s="542"/>
      <c r="H480" s="542"/>
      <c r="I480" s="542"/>
      <c r="J480" s="542"/>
      <c r="K480" s="542"/>
      <c r="L480" s="542"/>
      <c r="M480" s="542"/>
      <c r="N480" s="542"/>
      <c r="O480" s="542"/>
      <c r="P480" s="542"/>
      <c r="Q480" s="542"/>
      <c r="R480" s="542"/>
      <c r="S480" s="542"/>
      <c r="T480" s="542"/>
      <c r="U480" s="542"/>
      <c r="V480" s="542"/>
      <c r="W480" s="542"/>
      <c r="X480" s="542"/>
      <c r="Y480" s="542"/>
      <c r="Z480" s="542"/>
      <c r="AA480" s="542"/>
      <c r="AB480" s="542"/>
      <c r="AC480" s="542"/>
      <c r="AD480" s="542"/>
      <c r="AE480" s="542"/>
      <c r="AF480" s="542"/>
      <c r="AG480" s="542"/>
      <c r="AH480" s="542"/>
      <c r="AI480" s="542"/>
      <c r="AJ480" s="542"/>
      <c r="AK480" s="542"/>
      <c r="AL480" s="542"/>
      <c r="AM480" s="542"/>
      <c r="AN480" s="542"/>
      <c r="AO480" s="542"/>
      <c r="AP480" s="542"/>
      <c r="AQ480" s="542"/>
      <c r="AR480" s="542"/>
      <c r="AS480" s="542"/>
      <c r="AT480" s="542"/>
      <c r="AU480" s="542"/>
      <c r="AV480" s="542"/>
      <c r="AW480" s="542"/>
      <c r="AX480" s="542"/>
      <c r="AY480" s="542"/>
      <c r="AZ480" s="542"/>
      <c r="BA480" s="542"/>
      <c r="BB480" s="542"/>
      <c r="BC480" s="542"/>
      <c r="BD480" s="542"/>
      <c r="BE480" s="542"/>
      <c r="BF480" s="542"/>
      <c r="BG480" s="542"/>
      <c r="BH480" s="542"/>
      <c r="BI480" s="542"/>
      <c r="BJ480" s="542"/>
      <c r="BK480" s="542"/>
      <c r="BL480" s="542"/>
      <c r="BM480" s="542"/>
      <c r="BN480" s="542"/>
      <c r="BO480" s="542"/>
    </row>
    <row r="481" spans="1:67" s="58" customFormat="1">
      <c r="A481" s="107"/>
      <c r="C481" s="543"/>
      <c r="D481" s="543"/>
      <c r="E481" s="543"/>
      <c r="F481" s="543"/>
      <c r="G481" s="543"/>
      <c r="H481" s="543"/>
      <c r="I481" s="543"/>
      <c r="J481" s="543"/>
      <c r="K481" s="543"/>
      <c r="L481" s="543"/>
      <c r="M481" s="543"/>
      <c r="N481" s="543"/>
      <c r="O481" s="543"/>
      <c r="P481" s="543"/>
      <c r="Q481" s="543"/>
      <c r="R481" s="543"/>
      <c r="S481" s="543"/>
      <c r="T481" s="543"/>
      <c r="U481" s="543"/>
      <c r="V481" s="543"/>
      <c r="W481" s="543"/>
      <c r="X481" s="543"/>
      <c r="Y481" s="543"/>
      <c r="Z481" s="543"/>
      <c r="AA481" s="543"/>
      <c r="AB481" s="543"/>
      <c r="AC481" s="543"/>
      <c r="AD481" s="543"/>
      <c r="AE481" s="543"/>
      <c r="AF481" s="543"/>
      <c r="AG481" s="543"/>
      <c r="AH481" s="543"/>
      <c r="AI481" s="543"/>
      <c r="AJ481" s="543"/>
      <c r="AK481" s="543"/>
      <c r="AL481" s="543"/>
      <c r="AM481" s="543"/>
      <c r="AN481" s="543"/>
      <c r="AO481" s="543"/>
      <c r="AP481" s="543"/>
      <c r="AQ481" s="543"/>
      <c r="AR481" s="543"/>
      <c r="AS481" s="543"/>
      <c r="AT481" s="543"/>
      <c r="AU481" s="543"/>
      <c r="AV481" s="543"/>
      <c r="AW481" s="543"/>
      <c r="AX481" s="543"/>
      <c r="AY481" s="543"/>
      <c r="AZ481" s="543"/>
      <c r="BA481" s="543"/>
      <c r="BB481" s="543"/>
      <c r="BC481" s="543"/>
      <c r="BD481" s="543"/>
      <c r="BE481" s="543"/>
      <c r="BF481" s="543"/>
      <c r="BG481" s="543"/>
      <c r="BH481" s="543"/>
      <c r="BI481" s="543"/>
      <c r="BJ481" s="543"/>
      <c r="BK481" s="543"/>
      <c r="BL481" s="543"/>
      <c r="BM481" s="543"/>
      <c r="BN481" s="543"/>
      <c r="BO481" s="543"/>
    </row>
    <row r="482" spans="1:67" s="58" customFormat="1">
      <c r="A482" s="107"/>
      <c r="C482" s="543"/>
      <c r="D482" s="543"/>
      <c r="E482" s="543"/>
      <c r="F482" s="543"/>
      <c r="G482" s="543"/>
      <c r="H482" s="543"/>
      <c r="I482" s="543"/>
      <c r="J482" s="543"/>
      <c r="K482" s="543"/>
      <c r="L482" s="543"/>
      <c r="M482" s="543"/>
      <c r="N482" s="543"/>
      <c r="O482" s="543"/>
      <c r="P482" s="543"/>
      <c r="Q482" s="543"/>
      <c r="R482" s="543"/>
      <c r="S482" s="543"/>
      <c r="T482" s="543"/>
      <c r="U482" s="543"/>
      <c r="V482" s="543"/>
      <c r="W482" s="543"/>
      <c r="X482" s="543"/>
      <c r="Y482" s="543"/>
      <c r="Z482" s="543"/>
      <c r="AA482" s="543"/>
      <c r="AB482" s="543"/>
      <c r="AC482" s="543"/>
      <c r="AD482" s="543"/>
      <c r="AE482" s="543"/>
      <c r="AF482" s="543"/>
      <c r="AG482" s="543"/>
      <c r="AH482" s="543"/>
      <c r="AI482" s="543"/>
      <c r="AJ482" s="543"/>
      <c r="AK482" s="543"/>
      <c r="AL482" s="543"/>
      <c r="AM482" s="543"/>
      <c r="AN482" s="543"/>
      <c r="AO482" s="543"/>
      <c r="AP482" s="543"/>
      <c r="AQ482" s="543"/>
      <c r="AR482" s="543"/>
      <c r="AS482" s="543"/>
      <c r="AT482" s="543"/>
      <c r="AU482" s="543"/>
      <c r="AV482" s="543"/>
      <c r="AW482" s="543"/>
      <c r="AX482" s="543"/>
      <c r="AY482" s="543"/>
      <c r="AZ482" s="543"/>
      <c r="BA482" s="543"/>
      <c r="BB482" s="543"/>
      <c r="BC482" s="543"/>
      <c r="BD482" s="543"/>
      <c r="BE482" s="543"/>
      <c r="BF482" s="543"/>
      <c r="BG482" s="543"/>
      <c r="BH482" s="543"/>
      <c r="BI482" s="543"/>
      <c r="BJ482" s="543"/>
      <c r="BK482" s="543"/>
      <c r="BL482" s="543"/>
      <c r="BM482" s="543"/>
      <c r="BN482" s="543"/>
      <c r="BO482" s="543"/>
    </row>
    <row r="483" spans="1:67" s="58" customFormat="1">
      <c r="A483" s="107"/>
      <c r="C483" s="543"/>
      <c r="D483" s="543"/>
      <c r="E483" s="543"/>
      <c r="F483" s="543"/>
      <c r="G483" s="543"/>
      <c r="H483" s="543"/>
      <c r="I483" s="543"/>
      <c r="J483" s="543"/>
      <c r="K483" s="543"/>
      <c r="L483" s="543"/>
      <c r="M483" s="543"/>
      <c r="N483" s="543"/>
      <c r="O483" s="543"/>
      <c r="P483" s="543"/>
      <c r="Q483" s="543"/>
      <c r="R483" s="543"/>
      <c r="S483" s="543"/>
      <c r="T483" s="543"/>
      <c r="U483" s="543"/>
      <c r="V483" s="543"/>
      <c r="W483" s="543"/>
      <c r="X483" s="543"/>
      <c r="Y483" s="543"/>
      <c r="Z483" s="543"/>
      <c r="AA483" s="543"/>
      <c r="AB483" s="543"/>
      <c r="AC483" s="543"/>
      <c r="AD483" s="543"/>
      <c r="AE483" s="543"/>
      <c r="AF483" s="543"/>
      <c r="AG483" s="543"/>
      <c r="AH483" s="543"/>
      <c r="AI483" s="543"/>
      <c r="AJ483" s="543"/>
      <c r="AK483" s="543"/>
      <c r="AL483" s="543"/>
      <c r="AM483" s="543"/>
      <c r="AN483" s="543"/>
      <c r="AO483" s="543"/>
      <c r="AP483" s="543"/>
      <c r="AQ483" s="543"/>
      <c r="AR483" s="543"/>
      <c r="AS483" s="543"/>
      <c r="AT483" s="543"/>
      <c r="AU483" s="543"/>
      <c r="AV483" s="543"/>
      <c r="AW483" s="543"/>
      <c r="AX483" s="543"/>
      <c r="AY483" s="543"/>
      <c r="AZ483" s="543"/>
      <c r="BA483" s="543"/>
      <c r="BB483" s="543"/>
      <c r="BC483" s="543"/>
      <c r="BD483" s="543"/>
      <c r="BE483" s="543"/>
      <c r="BF483" s="543"/>
      <c r="BG483" s="543"/>
      <c r="BH483" s="543"/>
      <c r="BI483" s="543"/>
      <c r="BJ483" s="543"/>
      <c r="BK483" s="543"/>
      <c r="BL483" s="543"/>
      <c r="BM483" s="543"/>
      <c r="BN483" s="543"/>
      <c r="BO483" s="543"/>
    </row>
    <row r="484" spans="1:67" s="58" customFormat="1">
      <c r="A484" s="107"/>
      <c r="C484" s="544"/>
      <c r="D484" s="545"/>
      <c r="E484" s="545"/>
      <c r="F484" s="545"/>
      <c r="G484" s="545"/>
      <c r="H484" s="544"/>
      <c r="I484" s="545"/>
      <c r="J484" s="545"/>
      <c r="K484" s="545"/>
      <c r="L484" s="545"/>
      <c r="M484" s="544"/>
      <c r="N484" s="545"/>
      <c r="O484" s="545"/>
      <c r="P484" s="545"/>
      <c r="Q484" s="545"/>
      <c r="R484" s="544"/>
      <c r="S484" s="545"/>
      <c r="T484" s="545"/>
      <c r="U484" s="545"/>
      <c r="V484" s="545"/>
      <c r="W484" s="544"/>
      <c r="X484" s="545"/>
      <c r="Y484" s="545"/>
      <c r="Z484" s="545"/>
      <c r="AA484" s="545"/>
      <c r="AB484" s="544"/>
      <c r="AC484" s="545"/>
      <c r="AD484" s="545"/>
      <c r="AE484" s="545"/>
      <c r="AF484" s="545"/>
      <c r="AG484" s="544"/>
      <c r="AH484" s="545"/>
      <c r="AI484" s="545"/>
      <c r="AJ484" s="545"/>
      <c r="AK484" s="545"/>
      <c r="AL484" s="544"/>
      <c r="AM484" s="545"/>
      <c r="AN484" s="545"/>
      <c r="AO484" s="545"/>
      <c r="AP484" s="545"/>
      <c r="AQ484" s="544"/>
      <c r="AR484" s="545"/>
      <c r="AS484" s="545"/>
      <c r="AT484" s="545"/>
      <c r="AU484" s="545"/>
      <c r="AV484" s="544"/>
      <c r="AW484" s="545"/>
      <c r="AX484" s="545"/>
      <c r="AY484" s="545"/>
      <c r="AZ484" s="545"/>
      <c r="BA484" s="544"/>
      <c r="BB484" s="545"/>
      <c r="BC484" s="545"/>
      <c r="BD484" s="545"/>
      <c r="BE484" s="545"/>
      <c r="BF484" s="544"/>
      <c r="BG484" s="545"/>
      <c r="BH484" s="545"/>
      <c r="BI484" s="545"/>
      <c r="BJ484" s="545"/>
      <c r="BK484" s="544"/>
      <c r="BL484" s="545"/>
      <c r="BM484" s="545"/>
      <c r="BN484" s="545"/>
      <c r="BO484" s="545"/>
    </row>
    <row r="485" spans="1:67" s="58" customFormat="1">
      <c r="A485" s="107"/>
      <c r="C485" s="544"/>
      <c r="D485" s="545"/>
      <c r="E485" s="545"/>
      <c r="F485" s="545"/>
      <c r="G485" s="545"/>
      <c r="H485" s="544"/>
      <c r="I485" s="545"/>
      <c r="J485" s="545"/>
      <c r="K485" s="545"/>
      <c r="L485" s="545"/>
      <c r="M485" s="544"/>
      <c r="N485" s="545"/>
      <c r="O485" s="545"/>
      <c r="P485" s="545"/>
      <c r="Q485" s="545"/>
      <c r="R485" s="544"/>
      <c r="S485" s="545"/>
      <c r="T485" s="545"/>
      <c r="U485" s="545"/>
      <c r="V485" s="545"/>
      <c r="W485" s="544"/>
      <c r="X485" s="545"/>
      <c r="Y485" s="545"/>
      <c r="Z485" s="545"/>
      <c r="AA485" s="545"/>
      <c r="AB485" s="544"/>
      <c r="AC485" s="545"/>
      <c r="AD485" s="545"/>
      <c r="AE485" s="545"/>
      <c r="AF485" s="545"/>
      <c r="AG485" s="544"/>
      <c r="AH485" s="545"/>
      <c r="AI485" s="545"/>
      <c r="AJ485" s="545"/>
      <c r="AK485" s="545"/>
      <c r="AL485" s="544"/>
      <c r="AM485" s="545"/>
      <c r="AN485" s="545"/>
      <c r="AO485" s="545"/>
      <c r="AP485" s="545"/>
      <c r="AQ485" s="544"/>
      <c r="AR485" s="545"/>
      <c r="AS485" s="545"/>
      <c r="AT485" s="545"/>
      <c r="AU485" s="545"/>
      <c r="AV485" s="544"/>
      <c r="AW485" s="545"/>
      <c r="AX485" s="545"/>
      <c r="AY485" s="545"/>
      <c r="AZ485" s="545"/>
      <c r="BA485" s="544"/>
      <c r="BB485" s="545"/>
      <c r="BC485" s="545"/>
      <c r="BD485" s="545"/>
      <c r="BE485" s="545"/>
      <c r="BF485" s="544"/>
      <c r="BG485" s="545"/>
      <c r="BH485" s="545"/>
      <c r="BI485" s="545"/>
      <c r="BJ485" s="545"/>
      <c r="BK485" s="544"/>
      <c r="BL485" s="545"/>
      <c r="BM485" s="545"/>
      <c r="BN485" s="545"/>
      <c r="BO485" s="545"/>
    </row>
    <row r="486" spans="1:67" s="58" customFormat="1">
      <c r="A486" s="107"/>
      <c r="C486" s="490"/>
      <c r="D486" s="490"/>
      <c r="E486" s="490"/>
      <c r="F486" s="490"/>
      <c r="G486" s="490"/>
      <c r="H486" s="490"/>
      <c r="I486" s="490"/>
      <c r="J486" s="490"/>
      <c r="K486" s="490"/>
      <c r="L486" s="490"/>
      <c r="M486" s="490"/>
      <c r="N486" s="490"/>
      <c r="O486" s="490"/>
      <c r="P486" s="490"/>
      <c r="Q486" s="490"/>
      <c r="R486" s="490"/>
      <c r="S486" s="490"/>
      <c r="T486" s="490"/>
      <c r="U486" s="490"/>
      <c r="V486" s="490"/>
      <c r="W486" s="490"/>
      <c r="X486" s="490"/>
      <c r="Y486" s="490"/>
      <c r="Z486" s="490"/>
      <c r="AA486" s="490"/>
      <c r="AB486" s="490"/>
      <c r="AC486" s="490"/>
      <c r="AD486" s="490"/>
      <c r="AE486" s="490"/>
      <c r="AF486" s="490"/>
      <c r="AG486" s="490"/>
      <c r="AH486" s="490"/>
      <c r="AI486" s="490"/>
      <c r="AJ486" s="490"/>
      <c r="AK486" s="490"/>
      <c r="AL486" s="490"/>
      <c r="AM486" s="490"/>
      <c r="AN486" s="490"/>
      <c r="AO486" s="490"/>
      <c r="AP486" s="490"/>
      <c r="AQ486" s="490"/>
      <c r="AR486" s="490"/>
      <c r="AS486" s="490"/>
      <c r="AT486" s="490"/>
      <c r="AU486" s="490"/>
      <c r="AV486" s="490"/>
      <c r="AW486" s="490"/>
      <c r="AX486" s="490"/>
      <c r="AY486" s="490"/>
      <c r="AZ486" s="490"/>
      <c r="BA486" s="490"/>
      <c r="BB486" s="490"/>
      <c r="BC486" s="490"/>
      <c r="BD486" s="490"/>
      <c r="BE486" s="490"/>
      <c r="BF486" s="490"/>
      <c r="BG486" s="490"/>
      <c r="BH486" s="490"/>
      <c r="BI486" s="490"/>
      <c r="BJ486" s="490"/>
      <c r="BK486" s="490"/>
      <c r="BL486" s="490"/>
      <c r="BM486" s="490"/>
      <c r="BN486" s="490"/>
      <c r="BO486" s="490"/>
    </row>
    <row r="487" spans="1:67" s="58" customFormat="1">
      <c r="A487" s="107"/>
      <c r="C487" s="488"/>
      <c r="D487" s="488"/>
      <c r="E487" s="488"/>
      <c r="F487" s="488"/>
      <c r="G487" s="488"/>
      <c r="H487" s="488"/>
      <c r="I487" s="488"/>
      <c r="J487" s="488"/>
      <c r="K487" s="488"/>
      <c r="L487" s="488"/>
      <c r="M487" s="488"/>
      <c r="N487" s="488"/>
      <c r="O487" s="488"/>
      <c r="P487" s="488"/>
      <c r="Q487" s="488"/>
      <c r="R487" s="488"/>
      <c r="S487" s="488"/>
      <c r="T487" s="488"/>
      <c r="U487" s="488"/>
      <c r="V487" s="488"/>
      <c r="W487" s="488"/>
      <c r="X487" s="488"/>
      <c r="Y487" s="488"/>
      <c r="Z487" s="488"/>
      <c r="AA487" s="488"/>
      <c r="AB487" s="488"/>
      <c r="AC487" s="488"/>
      <c r="AD487" s="488"/>
      <c r="AE487" s="488"/>
      <c r="AF487" s="488"/>
      <c r="AG487" s="488"/>
      <c r="AH487" s="488"/>
      <c r="AI487" s="488"/>
      <c r="AJ487" s="488"/>
      <c r="AK487" s="488"/>
      <c r="AL487" s="488"/>
      <c r="AM487" s="488"/>
      <c r="AN487" s="488"/>
      <c r="AO487" s="488"/>
      <c r="AP487" s="488"/>
      <c r="AQ487" s="488"/>
      <c r="AR487" s="488"/>
      <c r="AS487" s="488"/>
      <c r="AT487" s="488"/>
      <c r="AU487" s="488"/>
      <c r="AV487" s="488"/>
      <c r="AW487" s="488"/>
      <c r="AX487" s="488"/>
      <c r="AY487" s="488"/>
      <c r="AZ487" s="488"/>
      <c r="BA487" s="488"/>
      <c r="BB487" s="488"/>
      <c r="BC487" s="488"/>
      <c r="BD487" s="488"/>
      <c r="BE487" s="488"/>
      <c r="BF487" s="488"/>
      <c r="BG487" s="488"/>
      <c r="BH487" s="488"/>
      <c r="BI487" s="488"/>
      <c r="BJ487" s="488"/>
      <c r="BK487" s="488"/>
      <c r="BL487" s="488"/>
      <c r="BM487" s="488"/>
      <c r="BN487" s="488"/>
      <c r="BO487" s="488"/>
    </row>
    <row r="488" spans="1:67" s="58" customFormat="1">
      <c r="A488" s="107"/>
      <c r="C488" s="486"/>
      <c r="D488" s="486"/>
      <c r="E488" s="486"/>
      <c r="F488" s="486"/>
      <c r="G488" s="486"/>
      <c r="H488" s="486"/>
      <c r="I488" s="486"/>
      <c r="J488" s="486"/>
      <c r="K488" s="486"/>
      <c r="L488" s="486"/>
      <c r="M488" s="486"/>
      <c r="N488" s="486"/>
      <c r="O488" s="486"/>
      <c r="P488" s="486"/>
      <c r="Q488" s="486"/>
      <c r="R488" s="486"/>
      <c r="S488" s="486"/>
      <c r="T488" s="486"/>
      <c r="U488" s="486"/>
      <c r="V488" s="486"/>
      <c r="W488" s="486"/>
      <c r="X488" s="486"/>
      <c r="Y488" s="486"/>
      <c r="Z488" s="486"/>
      <c r="AA488" s="486"/>
      <c r="AB488" s="486"/>
      <c r="AC488" s="486"/>
      <c r="AD488" s="486"/>
      <c r="AE488" s="486"/>
      <c r="AF488" s="486"/>
      <c r="AG488" s="486"/>
      <c r="AH488" s="486"/>
      <c r="AI488" s="486"/>
      <c r="AJ488" s="486"/>
      <c r="AK488" s="486"/>
      <c r="AL488" s="486"/>
      <c r="AM488" s="486"/>
      <c r="AN488" s="486"/>
      <c r="AO488" s="486"/>
      <c r="AP488" s="486"/>
      <c r="AQ488" s="486"/>
      <c r="AR488" s="486"/>
      <c r="AS488" s="486"/>
      <c r="AT488" s="486"/>
      <c r="AU488" s="486"/>
      <c r="AV488" s="486"/>
      <c r="AW488" s="486"/>
      <c r="AX488" s="486"/>
      <c r="AY488" s="486"/>
      <c r="AZ488" s="486"/>
      <c r="BA488" s="486"/>
      <c r="BB488" s="486"/>
      <c r="BC488" s="486"/>
      <c r="BD488" s="486"/>
      <c r="BE488" s="486"/>
      <c r="BF488" s="486"/>
      <c r="BG488" s="486"/>
      <c r="BH488" s="486"/>
      <c r="BI488" s="486"/>
      <c r="BJ488" s="486"/>
      <c r="BK488" s="486"/>
      <c r="BL488" s="486"/>
      <c r="BM488" s="486"/>
      <c r="BN488" s="486"/>
      <c r="BO488" s="486"/>
    </row>
    <row r="489" spans="1:67" s="58" customFormat="1">
      <c r="A489" s="107"/>
      <c r="C489" s="490"/>
      <c r="D489" s="490"/>
      <c r="E489" s="490"/>
      <c r="F489" s="490"/>
      <c r="G489" s="490"/>
      <c r="H489" s="490"/>
      <c r="I489" s="490"/>
      <c r="J489" s="490"/>
      <c r="K489" s="490"/>
      <c r="L489" s="490"/>
      <c r="M489" s="490"/>
      <c r="N489" s="490"/>
      <c r="O489" s="490"/>
      <c r="P489" s="490"/>
      <c r="Q489" s="490"/>
      <c r="R489" s="490"/>
      <c r="S489" s="490"/>
      <c r="T489" s="490"/>
      <c r="U489" s="490"/>
      <c r="V489" s="490"/>
      <c r="W489" s="490"/>
      <c r="X489" s="490"/>
      <c r="Y489" s="490"/>
      <c r="Z489" s="490"/>
      <c r="AA489" s="490"/>
      <c r="AB489" s="490"/>
      <c r="AC489" s="490"/>
      <c r="AD489" s="490"/>
      <c r="AE489" s="490"/>
      <c r="AF489" s="490"/>
      <c r="AG489" s="490"/>
      <c r="AH489" s="490"/>
      <c r="AI489" s="490"/>
      <c r="AJ489" s="490"/>
      <c r="AK489" s="490"/>
      <c r="AL489" s="490"/>
      <c r="AM489" s="490"/>
      <c r="AN489" s="490"/>
      <c r="AO489" s="490"/>
      <c r="AP489" s="490"/>
      <c r="AQ489" s="490"/>
      <c r="AR489" s="490"/>
      <c r="AS489" s="490"/>
      <c r="AT489" s="490"/>
      <c r="AU489" s="490"/>
      <c r="AV489" s="490"/>
      <c r="AW489" s="490"/>
      <c r="AX489" s="490"/>
      <c r="AY489" s="490"/>
      <c r="AZ489" s="490"/>
      <c r="BA489" s="490"/>
      <c r="BB489" s="490"/>
      <c r="BC489" s="490"/>
      <c r="BD489" s="490"/>
      <c r="BE489" s="490"/>
      <c r="BF489" s="490"/>
      <c r="BG489" s="490"/>
      <c r="BH489" s="490"/>
      <c r="BI489" s="490"/>
      <c r="BJ489" s="490"/>
      <c r="BK489" s="490"/>
      <c r="BL489" s="490"/>
      <c r="BM489" s="490"/>
      <c r="BN489" s="490"/>
      <c r="BO489" s="490"/>
    </row>
    <row r="490" spans="1:67" s="58" customFormat="1">
      <c r="A490" s="107"/>
      <c r="C490" s="394"/>
      <c r="D490" s="394"/>
      <c r="E490" s="394"/>
      <c r="F490" s="394"/>
      <c r="G490" s="394"/>
      <c r="H490" s="394"/>
      <c r="I490" s="394"/>
      <c r="J490" s="394"/>
      <c r="K490" s="394"/>
      <c r="L490" s="394"/>
      <c r="M490" s="394"/>
      <c r="N490" s="394"/>
      <c r="O490" s="394"/>
      <c r="P490" s="394"/>
      <c r="Q490" s="394"/>
      <c r="R490" s="394"/>
      <c r="S490" s="394"/>
      <c r="T490" s="394"/>
      <c r="U490" s="394"/>
      <c r="V490" s="394"/>
      <c r="W490" s="394"/>
      <c r="X490" s="394"/>
      <c r="Y490" s="394"/>
      <c r="Z490" s="394"/>
      <c r="AA490" s="394"/>
      <c r="AB490" s="394"/>
      <c r="AC490" s="394"/>
      <c r="AD490" s="394"/>
      <c r="AE490" s="394"/>
      <c r="AF490" s="394"/>
      <c r="AG490" s="394"/>
      <c r="AH490" s="394"/>
      <c r="AI490" s="394"/>
      <c r="AJ490" s="394"/>
      <c r="AK490" s="394"/>
      <c r="AL490" s="394"/>
      <c r="AM490" s="394"/>
      <c r="AN490" s="394"/>
      <c r="AO490" s="394"/>
      <c r="AP490" s="394"/>
      <c r="AQ490" s="394"/>
      <c r="AR490" s="394"/>
      <c r="AS490" s="394"/>
      <c r="AT490" s="394"/>
      <c r="AU490" s="394"/>
      <c r="AV490" s="394"/>
      <c r="AW490" s="394"/>
      <c r="AX490" s="394"/>
      <c r="AY490" s="394"/>
      <c r="AZ490" s="394"/>
      <c r="BA490" s="394"/>
      <c r="BB490" s="394"/>
      <c r="BC490" s="394"/>
      <c r="BD490" s="394"/>
      <c r="BE490" s="394"/>
      <c r="BF490" s="394"/>
      <c r="BG490" s="394"/>
      <c r="BH490" s="394"/>
      <c r="BI490" s="394"/>
      <c r="BJ490" s="394"/>
      <c r="BK490" s="394"/>
      <c r="BL490" s="394"/>
      <c r="BM490" s="394"/>
      <c r="BN490" s="394"/>
      <c r="BO490" s="394"/>
    </row>
    <row r="491" spans="1:67" s="58" customFormat="1">
      <c r="A491" s="107"/>
      <c r="C491" s="490"/>
      <c r="D491" s="490"/>
      <c r="E491" s="490"/>
      <c r="F491" s="490"/>
      <c r="G491" s="490"/>
      <c r="H491" s="490"/>
      <c r="I491" s="490"/>
      <c r="J491" s="490"/>
      <c r="K491" s="490"/>
      <c r="L491" s="490"/>
      <c r="M491" s="490"/>
      <c r="N491" s="490"/>
      <c r="O491" s="490"/>
      <c r="P491" s="490"/>
      <c r="Q491" s="490"/>
      <c r="R491" s="490"/>
      <c r="S491" s="490"/>
      <c r="T491" s="490"/>
      <c r="U491" s="490"/>
      <c r="V491" s="490"/>
      <c r="W491" s="490"/>
      <c r="X491" s="490"/>
      <c r="Y491" s="490"/>
      <c r="Z491" s="490"/>
      <c r="AA491" s="490"/>
      <c r="AB491" s="490"/>
      <c r="AC491" s="490"/>
      <c r="AD491" s="490"/>
      <c r="AE491" s="490"/>
      <c r="AF491" s="490"/>
      <c r="AG491" s="490"/>
      <c r="AH491" s="490"/>
      <c r="AI491" s="490"/>
      <c r="AJ491" s="490"/>
      <c r="AK491" s="490"/>
      <c r="AL491" s="490"/>
      <c r="AM491" s="490"/>
      <c r="AN491" s="490"/>
      <c r="AO491" s="490"/>
      <c r="AP491" s="490"/>
      <c r="AQ491" s="490"/>
      <c r="AR491" s="490"/>
      <c r="AS491" s="490"/>
      <c r="AT491" s="490"/>
      <c r="AU491" s="490"/>
      <c r="AV491" s="490"/>
      <c r="AW491" s="490"/>
      <c r="AX491" s="490"/>
      <c r="AY491" s="490"/>
      <c r="AZ491" s="490"/>
      <c r="BA491" s="490"/>
      <c r="BB491" s="490"/>
      <c r="BC491" s="490"/>
      <c r="BD491" s="490"/>
      <c r="BE491" s="490"/>
      <c r="BF491" s="490"/>
      <c r="BG491" s="490"/>
      <c r="BH491" s="490"/>
      <c r="BI491" s="490"/>
      <c r="BJ491" s="490"/>
      <c r="BK491" s="490"/>
      <c r="BL491" s="490"/>
      <c r="BM491" s="490"/>
      <c r="BN491" s="490"/>
      <c r="BO491" s="490"/>
    </row>
    <row r="492" spans="1:67" s="58" customFormat="1">
      <c r="A492" s="107"/>
      <c r="C492" s="490"/>
      <c r="D492" s="490"/>
      <c r="E492" s="490"/>
      <c r="F492" s="490"/>
      <c r="G492" s="490"/>
      <c r="H492" s="490"/>
      <c r="I492" s="490"/>
      <c r="J492" s="490"/>
      <c r="K492" s="490"/>
      <c r="L492" s="490"/>
      <c r="M492" s="490"/>
      <c r="N492" s="490"/>
      <c r="O492" s="490"/>
      <c r="P492" s="490"/>
      <c r="Q492" s="490"/>
      <c r="R492" s="490"/>
      <c r="S492" s="490"/>
      <c r="T492" s="490"/>
      <c r="U492" s="490"/>
      <c r="V492" s="490"/>
      <c r="W492" s="490"/>
      <c r="X492" s="490"/>
      <c r="Y492" s="490"/>
      <c r="Z492" s="490"/>
      <c r="AA492" s="490"/>
      <c r="AB492" s="490"/>
      <c r="AC492" s="490"/>
      <c r="AD492" s="490"/>
      <c r="AE492" s="490"/>
      <c r="AF492" s="490"/>
      <c r="AG492" s="490"/>
      <c r="AH492" s="490"/>
      <c r="AI492" s="490"/>
      <c r="AJ492" s="490"/>
      <c r="AK492" s="490"/>
      <c r="AL492" s="490"/>
      <c r="AM492" s="490"/>
      <c r="AN492" s="490"/>
      <c r="AO492" s="490"/>
      <c r="AP492" s="490"/>
      <c r="AQ492" s="490"/>
      <c r="AR492" s="490"/>
      <c r="AS492" s="490"/>
      <c r="AT492" s="490"/>
      <c r="AU492" s="490"/>
      <c r="AV492" s="490"/>
      <c r="AW492" s="490"/>
      <c r="AX492" s="490"/>
      <c r="AY492" s="490"/>
      <c r="AZ492" s="490"/>
      <c r="BA492" s="490"/>
      <c r="BB492" s="490"/>
      <c r="BC492" s="490"/>
      <c r="BD492" s="490"/>
      <c r="BE492" s="490"/>
      <c r="BF492" s="490"/>
      <c r="BG492" s="490"/>
      <c r="BH492" s="490"/>
      <c r="BI492" s="490"/>
      <c r="BJ492" s="490"/>
      <c r="BK492" s="490"/>
      <c r="BL492" s="490"/>
      <c r="BM492" s="490"/>
      <c r="BN492" s="490"/>
      <c r="BO492" s="490"/>
    </row>
    <row r="493" spans="1:67" s="58" customFormat="1">
      <c r="A493" s="107"/>
      <c r="C493" s="490"/>
      <c r="D493" s="490"/>
      <c r="E493" s="490"/>
      <c r="F493" s="490"/>
      <c r="G493" s="490"/>
      <c r="H493" s="490"/>
      <c r="I493" s="490"/>
      <c r="J493" s="490"/>
      <c r="K493" s="490"/>
      <c r="L493" s="490"/>
      <c r="M493" s="490"/>
      <c r="N493" s="490"/>
      <c r="O493" s="490"/>
      <c r="P493" s="490"/>
      <c r="Q493" s="490"/>
      <c r="R493" s="490"/>
      <c r="S493" s="490"/>
      <c r="T493" s="490"/>
      <c r="U493" s="490"/>
      <c r="V493" s="490"/>
      <c r="W493" s="490"/>
      <c r="X493" s="490"/>
      <c r="Y493" s="490"/>
      <c r="Z493" s="490"/>
      <c r="AA493" s="490"/>
      <c r="AB493" s="490"/>
      <c r="AC493" s="490"/>
      <c r="AD493" s="490"/>
      <c r="AE493" s="490"/>
      <c r="AF493" s="490"/>
      <c r="AG493" s="490"/>
      <c r="AH493" s="490"/>
      <c r="AI493" s="490"/>
      <c r="AJ493" s="490"/>
      <c r="AK493" s="490"/>
      <c r="AL493" s="490"/>
      <c r="AM493" s="490"/>
      <c r="AN493" s="490"/>
      <c r="AO493" s="490"/>
      <c r="AP493" s="490"/>
      <c r="AQ493" s="490"/>
      <c r="AR493" s="490"/>
      <c r="AS493" s="490"/>
      <c r="AT493" s="490"/>
      <c r="AU493" s="490"/>
      <c r="AV493" s="490"/>
      <c r="AW493" s="490"/>
      <c r="AX493" s="490"/>
      <c r="AY493" s="490"/>
      <c r="AZ493" s="490"/>
      <c r="BA493" s="490"/>
      <c r="BB493" s="490"/>
      <c r="BC493" s="490"/>
      <c r="BD493" s="490"/>
      <c r="BE493" s="490"/>
      <c r="BF493" s="490"/>
      <c r="BG493" s="490"/>
      <c r="BH493" s="490"/>
      <c r="BI493" s="490"/>
      <c r="BJ493" s="490"/>
      <c r="BK493" s="490"/>
      <c r="BL493" s="490"/>
      <c r="BM493" s="490"/>
      <c r="BN493" s="490"/>
      <c r="BO493" s="490"/>
    </row>
    <row r="494" spans="1:67" s="58" customFormat="1">
      <c r="A494" s="107"/>
      <c r="C494" s="490"/>
      <c r="D494" s="490"/>
      <c r="E494" s="490"/>
      <c r="F494" s="490"/>
      <c r="G494" s="490"/>
      <c r="H494" s="490"/>
      <c r="I494" s="490"/>
      <c r="J494" s="490"/>
      <c r="K494" s="490"/>
      <c r="L494" s="490"/>
      <c r="M494" s="490"/>
      <c r="N494" s="490"/>
      <c r="O494" s="490"/>
      <c r="P494" s="490"/>
      <c r="Q494" s="490"/>
      <c r="R494" s="490"/>
      <c r="S494" s="490"/>
      <c r="T494" s="490"/>
      <c r="U494" s="490"/>
      <c r="V494" s="490"/>
      <c r="W494" s="490"/>
      <c r="X494" s="490"/>
      <c r="Y494" s="490"/>
      <c r="Z494" s="490"/>
      <c r="AA494" s="490"/>
      <c r="AB494" s="490"/>
      <c r="AC494" s="490"/>
      <c r="AD494" s="490"/>
      <c r="AE494" s="490"/>
      <c r="AF494" s="490"/>
      <c r="AG494" s="490"/>
      <c r="AH494" s="490"/>
      <c r="AI494" s="490"/>
      <c r="AJ494" s="490"/>
      <c r="AK494" s="490"/>
      <c r="AL494" s="490"/>
      <c r="AM494" s="490"/>
      <c r="AN494" s="490"/>
      <c r="AO494" s="490"/>
      <c r="AP494" s="490"/>
      <c r="AQ494" s="490"/>
      <c r="AR494" s="490"/>
      <c r="AS494" s="490"/>
      <c r="AT494" s="490"/>
      <c r="AU494" s="490"/>
      <c r="AV494" s="490"/>
      <c r="AW494" s="490"/>
      <c r="AX494" s="490"/>
      <c r="AY494" s="490"/>
      <c r="AZ494" s="490"/>
      <c r="BA494" s="490"/>
      <c r="BB494" s="490"/>
      <c r="BC494" s="490"/>
      <c r="BD494" s="490"/>
      <c r="BE494" s="490"/>
      <c r="BF494" s="490"/>
      <c r="BG494" s="490"/>
      <c r="BH494" s="490"/>
      <c r="BI494" s="490"/>
      <c r="BJ494" s="490"/>
      <c r="BK494" s="490"/>
      <c r="BL494" s="490"/>
      <c r="BM494" s="490"/>
      <c r="BN494" s="490"/>
      <c r="BO494" s="490"/>
    </row>
    <row r="495" spans="1:67" s="58" customFormat="1">
      <c r="A495" s="107"/>
      <c r="C495" s="490"/>
      <c r="D495" s="490"/>
      <c r="E495" s="490"/>
      <c r="F495" s="490"/>
      <c r="G495" s="490"/>
      <c r="H495" s="490"/>
      <c r="I495" s="490"/>
      <c r="J495" s="490"/>
      <c r="K495" s="490"/>
      <c r="L495" s="490"/>
      <c r="M495" s="490"/>
      <c r="N495" s="490"/>
      <c r="O495" s="490"/>
      <c r="P495" s="490"/>
      <c r="Q495" s="490"/>
      <c r="R495" s="490"/>
      <c r="S495" s="490"/>
      <c r="T495" s="490"/>
      <c r="U495" s="490"/>
      <c r="V495" s="490"/>
      <c r="W495" s="490"/>
      <c r="X495" s="490"/>
      <c r="Y495" s="490"/>
      <c r="Z495" s="490"/>
      <c r="AA495" s="490"/>
      <c r="AB495" s="490"/>
      <c r="AC495" s="490"/>
      <c r="AD495" s="490"/>
      <c r="AE495" s="490"/>
      <c r="AF495" s="490"/>
      <c r="AG495" s="490"/>
      <c r="AH495" s="490"/>
      <c r="AI495" s="490"/>
      <c r="AJ495" s="490"/>
      <c r="AK495" s="490"/>
      <c r="AL495" s="490"/>
      <c r="AM495" s="490"/>
      <c r="AN495" s="490"/>
      <c r="AO495" s="490"/>
      <c r="AP495" s="490"/>
      <c r="AQ495" s="490"/>
      <c r="AR495" s="490"/>
      <c r="AS495" s="490"/>
      <c r="AT495" s="490"/>
      <c r="AU495" s="490"/>
      <c r="AV495" s="490"/>
      <c r="AW495" s="490"/>
      <c r="AX495" s="490"/>
      <c r="AY495" s="490"/>
      <c r="AZ495" s="490"/>
      <c r="BA495" s="490"/>
      <c r="BB495" s="490"/>
      <c r="BC495" s="490"/>
      <c r="BD495" s="490"/>
      <c r="BE495" s="490"/>
      <c r="BF495" s="490"/>
      <c r="BG495" s="490"/>
      <c r="BH495" s="490"/>
      <c r="BI495" s="490"/>
      <c r="BJ495" s="490"/>
      <c r="BK495" s="490"/>
      <c r="BL495" s="490"/>
      <c r="BM495" s="490"/>
      <c r="BN495" s="490"/>
      <c r="BO495" s="490"/>
    </row>
    <row r="496" spans="1:67" s="58" customFormat="1">
      <c r="A496" s="107"/>
      <c r="C496" s="490"/>
      <c r="D496" s="490"/>
      <c r="E496" s="490"/>
      <c r="F496" s="490"/>
      <c r="G496" s="490"/>
      <c r="H496" s="490"/>
      <c r="I496" s="490"/>
      <c r="J496" s="490"/>
      <c r="K496" s="490"/>
      <c r="L496" s="490"/>
      <c r="M496" s="490"/>
      <c r="N496" s="490"/>
      <c r="O496" s="490"/>
      <c r="P496" s="490"/>
      <c r="Q496" s="490"/>
      <c r="R496" s="490"/>
      <c r="S496" s="490"/>
      <c r="T496" s="490"/>
      <c r="U496" s="490"/>
      <c r="V496" s="490"/>
      <c r="W496" s="490"/>
      <c r="X496" s="490"/>
      <c r="Y496" s="490"/>
      <c r="Z496" s="490"/>
      <c r="AA496" s="490"/>
      <c r="AB496" s="490"/>
      <c r="AC496" s="490"/>
      <c r="AD496" s="490"/>
      <c r="AE496" s="490"/>
      <c r="AF496" s="490"/>
      <c r="AG496" s="490"/>
      <c r="AH496" s="490"/>
      <c r="AI496" s="490"/>
      <c r="AJ496" s="490"/>
      <c r="AK496" s="490"/>
      <c r="AL496" s="490"/>
      <c r="AM496" s="490"/>
      <c r="AN496" s="490"/>
      <c r="AO496" s="490"/>
      <c r="AP496" s="490"/>
      <c r="AQ496" s="490"/>
      <c r="AR496" s="490"/>
      <c r="AS496" s="490"/>
      <c r="AT496" s="490"/>
      <c r="AU496" s="490"/>
      <c r="AV496" s="490"/>
      <c r="AW496" s="490"/>
      <c r="AX496" s="490"/>
      <c r="AY496" s="490"/>
      <c r="AZ496" s="490"/>
      <c r="BA496" s="490"/>
      <c r="BB496" s="490"/>
      <c r="BC496" s="490"/>
      <c r="BD496" s="490"/>
      <c r="BE496" s="490"/>
      <c r="BF496" s="490"/>
      <c r="BG496" s="490"/>
      <c r="BH496" s="490"/>
      <c r="BI496" s="490"/>
      <c r="BJ496" s="490"/>
      <c r="BK496" s="490"/>
      <c r="BL496" s="490"/>
      <c r="BM496" s="490"/>
      <c r="BN496" s="490"/>
      <c r="BO496" s="490"/>
    </row>
    <row r="497" spans="1:67" s="58" customFormat="1">
      <c r="A497" s="107"/>
      <c r="C497" s="546"/>
      <c r="D497" s="546"/>
      <c r="E497" s="546"/>
      <c r="F497" s="546"/>
      <c r="G497" s="546"/>
      <c r="H497" s="546"/>
      <c r="I497" s="546"/>
      <c r="J497" s="546"/>
      <c r="K497" s="546"/>
      <c r="L497" s="546"/>
      <c r="M497" s="546"/>
      <c r="N497" s="546"/>
      <c r="O497" s="546"/>
      <c r="P497" s="546"/>
      <c r="Q497" s="546"/>
      <c r="R497" s="546"/>
      <c r="S497" s="546"/>
      <c r="T497" s="546"/>
      <c r="U497" s="546"/>
      <c r="V497" s="546"/>
      <c r="W497" s="546"/>
      <c r="X497" s="546"/>
      <c r="Y497" s="546"/>
      <c r="Z497" s="546"/>
      <c r="AA497" s="546"/>
      <c r="AB497" s="546"/>
      <c r="AC497" s="546"/>
      <c r="AD497" s="546"/>
      <c r="AE497" s="546"/>
      <c r="AF497" s="546"/>
      <c r="AG497" s="546"/>
      <c r="AH497" s="546"/>
      <c r="AI497" s="546"/>
      <c r="AJ497" s="546"/>
      <c r="AK497" s="546"/>
      <c r="AL497" s="546"/>
      <c r="AM497" s="546"/>
      <c r="AN497" s="546"/>
      <c r="AO497" s="546"/>
      <c r="AP497" s="546"/>
      <c r="AQ497" s="546"/>
      <c r="AR497" s="546"/>
      <c r="AS497" s="546"/>
      <c r="AT497" s="546"/>
      <c r="AU497" s="546"/>
      <c r="AV497" s="546"/>
      <c r="AW497" s="546"/>
      <c r="AX497" s="546"/>
      <c r="AY497" s="546"/>
      <c r="AZ497" s="546"/>
      <c r="BA497" s="546"/>
      <c r="BB497" s="546"/>
      <c r="BC497" s="546"/>
      <c r="BD497" s="546"/>
      <c r="BE497" s="546"/>
      <c r="BF497" s="546"/>
      <c r="BG497" s="546"/>
      <c r="BH497" s="546"/>
      <c r="BI497" s="546"/>
      <c r="BJ497" s="546"/>
      <c r="BK497" s="546"/>
      <c r="BL497" s="546"/>
      <c r="BM497" s="546"/>
      <c r="BN497" s="546"/>
      <c r="BO497" s="546"/>
    </row>
    <row r="498" spans="1:67" s="58" customFormat="1">
      <c r="A498" s="107"/>
      <c r="C498" s="394"/>
      <c r="D498" s="394"/>
      <c r="E498" s="394"/>
      <c r="F498" s="394"/>
      <c r="G498" s="394"/>
      <c r="H498" s="394"/>
      <c r="I498" s="394"/>
      <c r="J498" s="394"/>
      <c r="K498" s="394"/>
      <c r="L498" s="394"/>
      <c r="M498" s="394"/>
      <c r="N498" s="394"/>
      <c r="O498" s="394"/>
      <c r="P498" s="394"/>
      <c r="Q498" s="394"/>
      <c r="R498" s="394"/>
      <c r="S498" s="394"/>
      <c r="T498" s="394"/>
      <c r="U498" s="394"/>
      <c r="V498" s="394"/>
      <c r="W498" s="394"/>
      <c r="X498" s="394"/>
      <c r="Y498" s="394"/>
      <c r="Z498" s="394"/>
      <c r="AA498" s="394"/>
      <c r="AB498" s="394"/>
      <c r="AC498" s="394"/>
      <c r="AD498" s="394"/>
      <c r="AE498" s="394"/>
      <c r="AF498" s="394"/>
      <c r="AG498" s="394"/>
      <c r="AH498" s="394"/>
      <c r="AI498" s="394"/>
      <c r="AJ498" s="394"/>
      <c r="AK498" s="394"/>
      <c r="AL498" s="394"/>
      <c r="AM498" s="394"/>
      <c r="AN498" s="394"/>
      <c r="AO498" s="394"/>
      <c r="AP498" s="394"/>
      <c r="AQ498" s="394"/>
      <c r="AR498" s="394"/>
      <c r="AS498" s="394"/>
      <c r="AT498" s="394"/>
      <c r="AU498" s="394"/>
      <c r="AV498" s="394"/>
      <c r="AW498" s="394"/>
      <c r="AX498" s="394"/>
      <c r="AY498" s="394"/>
      <c r="AZ498" s="394"/>
      <c r="BA498" s="394"/>
      <c r="BB498" s="394"/>
      <c r="BC498" s="394"/>
      <c r="BD498" s="394"/>
      <c r="BE498" s="394"/>
      <c r="BF498" s="394"/>
      <c r="BG498" s="394"/>
      <c r="BH498" s="394"/>
      <c r="BI498" s="394"/>
      <c r="BJ498" s="394"/>
      <c r="BK498" s="394"/>
      <c r="BL498" s="394"/>
      <c r="BM498" s="394"/>
      <c r="BN498" s="394"/>
      <c r="BO498" s="394"/>
    </row>
    <row r="499" spans="1:67" s="58" customFormat="1">
      <c r="A499" s="107"/>
      <c r="C499" s="394"/>
      <c r="D499" s="394"/>
      <c r="E499" s="394"/>
      <c r="F499" s="394"/>
      <c r="G499" s="394"/>
      <c r="H499" s="394"/>
      <c r="I499" s="394"/>
      <c r="J499" s="394"/>
      <c r="K499" s="394"/>
      <c r="L499" s="394"/>
      <c r="M499" s="394"/>
      <c r="N499" s="394"/>
      <c r="O499" s="394"/>
      <c r="P499" s="394"/>
      <c r="Q499" s="394"/>
      <c r="R499" s="394"/>
      <c r="S499" s="394"/>
      <c r="T499" s="394"/>
      <c r="U499" s="394"/>
      <c r="V499" s="394"/>
      <c r="W499" s="394"/>
      <c r="X499" s="394"/>
      <c r="Y499" s="394"/>
      <c r="Z499" s="394"/>
      <c r="AA499" s="394"/>
      <c r="AB499" s="394"/>
      <c r="AC499" s="394"/>
      <c r="AD499" s="394"/>
      <c r="AE499" s="394"/>
      <c r="AF499" s="394"/>
      <c r="AG499" s="394"/>
      <c r="AH499" s="394"/>
      <c r="AI499" s="394"/>
      <c r="AJ499" s="394"/>
      <c r="AK499" s="394"/>
      <c r="AL499" s="394"/>
      <c r="AM499" s="394"/>
      <c r="AN499" s="394"/>
      <c r="AO499" s="394"/>
      <c r="AP499" s="394"/>
      <c r="AQ499" s="394"/>
      <c r="AR499" s="394"/>
      <c r="AS499" s="394"/>
      <c r="AT499" s="394"/>
      <c r="AU499" s="394"/>
      <c r="AV499" s="394"/>
      <c r="AW499" s="394"/>
      <c r="AX499" s="394"/>
      <c r="AY499" s="394"/>
      <c r="AZ499" s="394"/>
      <c r="BA499" s="394"/>
      <c r="BB499" s="394"/>
      <c r="BC499" s="394"/>
      <c r="BD499" s="394"/>
      <c r="BE499" s="394"/>
      <c r="BF499" s="394"/>
      <c r="BG499" s="394"/>
      <c r="BH499" s="394"/>
      <c r="BI499" s="394"/>
      <c r="BJ499" s="394"/>
      <c r="BK499" s="394"/>
      <c r="BL499" s="394"/>
      <c r="BM499" s="394"/>
      <c r="BN499" s="394"/>
      <c r="BO499" s="394"/>
    </row>
    <row r="500" spans="1:67" s="58" customFormat="1">
      <c r="A500" s="107"/>
      <c r="C500" s="546"/>
      <c r="D500" s="546"/>
      <c r="E500" s="546"/>
      <c r="F500" s="546"/>
      <c r="G500" s="546"/>
      <c r="H500" s="546"/>
      <c r="I500" s="546"/>
      <c r="J500" s="546"/>
      <c r="K500" s="546"/>
      <c r="L500" s="546"/>
      <c r="M500" s="546"/>
      <c r="N500" s="546"/>
      <c r="O500" s="546"/>
      <c r="P500" s="546"/>
      <c r="Q500" s="546"/>
      <c r="R500" s="546"/>
      <c r="S500" s="546"/>
      <c r="T500" s="546"/>
      <c r="U500" s="546"/>
      <c r="V500" s="546"/>
      <c r="W500" s="546"/>
      <c r="X500" s="546"/>
      <c r="Y500" s="546"/>
      <c r="Z500" s="546"/>
      <c r="AA500" s="546"/>
      <c r="AB500" s="546"/>
      <c r="AC500" s="546"/>
      <c r="AD500" s="546"/>
      <c r="AE500" s="546"/>
      <c r="AF500" s="546"/>
      <c r="AG500" s="546"/>
      <c r="AH500" s="546"/>
      <c r="AI500" s="546"/>
      <c r="AJ500" s="546"/>
      <c r="AK500" s="546"/>
      <c r="AL500" s="546"/>
      <c r="AM500" s="546"/>
      <c r="AN500" s="546"/>
      <c r="AO500" s="546"/>
      <c r="AP500" s="546"/>
      <c r="AQ500" s="546"/>
      <c r="AR500" s="546"/>
      <c r="AS500" s="546"/>
      <c r="AT500" s="546"/>
      <c r="AU500" s="546"/>
      <c r="AV500" s="546"/>
      <c r="AW500" s="546"/>
      <c r="AX500" s="546"/>
      <c r="AY500" s="546"/>
      <c r="AZ500" s="546"/>
      <c r="BA500" s="546"/>
      <c r="BB500" s="546"/>
      <c r="BC500" s="546"/>
      <c r="BD500" s="546"/>
      <c r="BE500" s="546"/>
      <c r="BF500" s="546"/>
      <c r="BG500" s="546"/>
      <c r="BH500" s="546"/>
      <c r="BI500" s="546"/>
      <c r="BJ500" s="546"/>
      <c r="BK500" s="546"/>
      <c r="BL500" s="546"/>
      <c r="BM500" s="546"/>
      <c r="BN500" s="546"/>
      <c r="BO500" s="546"/>
    </row>
    <row r="501" spans="1:67" s="58" customFormat="1">
      <c r="A501" s="107"/>
      <c r="C501" s="546"/>
      <c r="D501" s="546"/>
      <c r="E501" s="546"/>
      <c r="F501" s="546"/>
      <c r="G501" s="546"/>
      <c r="H501" s="546"/>
      <c r="I501" s="546"/>
      <c r="J501" s="546"/>
      <c r="K501" s="546"/>
      <c r="L501" s="546"/>
      <c r="M501" s="546"/>
      <c r="N501" s="546"/>
      <c r="O501" s="546"/>
      <c r="P501" s="546"/>
      <c r="Q501" s="546"/>
      <c r="R501" s="546"/>
      <c r="S501" s="546"/>
      <c r="T501" s="546"/>
      <c r="U501" s="546"/>
      <c r="V501" s="546"/>
      <c r="W501" s="546"/>
      <c r="X501" s="546"/>
      <c r="Y501" s="546"/>
      <c r="Z501" s="546"/>
      <c r="AA501" s="546"/>
      <c r="AB501" s="546"/>
      <c r="AC501" s="546"/>
      <c r="AD501" s="546"/>
      <c r="AE501" s="546"/>
      <c r="AF501" s="546"/>
      <c r="AG501" s="546"/>
      <c r="AH501" s="546"/>
      <c r="AI501" s="546"/>
      <c r="AJ501" s="546"/>
      <c r="AK501" s="546"/>
      <c r="AL501" s="546"/>
      <c r="AM501" s="546"/>
      <c r="AN501" s="546"/>
      <c r="AO501" s="546"/>
      <c r="AP501" s="546"/>
      <c r="AQ501" s="546"/>
      <c r="AR501" s="546"/>
      <c r="AS501" s="546"/>
      <c r="AT501" s="546"/>
      <c r="AU501" s="546"/>
      <c r="AV501" s="546"/>
      <c r="AW501" s="546"/>
      <c r="AX501" s="546"/>
      <c r="AY501" s="546"/>
      <c r="AZ501" s="546"/>
      <c r="BA501" s="546"/>
      <c r="BB501" s="546"/>
      <c r="BC501" s="546"/>
      <c r="BD501" s="546"/>
      <c r="BE501" s="546"/>
      <c r="BF501" s="546"/>
      <c r="BG501" s="546"/>
      <c r="BH501" s="546"/>
      <c r="BI501" s="546"/>
      <c r="BJ501" s="546"/>
      <c r="BK501" s="546"/>
      <c r="BL501" s="546"/>
      <c r="BM501" s="546"/>
      <c r="BN501" s="546"/>
      <c r="BO501" s="546"/>
    </row>
    <row r="502" spans="1:67" s="58" customFormat="1">
      <c r="A502" s="107"/>
      <c r="C502" s="490"/>
      <c r="D502" s="490"/>
      <c r="E502" s="490"/>
      <c r="F502" s="490"/>
      <c r="G502" s="490"/>
      <c r="H502" s="490"/>
      <c r="I502" s="490"/>
      <c r="J502" s="490"/>
      <c r="K502" s="490"/>
      <c r="L502" s="490"/>
      <c r="M502" s="490"/>
      <c r="N502" s="490"/>
      <c r="O502" s="490"/>
      <c r="P502" s="490"/>
      <c r="Q502" s="490"/>
      <c r="R502" s="490"/>
      <c r="S502" s="490"/>
      <c r="T502" s="490"/>
      <c r="U502" s="490"/>
      <c r="V502" s="490"/>
      <c r="W502" s="490"/>
      <c r="X502" s="490"/>
      <c r="Y502" s="490"/>
      <c r="Z502" s="490"/>
      <c r="AA502" s="490"/>
      <c r="AB502" s="490"/>
      <c r="AC502" s="490"/>
      <c r="AD502" s="490"/>
      <c r="AE502" s="490"/>
      <c r="AF502" s="490"/>
      <c r="AG502" s="490"/>
      <c r="AH502" s="490"/>
      <c r="AI502" s="490"/>
      <c r="AJ502" s="490"/>
      <c r="AK502" s="490"/>
      <c r="AL502" s="490"/>
      <c r="AM502" s="490"/>
      <c r="AN502" s="490"/>
      <c r="AO502" s="490"/>
      <c r="AP502" s="490"/>
      <c r="AQ502" s="490"/>
      <c r="AR502" s="490"/>
      <c r="AS502" s="490"/>
      <c r="AT502" s="490"/>
      <c r="AU502" s="490"/>
      <c r="AV502" s="490"/>
      <c r="AW502" s="490"/>
      <c r="AX502" s="490"/>
      <c r="AY502" s="490"/>
      <c r="AZ502" s="490"/>
      <c r="BA502" s="490"/>
      <c r="BB502" s="490"/>
      <c r="BC502" s="490"/>
      <c r="BD502" s="490"/>
      <c r="BE502" s="490"/>
      <c r="BF502" s="490"/>
      <c r="BG502" s="490"/>
      <c r="BH502" s="490"/>
      <c r="BI502" s="490"/>
      <c r="BJ502" s="490"/>
      <c r="BK502" s="490"/>
      <c r="BL502" s="490"/>
      <c r="BM502" s="490"/>
      <c r="BN502" s="490"/>
      <c r="BO502" s="490"/>
    </row>
    <row r="503" spans="1:67" s="58" customFormat="1">
      <c r="A503" s="107"/>
      <c r="C503" s="490"/>
      <c r="D503" s="490"/>
      <c r="E503" s="490"/>
      <c r="F503" s="490"/>
      <c r="G503" s="490"/>
      <c r="H503" s="490"/>
      <c r="I503" s="490"/>
      <c r="J503" s="490"/>
      <c r="K503" s="490"/>
      <c r="L503" s="490"/>
      <c r="M503" s="490"/>
      <c r="N503" s="490"/>
      <c r="O503" s="490"/>
      <c r="P503" s="490"/>
      <c r="Q503" s="490"/>
      <c r="R503" s="490"/>
      <c r="S503" s="490"/>
      <c r="T503" s="490"/>
      <c r="U503" s="490"/>
      <c r="V503" s="490"/>
      <c r="W503" s="490"/>
      <c r="X503" s="490"/>
      <c r="Y503" s="490"/>
      <c r="Z503" s="490"/>
      <c r="AA503" s="490"/>
      <c r="AB503" s="490"/>
      <c r="AC503" s="490"/>
      <c r="AD503" s="490"/>
      <c r="AE503" s="490"/>
      <c r="AF503" s="490"/>
      <c r="AG503" s="490"/>
      <c r="AH503" s="490"/>
      <c r="AI503" s="490"/>
      <c r="AJ503" s="490"/>
      <c r="AK503" s="490"/>
      <c r="AL503" s="490"/>
      <c r="AM503" s="490"/>
      <c r="AN503" s="490"/>
      <c r="AO503" s="490"/>
      <c r="AP503" s="490"/>
      <c r="AQ503" s="490"/>
      <c r="AR503" s="490"/>
      <c r="AS503" s="490"/>
      <c r="AT503" s="490"/>
      <c r="AU503" s="490"/>
      <c r="AV503" s="490"/>
      <c r="AW503" s="490"/>
      <c r="AX503" s="490"/>
      <c r="AY503" s="490"/>
      <c r="AZ503" s="490"/>
      <c r="BA503" s="490"/>
      <c r="BB503" s="490"/>
      <c r="BC503" s="490"/>
      <c r="BD503" s="490"/>
      <c r="BE503" s="490"/>
      <c r="BF503" s="490"/>
      <c r="BG503" s="490"/>
      <c r="BH503" s="490"/>
      <c r="BI503" s="490"/>
      <c r="BJ503" s="490"/>
      <c r="BK503" s="490"/>
      <c r="BL503" s="490"/>
      <c r="BM503" s="490"/>
      <c r="BN503" s="490"/>
      <c r="BO503" s="490"/>
    </row>
    <row r="504" spans="1:67" s="58" customFormat="1">
      <c r="A504" s="107"/>
      <c r="C504" s="490"/>
      <c r="D504" s="490"/>
      <c r="E504" s="490"/>
      <c r="F504" s="490"/>
      <c r="G504" s="490"/>
      <c r="H504" s="490"/>
      <c r="I504" s="490"/>
      <c r="J504" s="490"/>
      <c r="K504" s="490"/>
      <c r="L504" s="490"/>
      <c r="M504" s="490"/>
      <c r="N504" s="490"/>
      <c r="O504" s="490"/>
      <c r="P504" s="490"/>
      <c r="Q504" s="490"/>
      <c r="R504" s="490"/>
      <c r="S504" s="490"/>
      <c r="T504" s="490"/>
      <c r="U504" s="490"/>
      <c r="V504" s="490"/>
      <c r="W504" s="490"/>
      <c r="X504" s="490"/>
      <c r="Y504" s="490"/>
      <c r="Z504" s="490"/>
      <c r="AA504" s="490"/>
      <c r="AB504" s="490"/>
      <c r="AC504" s="490"/>
      <c r="AD504" s="490"/>
      <c r="AE504" s="490"/>
      <c r="AF504" s="490"/>
      <c r="AG504" s="490"/>
      <c r="AH504" s="490"/>
      <c r="AI504" s="490"/>
      <c r="AJ504" s="490"/>
      <c r="AK504" s="490"/>
      <c r="AL504" s="490"/>
      <c r="AM504" s="490"/>
      <c r="AN504" s="490"/>
      <c r="AO504" s="490"/>
      <c r="AP504" s="490"/>
      <c r="AQ504" s="490"/>
      <c r="AR504" s="490"/>
      <c r="AS504" s="490"/>
      <c r="AT504" s="490"/>
      <c r="AU504" s="490"/>
      <c r="AV504" s="490"/>
      <c r="AW504" s="490"/>
      <c r="AX504" s="490"/>
      <c r="AY504" s="490"/>
      <c r="AZ504" s="490"/>
      <c r="BA504" s="490"/>
      <c r="BB504" s="490"/>
      <c r="BC504" s="490"/>
      <c r="BD504" s="490"/>
      <c r="BE504" s="490"/>
      <c r="BF504" s="490"/>
      <c r="BG504" s="490"/>
      <c r="BH504" s="490"/>
      <c r="BI504" s="490"/>
      <c r="BJ504" s="490"/>
      <c r="BK504" s="490"/>
      <c r="BL504" s="490"/>
      <c r="BM504" s="490"/>
      <c r="BN504" s="490"/>
      <c r="BO504" s="490"/>
    </row>
    <row r="505" spans="1:67" s="58" customFormat="1">
      <c r="A505" s="107"/>
      <c r="C505" s="394"/>
      <c r="D505" s="394"/>
      <c r="E505" s="394"/>
      <c r="F505" s="394"/>
      <c r="G505" s="394"/>
      <c r="H505" s="394"/>
      <c r="I505" s="394"/>
      <c r="J505" s="394"/>
      <c r="K505" s="394"/>
      <c r="L505" s="394"/>
      <c r="M505" s="394"/>
      <c r="N505" s="394"/>
      <c r="O505" s="394"/>
      <c r="P505" s="394"/>
      <c r="Q505" s="394"/>
      <c r="R505" s="394"/>
      <c r="S505" s="394"/>
      <c r="T505" s="394"/>
      <c r="U505" s="394"/>
      <c r="V505" s="394"/>
      <c r="W505" s="394"/>
      <c r="X505" s="394"/>
      <c r="Y505" s="394"/>
      <c r="Z505" s="394"/>
      <c r="AA505" s="394"/>
      <c r="AB505" s="394"/>
      <c r="AC505" s="394"/>
      <c r="AD505" s="394"/>
      <c r="AE505" s="394"/>
      <c r="AF505" s="394"/>
      <c r="AG505" s="394"/>
      <c r="AH505" s="394"/>
      <c r="AI505" s="394"/>
      <c r="AJ505" s="394"/>
      <c r="AK505" s="394"/>
      <c r="AL505" s="394"/>
      <c r="AM505" s="394"/>
      <c r="AN505" s="394"/>
      <c r="AO505" s="394"/>
      <c r="AP505" s="394"/>
      <c r="AQ505" s="394"/>
      <c r="AR505" s="394"/>
      <c r="AS505" s="394"/>
      <c r="AT505" s="394"/>
      <c r="AU505" s="394"/>
      <c r="AV505" s="394"/>
      <c r="AW505" s="394"/>
      <c r="AX505" s="394"/>
      <c r="AY505" s="394"/>
      <c r="AZ505" s="394"/>
      <c r="BA505" s="394"/>
      <c r="BB505" s="394"/>
      <c r="BC505" s="394"/>
      <c r="BD505" s="394"/>
      <c r="BE505" s="394"/>
      <c r="BF505" s="394"/>
      <c r="BG505" s="394"/>
      <c r="BH505" s="394"/>
      <c r="BI505" s="394"/>
      <c r="BJ505" s="394"/>
      <c r="BK505" s="394"/>
      <c r="BL505" s="394"/>
      <c r="BM505" s="394"/>
      <c r="BN505" s="394"/>
      <c r="BO505" s="394"/>
    </row>
    <row r="506" spans="1:67" s="58" customFormat="1">
      <c r="A506" s="107"/>
      <c r="C506" s="547"/>
      <c r="D506" s="394"/>
      <c r="E506" s="394"/>
      <c r="F506" s="394"/>
      <c r="G506" s="394"/>
      <c r="H506" s="547"/>
      <c r="I506" s="394"/>
      <c r="J506" s="394"/>
      <c r="K506" s="394"/>
      <c r="L506" s="394"/>
      <c r="M506" s="547"/>
      <c r="N506" s="394"/>
      <c r="O506" s="394"/>
      <c r="P506" s="394"/>
      <c r="Q506" s="394"/>
      <c r="R506" s="547"/>
      <c r="S506" s="394"/>
      <c r="T506" s="394"/>
      <c r="U506" s="394"/>
      <c r="V506" s="394"/>
      <c r="W506" s="547"/>
      <c r="X506" s="394"/>
      <c r="Y506" s="394"/>
      <c r="Z506" s="394"/>
      <c r="AA506" s="394"/>
      <c r="AB506" s="547"/>
      <c r="AC506" s="394"/>
      <c r="AD506" s="394"/>
      <c r="AE506" s="394"/>
      <c r="AF506" s="394"/>
      <c r="AG506" s="547"/>
      <c r="AH506" s="394"/>
      <c r="AI506" s="394"/>
      <c r="AJ506" s="394"/>
      <c r="AK506" s="394"/>
      <c r="AL506" s="547"/>
      <c r="AM506" s="394"/>
      <c r="AN506" s="394"/>
      <c r="AO506" s="394"/>
      <c r="AP506" s="394"/>
      <c r="AQ506" s="547"/>
      <c r="AR506" s="394"/>
      <c r="AS506" s="394"/>
      <c r="AT506" s="394"/>
      <c r="AU506" s="394"/>
      <c r="AV506" s="547"/>
      <c r="AW506" s="394"/>
      <c r="AX506" s="394"/>
      <c r="AY506" s="394"/>
      <c r="AZ506" s="394"/>
      <c r="BA506" s="547"/>
      <c r="BB506" s="394"/>
      <c r="BC506" s="394"/>
      <c r="BD506" s="394"/>
      <c r="BE506" s="394"/>
      <c r="BF506" s="547"/>
      <c r="BG506" s="394"/>
      <c r="BH506" s="394"/>
      <c r="BI506" s="394"/>
      <c r="BJ506" s="394"/>
      <c r="BK506" s="547"/>
      <c r="BL506" s="394"/>
      <c r="BM506" s="394"/>
      <c r="BN506" s="394"/>
      <c r="BO506" s="394"/>
    </row>
    <row r="507" spans="1:67" s="58" customFormat="1">
      <c r="A507" s="107"/>
      <c r="C507" s="394"/>
      <c r="D507" s="394"/>
      <c r="E507" s="394"/>
      <c r="F507" s="394"/>
      <c r="G507" s="394"/>
      <c r="H507" s="394"/>
      <c r="I507" s="394"/>
      <c r="J507" s="394"/>
      <c r="K507" s="394"/>
      <c r="L507" s="394"/>
      <c r="M507" s="394"/>
      <c r="N507" s="394"/>
      <c r="O507" s="394"/>
      <c r="P507" s="394"/>
      <c r="Q507" s="394"/>
      <c r="R507" s="394"/>
      <c r="S507" s="394"/>
      <c r="T507" s="394"/>
      <c r="U507" s="394"/>
      <c r="V507" s="394"/>
      <c r="W507" s="394"/>
      <c r="X507" s="394"/>
      <c r="Y507" s="394"/>
      <c r="Z507" s="394"/>
      <c r="AA507" s="394"/>
      <c r="AB507" s="394"/>
      <c r="AC507" s="394"/>
      <c r="AD507" s="394"/>
      <c r="AE507" s="394"/>
      <c r="AF507" s="394"/>
      <c r="AG507" s="394"/>
      <c r="AH507" s="394"/>
      <c r="AI507" s="394"/>
      <c r="AJ507" s="394"/>
      <c r="AK507" s="394"/>
      <c r="AL507" s="394"/>
      <c r="AM507" s="394"/>
      <c r="AN507" s="394"/>
      <c r="AO507" s="394"/>
      <c r="AP507" s="394"/>
      <c r="AQ507" s="394"/>
      <c r="AR507" s="394"/>
      <c r="AS507" s="394"/>
      <c r="AT507" s="394"/>
      <c r="AU507" s="394"/>
      <c r="AV507" s="394"/>
      <c r="AW507" s="394"/>
      <c r="AX507" s="394"/>
      <c r="AY507" s="394"/>
      <c r="AZ507" s="394"/>
      <c r="BA507" s="394"/>
      <c r="BB507" s="394"/>
      <c r="BC507" s="394"/>
      <c r="BD507" s="394"/>
      <c r="BE507" s="394"/>
      <c r="BF507" s="394"/>
      <c r="BG507" s="394"/>
      <c r="BH507" s="394"/>
      <c r="BI507" s="394"/>
      <c r="BJ507" s="394"/>
      <c r="BK507" s="394"/>
      <c r="BL507" s="394"/>
      <c r="BM507" s="394"/>
      <c r="BN507" s="394"/>
      <c r="BO507" s="394"/>
    </row>
    <row r="508" spans="1:67" s="58" customFormat="1">
      <c r="A508" s="107"/>
      <c r="C508" s="548"/>
      <c r="D508" s="543"/>
      <c r="E508" s="543"/>
      <c r="F508" s="543"/>
      <c r="G508" s="543"/>
      <c r="H508" s="548"/>
      <c r="I508" s="543"/>
      <c r="J508" s="543"/>
      <c r="K508" s="543"/>
      <c r="L508" s="543"/>
      <c r="M508" s="548"/>
      <c r="N508" s="543"/>
      <c r="O508" s="543"/>
      <c r="P508" s="543"/>
      <c r="Q508" s="543"/>
      <c r="R508" s="548"/>
      <c r="S508" s="543"/>
      <c r="T508" s="543"/>
      <c r="U508" s="543"/>
      <c r="V508" s="543"/>
      <c r="W508" s="548"/>
      <c r="X508" s="543"/>
      <c r="Y508" s="543"/>
      <c r="Z508" s="543"/>
      <c r="AA508" s="543"/>
      <c r="AB508" s="548"/>
      <c r="AC508" s="543"/>
      <c r="AD508" s="543"/>
      <c r="AE508" s="543"/>
      <c r="AF508" s="543"/>
      <c r="AG508" s="548"/>
      <c r="AH508" s="543"/>
      <c r="AI508" s="543"/>
      <c r="AJ508" s="543"/>
      <c r="AK508" s="543"/>
      <c r="AL508" s="548"/>
      <c r="AM508" s="543"/>
      <c r="AN508" s="543"/>
      <c r="AO508" s="543"/>
      <c r="AP508" s="543"/>
      <c r="AQ508" s="548"/>
      <c r="AR508" s="543"/>
      <c r="AS508" s="543"/>
      <c r="AT508" s="543"/>
      <c r="AU508" s="543"/>
      <c r="AV508" s="548"/>
      <c r="AW508" s="543"/>
      <c r="AX508" s="543"/>
      <c r="AY508" s="543"/>
      <c r="AZ508" s="543"/>
      <c r="BA508" s="548"/>
      <c r="BB508" s="543"/>
      <c r="BC508" s="543"/>
      <c r="BD508" s="543"/>
      <c r="BE508" s="543"/>
      <c r="BF508" s="548"/>
      <c r="BG508" s="543"/>
      <c r="BH508" s="543"/>
      <c r="BI508" s="543"/>
      <c r="BJ508" s="543"/>
      <c r="BK508" s="548"/>
      <c r="BL508" s="543"/>
      <c r="BM508" s="543"/>
      <c r="BN508" s="543"/>
      <c r="BO508" s="543"/>
    </row>
    <row r="509" spans="1:67" s="58" customFormat="1">
      <c r="A509" s="107"/>
      <c r="C509" s="547"/>
      <c r="D509" s="394"/>
      <c r="E509" s="394"/>
      <c r="F509" s="394"/>
      <c r="G509" s="394"/>
      <c r="H509" s="547"/>
      <c r="I509" s="394"/>
      <c r="J509" s="394"/>
      <c r="K509" s="394"/>
      <c r="L509" s="394"/>
      <c r="M509" s="547"/>
      <c r="N509" s="394"/>
      <c r="O509" s="394"/>
      <c r="P509" s="394"/>
      <c r="Q509" s="394"/>
      <c r="R509" s="547"/>
      <c r="S509" s="394"/>
      <c r="T509" s="394"/>
      <c r="U509" s="394"/>
      <c r="V509" s="394"/>
      <c r="W509" s="547"/>
      <c r="X509" s="394"/>
      <c r="Y509" s="394"/>
      <c r="Z509" s="394"/>
      <c r="AA509" s="394"/>
      <c r="AB509" s="547"/>
      <c r="AC509" s="394"/>
      <c r="AD509" s="394"/>
      <c r="AE509" s="394"/>
      <c r="AF509" s="394"/>
      <c r="AG509" s="547"/>
      <c r="AH509" s="394"/>
      <c r="AI509" s="394"/>
      <c r="AJ509" s="394"/>
      <c r="AK509" s="394"/>
      <c r="AL509" s="547"/>
      <c r="AM509" s="394"/>
      <c r="AN509" s="394"/>
      <c r="AO509" s="394"/>
      <c r="AP509" s="394"/>
      <c r="AQ509" s="547"/>
      <c r="AR509" s="394"/>
      <c r="AS509" s="394"/>
      <c r="AT509" s="394"/>
      <c r="AU509" s="394"/>
      <c r="AV509" s="547"/>
      <c r="AW509" s="394"/>
      <c r="AX509" s="394"/>
      <c r="AY509" s="394"/>
      <c r="AZ509" s="394"/>
      <c r="BA509" s="547"/>
      <c r="BB509" s="394"/>
      <c r="BC509" s="394"/>
      <c r="BD509" s="394"/>
      <c r="BE509" s="394"/>
      <c r="BF509" s="547"/>
      <c r="BG509" s="394"/>
      <c r="BH509" s="394"/>
      <c r="BI509" s="394"/>
      <c r="BJ509" s="394"/>
      <c r="BK509" s="547"/>
      <c r="BL509" s="394"/>
      <c r="BM509" s="394"/>
      <c r="BN509" s="394"/>
      <c r="BO509" s="394"/>
    </row>
    <row r="510" spans="1:67" s="58" customFormat="1">
      <c r="A510" s="107"/>
      <c r="C510" s="547"/>
      <c r="D510" s="394"/>
      <c r="E510" s="394"/>
      <c r="F510" s="394"/>
      <c r="G510" s="394"/>
      <c r="H510" s="547"/>
      <c r="I510" s="394"/>
      <c r="J510" s="394"/>
      <c r="K510" s="394"/>
      <c r="L510" s="394"/>
      <c r="M510" s="547"/>
      <c r="N510" s="394"/>
      <c r="O510" s="394"/>
      <c r="P510" s="394"/>
      <c r="Q510" s="394"/>
      <c r="R510" s="547"/>
      <c r="S510" s="394"/>
      <c r="T510" s="394"/>
      <c r="U510" s="394"/>
      <c r="V510" s="394"/>
      <c r="W510" s="547"/>
      <c r="X510" s="394"/>
      <c r="Y510" s="394"/>
      <c r="Z510" s="394"/>
      <c r="AA510" s="394"/>
      <c r="AB510" s="547"/>
      <c r="AC510" s="394"/>
      <c r="AD510" s="394"/>
      <c r="AE510" s="394"/>
      <c r="AF510" s="394"/>
      <c r="AG510" s="547"/>
      <c r="AH510" s="394"/>
      <c r="AI510" s="394"/>
      <c r="AJ510" s="394"/>
      <c r="AK510" s="394"/>
      <c r="AL510" s="547"/>
      <c r="AM510" s="394"/>
      <c r="AN510" s="394"/>
      <c r="AO510" s="394"/>
      <c r="AP510" s="394"/>
      <c r="AQ510" s="547"/>
      <c r="AR510" s="394"/>
      <c r="AS510" s="394"/>
      <c r="AT510" s="394"/>
      <c r="AU510" s="394"/>
      <c r="AV510" s="547"/>
      <c r="AW510" s="394"/>
      <c r="AX510" s="394"/>
      <c r="AY510" s="394"/>
      <c r="AZ510" s="394"/>
      <c r="BA510" s="547"/>
      <c r="BB510" s="394"/>
      <c r="BC510" s="394"/>
      <c r="BD510" s="394"/>
      <c r="BE510" s="394"/>
      <c r="BF510" s="547"/>
      <c r="BG510" s="394"/>
      <c r="BH510" s="394"/>
      <c r="BI510" s="394"/>
      <c r="BJ510" s="394"/>
      <c r="BK510" s="547"/>
      <c r="BL510" s="394"/>
      <c r="BM510" s="394"/>
      <c r="BN510" s="394"/>
      <c r="BO510" s="394"/>
    </row>
    <row r="511" spans="1:67" s="58" customFormat="1">
      <c r="A511" s="107"/>
      <c r="C511" s="394"/>
      <c r="D511" s="394"/>
      <c r="E511" s="394"/>
      <c r="F511" s="394"/>
      <c r="G511" s="394"/>
      <c r="H511" s="394"/>
      <c r="I511" s="394"/>
      <c r="J511" s="394"/>
      <c r="K511" s="394"/>
      <c r="L511" s="394"/>
      <c r="M511" s="394"/>
      <c r="N511" s="394"/>
      <c r="O511" s="394"/>
      <c r="P511" s="394"/>
      <c r="Q511" s="394"/>
      <c r="R511" s="394"/>
      <c r="S511" s="394"/>
      <c r="T511" s="394"/>
      <c r="U511" s="394"/>
      <c r="V511" s="394"/>
      <c r="W511" s="394"/>
      <c r="X511" s="394"/>
      <c r="Y511" s="394"/>
      <c r="Z511" s="394"/>
      <c r="AA511" s="394"/>
      <c r="AB511" s="394"/>
      <c r="AC511" s="394"/>
      <c r="AD511" s="394"/>
      <c r="AE511" s="394"/>
      <c r="AF511" s="394"/>
      <c r="AG511" s="394"/>
      <c r="AH511" s="394"/>
      <c r="AI511" s="394"/>
      <c r="AJ511" s="394"/>
      <c r="AK511" s="394"/>
      <c r="AL511" s="394"/>
      <c r="AM511" s="394"/>
      <c r="AN511" s="394"/>
      <c r="AO511" s="394"/>
      <c r="AP511" s="394"/>
      <c r="AQ511" s="394"/>
      <c r="AR511" s="394"/>
      <c r="AS511" s="394"/>
      <c r="AT511" s="394"/>
      <c r="AU511" s="394"/>
      <c r="AV511" s="394"/>
      <c r="AW511" s="394"/>
      <c r="AX511" s="394"/>
      <c r="AY511" s="394"/>
      <c r="AZ511" s="394"/>
      <c r="BA511" s="394"/>
      <c r="BB511" s="394"/>
      <c r="BC511" s="394"/>
      <c r="BD511" s="394"/>
      <c r="BE511" s="394"/>
      <c r="BF511" s="394"/>
      <c r="BG511" s="394"/>
      <c r="BH511" s="394"/>
      <c r="BI511" s="394"/>
      <c r="BJ511" s="394"/>
      <c r="BK511" s="394"/>
      <c r="BL511" s="394"/>
      <c r="BM511" s="394"/>
      <c r="BN511" s="394"/>
      <c r="BO511" s="394"/>
    </row>
    <row r="512" spans="1:67" s="58" customFormat="1">
      <c r="A512" s="107"/>
      <c r="C512" s="394"/>
      <c r="D512" s="394"/>
      <c r="E512" s="394"/>
      <c r="F512" s="394"/>
      <c r="G512" s="394"/>
      <c r="H512" s="394"/>
      <c r="I512" s="394"/>
      <c r="J512" s="394"/>
      <c r="K512" s="394"/>
      <c r="L512" s="394"/>
      <c r="M512" s="394"/>
      <c r="N512" s="394"/>
      <c r="O512" s="394"/>
      <c r="P512" s="394"/>
      <c r="Q512" s="394"/>
      <c r="R512" s="394"/>
      <c r="S512" s="394"/>
      <c r="T512" s="394"/>
      <c r="U512" s="394"/>
      <c r="V512" s="394"/>
      <c r="W512" s="394"/>
      <c r="X512" s="394"/>
      <c r="Y512" s="394"/>
      <c r="Z512" s="394"/>
      <c r="AA512" s="394"/>
      <c r="AB512" s="394"/>
      <c r="AC512" s="394"/>
      <c r="AD512" s="394"/>
      <c r="AE512" s="394"/>
      <c r="AF512" s="394"/>
      <c r="AG512" s="394"/>
      <c r="AH512" s="394"/>
      <c r="AI512" s="394"/>
      <c r="AJ512" s="394"/>
      <c r="AK512" s="394"/>
      <c r="AL512" s="394"/>
      <c r="AM512" s="394"/>
      <c r="AN512" s="394"/>
      <c r="AO512" s="394"/>
      <c r="AP512" s="394"/>
      <c r="AQ512" s="394"/>
      <c r="AR512" s="394"/>
      <c r="AS512" s="394"/>
      <c r="AT512" s="394"/>
      <c r="AU512" s="394"/>
      <c r="AV512" s="394"/>
      <c r="AW512" s="394"/>
      <c r="AX512" s="394"/>
      <c r="AY512" s="394"/>
      <c r="AZ512" s="394"/>
      <c r="BA512" s="394"/>
      <c r="BB512" s="394"/>
      <c r="BC512" s="394"/>
      <c r="BD512" s="394"/>
      <c r="BE512" s="394"/>
      <c r="BF512" s="394"/>
      <c r="BG512" s="394"/>
      <c r="BH512" s="394"/>
      <c r="BI512" s="394"/>
      <c r="BJ512" s="394"/>
      <c r="BK512" s="394"/>
      <c r="BL512" s="394"/>
      <c r="BM512" s="394"/>
      <c r="BN512" s="394"/>
      <c r="BO512" s="394"/>
    </row>
    <row r="513" spans="1:67" s="58" customFormat="1">
      <c r="A513" s="107"/>
      <c r="C513" s="394"/>
      <c r="D513" s="394"/>
      <c r="E513" s="394"/>
      <c r="F513" s="394"/>
      <c r="G513" s="394"/>
      <c r="H513" s="394"/>
      <c r="I513" s="394"/>
      <c r="J513" s="394"/>
      <c r="K513" s="394"/>
      <c r="L513" s="394"/>
      <c r="M513" s="394"/>
      <c r="N513" s="394"/>
      <c r="O513" s="394"/>
      <c r="P513" s="394"/>
      <c r="Q513" s="394"/>
      <c r="R513" s="394"/>
      <c r="S513" s="394"/>
      <c r="T513" s="394"/>
      <c r="U513" s="394"/>
      <c r="V513" s="394"/>
      <c r="W513" s="394"/>
      <c r="X513" s="394"/>
      <c r="Y513" s="394"/>
      <c r="Z513" s="394"/>
      <c r="AA513" s="394"/>
      <c r="AB513" s="394"/>
      <c r="AC513" s="394"/>
      <c r="AD513" s="394"/>
      <c r="AE513" s="394"/>
      <c r="AF513" s="394"/>
      <c r="AG513" s="394"/>
      <c r="AH513" s="394"/>
      <c r="AI513" s="394"/>
      <c r="AJ513" s="394"/>
      <c r="AK513" s="394"/>
      <c r="AL513" s="394"/>
      <c r="AM513" s="394"/>
      <c r="AN513" s="394"/>
      <c r="AO513" s="394"/>
      <c r="AP513" s="394"/>
      <c r="AQ513" s="394"/>
      <c r="AR513" s="394"/>
      <c r="AS513" s="394"/>
      <c r="AT513" s="394"/>
      <c r="AU513" s="394"/>
      <c r="AV513" s="394"/>
      <c r="AW513" s="394"/>
      <c r="AX513" s="394"/>
      <c r="AY513" s="394"/>
      <c r="AZ513" s="394"/>
      <c r="BA513" s="394"/>
      <c r="BB513" s="394"/>
      <c r="BC513" s="394"/>
      <c r="BD513" s="394"/>
      <c r="BE513" s="394"/>
      <c r="BF513" s="394"/>
      <c r="BG513" s="394"/>
      <c r="BH513" s="394"/>
      <c r="BI513" s="394"/>
      <c r="BJ513" s="394"/>
      <c r="BK513" s="394"/>
      <c r="BL513" s="394"/>
      <c r="BM513" s="394"/>
      <c r="BN513" s="394"/>
      <c r="BO513" s="394"/>
    </row>
    <row r="514" spans="1:67" s="58" customFormat="1">
      <c r="A514" s="107"/>
      <c r="C514" s="490"/>
      <c r="D514" s="394"/>
      <c r="E514" s="394"/>
      <c r="F514" s="394"/>
      <c r="G514" s="394"/>
      <c r="H514" s="490"/>
      <c r="I514" s="394"/>
      <c r="J514" s="394"/>
      <c r="K514" s="394"/>
      <c r="L514" s="394"/>
      <c r="M514" s="490"/>
      <c r="N514" s="394"/>
      <c r="O514" s="394"/>
      <c r="P514" s="394"/>
      <c r="Q514" s="394"/>
      <c r="R514" s="490"/>
      <c r="S514" s="394"/>
      <c r="T514" s="394"/>
      <c r="U514" s="394"/>
      <c r="V514" s="394"/>
      <c r="W514" s="490"/>
      <c r="X514" s="394"/>
      <c r="Y514" s="394"/>
      <c r="Z514" s="394"/>
      <c r="AA514" s="394"/>
      <c r="AB514" s="490"/>
      <c r="AC514" s="394"/>
      <c r="AD514" s="394"/>
      <c r="AE514" s="394"/>
      <c r="AF514" s="394"/>
      <c r="AG514" s="490"/>
      <c r="AH514" s="394"/>
      <c r="AI514" s="394"/>
      <c r="AJ514" s="394"/>
      <c r="AK514" s="394"/>
      <c r="AL514" s="490"/>
      <c r="AM514" s="394"/>
      <c r="AN514" s="394"/>
      <c r="AO514" s="394"/>
      <c r="AP514" s="394"/>
      <c r="AQ514" s="490"/>
      <c r="AR514" s="394"/>
      <c r="AS514" s="394"/>
      <c r="AT514" s="394"/>
      <c r="AU514" s="394"/>
      <c r="AV514" s="490"/>
      <c r="AW514" s="394"/>
      <c r="AX514" s="394"/>
      <c r="AY514" s="394"/>
      <c r="AZ514" s="394"/>
      <c r="BA514" s="490"/>
      <c r="BB514" s="394"/>
      <c r="BC514" s="394"/>
      <c r="BD514" s="394"/>
      <c r="BE514" s="394"/>
      <c r="BF514" s="490"/>
      <c r="BG514" s="394"/>
      <c r="BH514" s="394"/>
      <c r="BI514" s="394"/>
      <c r="BJ514" s="394"/>
      <c r="BK514" s="490"/>
      <c r="BL514" s="394"/>
      <c r="BM514" s="394"/>
      <c r="BN514" s="394"/>
      <c r="BO514" s="394"/>
    </row>
    <row r="515" spans="1:67" s="58" customFormat="1">
      <c r="A515" s="107"/>
      <c r="C515" s="547"/>
      <c r="D515" s="394"/>
      <c r="E515" s="394"/>
      <c r="F515" s="394"/>
      <c r="G515" s="394"/>
      <c r="H515" s="547"/>
      <c r="I515" s="394"/>
      <c r="J515" s="394"/>
      <c r="K515" s="394"/>
      <c r="L515" s="394"/>
      <c r="M515" s="547"/>
      <c r="N515" s="394"/>
      <c r="O515" s="394"/>
      <c r="P515" s="394"/>
      <c r="Q515" s="394"/>
      <c r="R515" s="547"/>
      <c r="S515" s="394"/>
      <c r="T515" s="394"/>
      <c r="U515" s="394"/>
      <c r="V515" s="394"/>
      <c r="W515" s="547"/>
      <c r="X515" s="394"/>
      <c r="Y515" s="394"/>
      <c r="Z515" s="394"/>
      <c r="AA515" s="394"/>
      <c r="AB515" s="547"/>
      <c r="AC515" s="394"/>
      <c r="AD515" s="394"/>
      <c r="AE515" s="394"/>
      <c r="AF515" s="394"/>
      <c r="AG515" s="547"/>
      <c r="AH515" s="394"/>
      <c r="AI515" s="394"/>
      <c r="AJ515" s="394"/>
      <c r="AK515" s="394"/>
      <c r="AL515" s="547"/>
      <c r="AM515" s="394"/>
      <c r="AN515" s="394"/>
      <c r="AO515" s="394"/>
      <c r="AP515" s="394"/>
      <c r="AQ515" s="547"/>
      <c r="AR515" s="394"/>
      <c r="AS515" s="394"/>
      <c r="AT515" s="394"/>
      <c r="AU515" s="394"/>
      <c r="AV515" s="547"/>
      <c r="AW515" s="394"/>
      <c r="AX515" s="394"/>
      <c r="AY515" s="394"/>
      <c r="AZ515" s="394"/>
      <c r="BA515" s="547"/>
      <c r="BB515" s="394"/>
      <c r="BC515" s="394"/>
      <c r="BD515" s="394"/>
      <c r="BE515" s="394"/>
      <c r="BF515" s="547"/>
      <c r="BG515" s="394"/>
      <c r="BH515" s="394"/>
      <c r="BI515" s="394"/>
      <c r="BJ515" s="394"/>
      <c r="BK515" s="547"/>
      <c r="BL515" s="394"/>
      <c r="BM515" s="394"/>
      <c r="BN515" s="394"/>
      <c r="BO515" s="394"/>
    </row>
    <row r="516" spans="1:67" s="58" customFormat="1">
      <c r="A516" s="107"/>
      <c r="C516" s="547"/>
      <c r="D516" s="394"/>
      <c r="E516" s="394"/>
      <c r="F516" s="394"/>
      <c r="G516" s="394"/>
      <c r="H516" s="547"/>
      <c r="I516" s="394"/>
      <c r="J516" s="394"/>
      <c r="K516" s="394"/>
      <c r="L516" s="394"/>
      <c r="M516" s="547"/>
      <c r="N516" s="394"/>
      <c r="O516" s="394"/>
      <c r="P516" s="394"/>
      <c r="Q516" s="394"/>
      <c r="R516" s="547"/>
      <c r="S516" s="394"/>
      <c r="T516" s="394"/>
      <c r="U516" s="394"/>
      <c r="V516" s="394"/>
      <c r="W516" s="547"/>
      <c r="X516" s="394"/>
      <c r="Y516" s="394"/>
      <c r="Z516" s="394"/>
      <c r="AA516" s="394"/>
      <c r="AB516" s="547"/>
      <c r="AC516" s="394"/>
      <c r="AD516" s="394"/>
      <c r="AE516" s="394"/>
      <c r="AF516" s="394"/>
      <c r="AG516" s="547"/>
      <c r="AH516" s="394"/>
      <c r="AI516" s="394"/>
      <c r="AJ516" s="394"/>
      <c r="AK516" s="394"/>
      <c r="AL516" s="547"/>
      <c r="AM516" s="394"/>
      <c r="AN516" s="394"/>
      <c r="AO516" s="394"/>
      <c r="AP516" s="394"/>
      <c r="AQ516" s="547"/>
      <c r="AR516" s="394"/>
      <c r="AS516" s="394"/>
      <c r="AT516" s="394"/>
      <c r="AU516" s="394"/>
      <c r="AV516" s="547"/>
      <c r="AW516" s="394"/>
      <c r="AX516" s="394"/>
      <c r="AY516" s="394"/>
      <c r="AZ516" s="394"/>
      <c r="BA516" s="547"/>
      <c r="BB516" s="394"/>
      <c r="BC516" s="394"/>
      <c r="BD516" s="394"/>
      <c r="BE516" s="394"/>
      <c r="BF516" s="547"/>
      <c r="BG516" s="394"/>
      <c r="BH516" s="394"/>
      <c r="BI516" s="394"/>
      <c r="BJ516" s="394"/>
      <c r="BK516" s="547"/>
      <c r="BL516" s="394"/>
      <c r="BM516" s="394"/>
      <c r="BN516" s="394"/>
      <c r="BO516" s="394"/>
    </row>
    <row r="517" spans="1:67" s="58" customFormat="1">
      <c r="A517" s="107"/>
      <c r="C517" s="394"/>
      <c r="D517" s="394"/>
      <c r="E517" s="394"/>
      <c r="F517" s="394"/>
      <c r="G517" s="394"/>
      <c r="H517" s="394"/>
      <c r="I517" s="394"/>
      <c r="J517" s="394"/>
      <c r="K517" s="394"/>
      <c r="L517" s="394"/>
      <c r="M517" s="394"/>
      <c r="N517" s="394"/>
      <c r="O517" s="394"/>
      <c r="P517" s="394"/>
      <c r="Q517" s="394"/>
      <c r="R517" s="394"/>
      <c r="S517" s="394"/>
      <c r="T517" s="394"/>
      <c r="U517" s="394"/>
      <c r="V517" s="394"/>
      <c r="W517" s="394"/>
      <c r="X517" s="394"/>
      <c r="Y517" s="394"/>
      <c r="Z517" s="394"/>
      <c r="AA517" s="394"/>
      <c r="AB517" s="394"/>
      <c r="AC517" s="394"/>
      <c r="AD517" s="394"/>
      <c r="AE517" s="394"/>
      <c r="AF517" s="394"/>
      <c r="AG517" s="394"/>
      <c r="AH517" s="394"/>
      <c r="AI517" s="394"/>
      <c r="AJ517" s="394"/>
      <c r="AK517" s="394"/>
      <c r="AL517" s="394"/>
      <c r="AM517" s="394"/>
      <c r="AN517" s="394"/>
      <c r="AO517" s="394"/>
      <c r="AP517" s="394"/>
      <c r="AQ517" s="394"/>
      <c r="AR517" s="394"/>
      <c r="AS517" s="394"/>
      <c r="AT517" s="394"/>
      <c r="AU517" s="394"/>
      <c r="AV517" s="394"/>
      <c r="AW517" s="394"/>
      <c r="AX517" s="394"/>
      <c r="AY517" s="394"/>
      <c r="AZ517" s="394"/>
      <c r="BA517" s="394"/>
      <c r="BB517" s="394"/>
      <c r="BC517" s="394"/>
      <c r="BD517" s="394"/>
      <c r="BE517" s="394"/>
      <c r="BF517" s="394"/>
      <c r="BG517" s="394"/>
      <c r="BH517" s="394"/>
      <c r="BI517" s="394"/>
      <c r="BJ517" s="394"/>
      <c r="BK517" s="394"/>
      <c r="BL517" s="394"/>
      <c r="BM517" s="394"/>
      <c r="BN517" s="394"/>
      <c r="BO517" s="394"/>
    </row>
    <row r="518" spans="1:67" s="58" customFormat="1">
      <c r="A518" s="107"/>
      <c r="C518" s="543"/>
      <c r="D518" s="543"/>
      <c r="E518" s="543"/>
      <c r="F518" s="543"/>
      <c r="G518" s="543"/>
      <c r="H518" s="543"/>
      <c r="I518" s="543"/>
      <c r="J518" s="543"/>
      <c r="K518" s="543"/>
      <c r="L518" s="543"/>
      <c r="M518" s="543"/>
      <c r="N518" s="543"/>
      <c r="O518" s="543"/>
      <c r="P518" s="543"/>
      <c r="Q518" s="543"/>
      <c r="R518" s="543"/>
      <c r="S518" s="543"/>
      <c r="T518" s="543"/>
      <c r="U518" s="543"/>
      <c r="V518" s="543"/>
      <c r="W518" s="543"/>
      <c r="X518" s="543"/>
      <c r="Y518" s="543"/>
      <c r="Z518" s="543"/>
      <c r="AA518" s="543"/>
      <c r="AB518" s="543"/>
      <c r="AC518" s="543"/>
      <c r="AD518" s="543"/>
      <c r="AE518" s="543"/>
      <c r="AF518" s="543"/>
      <c r="AG518" s="543"/>
      <c r="AH518" s="543"/>
      <c r="AI518" s="543"/>
      <c r="AJ518" s="543"/>
      <c r="AK518" s="543"/>
      <c r="AL518" s="543"/>
      <c r="AM518" s="543"/>
      <c r="AN518" s="543"/>
      <c r="AO518" s="543"/>
      <c r="AP518" s="543"/>
      <c r="AQ518" s="543"/>
      <c r="AR518" s="543"/>
      <c r="AS518" s="543"/>
      <c r="AT518" s="543"/>
      <c r="AU518" s="543"/>
      <c r="AV518" s="543"/>
      <c r="AW518" s="543"/>
      <c r="AX518" s="543"/>
      <c r="AY518" s="543"/>
      <c r="AZ518" s="543"/>
      <c r="BA518" s="543"/>
      <c r="BB518" s="543"/>
      <c r="BC518" s="543"/>
      <c r="BD518" s="543"/>
      <c r="BE518" s="543"/>
      <c r="BF518" s="543"/>
      <c r="BG518" s="543"/>
      <c r="BH518" s="543"/>
      <c r="BI518" s="543"/>
      <c r="BJ518" s="543"/>
      <c r="BK518" s="543"/>
      <c r="BL518" s="543"/>
      <c r="BM518" s="543"/>
      <c r="BN518" s="543"/>
      <c r="BO518" s="543"/>
    </row>
    <row r="519" spans="1:67" s="58" customFormat="1">
      <c r="A519" s="107"/>
      <c r="C519" s="547"/>
      <c r="D519" s="394"/>
      <c r="E519" s="394"/>
      <c r="F519" s="394"/>
      <c r="G519" s="394"/>
      <c r="H519" s="547"/>
      <c r="I519" s="394"/>
      <c r="J519" s="394"/>
      <c r="K519" s="394"/>
      <c r="L519" s="394"/>
      <c r="M519" s="547"/>
      <c r="N519" s="394"/>
      <c r="O519" s="394"/>
      <c r="P519" s="394"/>
      <c r="Q519" s="394"/>
      <c r="R519" s="547"/>
      <c r="S519" s="394"/>
      <c r="T519" s="394"/>
      <c r="U519" s="394"/>
      <c r="V519" s="394"/>
      <c r="W519" s="547"/>
      <c r="X519" s="394"/>
      <c r="Y519" s="394"/>
      <c r="Z519" s="394"/>
      <c r="AA519" s="394"/>
      <c r="AB519" s="547"/>
      <c r="AC519" s="394"/>
      <c r="AD519" s="394"/>
      <c r="AE519" s="394"/>
      <c r="AF519" s="394"/>
      <c r="AG519" s="547"/>
      <c r="AH519" s="394"/>
      <c r="AI519" s="394"/>
      <c r="AJ519" s="394"/>
      <c r="AK519" s="394"/>
      <c r="AL519" s="547"/>
      <c r="AM519" s="394"/>
      <c r="AN519" s="394"/>
      <c r="AO519" s="394"/>
      <c r="AP519" s="394"/>
      <c r="AQ519" s="547"/>
      <c r="AR519" s="394"/>
      <c r="AS519" s="394"/>
      <c r="AT519" s="394"/>
      <c r="AU519" s="394"/>
      <c r="AV519" s="547"/>
      <c r="AW519" s="394"/>
      <c r="AX519" s="394"/>
      <c r="AY519" s="394"/>
      <c r="AZ519" s="394"/>
      <c r="BA519" s="547"/>
      <c r="BB519" s="394"/>
      <c r="BC519" s="394"/>
      <c r="BD519" s="394"/>
      <c r="BE519" s="394"/>
      <c r="BF519" s="547"/>
      <c r="BG519" s="394"/>
      <c r="BH519" s="394"/>
      <c r="BI519" s="394"/>
      <c r="BJ519" s="394"/>
      <c r="BK519" s="547"/>
      <c r="BL519" s="394"/>
      <c r="BM519" s="394"/>
      <c r="BN519" s="394"/>
      <c r="BO519" s="394"/>
    </row>
    <row r="520" spans="1:67" s="58" customFormat="1">
      <c r="A520" s="107"/>
      <c r="C520" s="547"/>
      <c r="D520" s="394"/>
      <c r="E520" s="394"/>
      <c r="F520" s="394"/>
      <c r="G520" s="394"/>
      <c r="H520" s="547"/>
      <c r="I520" s="394"/>
      <c r="J520" s="394"/>
      <c r="K520" s="394"/>
      <c r="L520" s="394"/>
      <c r="M520" s="547"/>
      <c r="N520" s="394"/>
      <c r="O520" s="394"/>
      <c r="P520" s="394"/>
      <c r="Q520" s="394"/>
      <c r="R520" s="547"/>
      <c r="S520" s="394"/>
      <c r="T520" s="394"/>
      <c r="U520" s="394"/>
      <c r="V520" s="394"/>
      <c r="W520" s="547"/>
      <c r="X520" s="394"/>
      <c r="Y520" s="394"/>
      <c r="Z520" s="394"/>
      <c r="AA520" s="394"/>
      <c r="AB520" s="547"/>
      <c r="AC520" s="394"/>
      <c r="AD520" s="394"/>
      <c r="AE520" s="394"/>
      <c r="AF520" s="394"/>
      <c r="AG520" s="547"/>
      <c r="AH520" s="394"/>
      <c r="AI520" s="394"/>
      <c r="AJ520" s="394"/>
      <c r="AK520" s="394"/>
      <c r="AL520" s="547"/>
      <c r="AM520" s="394"/>
      <c r="AN520" s="394"/>
      <c r="AO520" s="394"/>
      <c r="AP520" s="394"/>
      <c r="AQ520" s="547"/>
      <c r="AR520" s="394"/>
      <c r="AS520" s="394"/>
      <c r="AT520" s="394"/>
      <c r="AU520" s="394"/>
      <c r="AV520" s="547"/>
      <c r="AW520" s="394"/>
      <c r="AX520" s="394"/>
      <c r="AY520" s="394"/>
      <c r="AZ520" s="394"/>
      <c r="BA520" s="547"/>
      <c r="BB520" s="394"/>
      <c r="BC520" s="394"/>
      <c r="BD520" s="394"/>
      <c r="BE520" s="394"/>
      <c r="BF520" s="547"/>
      <c r="BG520" s="394"/>
      <c r="BH520" s="394"/>
      <c r="BI520" s="394"/>
      <c r="BJ520" s="394"/>
      <c r="BK520" s="547"/>
      <c r="BL520" s="394"/>
      <c r="BM520" s="394"/>
      <c r="BN520" s="394"/>
      <c r="BO520" s="394"/>
    </row>
    <row r="521" spans="1:67" s="58" customFormat="1">
      <c r="A521" s="107"/>
      <c r="C521" s="546"/>
      <c r="D521" s="546"/>
      <c r="E521" s="546"/>
      <c r="F521" s="546"/>
      <c r="G521" s="546"/>
      <c r="H521" s="546"/>
      <c r="I521" s="546"/>
      <c r="J521" s="546"/>
      <c r="K521" s="546"/>
      <c r="L521" s="546"/>
      <c r="M521" s="546"/>
      <c r="N521" s="546"/>
      <c r="O521" s="546"/>
      <c r="P521" s="546"/>
      <c r="Q521" s="546"/>
      <c r="R521" s="546"/>
      <c r="S521" s="546"/>
      <c r="T521" s="546"/>
      <c r="U521" s="546"/>
      <c r="V521" s="546"/>
      <c r="W521" s="546"/>
      <c r="X521" s="546"/>
      <c r="Y521" s="546"/>
      <c r="Z521" s="546"/>
      <c r="AA521" s="546"/>
      <c r="AB521" s="546"/>
      <c r="AC521" s="546"/>
      <c r="AD521" s="546"/>
      <c r="AE521" s="546"/>
      <c r="AF521" s="546"/>
      <c r="AG521" s="546"/>
      <c r="AH521" s="546"/>
      <c r="AI521" s="546"/>
      <c r="AJ521" s="546"/>
      <c r="AK521" s="546"/>
      <c r="AL521" s="546"/>
      <c r="AM521" s="546"/>
      <c r="AN521" s="546"/>
      <c r="AO521" s="546"/>
      <c r="AP521" s="546"/>
      <c r="AQ521" s="546"/>
      <c r="AR521" s="546"/>
      <c r="AS521" s="546"/>
      <c r="AT521" s="546"/>
      <c r="AU521" s="546"/>
      <c r="AV521" s="546"/>
      <c r="AW521" s="546"/>
      <c r="AX521" s="546"/>
      <c r="AY521" s="546"/>
      <c r="AZ521" s="546"/>
      <c r="BA521" s="546"/>
      <c r="BB521" s="546"/>
      <c r="BC521" s="546"/>
      <c r="BD521" s="546"/>
      <c r="BE521" s="546"/>
      <c r="BF521" s="546"/>
      <c r="BG521" s="546"/>
      <c r="BH521" s="546"/>
      <c r="BI521" s="546"/>
      <c r="BJ521" s="546"/>
      <c r="BK521" s="546"/>
      <c r="BL521" s="546"/>
      <c r="BM521" s="546"/>
      <c r="BN521" s="546"/>
      <c r="BO521" s="546"/>
    </row>
    <row r="522" spans="1:67" s="58" customFormat="1">
      <c r="A522" s="107"/>
      <c r="C522" s="541"/>
      <c r="D522" s="541"/>
      <c r="E522" s="541"/>
      <c r="F522" s="541"/>
      <c r="G522" s="541"/>
      <c r="H522" s="541"/>
      <c r="I522" s="541"/>
      <c r="J522" s="541"/>
      <c r="K522" s="541"/>
      <c r="L522" s="541"/>
      <c r="M522" s="541"/>
      <c r="N522" s="541"/>
      <c r="O522" s="541"/>
      <c r="P522" s="541"/>
      <c r="Q522" s="541"/>
      <c r="R522" s="541"/>
      <c r="S522" s="541"/>
      <c r="T522" s="541"/>
      <c r="U522" s="541"/>
      <c r="V522" s="541"/>
      <c r="W522" s="541"/>
      <c r="X522" s="541"/>
      <c r="Y522" s="541"/>
      <c r="Z522" s="541"/>
      <c r="AA522" s="541"/>
      <c r="AB522" s="541"/>
      <c r="AC522" s="541"/>
      <c r="AD522" s="541"/>
      <c r="AE522" s="541"/>
      <c r="AF522" s="541"/>
      <c r="AG522" s="541"/>
      <c r="AH522" s="541"/>
      <c r="AI522" s="541"/>
      <c r="AJ522" s="541"/>
      <c r="AK522" s="541"/>
      <c r="AL522" s="541"/>
      <c r="AM522" s="541"/>
      <c r="AN522" s="541"/>
      <c r="AO522" s="541"/>
      <c r="AP522" s="541"/>
      <c r="AQ522" s="541"/>
      <c r="AR522" s="541"/>
      <c r="AS522" s="541"/>
      <c r="AT522" s="541"/>
      <c r="AU522" s="541"/>
      <c r="AV522" s="541"/>
      <c r="AW522" s="541"/>
      <c r="AX522" s="541"/>
      <c r="AY522" s="541"/>
      <c r="AZ522" s="541"/>
      <c r="BA522" s="541"/>
      <c r="BB522" s="541"/>
      <c r="BC522" s="541"/>
      <c r="BD522" s="541"/>
      <c r="BE522" s="541"/>
      <c r="BF522" s="541"/>
      <c r="BG522" s="541"/>
      <c r="BH522" s="541"/>
      <c r="BI522" s="541"/>
      <c r="BJ522" s="541"/>
      <c r="BK522" s="541"/>
      <c r="BL522" s="541"/>
      <c r="BM522" s="541"/>
      <c r="BN522" s="541"/>
      <c r="BO522" s="541"/>
    </row>
    <row r="523" spans="1:67" s="58" customFormat="1">
      <c r="A523" s="107"/>
      <c r="C523" s="394"/>
      <c r="D523" s="394"/>
      <c r="E523" s="394"/>
      <c r="F523" s="394"/>
      <c r="G523" s="394"/>
      <c r="H523" s="394"/>
      <c r="I523" s="394"/>
      <c r="J523" s="394"/>
      <c r="K523" s="394"/>
      <c r="L523" s="394"/>
      <c r="M523" s="394"/>
      <c r="N523" s="394"/>
      <c r="O523" s="394"/>
      <c r="P523" s="394"/>
      <c r="Q523" s="394"/>
      <c r="R523" s="394"/>
      <c r="S523" s="394"/>
      <c r="T523" s="394"/>
      <c r="U523" s="394"/>
      <c r="V523" s="394"/>
      <c r="W523" s="394"/>
      <c r="X523" s="394"/>
      <c r="Y523" s="394"/>
      <c r="Z523" s="394"/>
      <c r="AA523" s="394"/>
      <c r="AB523" s="394"/>
      <c r="AC523" s="394"/>
      <c r="AD523" s="394"/>
      <c r="AE523" s="394"/>
      <c r="AF523" s="394"/>
      <c r="AG523" s="394"/>
      <c r="AH523" s="394"/>
      <c r="AI523" s="394"/>
      <c r="AJ523" s="394"/>
      <c r="AK523" s="394"/>
      <c r="AL523" s="394"/>
      <c r="AM523" s="394"/>
      <c r="AN523" s="394"/>
      <c r="AO523" s="394"/>
      <c r="AP523" s="394"/>
      <c r="AQ523" s="394"/>
      <c r="AR523" s="394"/>
      <c r="AS523" s="394"/>
      <c r="AT523" s="394"/>
      <c r="AU523" s="394"/>
      <c r="AV523" s="394"/>
      <c r="AW523" s="394"/>
      <c r="AX523" s="394"/>
      <c r="AY523" s="394"/>
      <c r="AZ523" s="394"/>
      <c r="BA523" s="394"/>
      <c r="BB523" s="394"/>
      <c r="BC523" s="394"/>
      <c r="BD523" s="394"/>
      <c r="BE523" s="394"/>
      <c r="BF523" s="394"/>
      <c r="BG523" s="394"/>
      <c r="BH523" s="394"/>
      <c r="BI523" s="394"/>
      <c r="BJ523" s="394"/>
      <c r="BK523" s="394"/>
      <c r="BL523" s="394"/>
      <c r="BM523" s="394"/>
      <c r="BN523" s="394"/>
      <c r="BO523" s="394"/>
    </row>
    <row r="524" spans="1:67" s="58" customFormat="1">
      <c r="A524" s="107"/>
      <c r="C524" s="490"/>
      <c r="D524" s="490"/>
      <c r="E524" s="490"/>
      <c r="F524" s="490"/>
      <c r="G524" s="490"/>
      <c r="H524" s="490"/>
      <c r="I524" s="490"/>
      <c r="J524" s="490"/>
      <c r="K524" s="490"/>
      <c r="L524" s="490"/>
      <c r="M524" s="490"/>
      <c r="N524" s="490"/>
      <c r="O524" s="490"/>
      <c r="P524" s="490"/>
      <c r="Q524" s="490"/>
      <c r="R524" s="490"/>
      <c r="S524" s="490"/>
      <c r="T524" s="490"/>
      <c r="U524" s="490"/>
      <c r="V524" s="490"/>
      <c r="W524" s="490"/>
      <c r="X524" s="490"/>
      <c r="Y524" s="490"/>
      <c r="Z524" s="490"/>
      <c r="AA524" s="490"/>
      <c r="AB524" s="490"/>
      <c r="AC524" s="490"/>
      <c r="AD524" s="490"/>
      <c r="AE524" s="490"/>
      <c r="AF524" s="490"/>
      <c r="AG524" s="490"/>
      <c r="AH524" s="490"/>
      <c r="AI524" s="490"/>
      <c r="AJ524" s="490"/>
      <c r="AK524" s="490"/>
      <c r="AL524" s="490"/>
      <c r="AM524" s="490"/>
      <c r="AN524" s="490"/>
      <c r="AO524" s="490"/>
      <c r="AP524" s="490"/>
      <c r="AQ524" s="490"/>
      <c r="AR524" s="490"/>
      <c r="AS524" s="490"/>
      <c r="AT524" s="490"/>
      <c r="AU524" s="490"/>
      <c r="AV524" s="490"/>
      <c r="AW524" s="490"/>
      <c r="AX524" s="490"/>
      <c r="AY524" s="490"/>
      <c r="AZ524" s="490"/>
      <c r="BA524" s="490"/>
      <c r="BB524" s="490"/>
      <c r="BC524" s="490"/>
      <c r="BD524" s="490"/>
      <c r="BE524" s="490"/>
      <c r="BF524" s="490"/>
      <c r="BG524" s="490"/>
      <c r="BH524" s="490"/>
      <c r="BI524" s="490"/>
      <c r="BJ524" s="490"/>
      <c r="BK524" s="490"/>
      <c r="BL524" s="490"/>
      <c r="BM524" s="490"/>
      <c r="BN524" s="490"/>
      <c r="BO524" s="490"/>
    </row>
    <row r="525" spans="1:67" s="58" customFormat="1">
      <c r="A525" s="107"/>
      <c r="C525" s="543"/>
      <c r="D525" s="543"/>
      <c r="E525" s="543"/>
      <c r="F525" s="543"/>
      <c r="G525" s="543"/>
      <c r="H525" s="543"/>
      <c r="I525" s="543"/>
      <c r="J525" s="543"/>
      <c r="K525" s="543"/>
      <c r="L525" s="543"/>
      <c r="M525" s="543"/>
      <c r="N525" s="543"/>
      <c r="O525" s="543"/>
      <c r="P525" s="543"/>
      <c r="Q525" s="543"/>
      <c r="R525" s="543"/>
      <c r="S525" s="543"/>
      <c r="T525" s="543"/>
      <c r="U525" s="543"/>
      <c r="V525" s="543"/>
      <c r="W525" s="543"/>
      <c r="X525" s="543"/>
      <c r="Y525" s="543"/>
      <c r="Z525" s="543"/>
      <c r="AA525" s="543"/>
      <c r="AB525" s="543"/>
      <c r="AC525" s="543"/>
      <c r="AD525" s="543"/>
      <c r="AE525" s="543"/>
      <c r="AF525" s="543"/>
      <c r="AG525" s="543"/>
      <c r="AH525" s="543"/>
      <c r="AI525" s="543"/>
      <c r="AJ525" s="543"/>
      <c r="AK525" s="543"/>
      <c r="AL525" s="543"/>
      <c r="AM525" s="543"/>
      <c r="AN525" s="543"/>
      <c r="AO525" s="543"/>
      <c r="AP525" s="543"/>
      <c r="AQ525" s="543"/>
      <c r="AR525" s="543"/>
      <c r="AS525" s="543"/>
      <c r="AT525" s="543"/>
      <c r="AU525" s="543"/>
      <c r="AV525" s="543"/>
      <c r="AW525" s="543"/>
      <c r="AX525" s="543"/>
      <c r="AY525" s="543"/>
      <c r="AZ525" s="543"/>
      <c r="BA525" s="543"/>
      <c r="BB525" s="543"/>
      <c r="BC525" s="543"/>
      <c r="BD525" s="543"/>
      <c r="BE525" s="543"/>
      <c r="BF525" s="543"/>
      <c r="BG525" s="543"/>
      <c r="BH525" s="543"/>
      <c r="BI525" s="543"/>
      <c r="BJ525" s="543"/>
      <c r="BK525" s="543"/>
      <c r="BL525" s="543"/>
      <c r="BM525" s="543"/>
      <c r="BN525" s="543"/>
      <c r="BO525" s="543"/>
    </row>
    <row r="526" spans="1:67" s="58" customFormat="1">
      <c r="A526" s="107"/>
      <c r="C526" s="543"/>
      <c r="D526" s="543"/>
      <c r="E526" s="543"/>
      <c r="F526" s="543"/>
      <c r="G526" s="543"/>
      <c r="H526" s="543"/>
      <c r="I526" s="543"/>
      <c r="J526" s="543"/>
      <c r="K526" s="543"/>
      <c r="L526" s="543"/>
      <c r="M526" s="543"/>
      <c r="N526" s="543"/>
      <c r="O526" s="543"/>
      <c r="P526" s="543"/>
      <c r="Q526" s="543"/>
      <c r="R526" s="543"/>
      <c r="S526" s="543"/>
      <c r="T526" s="543"/>
      <c r="U526" s="543"/>
      <c r="V526" s="543"/>
      <c r="W526" s="543"/>
      <c r="X526" s="543"/>
      <c r="Y526" s="543"/>
      <c r="Z526" s="543"/>
      <c r="AA526" s="543"/>
      <c r="AB526" s="543"/>
      <c r="AC526" s="543"/>
      <c r="AD526" s="543"/>
      <c r="AE526" s="543"/>
      <c r="AF526" s="543"/>
      <c r="AG526" s="543"/>
      <c r="AH526" s="543"/>
      <c r="AI526" s="543"/>
      <c r="AJ526" s="543"/>
      <c r="AK526" s="543"/>
      <c r="AL526" s="543"/>
      <c r="AM526" s="543"/>
      <c r="AN526" s="543"/>
      <c r="AO526" s="543"/>
      <c r="AP526" s="543"/>
      <c r="AQ526" s="543"/>
      <c r="AR526" s="543"/>
      <c r="AS526" s="543"/>
      <c r="AT526" s="543"/>
      <c r="AU526" s="543"/>
      <c r="AV526" s="543"/>
      <c r="AW526" s="543"/>
      <c r="AX526" s="543"/>
      <c r="AY526" s="543"/>
      <c r="AZ526" s="543"/>
      <c r="BA526" s="543"/>
      <c r="BB526" s="543"/>
      <c r="BC526" s="543"/>
      <c r="BD526" s="543"/>
      <c r="BE526" s="543"/>
      <c r="BF526" s="543"/>
      <c r="BG526" s="543"/>
      <c r="BH526" s="543"/>
      <c r="BI526" s="543"/>
      <c r="BJ526" s="543"/>
      <c r="BK526" s="543"/>
      <c r="BL526" s="543"/>
      <c r="BM526" s="543"/>
      <c r="BN526" s="543"/>
      <c r="BO526" s="543"/>
    </row>
    <row r="527" spans="1:67" s="58" customFormat="1">
      <c r="A527" s="107"/>
      <c r="C527" s="546"/>
      <c r="D527" s="546"/>
      <c r="E527" s="546"/>
      <c r="F527" s="546"/>
      <c r="G527" s="546"/>
      <c r="H527" s="546"/>
      <c r="I527" s="546"/>
      <c r="J527" s="546"/>
      <c r="K527" s="546"/>
      <c r="L527" s="546"/>
      <c r="M527" s="546"/>
      <c r="N527" s="546"/>
      <c r="O527" s="546"/>
      <c r="P527" s="546"/>
      <c r="Q527" s="546"/>
      <c r="R527" s="546"/>
      <c r="S527" s="546"/>
      <c r="T527" s="546"/>
      <c r="U527" s="546"/>
      <c r="V527" s="546"/>
      <c r="W527" s="546"/>
      <c r="X527" s="546"/>
      <c r="Y527" s="546"/>
      <c r="Z527" s="546"/>
      <c r="AA527" s="546"/>
      <c r="AB527" s="546"/>
      <c r="AC527" s="546"/>
      <c r="AD527" s="546"/>
      <c r="AE527" s="546"/>
      <c r="AF527" s="546"/>
      <c r="AG527" s="546"/>
      <c r="AH527" s="546"/>
      <c r="AI527" s="546"/>
      <c r="AJ527" s="546"/>
      <c r="AK527" s="546"/>
      <c r="AL527" s="546"/>
      <c r="AM527" s="546"/>
      <c r="AN527" s="546"/>
      <c r="AO527" s="546"/>
      <c r="AP527" s="546"/>
      <c r="AQ527" s="546"/>
      <c r="AR527" s="546"/>
      <c r="AS527" s="546"/>
      <c r="AT527" s="546"/>
      <c r="AU527" s="546"/>
      <c r="AV527" s="546"/>
      <c r="AW527" s="546"/>
      <c r="AX527" s="546"/>
      <c r="AY527" s="546"/>
      <c r="AZ527" s="546"/>
      <c r="BA527" s="546"/>
      <c r="BB527" s="546"/>
      <c r="BC527" s="546"/>
      <c r="BD527" s="546"/>
      <c r="BE527" s="546"/>
      <c r="BF527" s="546"/>
      <c r="BG527" s="546"/>
      <c r="BH527" s="546"/>
      <c r="BI527" s="546"/>
      <c r="BJ527" s="546"/>
      <c r="BK527" s="546"/>
      <c r="BL527" s="546"/>
      <c r="BM527" s="546"/>
      <c r="BN527" s="546"/>
      <c r="BO527" s="546"/>
    </row>
    <row r="528" spans="1:67" s="58" customFormat="1">
      <c r="A528" s="107"/>
      <c r="C528" s="544"/>
      <c r="D528" s="545"/>
      <c r="E528" s="545"/>
      <c r="F528" s="545"/>
      <c r="G528" s="545"/>
      <c r="H528" s="544"/>
      <c r="I528" s="545"/>
      <c r="J528" s="545"/>
      <c r="K528" s="545"/>
      <c r="L528" s="545"/>
      <c r="M528" s="544"/>
      <c r="N528" s="545"/>
      <c r="O528" s="545"/>
      <c r="P528" s="545"/>
      <c r="Q528" s="545"/>
      <c r="R528" s="544"/>
      <c r="S528" s="545"/>
      <c r="T528" s="545"/>
      <c r="U528" s="545"/>
      <c r="V528" s="545"/>
      <c r="W528" s="544"/>
      <c r="X528" s="545"/>
      <c r="Y528" s="545"/>
      <c r="Z528" s="545"/>
      <c r="AA528" s="545"/>
      <c r="AB528" s="544"/>
      <c r="AC528" s="545"/>
      <c r="AD528" s="545"/>
      <c r="AE528" s="545"/>
      <c r="AF528" s="545"/>
      <c r="AG528" s="544"/>
      <c r="AH528" s="545"/>
      <c r="AI528" s="545"/>
      <c r="AJ528" s="545"/>
      <c r="AK528" s="545"/>
      <c r="AL528" s="544"/>
      <c r="AM528" s="545"/>
      <c r="AN528" s="545"/>
      <c r="AO528" s="545"/>
      <c r="AP528" s="545"/>
      <c r="AQ528" s="544"/>
      <c r="AR528" s="545"/>
      <c r="AS528" s="545"/>
      <c r="AT528" s="545"/>
      <c r="AU528" s="545"/>
      <c r="AV528" s="544"/>
      <c r="AW528" s="545"/>
      <c r="AX528" s="545"/>
      <c r="AY528" s="545"/>
      <c r="AZ528" s="545"/>
      <c r="BA528" s="544"/>
      <c r="BB528" s="545"/>
      <c r="BC528" s="545"/>
      <c r="BD528" s="545"/>
      <c r="BE528" s="545"/>
      <c r="BF528" s="544"/>
      <c r="BG528" s="545"/>
      <c r="BH528" s="545"/>
      <c r="BI528" s="545"/>
      <c r="BJ528" s="545"/>
      <c r="BK528" s="544"/>
      <c r="BL528" s="545"/>
      <c r="BM528" s="545"/>
      <c r="BN528" s="545"/>
      <c r="BO528" s="545"/>
    </row>
    <row r="529" spans="1:67" s="58" customFormat="1">
      <c r="A529" s="107"/>
      <c r="C529" s="544"/>
      <c r="D529" s="545"/>
      <c r="E529" s="545"/>
      <c r="F529" s="545"/>
      <c r="G529" s="545"/>
      <c r="H529" s="544"/>
      <c r="I529" s="545"/>
      <c r="J529" s="545"/>
      <c r="K529" s="545"/>
      <c r="L529" s="545"/>
      <c r="M529" s="544"/>
      <c r="N529" s="545"/>
      <c r="O529" s="545"/>
      <c r="P529" s="545"/>
      <c r="Q529" s="545"/>
      <c r="R529" s="544"/>
      <c r="S529" s="545"/>
      <c r="T529" s="545"/>
      <c r="U529" s="545"/>
      <c r="V529" s="545"/>
      <c r="W529" s="544"/>
      <c r="X529" s="545"/>
      <c r="Y529" s="545"/>
      <c r="Z529" s="545"/>
      <c r="AA529" s="545"/>
      <c r="AB529" s="544"/>
      <c r="AC529" s="545"/>
      <c r="AD529" s="545"/>
      <c r="AE529" s="545"/>
      <c r="AF529" s="545"/>
      <c r="AG529" s="544"/>
      <c r="AH529" s="545"/>
      <c r="AI529" s="545"/>
      <c r="AJ529" s="545"/>
      <c r="AK529" s="545"/>
      <c r="AL529" s="544"/>
      <c r="AM529" s="545"/>
      <c r="AN529" s="545"/>
      <c r="AO529" s="545"/>
      <c r="AP529" s="545"/>
      <c r="AQ529" s="544"/>
      <c r="AR529" s="545"/>
      <c r="AS529" s="545"/>
      <c r="AT529" s="545"/>
      <c r="AU529" s="545"/>
      <c r="AV529" s="544"/>
      <c r="AW529" s="545"/>
      <c r="AX529" s="545"/>
      <c r="AY529" s="545"/>
      <c r="AZ529" s="545"/>
      <c r="BA529" s="544"/>
      <c r="BB529" s="545"/>
      <c r="BC529" s="545"/>
      <c r="BD529" s="545"/>
      <c r="BE529" s="545"/>
      <c r="BF529" s="544"/>
      <c r="BG529" s="545"/>
      <c r="BH529" s="545"/>
      <c r="BI529" s="545"/>
      <c r="BJ529" s="545"/>
      <c r="BK529" s="544"/>
      <c r="BL529" s="545"/>
      <c r="BM529" s="545"/>
      <c r="BN529" s="545"/>
      <c r="BO529" s="545"/>
    </row>
    <row r="530" spans="1:67" s="58" customFormat="1">
      <c r="A530" s="107"/>
      <c r="C530" s="544"/>
      <c r="D530" s="545"/>
      <c r="E530" s="545"/>
      <c r="F530" s="545"/>
      <c r="G530" s="545"/>
      <c r="H530" s="544"/>
      <c r="I530" s="545"/>
      <c r="J530" s="545"/>
      <c r="K530" s="545"/>
      <c r="L530" s="545"/>
      <c r="M530" s="544"/>
      <c r="N530" s="545"/>
      <c r="O530" s="545"/>
      <c r="P530" s="545"/>
      <c r="Q530" s="545"/>
      <c r="R530" s="544"/>
      <c r="S530" s="545"/>
      <c r="T530" s="545"/>
      <c r="U530" s="545"/>
      <c r="V530" s="545"/>
      <c r="W530" s="544"/>
      <c r="X530" s="545"/>
      <c r="Y530" s="545"/>
      <c r="Z530" s="545"/>
      <c r="AA530" s="545"/>
      <c r="AB530" s="544"/>
      <c r="AC530" s="545"/>
      <c r="AD530" s="545"/>
      <c r="AE530" s="545"/>
      <c r="AF530" s="545"/>
      <c r="AG530" s="544"/>
      <c r="AH530" s="545"/>
      <c r="AI530" s="545"/>
      <c r="AJ530" s="545"/>
      <c r="AK530" s="545"/>
      <c r="AL530" s="544"/>
      <c r="AM530" s="545"/>
      <c r="AN530" s="545"/>
      <c r="AO530" s="545"/>
      <c r="AP530" s="545"/>
      <c r="AQ530" s="544"/>
      <c r="AR530" s="545"/>
      <c r="AS530" s="545"/>
      <c r="AT530" s="545"/>
      <c r="AU530" s="545"/>
      <c r="AV530" s="544"/>
      <c r="AW530" s="545"/>
      <c r="AX530" s="545"/>
      <c r="AY530" s="545"/>
      <c r="AZ530" s="545"/>
      <c r="BA530" s="544"/>
      <c r="BB530" s="545"/>
      <c r="BC530" s="545"/>
      <c r="BD530" s="545"/>
      <c r="BE530" s="545"/>
      <c r="BF530" s="544"/>
      <c r="BG530" s="545"/>
      <c r="BH530" s="545"/>
      <c r="BI530" s="545"/>
      <c r="BJ530" s="545"/>
      <c r="BK530" s="544"/>
      <c r="BL530" s="545"/>
      <c r="BM530" s="545"/>
      <c r="BN530" s="545"/>
      <c r="BO530" s="545"/>
    </row>
    <row r="531" spans="1:67" s="58" customFormat="1">
      <c r="A531" s="107"/>
      <c r="C531" s="490"/>
      <c r="D531" s="490"/>
      <c r="E531" s="490"/>
      <c r="F531" s="490"/>
      <c r="G531" s="490"/>
      <c r="H531" s="490"/>
      <c r="I531" s="490"/>
      <c r="J531" s="490"/>
      <c r="K531" s="490"/>
      <c r="L531" s="490"/>
      <c r="M531" s="490"/>
      <c r="N531" s="490"/>
      <c r="O531" s="490"/>
      <c r="P531" s="490"/>
      <c r="Q531" s="490"/>
      <c r="R531" s="490"/>
      <c r="S531" s="490"/>
      <c r="T531" s="490"/>
      <c r="U531" s="490"/>
      <c r="V531" s="490"/>
      <c r="W531" s="490"/>
      <c r="X531" s="490"/>
      <c r="Y531" s="490"/>
      <c r="Z531" s="490"/>
      <c r="AA531" s="490"/>
      <c r="AB531" s="490"/>
      <c r="AC531" s="490"/>
      <c r="AD531" s="490"/>
      <c r="AE531" s="490"/>
      <c r="AF531" s="490"/>
      <c r="AG531" s="490"/>
      <c r="AH531" s="490"/>
      <c r="AI531" s="490"/>
      <c r="AJ531" s="490"/>
      <c r="AK531" s="490"/>
      <c r="AL531" s="490"/>
      <c r="AM531" s="490"/>
      <c r="AN531" s="490"/>
      <c r="AO531" s="490"/>
      <c r="AP531" s="490"/>
      <c r="AQ531" s="490"/>
      <c r="AR531" s="490"/>
      <c r="AS531" s="490"/>
      <c r="AT531" s="490"/>
      <c r="AU531" s="490"/>
      <c r="AV531" s="490"/>
      <c r="AW531" s="490"/>
      <c r="AX531" s="490"/>
      <c r="AY531" s="490"/>
      <c r="AZ531" s="490"/>
      <c r="BA531" s="490"/>
      <c r="BB531" s="490"/>
      <c r="BC531" s="490"/>
      <c r="BD531" s="490"/>
      <c r="BE531" s="490"/>
      <c r="BF531" s="490"/>
      <c r="BG531" s="490"/>
      <c r="BH531" s="490"/>
      <c r="BI531" s="490"/>
      <c r="BJ531" s="490"/>
      <c r="BK531" s="490"/>
      <c r="BL531" s="490"/>
      <c r="BM531" s="490"/>
      <c r="BN531" s="490"/>
      <c r="BO531" s="490"/>
    </row>
    <row r="532" spans="1:67" s="58" customFormat="1">
      <c r="A532" s="107"/>
      <c r="C532" s="549"/>
      <c r="D532" s="549"/>
      <c r="E532" s="549"/>
      <c r="F532" s="549"/>
      <c r="G532" s="549"/>
      <c r="H532" s="549"/>
      <c r="I532" s="549"/>
      <c r="J532" s="549"/>
      <c r="K532" s="549"/>
      <c r="L532" s="549"/>
      <c r="M532" s="549"/>
      <c r="N532" s="549"/>
      <c r="O532" s="549"/>
      <c r="P532" s="549"/>
      <c r="Q532" s="549"/>
      <c r="R532" s="549"/>
      <c r="S532" s="549"/>
      <c r="T532" s="549"/>
      <c r="U532" s="549"/>
      <c r="V532" s="549"/>
      <c r="W532" s="549"/>
      <c r="X532" s="549"/>
      <c r="Y532" s="549"/>
      <c r="Z532" s="549"/>
      <c r="AA532" s="549"/>
      <c r="AB532" s="549"/>
      <c r="AC532" s="549"/>
      <c r="AD532" s="549"/>
      <c r="AE532" s="549"/>
      <c r="AF532" s="549"/>
      <c r="AG532" s="549"/>
      <c r="AH532" s="549"/>
      <c r="AI532" s="549"/>
      <c r="AJ532" s="549"/>
      <c r="AK532" s="549"/>
      <c r="AL532" s="549"/>
      <c r="AM532" s="549"/>
      <c r="AN532" s="549"/>
      <c r="AO532" s="549"/>
      <c r="AP532" s="549"/>
      <c r="AQ532" s="549"/>
      <c r="AR532" s="549"/>
      <c r="AS532" s="549"/>
      <c r="AT532" s="549"/>
      <c r="AU532" s="549"/>
      <c r="AV532" s="549"/>
      <c r="AW532" s="549"/>
      <c r="AX532" s="549"/>
      <c r="AY532" s="549"/>
      <c r="AZ532" s="549"/>
      <c r="BA532" s="549"/>
      <c r="BB532" s="549"/>
      <c r="BC532" s="549"/>
      <c r="BD532" s="549"/>
      <c r="BE532" s="549"/>
      <c r="BF532" s="549"/>
      <c r="BG532" s="549"/>
      <c r="BH532" s="549"/>
      <c r="BI532" s="549"/>
      <c r="BJ532" s="549"/>
      <c r="BK532" s="549"/>
      <c r="BL532" s="549"/>
      <c r="BM532" s="549"/>
      <c r="BN532" s="549"/>
      <c r="BO532" s="549"/>
    </row>
    <row r="533" spans="1:67">
      <c r="B533" s="58"/>
      <c r="C533" s="490"/>
      <c r="D533" s="490"/>
      <c r="E533" s="490"/>
      <c r="F533" s="490"/>
      <c r="G533" s="490"/>
      <c r="H533" s="490"/>
      <c r="I533" s="490"/>
      <c r="J533" s="490"/>
      <c r="K533" s="490"/>
      <c r="L533" s="490"/>
      <c r="M533" s="490"/>
      <c r="N533" s="490"/>
      <c r="O533" s="490"/>
      <c r="P533" s="490"/>
      <c r="Q533" s="490"/>
      <c r="R533" s="490"/>
      <c r="S533" s="490"/>
      <c r="T533" s="490"/>
      <c r="U533" s="490"/>
      <c r="V533" s="490"/>
      <c r="W533" s="490"/>
      <c r="X533" s="490"/>
      <c r="Y533" s="490"/>
      <c r="Z533" s="490"/>
      <c r="AA533" s="490"/>
      <c r="AB533" s="490"/>
      <c r="AC533" s="490"/>
      <c r="AD533" s="490"/>
      <c r="AE533" s="490"/>
      <c r="AF533" s="490"/>
      <c r="AG533" s="490"/>
      <c r="AH533" s="490"/>
      <c r="AI533" s="490"/>
      <c r="AJ533" s="490"/>
      <c r="AK533" s="490"/>
      <c r="AL533" s="490"/>
      <c r="AM533" s="490"/>
      <c r="AN533" s="490"/>
      <c r="AO533" s="490"/>
      <c r="AP533" s="490"/>
      <c r="AQ533" s="490"/>
      <c r="AR533" s="490"/>
      <c r="AS533" s="490"/>
      <c r="AT533" s="490"/>
      <c r="AU533" s="490"/>
      <c r="AV533" s="490"/>
      <c r="AW533" s="490"/>
      <c r="AX533" s="490"/>
      <c r="AY533" s="490"/>
      <c r="AZ533" s="490"/>
      <c r="BA533" s="490"/>
      <c r="BB533" s="490"/>
      <c r="BC533" s="490"/>
      <c r="BD533" s="490"/>
      <c r="BE533" s="490"/>
      <c r="BF533" s="490"/>
      <c r="BG533" s="490"/>
      <c r="BH533" s="490"/>
      <c r="BI533" s="490"/>
      <c r="BJ533" s="490"/>
      <c r="BK533" s="490"/>
      <c r="BL533" s="490"/>
      <c r="BM533" s="490"/>
      <c r="BN533" s="490"/>
      <c r="BO533" s="490"/>
    </row>
  </sheetData>
  <pageMargins left="0.7" right="0.7" top="0.75" bottom="0.75" header="0.3" footer="0.3"/>
  <customProperties>
    <customPr name="Qube.Worksheet.Visibility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82D2-4C48-4DEB-B457-1DD0CAE1395D}">
  <sheetPr>
    <tabColor theme="4"/>
  </sheetPr>
  <dimension ref="A1:AZ519"/>
  <sheetViews>
    <sheetView showGridLines="0" zoomScaleNormal="100" workbookViewId="0">
      <pane xSplit="2" ySplit="8" topLeftCell="AG9" activePane="bottomRight" state="frozen"/>
      <selection activeCell="A90" sqref="A90"/>
      <selection pane="topRight" activeCell="A90" sqref="A90"/>
      <selection pane="bottomLeft" activeCell="A90" sqref="A90"/>
      <selection pane="bottomRight"/>
    </sheetView>
  </sheetViews>
  <sheetFormatPr defaultColWidth="10.28515625" defaultRowHeight="12.75" outlineLevelRow="1" outlineLevelCol="1"/>
  <cols>
    <col min="1" max="1" width="3.7109375" style="107" customWidth="1"/>
    <col min="2" max="2" width="40.5703125" style="58" bestFit="1" customWidth="1"/>
    <col min="3" max="3" width="10.7109375" style="362" hidden="1" customWidth="1" outlineLevel="1"/>
    <col min="4" max="6" width="10.7109375" style="466" hidden="1" customWidth="1" outlineLevel="1"/>
    <col min="7" max="7" width="10.7109375" style="466" customWidth="1" collapsed="1"/>
    <col min="8" max="8" width="10.7109375" style="362" hidden="1" customWidth="1" outlineLevel="1"/>
    <col min="9" max="11" width="10.7109375" style="466" hidden="1" customWidth="1" outlineLevel="1"/>
    <col min="12" max="12" width="10.7109375" style="466" customWidth="1" collapsed="1"/>
    <col min="13" max="13" width="10.7109375" style="362" hidden="1" customWidth="1" outlineLevel="1"/>
    <col min="14" max="16" width="10.7109375" style="466" hidden="1" customWidth="1" outlineLevel="1"/>
    <col min="17" max="17" width="10.7109375" style="466" customWidth="1" collapsed="1"/>
    <col min="18" max="18" width="10.7109375" style="362" hidden="1" customWidth="1" outlineLevel="1"/>
    <col min="19" max="21" width="10.7109375" style="466" hidden="1" customWidth="1" outlineLevel="1"/>
    <col min="22" max="22" width="10.7109375" style="466" customWidth="1" collapsed="1"/>
    <col min="23" max="23" width="10.7109375" style="362" hidden="1" customWidth="1" outlineLevel="1"/>
    <col min="24" max="26" width="10.7109375" style="466" hidden="1" customWidth="1" outlineLevel="1"/>
    <col min="27" max="27" width="10.7109375" style="466" customWidth="1" collapsed="1"/>
    <col min="28" max="28" width="10.7109375" style="362" hidden="1" customWidth="1" outlineLevel="1"/>
    <col min="29" max="31" width="10.7109375" style="466" hidden="1" customWidth="1" outlineLevel="1"/>
    <col min="32" max="32" width="10.7109375" style="466" customWidth="1" collapsed="1"/>
    <col min="33" max="33" width="10.7109375" style="362" customWidth="1" outlineLevel="1"/>
    <col min="34" max="36" width="10.7109375" style="466" customWidth="1" outlineLevel="1"/>
    <col min="37" max="37" width="10.7109375" style="466" customWidth="1"/>
    <col min="38" max="38" width="10.7109375" style="362" customWidth="1" outlineLevel="1"/>
    <col min="39" max="41" width="10.7109375" style="466" customWidth="1" outlineLevel="1"/>
    <col min="42" max="42" width="10.7109375" style="466" customWidth="1"/>
    <col min="43" max="43" width="10.7109375" style="362" customWidth="1" outlineLevel="1"/>
    <col min="44" max="46" width="10.7109375" style="466" customWidth="1" outlineLevel="1"/>
    <col min="47" max="47" width="10.7109375" style="466" customWidth="1"/>
    <col min="48" max="48" width="10.7109375" style="362" hidden="1" customWidth="1" outlineLevel="1"/>
    <col min="49" max="51" width="10.7109375" style="466" hidden="1" customWidth="1" outlineLevel="1"/>
    <col min="52" max="52" width="10.7109375" style="466" customWidth="1" collapsed="1"/>
    <col min="53" max="16384" width="10.28515625" style="58"/>
  </cols>
  <sheetData>
    <row r="1" spans="1:52" s="363" customFormat="1">
      <c r="A1" s="107" t="s">
        <v>394</v>
      </c>
      <c r="B1" s="58"/>
      <c r="C1" s="362"/>
      <c r="H1" s="362"/>
      <c r="M1" s="362"/>
      <c r="R1" s="362"/>
      <c r="W1" s="362"/>
      <c r="AB1" s="362"/>
      <c r="AG1" s="362"/>
      <c r="AL1" s="362"/>
      <c r="AQ1" s="362"/>
      <c r="AV1" s="362"/>
    </row>
    <row r="2" spans="1:52" s="363" customFormat="1">
      <c r="A2" s="107"/>
      <c r="B2" s="608" t="s">
        <v>29</v>
      </c>
      <c r="C2" s="362"/>
      <c r="H2" s="362"/>
      <c r="M2" s="362"/>
      <c r="R2" s="362"/>
      <c r="W2" s="362"/>
      <c r="AB2" s="362"/>
      <c r="AG2" s="362"/>
      <c r="AL2" s="362"/>
      <c r="AQ2" s="362"/>
      <c r="AV2" s="362"/>
    </row>
    <row r="3" spans="1:52" s="363" customFormat="1">
      <c r="A3" s="107"/>
      <c r="B3" s="608" t="s">
        <v>198</v>
      </c>
      <c r="C3" s="362"/>
      <c r="H3" s="362"/>
      <c r="M3" s="362"/>
      <c r="R3" s="608"/>
      <c r="T3" s="647"/>
      <c r="W3" s="362"/>
      <c r="AB3" s="362"/>
      <c r="AG3" s="362"/>
      <c r="AL3" s="362"/>
      <c r="AQ3" s="362"/>
      <c r="AV3" s="362"/>
    </row>
    <row r="4" spans="1:52" s="363" customFormat="1">
      <c r="A4" s="107"/>
      <c r="B4" s="608" t="s">
        <v>28</v>
      </c>
      <c r="C4" s="362"/>
      <c r="H4" s="556"/>
      <c r="I4" s="557"/>
      <c r="J4" s="557"/>
      <c r="M4" s="362"/>
      <c r="O4" s="364"/>
      <c r="R4" s="362"/>
      <c r="T4" s="364"/>
      <c r="W4" s="362"/>
      <c r="AB4" s="362"/>
      <c r="AG4" s="362"/>
      <c r="AL4" s="362"/>
      <c r="AQ4" s="362"/>
      <c r="AV4" s="362"/>
    </row>
    <row r="5" spans="1:52" s="363" customFormat="1">
      <c r="A5" s="107"/>
      <c r="B5" s="58"/>
      <c r="C5" s="556"/>
      <c r="D5" s="557"/>
      <c r="E5" s="557"/>
      <c r="F5" s="466"/>
      <c r="H5" s="556"/>
      <c r="I5" s="557"/>
      <c r="J5" s="557"/>
      <c r="K5" s="466"/>
      <c r="M5" s="556"/>
      <c r="N5" s="557"/>
      <c r="O5" s="557"/>
      <c r="R5" s="362"/>
      <c r="W5" s="362"/>
      <c r="AB5" s="362"/>
      <c r="AG5" s="362"/>
      <c r="AL5" s="362"/>
      <c r="AQ5" s="362"/>
      <c r="AV5" s="362"/>
    </row>
    <row r="6" spans="1:52" s="60" customFormat="1" ht="15">
      <c r="A6" s="107"/>
      <c r="B6" s="58"/>
      <c r="C6" s="60" t="str">
        <f>Dates!M3</f>
        <v>2018 (A)</v>
      </c>
      <c r="G6" s="58"/>
      <c r="H6" s="60" t="str">
        <f>Dates!R3</f>
        <v>2019 (A)</v>
      </c>
      <c r="L6" s="58"/>
      <c r="M6" s="60" t="str">
        <f>Dates!W3</f>
        <v>2020 (A)</v>
      </c>
      <c r="Q6" s="58"/>
      <c r="R6" s="60" t="str">
        <f>Dates!AB3</f>
        <v>2021 (A)</v>
      </c>
      <c r="V6" s="58"/>
      <c r="W6" s="60" t="str">
        <f>Dates!AG3</f>
        <v>2022 (A)</v>
      </c>
      <c r="AA6" s="58"/>
      <c r="AB6" s="60" t="str">
        <f>Dates!AL3</f>
        <v>2023 (A)</v>
      </c>
      <c r="AF6" s="58"/>
      <c r="AG6" s="60" t="str">
        <f>Dates!AQ3</f>
        <v>2024 (A)</v>
      </c>
      <c r="AK6" s="58"/>
      <c r="AL6" s="60" t="str">
        <f>Dates!AV3</f>
        <v>2025 (A)</v>
      </c>
      <c r="AP6" s="58"/>
      <c r="AQ6" s="60" t="str">
        <f>Dates!BA3</f>
        <v>2026 (E)</v>
      </c>
      <c r="AU6" s="58"/>
      <c r="AV6" s="60" t="str">
        <f>Dates!BF3</f>
        <v>2027 (E)</v>
      </c>
      <c r="AZ6" s="58"/>
    </row>
    <row r="7" spans="1:52" s="366" customFormat="1">
      <c r="A7" s="107"/>
      <c r="B7" s="58"/>
      <c r="C7" s="366" t="str">
        <f>Dates!M4</f>
        <v>1Q18 (A)</v>
      </c>
      <c r="D7" s="366" t="str">
        <f>Dates!N4</f>
        <v>2Q18 (A)</v>
      </c>
      <c r="E7" s="366" t="str">
        <f>Dates!O4</f>
        <v>3Q18 (A)</v>
      </c>
      <c r="F7" s="366" t="str">
        <f>Dates!P4</f>
        <v>4Q18 (A)</v>
      </c>
      <c r="G7" s="367" t="str">
        <f>Dates!Q4</f>
        <v>FY18 (A)</v>
      </c>
      <c r="H7" s="366" t="str">
        <f>Dates!R4</f>
        <v>1Q19 (A)</v>
      </c>
      <c r="I7" s="366" t="str">
        <f>Dates!S4</f>
        <v>2Q19 (A)</v>
      </c>
      <c r="J7" s="366" t="str">
        <f>Dates!T4</f>
        <v>3Q19 (A)</v>
      </c>
      <c r="K7" s="366" t="str">
        <f>Dates!U4</f>
        <v>4Q19 (A)</v>
      </c>
      <c r="L7" s="367" t="str">
        <f>Dates!V4</f>
        <v>FY19 (A)</v>
      </c>
      <c r="M7" s="366" t="str">
        <f>Dates!W4</f>
        <v>1Q20 (A)</v>
      </c>
      <c r="N7" s="366" t="str">
        <f>Dates!X4</f>
        <v>2Q20 (A)</v>
      </c>
      <c r="O7" s="366" t="str">
        <f>Dates!Y4</f>
        <v>3Q20 (A)</v>
      </c>
      <c r="P7" s="366" t="str">
        <f>Dates!Z4</f>
        <v>4Q20 (A)</v>
      </c>
      <c r="Q7" s="367" t="str">
        <f>Dates!AA4</f>
        <v>FY20 (A)</v>
      </c>
      <c r="R7" s="366" t="str">
        <f>Dates!AB4</f>
        <v>1Q21 (A)</v>
      </c>
      <c r="S7" s="366" t="str">
        <f>Dates!AC4</f>
        <v>2Q21 (A)</v>
      </c>
      <c r="T7" s="366" t="str">
        <f>Dates!AD4</f>
        <v>3Q21 (A)</v>
      </c>
      <c r="U7" s="366" t="str">
        <f>Dates!AE4</f>
        <v>4Q21 (A)</v>
      </c>
      <c r="V7" s="367" t="str">
        <f>Dates!AF4</f>
        <v>FY21 (A)</v>
      </c>
      <c r="W7" s="366" t="str">
        <f>Dates!AG4</f>
        <v>1Q22 (A)</v>
      </c>
      <c r="X7" s="366" t="str">
        <f>Dates!AH4</f>
        <v>2Q22 (A)</v>
      </c>
      <c r="Y7" s="366" t="str">
        <f>Dates!AI4</f>
        <v>3Q22 (A)</v>
      </c>
      <c r="Z7" s="366" t="str">
        <f>Dates!AJ4</f>
        <v>4Q22 (A)</v>
      </c>
      <c r="AA7" s="367" t="str">
        <f>Dates!AK4</f>
        <v>FY22 (A)</v>
      </c>
      <c r="AB7" s="366" t="str">
        <f>Dates!AL4</f>
        <v>1Q23 (A)</v>
      </c>
      <c r="AC7" s="366" t="str">
        <f>Dates!AM4</f>
        <v>2Q23 (A)</v>
      </c>
      <c r="AD7" s="366" t="str">
        <f>Dates!AN4</f>
        <v>3Q23 (A)</v>
      </c>
      <c r="AE7" s="366" t="str">
        <f>Dates!AO4</f>
        <v>4Q23 (A)</v>
      </c>
      <c r="AF7" s="367" t="str">
        <f>Dates!AP4</f>
        <v>FY23 (A)</v>
      </c>
      <c r="AG7" s="366" t="str">
        <f>Dates!AQ4</f>
        <v>1Q24 (A)</v>
      </c>
      <c r="AH7" s="366" t="str">
        <f>Dates!AR4</f>
        <v>2Q24 (A)</v>
      </c>
      <c r="AI7" s="366" t="str">
        <f>Dates!AS4</f>
        <v>3Q24 (A)</v>
      </c>
      <c r="AJ7" s="366" t="str">
        <f>Dates!AT4</f>
        <v>4Q24 (A)</v>
      </c>
      <c r="AK7" s="367" t="str">
        <f>Dates!AU4</f>
        <v>FY24 (A)</v>
      </c>
      <c r="AL7" s="366" t="str">
        <f>Dates!AV4</f>
        <v>1Q25 (A)</v>
      </c>
      <c r="AM7" s="366" t="str">
        <f>Dates!AW4</f>
        <v>2Q25 (A)</v>
      </c>
      <c r="AN7" s="366" t="str">
        <f>Dates!AX4</f>
        <v>3Q25 (A)</v>
      </c>
      <c r="AO7" s="366" t="str">
        <f>Dates!AY4</f>
        <v>4Q25 (A)</v>
      </c>
      <c r="AP7" s="367" t="str">
        <f>Dates!AZ4</f>
        <v>FY25 (A)</v>
      </c>
      <c r="AQ7" s="366" t="str">
        <f>Dates!BA4</f>
        <v>1Q26 (A)</v>
      </c>
      <c r="AR7" s="366" t="str">
        <f>Dates!BB4</f>
        <v>2Q26 (A)</v>
      </c>
      <c r="AS7" s="366" t="str">
        <f>Dates!BC4</f>
        <v>3Q26 (A)</v>
      </c>
      <c r="AT7" s="366" t="str">
        <f>Dates!BD4</f>
        <v>4Q26 (E)</v>
      </c>
      <c r="AU7" s="367" t="str">
        <f>Dates!BE4</f>
        <v>FY26 (E)</v>
      </c>
      <c r="AV7" s="366" t="str">
        <f>Dates!BF4</f>
        <v>1Q27 (E)</v>
      </c>
      <c r="AW7" s="366" t="str">
        <f>Dates!BG4</f>
        <v>2Q27 (E)</v>
      </c>
      <c r="AX7" s="366" t="str">
        <f>Dates!BH4</f>
        <v>3Q27 (E)</v>
      </c>
      <c r="AY7" s="366" t="str">
        <f>Dates!BI4</f>
        <v>4Q27 (E)</v>
      </c>
      <c r="AZ7" s="367" t="str">
        <f>Dates!BJ4</f>
        <v>FY27 (E)</v>
      </c>
    </row>
    <row r="8" spans="1:52" s="368" customFormat="1">
      <c r="A8" s="107"/>
      <c r="B8" s="58"/>
      <c r="C8" s="368">
        <f>Dates!M5</f>
        <v>42855</v>
      </c>
      <c r="D8" s="368">
        <f>Dates!N5</f>
        <v>42947</v>
      </c>
      <c r="E8" s="368">
        <f>Dates!O5</f>
        <v>43039</v>
      </c>
      <c r="F8" s="368">
        <f>Dates!P5</f>
        <v>43131</v>
      </c>
      <c r="G8" s="369">
        <f>Dates!Q5</f>
        <v>43131</v>
      </c>
      <c r="H8" s="368">
        <f>Dates!R5</f>
        <v>43220</v>
      </c>
      <c r="I8" s="368">
        <f>Dates!S5</f>
        <v>43312</v>
      </c>
      <c r="J8" s="368">
        <f>Dates!T5</f>
        <v>43404</v>
      </c>
      <c r="K8" s="368">
        <f>Dates!U5</f>
        <v>43496</v>
      </c>
      <c r="L8" s="369">
        <f>Dates!V5</f>
        <v>43496</v>
      </c>
      <c r="M8" s="368">
        <f>Dates!W5</f>
        <v>43585</v>
      </c>
      <c r="N8" s="368">
        <f>Dates!X5</f>
        <v>43677</v>
      </c>
      <c r="O8" s="368">
        <f>Dates!Y5</f>
        <v>43769</v>
      </c>
      <c r="P8" s="368">
        <f>Dates!Z5</f>
        <v>43861</v>
      </c>
      <c r="Q8" s="369">
        <f>Dates!AA5</f>
        <v>43861</v>
      </c>
      <c r="R8" s="368">
        <f>Dates!AB5</f>
        <v>43951</v>
      </c>
      <c r="S8" s="368">
        <f>Dates!AC5</f>
        <v>44043</v>
      </c>
      <c r="T8" s="368">
        <f>Dates!AD5</f>
        <v>44135</v>
      </c>
      <c r="U8" s="368">
        <f>Dates!AE5</f>
        <v>44227</v>
      </c>
      <c r="V8" s="369">
        <f>Dates!AF5</f>
        <v>44227</v>
      </c>
      <c r="W8" s="368">
        <f>Dates!AG5</f>
        <v>44316</v>
      </c>
      <c r="X8" s="368">
        <f>Dates!AH5</f>
        <v>44408</v>
      </c>
      <c r="Y8" s="368">
        <f>Dates!AI5</f>
        <v>44500</v>
      </c>
      <c r="Z8" s="368">
        <f>Dates!AJ5</f>
        <v>44592</v>
      </c>
      <c r="AA8" s="369">
        <f>Dates!AK5</f>
        <v>44592</v>
      </c>
      <c r="AB8" s="368">
        <f>Dates!AL5</f>
        <v>44681</v>
      </c>
      <c r="AC8" s="368">
        <f>Dates!AM5</f>
        <v>44773</v>
      </c>
      <c r="AD8" s="368">
        <f>Dates!AN5</f>
        <v>44865</v>
      </c>
      <c r="AE8" s="368">
        <f>Dates!AO5</f>
        <v>44957</v>
      </c>
      <c r="AF8" s="369">
        <f>Dates!AP5</f>
        <v>44957</v>
      </c>
      <c r="AG8" s="368">
        <f>Dates!AQ5</f>
        <v>45046</v>
      </c>
      <c r="AH8" s="368">
        <f>Dates!AR5</f>
        <v>45138</v>
      </c>
      <c r="AI8" s="368">
        <f>Dates!AS5</f>
        <v>45230</v>
      </c>
      <c r="AJ8" s="368">
        <f>Dates!AT5</f>
        <v>45322</v>
      </c>
      <c r="AK8" s="369">
        <f>Dates!AU5</f>
        <v>45322</v>
      </c>
      <c r="AL8" s="368">
        <f>Dates!AV5</f>
        <v>45412</v>
      </c>
      <c r="AM8" s="368">
        <f>Dates!AW5</f>
        <v>45504</v>
      </c>
      <c r="AN8" s="368">
        <f>Dates!AX5</f>
        <v>45596</v>
      </c>
      <c r="AO8" s="368">
        <f>Dates!AY5</f>
        <v>45688</v>
      </c>
      <c r="AP8" s="369">
        <f>Dates!AZ5</f>
        <v>45688</v>
      </c>
      <c r="AQ8" s="368">
        <f>Dates!BA5</f>
        <v>45777</v>
      </c>
      <c r="AR8" s="368">
        <f>Dates!BB5</f>
        <v>45869</v>
      </c>
      <c r="AS8" s="368">
        <f>Dates!BC5</f>
        <v>45961</v>
      </c>
      <c r="AT8" s="368">
        <f>Dates!BD5</f>
        <v>46053</v>
      </c>
      <c r="AU8" s="369">
        <f>Dates!BE5</f>
        <v>46053</v>
      </c>
      <c r="AV8" s="368">
        <f>Dates!BF5</f>
        <v>46142</v>
      </c>
      <c r="AW8" s="368">
        <f>Dates!BG5</f>
        <v>46234</v>
      </c>
      <c r="AX8" s="368">
        <f>Dates!BH5</f>
        <v>46326</v>
      </c>
      <c r="AY8" s="368">
        <f>Dates!BI5</f>
        <v>46418</v>
      </c>
      <c r="AZ8" s="369">
        <f>Dates!BJ5</f>
        <v>46418</v>
      </c>
    </row>
    <row r="9" spans="1:52" s="368" customFormat="1">
      <c r="A9" s="107"/>
      <c r="B9" s="59" t="s">
        <v>395</v>
      </c>
      <c r="G9" s="369"/>
      <c r="L9" s="369"/>
      <c r="Q9" s="369"/>
      <c r="V9" s="369"/>
      <c r="AA9" s="369"/>
      <c r="AF9" s="369"/>
      <c r="AK9" s="369"/>
      <c r="AP9" s="369"/>
      <c r="AU9" s="369"/>
      <c r="AZ9" s="369"/>
    </row>
    <row r="10" spans="1:52" s="368" customFormat="1">
      <c r="A10" s="107"/>
      <c r="B10" s="78" t="s">
        <v>0</v>
      </c>
      <c r="G10" s="369"/>
      <c r="L10" s="369"/>
      <c r="Q10" s="369"/>
      <c r="V10" s="369"/>
      <c r="AA10" s="369"/>
      <c r="AF10" s="369"/>
      <c r="AK10" s="369"/>
      <c r="AP10" s="369"/>
      <c r="AU10" s="369"/>
      <c r="AZ10" s="369"/>
    </row>
    <row r="11" spans="1:52" s="751" customFormat="1" outlineLevel="1">
      <c r="A11" s="749"/>
      <c r="B11" s="750" t="s">
        <v>110</v>
      </c>
      <c r="G11" s="752"/>
      <c r="L11" s="752"/>
      <c r="Q11" s="752"/>
      <c r="R11" s="753"/>
      <c r="S11" s="753"/>
      <c r="T11" s="753"/>
      <c r="U11" s="753">
        <v>162</v>
      </c>
      <c r="V11" s="754"/>
      <c r="W11" s="753">
        <v>195</v>
      </c>
      <c r="X11" s="753">
        <v>235</v>
      </c>
      <c r="Y11" s="753">
        <v>280</v>
      </c>
      <c r="Z11" s="753">
        <v>345</v>
      </c>
      <c r="AA11" s="752"/>
      <c r="AB11" s="753">
        <v>383</v>
      </c>
      <c r="AC11" s="753">
        <v>435</v>
      </c>
      <c r="AD11" s="753">
        <v>500</v>
      </c>
      <c r="AE11" s="753">
        <v>535</v>
      </c>
      <c r="AF11" s="752"/>
      <c r="AG11" s="753">
        <v>568</v>
      </c>
      <c r="AH11" s="753">
        <v>620</v>
      </c>
      <c r="AI11" s="753">
        <v>670</v>
      </c>
      <c r="AJ11" s="753">
        <v>716</v>
      </c>
      <c r="AK11" s="752"/>
      <c r="AL11" s="753">
        <v>745</v>
      </c>
      <c r="AM11" s="753">
        <v>805</v>
      </c>
      <c r="AN11" s="753">
        <v>850</v>
      </c>
      <c r="AO11" s="753">
        <v>906</v>
      </c>
      <c r="AP11" s="752"/>
      <c r="AQ11" s="753">
        <v>955</v>
      </c>
      <c r="AR11" s="753">
        <v>1035</v>
      </c>
      <c r="AS11" s="753">
        <v>1125</v>
      </c>
      <c r="AT11" s="753"/>
      <c r="AU11" s="752"/>
      <c r="AV11" s="753"/>
      <c r="AW11" s="753"/>
      <c r="AX11" s="753"/>
      <c r="AY11" s="753"/>
      <c r="AZ11" s="752"/>
    </row>
    <row r="12" spans="1:52" s="751" customFormat="1" outlineLevel="1">
      <c r="A12" s="749"/>
      <c r="B12" s="750" t="s">
        <v>111</v>
      </c>
      <c r="G12" s="752"/>
      <c r="L12" s="752"/>
      <c r="Q12" s="752"/>
      <c r="R12" s="753"/>
      <c r="S12" s="753"/>
      <c r="T12" s="753"/>
      <c r="U12" s="753">
        <v>167</v>
      </c>
      <c r="V12" s="752"/>
      <c r="W12" s="753">
        <v>200</v>
      </c>
      <c r="X12" s="753">
        <v>240</v>
      </c>
      <c r="Y12" s="753">
        <v>285</v>
      </c>
      <c r="Z12" s="753">
        <v>350</v>
      </c>
      <c r="AA12" s="752"/>
      <c r="AB12" s="753">
        <v>388</v>
      </c>
      <c r="AC12" s="753">
        <v>440</v>
      </c>
      <c r="AD12" s="753">
        <v>505</v>
      </c>
      <c r="AE12" s="753">
        <v>540</v>
      </c>
      <c r="AF12" s="752"/>
      <c r="AG12" s="753">
        <v>573</v>
      </c>
      <c r="AH12" s="753">
        <v>625</v>
      </c>
      <c r="AI12" s="753">
        <v>675</v>
      </c>
      <c r="AJ12" s="753">
        <v>721</v>
      </c>
      <c r="AK12" s="752"/>
      <c r="AL12" s="753">
        <v>750</v>
      </c>
      <c r="AM12" s="753">
        <v>810</v>
      </c>
      <c r="AN12" s="753">
        <v>855</v>
      </c>
      <c r="AO12" s="753">
        <v>911</v>
      </c>
      <c r="AP12" s="752"/>
      <c r="AQ12" s="753">
        <v>960</v>
      </c>
      <c r="AR12" s="753">
        <v>1040</v>
      </c>
      <c r="AS12" s="753">
        <v>1130</v>
      </c>
      <c r="AT12" s="753"/>
      <c r="AU12" s="752"/>
      <c r="AV12" s="753"/>
      <c r="AW12" s="753"/>
      <c r="AX12" s="753"/>
      <c r="AY12" s="753"/>
      <c r="AZ12" s="752"/>
    </row>
    <row r="13" spans="1:52" s="751" customFormat="1" outlineLevel="1">
      <c r="A13" s="749"/>
      <c r="B13" s="750" t="s">
        <v>396</v>
      </c>
      <c r="C13" s="429"/>
      <c r="D13" s="429"/>
      <c r="E13" s="429"/>
      <c r="F13" s="429"/>
      <c r="G13" s="752"/>
      <c r="H13" s="429"/>
      <c r="I13" s="429"/>
      <c r="J13" s="429"/>
      <c r="K13" s="429"/>
      <c r="L13" s="752"/>
      <c r="M13" s="429"/>
      <c r="N13" s="429"/>
      <c r="O13" s="429"/>
      <c r="P13" s="429"/>
      <c r="Q13" s="752"/>
      <c r="R13" s="429" t="str">
        <f>IFERROR(AVERAGE(R11,R12),"--")</f>
        <v>--</v>
      </c>
      <c r="S13" s="429" t="str">
        <f>IFERROR(AVERAGE(S11,S12),"--")</f>
        <v>--</v>
      </c>
      <c r="T13" s="429" t="str">
        <f>IFERROR(AVERAGE(T11,T12),"--")</f>
        <v>--</v>
      </c>
      <c r="U13" s="429">
        <f>IFERROR(AVERAGE(U11,U12),"--")</f>
        <v>164.5</v>
      </c>
      <c r="V13" s="752"/>
      <c r="W13" s="429">
        <f>IFERROR(AVERAGE(W11,W12),"--")</f>
        <v>197.5</v>
      </c>
      <c r="X13" s="429">
        <f>IFERROR(AVERAGE(X11,X12),"--")</f>
        <v>237.5</v>
      </c>
      <c r="Y13" s="429">
        <f>IFERROR(AVERAGE(Y11,Y12),"--")</f>
        <v>282.5</v>
      </c>
      <c r="Z13" s="429">
        <f>IFERROR(AVERAGE(Z11,Z12),"--")</f>
        <v>347.5</v>
      </c>
      <c r="AA13" s="752"/>
      <c r="AB13" s="429">
        <f>IFERROR(AVERAGE(AB11,AB12),"--")</f>
        <v>385.5</v>
      </c>
      <c r="AC13" s="429">
        <f>IFERROR(AVERAGE(AC11,AC12),"--")</f>
        <v>437.5</v>
      </c>
      <c r="AD13" s="429">
        <f>IFERROR(AVERAGE(AD11,AD12),"--")</f>
        <v>502.5</v>
      </c>
      <c r="AE13" s="429">
        <f>IFERROR(AVERAGE(AE11,AE12),"--")</f>
        <v>537.5</v>
      </c>
      <c r="AF13" s="752"/>
      <c r="AG13" s="429">
        <f>IFERROR(AVERAGE(AG11,AG12),"--")</f>
        <v>570.5</v>
      </c>
      <c r="AH13" s="429">
        <f>IFERROR(AVERAGE(AH11,AH12),"--")</f>
        <v>622.5</v>
      </c>
      <c r="AI13" s="429">
        <f>IFERROR(AVERAGE(AI11,AI12),"--")</f>
        <v>672.5</v>
      </c>
      <c r="AJ13" s="429">
        <f>IFERROR(AVERAGE(AJ11,AJ12),"--")</f>
        <v>718.5</v>
      </c>
      <c r="AK13" s="752"/>
      <c r="AL13" s="429">
        <f>IFERROR(AVERAGE(AL11,AL12),"--")</f>
        <v>747.5</v>
      </c>
      <c r="AM13" s="429">
        <f>IFERROR(AVERAGE(AM11,AM12),"--")</f>
        <v>807.5</v>
      </c>
      <c r="AN13" s="429">
        <f>IFERROR(AVERAGE(AN11,AN12),"--")</f>
        <v>852.5</v>
      </c>
      <c r="AO13" s="429">
        <f>IFERROR(AVERAGE(AO11,AO12),"--")</f>
        <v>908.5</v>
      </c>
      <c r="AP13" s="752"/>
      <c r="AQ13" s="429">
        <f>IFERROR(AVERAGE(AQ11,AQ12),"--")</f>
        <v>957.5</v>
      </c>
      <c r="AR13" s="429">
        <f>IFERROR(AVERAGE(AR11,AR12),"--")</f>
        <v>1037.5</v>
      </c>
      <c r="AS13" s="429">
        <f>IFERROR(AVERAGE(AS11,AS12),"--")</f>
        <v>1127.5</v>
      </c>
      <c r="AT13" s="429"/>
      <c r="AU13" s="752"/>
      <c r="AV13" s="429"/>
      <c r="AW13" s="429"/>
      <c r="AX13" s="429"/>
      <c r="AY13" s="429"/>
      <c r="AZ13" s="752"/>
    </row>
    <row r="14" spans="1:52" s="751" customFormat="1" outlineLevel="1">
      <c r="A14" s="749"/>
      <c r="B14" s="750"/>
      <c r="G14" s="752"/>
      <c r="L14" s="752"/>
      <c r="Q14" s="752"/>
      <c r="V14" s="752"/>
      <c r="AA14" s="752"/>
      <c r="AF14" s="752"/>
      <c r="AH14" s="794"/>
      <c r="AK14" s="752"/>
      <c r="AM14" s="794"/>
      <c r="AP14" s="752"/>
      <c r="AR14" s="794"/>
      <c r="AU14" s="752"/>
      <c r="AW14" s="794"/>
      <c r="AZ14" s="752"/>
    </row>
    <row r="15" spans="1:52" s="751" customFormat="1" outlineLevel="1">
      <c r="A15" s="749"/>
      <c r="B15" s="750" t="s">
        <v>129</v>
      </c>
      <c r="C15" s="755"/>
      <c r="D15" s="755"/>
      <c r="E15" s="755"/>
      <c r="F15" s="755"/>
      <c r="G15" s="752"/>
      <c r="H15" s="755"/>
      <c r="I15" s="755"/>
      <c r="J15" s="755"/>
      <c r="K15" s="755"/>
      <c r="L15" s="752"/>
      <c r="M15" s="755"/>
      <c r="N15" s="755"/>
      <c r="O15" s="755"/>
      <c r="P15" s="755"/>
      <c r="Q15" s="752"/>
      <c r="R15" s="755"/>
      <c r="S15" s="755"/>
      <c r="T15" s="755"/>
      <c r="U15" s="755">
        <f>'IS (Non-GAAP)'!U14</f>
        <v>178.28800000000001</v>
      </c>
      <c r="V15" s="752"/>
      <c r="W15" s="755">
        <f>'IS (Non-GAAP)'!W14</f>
        <v>213.83</v>
      </c>
      <c r="X15" s="755">
        <f>'IS (Non-GAAP)'!X14</f>
        <v>254.62299999999999</v>
      </c>
      <c r="Y15" s="755">
        <f>'IS (Non-GAAP)'!Y14</f>
        <v>312.45800000000003</v>
      </c>
      <c r="Z15" s="755">
        <f>'IS (Non-GAAP)'!Z14</f>
        <v>359.55799999999999</v>
      </c>
      <c r="AA15" s="752"/>
      <c r="AB15" s="755">
        <f>'IS (Non-GAAP)'!AB14</f>
        <v>394.43400000000003</v>
      </c>
      <c r="AC15" s="755">
        <f>'IS (Non-GAAP)'!AC14</f>
        <v>466.26799999999997</v>
      </c>
      <c r="AD15" s="755">
        <f>'IS (Non-GAAP)'!AD14</f>
        <v>522.75199999999995</v>
      </c>
      <c r="AE15" s="755">
        <f>'IS (Non-GAAP)'!AE14</f>
        <v>555.32899999999995</v>
      </c>
      <c r="AF15" s="752"/>
      <c r="AG15" s="755">
        <f>'IS (Non-GAAP)'!AG14</f>
        <v>590.072</v>
      </c>
      <c r="AH15" s="755">
        <f>'IS (Non-GAAP)'!AH14</f>
        <v>640.20899999999995</v>
      </c>
      <c r="AI15" s="755">
        <f>'IS (Non-GAAP)'!AI14</f>
        <v>698.47799999999995</v>
      </c>
      <c r="AJ15" s="755">
        <f>'IS (Non-GAAP)'!AJ14</f>
        <v>738.09</v>
      </c>
      <c r="AK15" s="752"/>
      <c r="AL15" s="755">
        <f>'IS (Non-GAAP)'!AL14</f>
        <v>789.58699999999999</v>
      </c>
      <c r="AM15" s="755">
        <f>'IS (Non-GAAP)'!AM14</f>
        <v>829.25</v>
      </c>
      <c r="AN15" s="755">
        <f>'IS (Non-GAAP)'!AN14</f>
        <v>900.28200000000004</v>
      </c>
      <c r="AO15" s="755">
        <f>'IS (Non-GAAP)'!AO14</f>
        <v>943.303</v>
      </c>
      <c r="AP15" s="752"/>
      <c r="AQ15" s="755">
        <f>'IS (Non-GAAP)'!AQ14</f>
        <v>996.81299999999999</v>
      </c>
      <c r="AR15" s="755">
        <f>'IS (Non-GAAP)'!AR14</f>
        <v>1090.4960000000001</v>
      </c>
      <c r="AS15" s="755"/>
      <c r="AT15" s="755"/>
      <c r="AU15" s="752"/>
      <c r="AV15" s="755"/>
      <c r="AW15" s="755"/>
      <c r="AX15" s="755"/>
      <c r="AY15" s="755"/>
      <c r="AZ15" s="752"/>
    </row>
    <row r="16" spans="1:52" s="757" customFormat="1" outlineLevel="1">
      <c r="A16" s="107"/>
      <c r="B16" s="77"/>
      <c r="C16" s="751"/>
      <c r="D16" s="751"/>
      <c r="E16" s="751"/>
      <c r="F16" s="751"/>
      <c r="G16" s="756"/>
      <c r="H16" s="751"/>
      <c r="I16" s="751"/>
      <c r="J16" s="751"/>
      <c r="K16" s="751"/>
      <c r="L16" s="756"/>
      <c r="M16" s="751"/>
      <c r="N16" s="751"/>
      <c r="O16" s="751"/>
      <c r="P16" s="751"/>
      <c r="Q16" s="756"/>
      <c r="R16" s="751"/>
      <c r="S16" s="751"/>
      <c r="T16" s="751"/>
      <c r="U16" s="751"/>
      <c r="V16" s="756"/>
      <c r="W16" s="751"/>
      <c r="X16" s="751"/>
      <c r="Y16" s="751"/>
      <c r="Z16" s="751"/>
      <c r="AA16" s="756"/>
      <c r="AB16" s="751"/>
      <c r="AC16" s="751"/>
      <c r="AD16" s="751"/>
      <c r="AE16" s="751"/>
      <c r="AF16" s="756"/>
      <c r="AG16" s="751"/>
      <c r="AH16" s="751"/>
      <c r="AI16" s="751"/>
      <c r="AJ16" s="751"/>
      <c r="AK16" s="756"/>
      <c r="AL16" s="751"/>
      <c r="AM16" s="751"/>
      <c r="AN16" s="751"/>
      <c r="AO16" s="751"/>
      <c r="AP16" s="756"/>
      <c r="AQ16" s="751"/>
      <c r="AR16" s="751"/>
      <c r="AS16" s="751"/>
      <c r="AT16" s="751"/>
      <c r="AU16" s="756"/>
      <c r="AV16" s="751"/>
      <c r="AW16" s="751"/>
      <c r="AX16" s="751"/>
      <c r="AY16" s="751"/>
      <c r="AZ16" s="756"/>
    </row>
    <row r="17" spans="1:52" s="760" customFormat="1" outlineLevel="1">
      <c r="A17" s="319"/>
      <c r="B17" s="758" t="s">
        <v>397</v>
      </c>
      <c r="C17" s="468"/>
      <c r="D17" s="468"/>
      <c r="E17" s="468"/>
      <c r="F17" s="468"/>
      <c r="G17" s="759"/>
      <c r="H17" s="468"/>
      <c r="I17" s="468"/>
      <c r="J17" s="468"/>
      <c r="K17" s="468"/>
      <c r="L17" s="759"/>
      <c r="M17" s="468"/>
      <c r="N17" s="468"/>
      <c r="O17" s="468"/>
      <c r="P17" s="468"/>
      <c r="Q17" s="759"/>
      <c r="R17" s="468" t="str">
        <f>IFERROR(R15/R13-1, "--")</f>
        <v>--</v>
      </c>
      <c r="S17" s="468" t="str">
        <f>IFERROR(S15/S13-1, "--")</f>
        <v>--</v>
      </c>
      <c r="T17" s="468" t="str">
        <f>IFERROR(T15/T13-1, "--")</f>
        <v>--</v>
      </c>
      <c r="U17" s="468">
        <f>IFERROR(U15/U13-1, "--")</f>
        <v>8.3817629179331332E-2</v>
      </c>
      <c r="V17" s="759"/>
      <c r="W17" s="468">
        <f>IFERROR(W15/W13-1, "--")</f>
        <v>8.2683544303797429E-2</v>
      </c>
      <c r="X17" s="468">
        <f>IFERROR(X15/X13-1, "--")</f>
        <v>7.2096842105263015E-2</v>
      </c>
      <c r="Y17" s="468">
        <f>IFERROR(Y15/Y13-1, "--")</f>
        <v>0.10604601769911515</v>
      </c>
      <c r="Z17" s="468">
        <f>IFERROR(Z15/Z13-1, "--")</f>
        <v>3.4699280575539504E-2</v>
      </c>
      <c r="AA17" s="759"/>
      <c r="AB17" s="468">
        <f>IFERROR(AB15/AB13-1, "--")</f>
        <v>2.3175097276264767E-2</v>
      </c>
      <c r="AC17" s="468">
        <f>IFERROR(AC15/AC13-1, "--")</f>
        <v>6.5755428571428576E-2</v>
      </c>
      <c r="AD17" s="468">
        <f>IFERROR(AD15/AD13-1, "--")</f>
        <v>4.0302487562188904E-2</v>
      </c>
      <c r="AE17" s="468">
        <f>IFERROR(AE15/AE13-1, "--")</f>
        <v>3.3170232558139334E-2</v>
      </c>
      <c r="AF17" s="759"/>
      <c r="AG17" s="468">
        <f>IFERROR(AG15/AG13-1, "--")</f>
        <v>3.4306748466257586E-2</v>
      </c>
      <c r="AH17" s="468">
        <f>IFERROR(AH15/AH13-1, "--")</f>
        <v>2.8448192771084235E-2</v>
      </c>
      <c r="AI17" s="468">
        <f>IFERROR(AI15/AI13-1, "--")</f>
        <v>3.8628996282527917E-2</v>
      </c>
      <c r="AJ17" s="468">
        <f>IFERROR(AJ15/AJ13-1, "--")</f>
        <v>2.7265135699373833E-2</v>
      </c>
      <c r="AK17" s="759"/>
      <c r="AL17" s="468">
        <f>IFERROR(AL15/AL13-1, "--")</f>
        <v>5.6303678929765955E-2</v>
      </c>
      <c r="AM17" s="468">
        <f>IFERROR(AM15/AM13-1, "--")</f>
        <v>2.6934984520123884E-2</v>
      </c>
      <c r="AN17" s="468">
        <f>IFERROR(AN15/AN13-1, "--")</f>
        <v>5.6049266862170155E-2</v>
      </c>
      <c r="AO17" s="1386">
        <f>IFERROR(AO15/AO13-1, "--")</f>
        <v>3.8308200330214648E-2</v>
      </c>
      <c r="AP17" s="759"/>
      <c r="AQ17" s="468">
        <f>IFERROR(AQ15/AQ13-1, "--")</f>
        <v>4.1057963446475165E-2</v>
      </c>
      <c r="AR17" s="468">
        <f>IFERROR(AR15/AR13-1, "--")</f>
        <v>5.1080481927710863E-2</v>
      </c>
      <c r="AS17" s="468"/>
      <c r="AT17" s="468"/>
      <c r="AU17" s="759"/>
      <c r="AV17" s="468"/>
      <c r="AW17" s="468"/>
      <c r="AX17" s="468"/>
      <c r="AY17" s="468"/>
      <c r="AZ17" s="759"/>
    </row>
    <row r="18" spans="1:52" s="757" customFormat="1" outlineLevel="1">
      <c r="A18" s="107"/>
      <c r="B18" s="77" t="s">
        <v>398</v>
      </c>
      <c r="C18" s="429"/>
      <c r="D18" s="429"/>
      <c r="E18" s="429"/>
      <c r="F18" s="429"/>
      <c r="G18" s="756"/>
      <c r="H18" s="429"/>
      <c r="I18" s="429"/>
      <c r="J18" s="429"/>
      <c r="K18" s="429"/>
      <c r="L18" s="756"/>
      <c r="M18" s="429"/>
      <c r="N18" s="429"/>
      <c r="O18" s="429"/>
      <c r="P18" s="429"/>
      <c r="Q18" s="756"/>
      <c r="R18" s="429" t="str">
        <f>IFERROR(R15-R13,"--")</f>
        <v>--</v>
      </c>
      <c r="S18" s="429" t="str">
        <f>IFERROR(S15-S13,"--")</f>
        <v>--</v>
      </c>
      <c r="T18" s="429" t="str">
        <f>IFERROR(T15-T13,"--")</f>
        <v>--</v>
      </c>
      <c r="U18" s="429">
        <f>IFERROR(U15-U13,"--")</f>
        <v>13.788000000000011</v>
      </c>
      <c r="V18" s="756"/>
      <c r="W18" s="429">
        <f>IFERROR(W15-W13,"--")</f>
        <v>16.330000000000013</v>
      </c>
      <c r="X18" s="429">
        <f>IFERROR(X15-X13,"--")</f>
        <v>17.12299999999999</v>
      </c>
      <c r="Y18" s="429">
        <f>IFERROR(Y15-Y13,"--")</f>
        <v>29.958000000000027</v>
      </c>
      <c r="Z18" s="429">
        <f>IFERROR(Z15-Z13,"--")</f>
        <v>12.057999999999993</v>
      </c>
      <c r="AA18" s="756"/>
      <c r="AB18" s="429">
        <f>IFERROR(AB15-AB13,"--")</f>
        <v>8.9340000000000259</v>
      </c>
      <c r="AC18" s="429">
        <f>IFERROR(AC15-AC13,"--")</f>
        <v>28.767999999999972</v>
      </c>
      <c r="AD18" s="429">
        <f>IFERROR(AD15-AD13,"--")</f>
        <v>20.251999999999953</v>
      </c>
      <c r="AE18" s="429">
        <f>IFERROR(AE15-AE13,"--")</f>
        <v>17.828999999999951</v>
      </c>
      <c r="AF18" s="756"/>
      <c r="AG18" s="429">
        <f>IFERROR(AG15-AG13,"--")</f>
        <v>19.572000000000003</v>
      </c>
      <c r="AH18" s="429">
        <f>IFERROR(AH15-AH13,"--")</f>
        <v>17.708999999999946</v>
      </c>
      <c r="AI18" s="429">
        <f>IFERROR(AI15-AI13,"--")</f>
        <v>25.977999999999952</v>
      </c>
      <c r="AJ18" s="429">
        <f>IFERROR(AJ15-AJ13,"--")</f>
        <v>19.590000000000032</v>
      </c>
      <c r="AK18" s="756"/>
      <c r="AL18" s="429">
        <f>IFERROR(AL15-AL13,"--")</f>
        <v>42.086999999999989</v>
      </c>
      <c r="AM18" s="429">
        <f>IFERROR(AM15-AM13,"--")</f>
        <v>21.75</v>
      </c>
      <c r="AN18" s="429">
        <f>IFERROR(AN15-AN13,"--")</f>
        <v>47.782000000000039</v>
      </c>
      <c r="AO18" s="429">
        <f>IFERROR(AO15-AO13,"--")</f>
        <v>34.802999999999997</v>
      </c>
      <c r="AP18" s="756"/>
      <c r="AQ18" s="429">
        <f>IFERROR(AQ15-AQ13,"--")</f>
        <v>39.312999999999988</v>
      </c>
      <c r="AR18" s="429">
        <f>IFERROR(AR15-AR13,"--")</f>
        <v>52.996000000000095</v>
      </c>
      <c r="AS18" s="429"/>
      <c r="AT18" s="429"/>
      <c r="AU18" s="756"/>
      <c r="AV18" s="429"/>
      <c r="AW18" s="429"/>
      <c r="AX18" s="429"/>
      <c r="AY18" s="429"/>
      <c r="AZ18" s="756"/>
    </row>
    <row r="19" spans="1:52" s="757" customFormat="1">
      <c r="A19" s="107"/>
      <c r="B19" s="77"/>
      <c r="G19" s="756"/>
      <c r="L19" s="756"/>
      <c r="Q19" s="756"/>
      <c r="V19" s="756"/>
      <c r="AA19" s="756"/>
      <c r="AF19" s="756"/>
      <c r="AK19" s="756"/>
      <c r="AP19" s="756"/>
      <c r="AU19" s="756"/>
      <c r="AZ19" s="756"/>
    </row>
    <row r="20" spans="1:52" s="757" customFormat="1">
      <c r="A20" s="107"/>
      <c r="B20" s="78" t="s">
        <v>183</v>
      </c>
      <c r="G20" s="756"/>
      <c r="L20" s="756"/>
      <c r="Q20" s="756"/>
      <c r="V20" s="756"/>
      <c r="AA20" s="756"/>
      <c r="AF20" s="756"/>
      <c r="AK20" s="756"/>
      <c r="AP20" s="756"/>
      <c r="AU20" s="756"/>
      <c r="AZ20" s="756"/>
    </row>
    <row r="21" spans="1:52" s="761" customFormat="1" outlineLevel="1">
      <c r="A21" s="431"/>
      <c r="B21" s="252" t="s">
        <v>110</v>
      </c>
      <c r="G21" s="762"/>
      <c r="L21" s="762"/>
      <c r="Q21" s="762"/>
      <c r="R21" s="577"/>
      <c r="S21" s="577"/>
      <c r="T21" s="577"/>
      <c r="U21" s="577">
        <v>-0.3</v>
      </c>
      <c r="V21" s="763"/>
      <c r="W21" s="764">
        <v>-0.23</v>
      </c>
      <c r="X21" s="764">
        <v>-0.19</v>
      </c>
      <c r="Y21" s="764">
        <v>-7.0000000000000007E-2</v>
      </c>
      <c r="Z21" s="764">
        <v>0.01</v>
      </c>
      <c r="AA21" s="762"/>
      <c r="AB21" s="765">
        <v>-0.02</v>
      </c>
      <c r="AC21" s="765">
        <v>-0.02</v>
      </c>
      <c r="AD21" s="765">
        <v>0.02</v>
      </c>
      <c r="AE21" s="765">
        <v>0.01</v>
      </c>
      <c r="AF21" s="762"/>
      <c r="AG21" s="765">
        <v>0</v>
      </c>
      <c r="AH21" s="765">
        <v>0.02</v>
      </c>
      <c r="AI21" s="765">
        <v>0.04</v>
      </c>
      <c r="AJ21" s="765">
        <v>0.04</v>
      </c>
      <c r="AK21" s="762"/>
      <c r="AL21" s="765">
        <v>0.03</v>
      </c>
      <c r="AM21" s="765">
        <v>0.03</v>
      </c>
      <c r="AN21" s="765">
        <v>0.03</v>
      </c>
      <c r="AO21" s="765">
        <v>0.04</v>
      </c>
      <c r="AP21" s="762"/>
      <c r="AQ21" s="765">
        <v>0.05</v>
      </c>
      <c r="AR21" s="765">
        <v>0.08</v>
      </c>
      <c r="AS21" s="765">
        <v>0.09</v>
      </c>
      <c r="AT21" s="765"/>
      <c r="AU21" s="762"/>
      <c r="AV21" s="765"/>
      <c r="AW21" s="765"/>
      <c r="AX21" s="765"/>
      <c r="AY21" s="765"/>
      <c r="AZ21" s="762"/>
    </row>
    <row r="22" spans="1:52" s="761" customFormat="1" outlineLevel="1">
      <c r="A22" s="431"/>
      <c r="B22" s="252" t="s">
        <v>111</v>
      </c>
      <c r="G22" s="762"/>
      <c r="L22" s="762"/>
      <c r="Q22" s="762"/>
      <c r="R22" s="577"/>
      <c r="S22" s="577"/>
      <c r="T22" s="577"/>
      <c r="U22" s="577">
        <v>-0.3</v>
      </c>
      <c r="V22" s="763"/>
      <c r="W22" s="764">
        <v>-0.23</v>
      </c>
      <c r="X22" s="764">
        <v>-0.19</v>
      </c>
      <c r="Y22" s="764">
        <v>-7.0000000000000007E-2</v>
      </c>
      <c r="Z22" s="764">
        <v>0.01</v>
      </c>
      <c r="AA22" s="762"/>
      <c r="AB22" s="765">
        <v>-0.02</v>
      </c>
      <c r="AC22" s="765">
        <v>-0.02</v>
      </c>
      <c r="AD22" s="765">
        <v>0.02</v>
      </c>
      <c r="AE22" s="765">
        <v>0.01</v>
      </c>
      <c r="AF22" s="762"/>
      <c r="AG22" s="765">
        <v>0</v>
      </c>
      <c r="AH22" s="765">
        <v>0.02</v>
      </c>
      <c r="AI22" s="765">
        <v>0.04</v>
      </c>
      <c r="AJ22" s="765">
        <v>0.04</v>
      </c>
      <c r="AK22" s="762"/>
      <c r="AL22" s="765">
        <v>0.03</v>
      </c>
      <c r="AM22" s="765">
        <v>0.03</v>
      </c>
      <c r="AN22" s="765">
        <v>0.03</v>
      </c>
      <c r="AO22" s="765">
        <v>0.04</v>
      </c>
      <c r="AP22" s="762"/>
      <c r="AQ22" s="765">
        <v>0.05</v>
      </c>
      <c r="AR22" s="765">
        <v>0.08</v>
      </c>
      <c r="AS22" s="765">
        <v>0.09</v>
      </c>
      <c r="AT22" s="765"/>
      <c r="AU22" s="762"/>
      <c r="AV22" s="765"/>
      <c r="AW22" s="765"/>
      <c r="AX22" s="765"/>
      <c r="AY22" s="765"/>
      <c r="AZ22" s="762"/>
    </row>
    <row r="23" spans="1:52" s="768" customFormat="1" outlineLevel="1">
      <c r="A23" s="766"/>
      <c r="B23" s="767" t="s">
        <v>396</v>
      </c>
      <c r="G23" s="769"/>
      <c r="L23" s="769"/>
      <c r="Q23" s="769"/>
      <c r="R23" s="581" t="str">
        <f>IFERROR(AVERAGE(R21,R22),"--")</f>
        <v>--</v>
      </c>
      <c r="S23" s="581" t="str">
        <f>IFERROR(AVERAGE(S21,S22),"--")</f>
        <v>--</v>
      </c>
      <c r="T23" s="581" t="str">
        <f>IFERROR(AVERAGE(T21,T22),"--")</f>
        <v>--</v>
      </c>
      <c r="U23" s="581">
        <f>IFERROR(AVERAGE(U21,U22),"--")</f>
        <v>-0.3</v>
      </c>
      <c r="V23" s="770"/>
      <c r="W23" s="581">
        <f>IFERROR(AVERAGE(W21,W22),"--")</f>
        <v>-0.23</v>
      </c>
      <c r="X23" s="581">
        <f>IFERROR(AVERAGE(X21,X22),"--")</f>
        <v>-0.19</v>
      </c>
      <c r="Y23" s="581">
        <f>IFERROR(AVERAGE(Y21,Y22),"--")</f>
        <v>-7.0000000000000007E-2</v>
      </c>
      <c r="Z23" s="581">
        <f>IFERROR(AVERAGE(Z21,Z22),"--")</f>
        <v>0.01</v>
      </c>
      <c r="AA23" s="769"/>
      <c r="AB23" s="581">
        <f>IFERROR(AVERAGE(AB21,AB22),"--")</f>
        <v>-0.02</v>
      </c>
      <c r="AC23" s="581">
        <f>IFERROR(AVERAGE(AC21,AC22),"--")</f>
        <v>-0.02</v>
      </c>
      <c r="AD23" s="581">
        <f>IFERROR(AVERAGE(AD21,AD22),"--")</f>
        <v>0.02</v>
      </c>
      <c r="AE23" s="581">
        <f>IFERROR(AVERAGE(AE21,AE22),"--")</f>
        <v>0.01</v>
      </c>
      <c r="AF23" s="769"/>
      <c r="AG23" s="581">
        <f>IFERROR(AVERAGE(AG21,AG22),"--")</f>
        <v>0</v>
      </c>
      <c r="AH23" s="581">
        <f>IFERROR(AVERAGE(AH21,AH22),"--")</f>
        <v>0.02</v>
      </c>
      <c r="AI23" s="581">
        <f>IFERROR(AVERAGE(AI21,AI22),"--")</f>
        <v>0.04</v>
      </c>
      <c r="AJ23" s="581">
        <f>IFERROR(AVERAGE(AJ21,AJ22),"--")</f>
        <v>0.04</v>
      </c>
      <c r="AK23" s="769"/>
      <c r="AL23" s="581">
        <f>IFERROR(AVERAGE(AL21,AL22),"--")</f>
        <v>0.03</v>
      </c>
      <c r="AM23" s="581">
        <f>IFERROR(AVERAGE(AM21,AM22),"--")</f>
        <v>0.03</v>
      </c>
      <c r="AN23" s="581">
        <f>IFERROR(AVERAGE(AN21,AN22),"--")</f>
        <v>0.03</v>
      </c>
      <c r="AO23" s="581">
        <f>IFERROR(AVERAGE(AO21,AO22),"--")</f>
        <v>0.04</v>
      </c>
      <c r="AP23" s="769"/>
      <c r="AQ23" s="581">
        <f>IFERROR(AVERAGE(AQ21,AQ22),"--")</f>
        <v>0.05</v>
      </c>
      <c r="AR23" s="581">
        <f>IFERROR(AVERAGE(AR21,AR22),"--")</f>
        <v>0.08</v>
      </c>
      <c r="AS23" s="581">
        <f>IFERROR(AVERAGE(AS21,AS22),"--")</f>
        <v>0.09</v>
      </c>
      <c r="AT23" s="581"/>
      <c r="AU23" s="769"/>
      <c r="AV23" s="581"/>
      <c r="AW23" s="581"/>
      <c r="AX23" s="581"/>
      <c r="AY23" s="581"/>
      <c r="AZ23" s="769"/>
    </row>
    <row r="24" spans="1:52" s="757" customFormat="1" outlineLevel="1">
      <c r="A24" s="107"/>
      <c r="B24" s="750"/>
      <c r="G24" s="756"/>
      <c r="L24" s="756"/>
      <c r="Q24" s="756"/>
      <c r="V24" s="756"/>
      <c r="AA24" s="756"/>
      <c r="AF24" s="756"/>
      <c r="AK24" s="756"/>
      <c r="AP24" s="756"/>
      <c r="AU24" s="756"/>
      <c r="AZ24" s="756"/>
    </row>
    <row r="25" spans="1:52" s="757" customFormat="1" outlineLevel="1">
      <c r="A25" s="107"/>
      <c r="B25" s="750" t="s">
        <v>129</v>
      </c>
      <c r="G25" s="756"/>
      <c r="L25" s="756"/>
      <c r="Q25" s="756"/>
      <c r="R25" s="579"/>
      <c r="S25" s="579"/>
      <c r="T25" s="579"/>
      <c r="U25" s="579">
        <f>'IS (Non-GAAP)'!U70</f>
        <v>-0.24136193001338829</v>
      </c>
      <c r="V25" s="756"/>
      <c r="W25" s="579">
        <f>'IS (Non-GAAP)'!W70</f>
        <v>-0.15642118874337094</v>
      </c>
      <c r="X25" s="579">
        <f>'IS (Non-GAAP)'!X70</f>
        <v>-8.0448790953644128E-2</v>
      </c>
      <c r="Y25" s="579">
        <f>'IS (Non-GAAP)'!Y70</f>
        <v>2.5331822354316715E-2</v>
      </c>
      <c r="Z25" s="579">
        <f>'IS (Non-GAAP)'!Z70</f>
        <v>4.7053734750139388E-2</v>
      </c>
      <c r="AA25" s="756"/>
      <c r="AB25" s="579">
        <f>'IS (Non-GAAP)'!AB70</f>
        <v>3.9657078729363783E-3</v>
      </c>
      <c r="AC25" s="579">
        <f>'IS (Non-GAAP)'!AC70</f>
        <v>3.5115274470686797E-2</v>
      </c>
      <c r="AD25" s="579">
        <f>'IS (Non-GAAP)'!AD70</f>
        <v>7.7863231291784185E-2</v>
      </c>
      <c r="AE25" s="579">
        <f>'IS (Non-GAAP)'!AE70</f>
        <v>5.5644027625922604E-2</v>
      </c>
      <c r="AF25" s="756"/>
      <c r="AG25" s="579">
        <f>'IS (Non-GAAP)'!AG70</f>
        <v>5.2286806104564161E-2</v>
      </c>
      <c r="AH25" s="579">
        <f>'IS (Non-GAAP)'!AH70</f>
        <v>8.0413282731321631E-2</v>
      </c>
      <c r="AI25" s="579">
        <f>'IS (Non-GAAP)'!AI70</f>
        <v>9.7985079810889247E-2</v>
      </c>
      <c r="AJ25" s="579">
        <f>'IS (Non-GAAP)'!AJ70</f>
        <v>9.1604610306712603E-2</v>
      </c>
      <c r="AK25" s="756"/>
      <c r="AL25" s="579">
        <f>'IS (Non-GAAP)'!AL70</f>
        <v>4.3735497020063636E-2</v>
      </c>
      <c r="AM25" s="579">
        <f>'IS (Non-GAAP)'!AM70</f>
        <v>5.0350876991055692E-2</v>
      </c>
      <c r="AN25" s="579">
        <f>'IS (Non-GAAP)'!AN70</f>
        <v>6.2507562939579306E-2</v>
      </c>
      <c r="AO25" s="579">
        <f>'IS (Non-GAAP)'!AO70</f>
        <v>9.4089808161983174E-2</v>
      </c>
      <c r="AP25" s="756"/>
      <c r="AQ25" s="579">
        <f>'IS (Non-GAAP)'!AQ70</f>
        <v>8.7957285183202075E-2</v>
      </c>
      <c r="AR25" s="579">
        <f>'IS (Non-GAAP)'!AR70</f>
        <v>0.11141961048727093</v>
      </c>
      <c r="AS25" s="579"/>
      <c r="AT25" s="579"/>
      <c r="AU25" s="756"/>
      <c r="AV25" s="579"/>
      <c r="AW25" s="579"/>
      <c r="AX25" s="579"/>
      <c r="AY25" s="579"/>
      <c r="AZ25" s="756"/>
    </row>
    <row r="26" spans="1:52" s="757" customFormat="1" outlineLevel="1">
      <c r="A26" s="107"/>
      <c r="B26" s="750" t="s">
        <v>399</v>
      </c>
      <c r="G26" s="756"/>
      <c r="L26" s="756"/>
      <c r="Q26" s="756"/>
      <c r="R26" s="771" t="str">
        <f>IFERROR((R25-R23)*10000,"--")</f>
        <v>--</v>
      </c>
      <c r="S26" s="771" t="str">
        <f>IFERROR((S25-S23)*10000,"--")</f>
        <v>--</v>
      </c>
      <c r="T26" s="771" t="str">
        <f>IFERROR((T25-T23)*10000,"--")</f>
        <v>--</v>
      </c>
      <c r="U26" s="771">
        <f>IFERROR((U25-U23)*10000,"--")</f>
        <v>586.38069986611697</v>
      </c>
      <c r="V26" s="756"/>
      <c r="W26" s="771">
        <f>IFERROR((W25-W23)*10000,"--")</f>
        <v>735.78811256629069</v>
      </c>
      <c r="X26" s="771">
        <f>IFERROR((X25-X23)*10000,"--")</f>
        <v>1095.5120904635587</v>
      </c>
      <c r="Y26" s="771">
        <f>IFERROR((Y25-Y23)*10000,"--")</f>
        <v>953.31822354316728</v>
      </c>
      <c r="Z26" s="771">
        <f>IFERROR((Z25-Z23)*10000,"--")</f>
        <v>370.53734750139387</v>
      </c>
      <c r="AA26" s="756"/>
      <c r="AB26" s="771">
        <f>IFERROR((AB25-AB23)*10000,"--")</f>
        <v>239.65707872936377</v>
      </c>
      <c r="AC26" s="771">
        <f>IFERROR((AC25-AC23)*10000,"--")</f>
        <v>551.15274470686802</v>
      </c>
      <c r="AD26" s="771">
        <f>IFERROR((AD25-AD23)*10000,"--")</f>
        <v>578.63231291784177</v>
      </c>
      <c r="AE26" s="771">
        <f>IFERROR((AE25-AE23)*10000,"--")</f>
        <v>456.44027625922604</v>
      </c>
      <c r="AF26" s="756"/>
      <c r="AG26" s="771">
        <f>IFERROR((AG25-AG23)*10000,"--")</f>
        <v>522.86806104564164</v>
      </c>
      <c r="AH26" s="771">
        <f>IFERROR((AH25-AH23)*10000,"--")</f>
        <v>604.13282731321624</v>
      </c>
      <c r="AI26" s="771">
        <f>IFERROR((AI25-AI23)*10000,"--")</f>
        <v>579.85079810889249</v>
      </c>
      <c r="AJ26" s="771">
        <f>IFERROR((AJ25-AJ23)*10000,"--")</f>
        <v>516.04610306712607</v>
      </c>
      <c r="AK26" s="756"/>
      <c r="AL26" s="771">
        <f>IFERROR((AL25-AL23)*10000,"--")</f>
        <v>137.35497020063639</v>
      </c>
      <c r="AM26" s="771">
        <f>IFERROR((AM25-AM23)*10000,"--")</f>
        <v>203.50876991055694</v>
      </c>
      <c r="AN26" s="771">
        <f>IFERROR((AN25-AN23)*10000,"--")</f>
        <v>325.07562939579304</v>
      </c>
      <c r="AO26" s="771">
        <f>IFERROR((AO25-AO23)*10000,"--")</f>
        <v>540.89808161983171</v>
      </c>
      <c r="AP26" s="756"/>
      <c r="AQ26" s="771">
        <f>IFERROR((AQ25-AQ23)*10000,"--")</f>
        <v>379.57285183202072</v>
      </c>
      <c r="AR26" s="771">
        <f>IFERROR((AR25-AR23)*10000,"--")</f>
        <v>314.19610487270933</v>
      </c>
      <c r="AS26" s="771"/>
      <c r="AT26" s="771"/>
      <c r="AU26" s="756"/>
      <c r="AV26" s="771"/>
      <c r="AW26" s="771"/>
      <c r="AX26" s="771"/>
      <c r="AY26" s="771"/>
      <c r="AZ26" s="756"/>
    </row>
    <row r="27" spans="1:52" s="368" customFormat="1">
      <c r="A27" s="107"/>
      <c r="B27" s="77"/>
      <c r="G27" s="772"/>
      <c r="L27" s="772"/>
      <c r="Q27" s="772"/>
      <c r="V27" s="772"/>
      <c r="AA27" s="772"/>
      <c r="AF27" s="772"/>
      <c r="AK27" s="772"/>
      <c r="AP27" s="772"/>
      <c r="AU27" s="772"/>
      <c r="AZ27" s="772"/>
    </row>
    <row r="28" spans="1:52" s="368" customFormat="1">
      <c r="A28" s="107"/>
      <c r="B28" s="77"/>
    </row>
    <row r="29" spans="1:52" s="368" customFormat="1" ht="15">
      <c r="A29" s="107"/>
      <c r="B29" s="77"/>
      <c r="C29" s="60" t="str">
        <f>C6</f>
        <v>2018 (A)</v>
      </c>
      <c r="D29" s="60"/>
      <c r="E29" s="60"/>
      <c r="F29" s="60"/>
      <c r="G29" s="58"/>
      <c r="H29" s="60" t="str">
        <f>H6</f>
        <v>2019 (A)</v>
      </c>
      <c r="I29" s="60"/>
      <c r="J29" s="60"/>
      <c r="K29" s="60"/>
      <c r="L29" s="58"/>
      <c r="M29" s="60" t="str">
        <f>M6</f>
        <v>2020 (A)</v>
      </c>
      <c r="N29" s="60"/>
      <c r="O29" s="60"/>
      <c r="P29" s="60"/>
      <c r="Q29" s="58"/>
      <c r="R29" s="60" t="str">
        <f>R6</f>
        <v>2021 (A)</v>
      </c>
      <c r="S29" s="60"/>
      <c r="T29" s="60"/>
      <c r="U29" s="60"/>
      <c r="V29" s="58"/>
      <c r="W29" s="60" t="str">
        <f>W6</f>
        <v>2022 (A)</v>
      </c>
      <c r="X29" s="60"/>
      <c r="Y29" s="60"/>
      <c r="Z29" s="60"/>
      <c r="AA29" s="58"/>
      <c r="AB29" s="60" t="str">
        <f>AB6</f>
        <v>2023 (A)</v>
      </c>
      <c r="AC29" s="60"/>
      <c r="AD29" s="60"/>
      <c r="AE29" s="60"/>
      <c r="AF29" s="58"/>
      <c r="AG29" s="60" t="str">
        <f>AG6</f>
        <v>2024 (A)</v>
      </c>
      <c r="AH29" s="60"/>
      <c r="AI29" s="60"/>
      <c r="AJ29" s="60"/>
      <c r="AK29" s="58"/>
      <c r="AL29" s="60" t="str">
        <f>AL6</f>
        <v>2025 (A)</v>
      </c>
      <c r="AM29" s="60"/>
      <c r="AN29" s="60"/>
      <c r="AO29" s="60"/>
      <c r="AP29" s="58"/>
      <c r="AQ29" s="60" t="str">
        <f>AQ6</f>
        <v>2026 (E)</v>
      </c>
      <c r="AR29" s="60"/>
      <c r="AS29" s="60"/>
      <c r="AT29" s="60"/>
      <c r="AU29" s="58"/>
      <c r="AV29" s="60" t="str">
        <f>AV6</f>
        <v>2027 (E)</v>
      </c>
      <c r="AW29" s="60"/>
      <c r="AX29" s="60"/>
      <c r="AY29" s="60"/>
      <c r="AZ29" s="58"/>
    </row>
    <row r="30" spans="1:52" s="368" customFormat="1">
      <c r="A30" s="107"/>
      <c r="B30" s="77"/>
      <c r="C30" s="366"/>
      <c r="D30" s="366" t="str">
        <f t="shared" ref="D30:F31" si="0">C7</f>
        <v>1Q18 (A)</v>
      </c>
      <c r="E30" s="366" t="str">
        <f t="shared" si="0"/>
        <v>2Q18 (A)</v>
      </c>
      <c r="F30" s="366" t="str">
        <f t="shared" si="0"/>
        <v>3Q18 (A)</v>
      </c>
      <c r="G30" s="367" t="str">
        <f>G7</f>
        <v>FY18 (A)</v>
      </c>
      <c r="H30" s="366" t="str">
        <f>F7</f>
        <v>4Q18 (A)</v>
      </c>
      <c r="I30" s="366" t="str">
        <f t="shared" ref="I30:K31" si="1">H7</f>
        <v>1Q19 (A)</v>
      </c>
      <c r="J30" s="366" t="str">
        <f t="shared" si="1"/>
        <v>2Q19 (A)</v>
      </c>
      <c r="K30" s="366" t="str">
        <f t="shared" si="1"/>
        <v>3Q19 (A)</v>
      </c>
      <c r="L30" s="367" t="str">
        <f>L7</f>
        <v>FY19 (A)</v>
      </c>
      <c r="M30" s="366" t="str">
        <f>K7</f>
        <v>4Q19 (A)</v>
      </c>
      <c r="N30" s="366" t="str">
        <f t="shared" ref="N30:P31" si="2">M7</f>
        <v>1Q20 (A)</v>
      </c>
      <c r="O30" s="366" t="str">
        <f t="shared" si="2"/>
        <v>2Q20 (A)</v>
      </c>
      <c r="P30" s="366" t="str">
        <f t="shared" si="2"/>
        <v>3Q20 (A)</v>
      </c>
      <c r="Q30" s="367" t="str">
        <f>Q7</f>
        <v>FY20 (A)</v>
      </c>
      <c r="R30" s="366" t="str">
        <f>P7</f>
        <v>4Q20 (A)</v>
      </c>
      <c r="S30" s="366" t="str">
        <f t="shared" ref="S30:U31" si="3">R7</f>
        <v>1Q21 (A)</v>
      </c>
      <c r="T30" s="366" t="str">
        <f t="shared" si="3"/>
        <v>2Q21 (A)</v>
      </c>
      <c r="U30" s="366" t="str">
        <f t="shared" si="3"/>
        <v>3Q21 (A)</v>
      </c>
      <c r="V30" s="367" t="str">
        <f>V7</f>
        <v>FY21 (A)</v>
      </c>
      <c r="W30" s="366" t="str">
        <f>U7</f>
        <v>4Q21 (A)</v>
      </c>
      <c r="X30" s="366" t="str">
        <f t="shared" ref="X30:Z31" si="4">W7</f>
        <v>1Q22 (A)</v>
      </c>
      <c r="Y30" s="366" t="str">
        <f t="shared" si="4"/>
        <v>2Q22 (A)</v>
      </c>
      <c r="Z30" s="366" t="str">
        <f t="shared" si="4"/>
        <v>3Q22 (A)</v>
      </c>
      <c r="AA30" s="367" t="str">
        <f>AA7</f>
        <v>FY22 (A)</v>
      </c>
      <c r="AB30" s="366" t="str">
        <f>Z7</f>
        <v>4Q22 (A)</v>
      </c>
      <c r="AC30" s="366" t="str">
        <f t="shared" ref="AC30:AE31" si="5">AB7</f>
        <v>1Q23 (A)</v>
      </c>
      <c r="AD30" s="366" t="str">
        <f t="shared" si="5"/>
        <v>2Q23 (A)</v>
      </c>
      <c r="AE30" s="366" t="str">
        <f t="shared" si="5"/>
        <v>3Q23 (A)</v>
      </c>
      <c r="AF30" s="367" t="str">
        <f>AF7</f>
        <v>FY23 (A)</v>
      </c>
      <c r="AG30" s="366" t="str">
        <f>AE7</f>
        <v>4Q23 (A)</v>
      </c>
      <c r="AH30" s="366" t="str">
        <f t="shared" ref="AH30:AJ31" si="6">AG7</f>
        <v>1Q24 (A)</v>
      </c>
      <c r="AI30" s="366" t="str">
        <f t="shared" si="6"/>
        <v>2Q24 (A)</v>
      </c>
      <c r="AJ30" s="366" t="str">
        <f t="shared" si="6"/>
        <v>3Q24 (A)</v>
      </c>
      <c r="AK30" s="367" t="str">
        <f>AK7</f>
        <v>FY24 (A)</v>
      </c>
      <c r="AL30" s="366" t="str">
        <f>AJ7</f>
        <v>4Q24 (A)</v>
      </c>
      <c r="AM30" s="366" t="str">
        <f t="shared" ref="AM30:AO31" si="7">AL7</f>
        <v>1Q25 (A)</v>
      </c>
      <c r="AN30" s="366" t="str">
        <f t="shared" si="7"/>
        <v>2Q25 (A)</v>
      </c>
      <c r="AO30" s="366" t="str">
        <f t="shared" si="7"/>
        <v>3Q25 (A)</v>
      </c>
      <c r="AP30" s="367" t="str">
        <f>AP7</f>
        <v>FY25 (A)</v>
      </c>
      <c r="AQ30" s="366" t="str">
        <f>AO7</f>
        <v>4Q25 (A)</v>
      </c>
      <c r="AR30" s="366" t="str">
        <f t="shared" ref="AR30:AT31" si="8">AQ7</f>
        <v>1Q26 (A)</v>
      </c>
      <c r="AS30" s="366" t="str">
        <f t="shared" si="8"/>
        <v>2Q26 (A)</v>
      </c>
      <c r="AT30" s="366" t="str">
        <f t="shared" si="8"/>
        <v>3Q26 (A)</v>
      </c>
      <c r="AU30" s="367" t="str">
        <f>AU7</f>
        <v>FY26 (E)</v>
      </c>
      <c r="AV30" s="366" t="str">
        <f>AT7</f>
        <v>4Q26 (E)</v>
      </c>
      <c r="AW30" s="366" t="str">
        <f t="shared" ref="AW30:AY31" si="9">AV7</f>
        <v>1Q27 (E)</v>
      </c>
      <c r="AX30" s="366" t="str">
        <f t="shared" si="9"/>
        <v>2Q27 (E)</v>
      </c>
      <c r="AY30" s="366" t="str">
        <f t="shared" si="9"/>
        <v>3Q27 (E)</v>
      </c>
      <c r="AZ30" s="367" t="str">
        <f>AZ7</f>
        <v>FY27 (E)</v>
      </c>
    </row>
    <row r="31" spans="1:52" s="368" customFormat="1">
      <c r="A31" s="107"/>
      <c r="B31" s="58"/>
      <c r="D31" s="368">
        <f t="shared" si="0"/>
        <v>42855</v>
      </c>
      <c r="E31" s="368">
        <f t="shared" si="0"/>
        <v>42947</v>
      </c>
      <c r="F31" s="368">
        <f t="shared" si="0"/>
        <v>43039</v>
      </c>
      <c r="G31" s="369">
        <f>G8</f>
        <v>43131</v>
      </c>
      <c r="H31" s="368">
        <f>F8</f>
        <v>43131</v>
      </c>
      <c r="I31" s="368">
        <f t="shared" si="1"/>
        <v>43220</v>
      </c>
      <c r="J31" s="368">
        <f t="shared" si="1"/>
        <v>43312</v>
      </c>
      <c r="K31" s="368">
        <f t="shared" si="1"/>
        <v>43404</v>
      </c>
      <c r="L31" s="369">
        <f>L8</f>
        <v>43496</v>
      </c>
      <c r="M31" s="368">
        <f>K8</f>
        <v>43496</v>
      </c>
      <c r="N31" s="368">
        <f t="shared" si="2"/>
        <v>43585</v>
      </c>
      <c r="O31" s="368">
        <f t="shared" si="2"/>
        <v>43677</v>
      </c>
      <c r="P31" s="368">
        <f t="shared" si="2"/>
        <v>43769</v>
      </c>
      <c r="Q31" s="369">
        <f>Q8</f>
        <v>43861</v>
      </c>
      <c r="R31" s="368">
        <f>P8</f>
        <v>43861</v>
      </c>
      <c r="S31" s="368">
        <f t="shared" si="3"/>
        <v>43951</v>
      </c>
      <c r="T31" s="368">
        <f t="shared" si="3"/>
        <v>44043</v>
      </c>
      <c r="U31" s="368">
        <f t="shared" si="3"/>
        <v>44135</v>
      </c>
      <c r="V31" s="369">
        <f>V8</f>
        <v>44227</v>
      </c>
      <c r="W31" s="368">
        <f>U8</f>
        <v>44227</v>
      </c>
      <c r="X31" s="368">
        <f t="shared" si="4"/>
        <v>44316</v>
      </c>
      <c r="Y31" s="368">
        <f t="shared" si="4"/>
        <v>44408</v>
      </c>
      <c r="Z31" s="368">
        <f t="shared" si="4"/>
        <v>44500</v>
      </c>
      <c r="AA31" s="369">
        <f>AA8</f>
        <v>44592</v>
      </c>
      <c r="AB31" s="368">
        <f>Z8</f>
        <v>44592</v>
      </c>
      <c r="AC31" s="368">
        <f t="shared" si="5"/>
        <v>44681</v>
      </c>
      <c r="AD31" s="368">
        <f t="shared" si="5"/>
        <v>44773</v>
      </c>
      <c r="AE31" s="368">
        <f t="shared" si="5"/>
        <v>44865</v>
      </c>
      <c r="AF31" s="369">
        <f>AF8</f>
        <v>44957</v>
      </c>
      <c r="AG31" s="368">
        <f>AE8</f>
        <v>44957</v>
      </c>
      <c r="AH31" s="368">
        <f t="shared" si="6"/>
        <v>45046</v>
      </c>
      <c r="AI31" s="368">
        <f t="shared" si="6"/>
        <v>45138</v>
      </c>
      <c r="AJ31" s="368">
        <f t="shared" si="6"/>
        <v>45230</v>
      </c>
      <c r="AK31" s="369">
        <f>AK8</f>
        <v>45322</v>
      </c>
      <c r="AL31" s="368">
        <f>AJ8</f>
        <v>45322</v>
      </c>
      <c r="AM31" s="368">
        <f t="shared" si="7"/>
        <v>45412</v>
      </c>
      <c r="AN31" s="368">
        <f t="shared" si="7"/>
        <v>45504</v>
      </c>
      <c r="AO31" s="368">
        <f t="shared" si="7"/>
        <v>45596</v>
      </c>
      <c r="AP31" s="369">
        <f>AP8</f>
        <v>45688</v>
      </c>
      <c r="AQ31" s="368">
        <f>AO8</f>
        <v>45688</v>
      </c>
      <c r="AR31" s="368">
        <f t="shared" si="8"/>
        <v>45777</v>
      </c>
      <c r="AS31" s="368">
        <f t="shared" si="8"/>
        <v>45869</v>
      </c>
      <c r="AT31" s="368">
        <f t="shared" si="8"/>
        <v>45961</v>
      </c>
      <c r="AU31" s="369">
        <f>AU8</f>
        <v>46053</v>
      </c>
      <c r="AV31" s="368">
        <f>AT8</f>
        <v>46053</v>
      </c>
      <c r="AW31" s="368">
        <f t="shared" si="9"/>
        <v>46142</v>
      </c>
      <c r="AX31" s="368">
        <f t="shared" si="9"/>
        <v>46234</v>
      </c>
      <c r="AY31" s="368">
        <f t="shared" si="9"/>
        <v>46326</v>
      </c>
      <c r="AZ31" s="369">
        <f>AZ8</f>
        <v>46418</v>
      </c>
    </row>
    <row r="32" spans="1:52" s="368" customFormat="1">
      <c r="A32" s="107"/>
      <c r="B32" s="59" t="s">
        <v>400</v>
      </c>
      <c r="G32" s="369"/>
      <c r="L32" s="369"/>
      <c r="Q32" s="369"/>
      <c r="V32" s="369"/>
      <c r="AA32" s="369"/>
      <c r="AF32" s="369"/>
      <c r="AK32" s="369"/>
      <c r="AP32" s="369"/>
      <c r="AU32" s="369"/>
      <c r="AZ32" s="369"/>
    </row>
    <row r="33" spans="1:52" s="368" customFormat="1">
      <c r="A33" s="107"/>
      <c r="B33" s="78" t="s">
        <v>0</v>
      </c>
      <c r="G33" s="369"/>
      <c r="L33" s="369"/>
      <c r="Q33" s="369"/>
      <c r="V33" s="369"/>
      <c r="AA33" s="369"/>
      <c r="AF33" s="369"/>
      <c r="AK33" s="369"/>
      <c r="AP33" s="369"/>
      <c r="AU33" s="369"/>
      <c r="AZ33" s="369"/>
    </row>
    <row r="34" spans="1:52" s="775" customFormat="1" outlineLevel="1">
      <c r="A34" s="773"/>
      <c r="B34" s="774" t="s">
        <v>110</v>
      </c>
      <c r="G34" s="776"/>
      <c r="L34" s="776"/>
      <c r="Q34" s="776"/>
      <c r="R34" s="753"/>
      <c r="S34" s="753"/>
      <c r="T34" s="753"/>
      <c r="U34" s="753">
        <v>538</v>
      </c>
      <c r="V34" s="754">
        <f>U34</f>
        <v>538</v>
      </c>
      <c r="W34" s="753">
        <v>1000</v>
      </c>
      <c r="X34" s="753">
        <v>1020</v>
      </c>
      <c r="Y34" s="753">
        <v>1060</v>
      </c>
      <c r="Z34" s="753">
        <v>1126</v>
      </c>
      <c r="AA34" s="754">
        <f>Z34</f>
        <v>1126</v>
      </c>
      <c r="AB34" s="753">
        <v>1880</v>
      </c>
      <c r="AC34" s="753">
        <v>1885</v>
      </c>
      <c r="AD34" s="753">
        <v>1905</v>
      </c>
      <c r="AE34" s="753">
        <v>1919</v>
      </c>
      <c r="AF34" s="754">
        <f>AE34</f>
        <v>1919</v>
      </c>
      <c r="AG34" s="753">
        <v>2705</v>
      </c>
      <c r="AH34" s="753">
        <v>2600</v>
      </c>
      <c r="AI34" s="753">
        <v>2600</v>
      </c>
      <c r="AJ34" s="753">
        <v>2650</v>
      </c>
      <c r="AK34" s="754">
        <f>AJ34</f>
        <v>2650</v>
      </c>
      <c r="AL34" s="753">
        <v>3250</v>
      </c>
      <c r="AM34" s="753">
        <v>3300</v>
      </c>
      <c r="AN34" s="753">
        <v>3356</v>
      </c>
      <c r="AO34" s="753">
        <v>3430</v>
      </c>
      <c r="AP34" s="754">
        <f>AO34</f>
        <v>3430</v>
      </c>
      <c r="AQ34" s="753">
        <v>4280</v>
      </c>
      <c r="AR34" s="753">
        <v>4325</v>
      </c>
      <c r="AS34" s="753">
        <v>4395</v>
      </c>
      <c r="AU34" s="776"/>
      <c r="AZ34" s="776"/>
    </row>
    <row r="35" spans="1:52" s="775" customFormat="1" outlineLevel="1">
      <c r="A35" s="773"/>
      <c r="B35" s="774" t="s">
        <v>111</v>
      </c>
      <c r="G35" s="776"/>
      <c r="L35" s="776"/>
      <c r="Q35" s="776"/>
      <c r="R35" s="753"/>
      <c r="S35" s="753"/>
      <c r="T35" s="753"/>
      <c r="U35" s="753">
        <v>543</v>
      </c>
      <c r="V35" s="754">
        <f>U35</f>
        <v>543</v>
      </c>
      <c r="W35" s="753">
        <v>1020</v>
      </c>
      <c r="X35" s="753">
        <v>1035</v>
      </c>
      <c r="Y35" s="753">
        <v>1070</v>
      </c>
      <c r="Z35" s="753">
        <v>1131</v>
      </c>
      <c r="AA35" s="754">
        <f>Z35</f>
        <v>1131</v>
      </c>
      <c r="AB35" s="753">
        <v>1900</v>
      </c>
      <c r="AC35" s="753">
        <v>1900</v>
      </c>
      <c r="AD35" s="753">
        <v>1915</v>
      </c>
      <c r="AE35" s="753">
        <v>1924</v>
      </c>
      <c r="AF35" s="754">
        <f>AE35</f>
        <v>1924</v>
      </c>
      <c r="AG35" s="753">
        <v>2705</v>
      </c>
      <c r="AH35" s="753">
        <v>2600</v>
      </c>
      <c r="AI35" s="753">
        <v>2600</v>
      </c>
      <c r="AJ35" s="753">
        <v>2650</v>
      </c>
      <c r="AK35" s="754">
        <f>AJ35</f>
        <v>2650</v>
      </c>
      <c r="AL35" s="753">
        <v>3250</v>
      </c>
      <c r="AM35" s="753">
        <v>3300</v>
      </c>
      <c r="AN35" s="753">
        <v>3356</v>
      </c>
      <c r="AO35" s="753">
        <v>3430</v>
      </c>
      <c r="AP35" s="754">
        <f>AO35</f>
        <v>3430</v>
      </c>
      <c r="AQ35" s="753">
        <v>4280</v>
      </c>
      <c r="AR35" s="753">
        <v>4325</v>
      </c>
      <c r="AS35" s="753">
        <v>4395</v>
      </c>
      <c r="AU35" s="776"/>
      <c r="AZ35" s="776"/>
    </row>
    <row r="36" spans="1:52" s="368" customFormat="1" outlineLevel="1">
      <c r="A36" s="107"/>
      <c r="B36" s="750" t="s">
        <v>396</v>
      </c>
      <c r="G36" s="369"/>
      <c r="L36" s="369"/>
      <c r="Q36" s="369"/>
      <c r="R36" s="429"/>
      <c r="S36" s="429"/>
      <c r="T36" s="429"/>
      <c r="U36" s="429">
        <f>IFERROR(AVERAGE(U34:U35),"--")</f>
        <v>540.5</v>
      </c>
      <c r="V36" s="754">
        <f>U36</f>
        <v>540.5</v>
      </c>
      <c r="W36" s="429">
        <f>IFERROR(AVERAGE(W34:W35),"--")</f>
        <v>1010</v>
      </c>
      <c r="X36" s="429">
        <f>IFERROR(AVERAGE(X34:X35),"--")</f>
        <v>1027.5</v>
      </c>
      <c r="Y36" s="429">
        <f>IFERROR(AVERAGE(Y34:Y35),"--")</f>
        <v>1065</v>
      </c>
      <c r="Z36" s="429">
        <f>IFERROR(AVERAGE(Z34:Z35),"--")</f>
        <v>1128.5</v>
      </c>
      <c r="AA36" s="754">
        <f>Z36</f>
        <v>1128.5</v>
      </c>
      <c r="AB36" s="429">
        <f>IFERROR(AVERAGE(AB34:AB35),"--")</f>
        <v>1890</v>
      </c>
      <c r="AC36" s="429">
        <f>IFERROR(AVERAGE(AC34:AC35),"--")</f>
        <v>1892.5</v>
      </c>
      <c r="AD36" s="429">
        <f>IFERROR(AVERAGE(AD34:AD35),"--")</f>
        <v>1910</v>
      </c>
      <c r="AE36" s="429">
        <f>IFERROR(AVERAGE(AE34:AE35),"--")</f>
        <v>1921.5</v>
      </c>
      <c r="AF36" s="754">
        <f>AE36</f>
        <v>1921.5</v>
      </c>
      <c r="AG36" s="429">
        <f>IFERROR(AVERAGE(AG34:AG35),"--")</f>
        <v>2705</v>
      </c>
      <c r="AH36" s="429">
        <f>IFERROR(AVERAGE(AH34:AH35),"--")</f>
        <v>2600</v>
      </c>
      <c r="AI36" s="429">
        <f>IFERROR(AVERAGE(AI34:AI35),"--")</f>
        <v>2600</v>
      </c>
      <c r="AJ36" s="429">
        <f>IFERROR(AVERAGE(AJ34:AJ35),"--")</f>
        <v>2650</v>
      </c>
      <c r="AK36" s="754">
        <f>AJ36</f>
        <v>2650</v>
      </c>
      <c r="AL36" s="429">
        <f>IFERROR(AVERAGE(AL34:AL35),"--")</f>
        <v>3250</v>
      </c>
      <c r="AM36" s="429">
        <f>IFERROR(AVERAGE(AM34:AM35),"--")</f>
        <v>3300</v>
      </c>
      <c r="AN36" s="429">
        <f>IFERROR(AVERAGE(AN34:AN35),"--")</f>
        <v>3356</v>
      </c>
      <c r="AO36" s="429">
        <f>IFERROR(AVERAGE(AO34:AO35),"--")</f>
        <v>3430</v>
      </c>
      <c r="AP36" s="754">
        <f>AO36</f>
        <v>3430</v>
      </c>
      <c r="AQ36" s="429">
        <f>IFERROR(AVERAGE(AQ34:AQ35),"--")</f>
        <v>4280</v>
      </c>
      <c r="AR36" s="429">
        <f>IFERROR(AVERAGE(AR34:AR35),"--")</f>
        <v>4325</v>
      </c>
      <c r="AS36" s="429">
        <f>IFERROR(AVERAGE(AS34:AS35),"--")</f>
        <v>4395</v>
      </c>
      <c r="AU36" s="369"/>
      <c r="AZ36" s="369"/>
    </row>
    <row r="37" spans="1:52" s="368" customFormat="1" outlineLevel="1">
      <c r="A37" s="107"/>
      <c r="B37" s="750"/>
      <c r="G37" s="369"/>
      <c r="L37" s="369"/>
      <c r="Q37" s="369"/>
      <c r="R37" s="777"/>
      <c r="S37" s="777"/>
      <c r="T37" s="777"/>
      <c r="U37" s="777"/>
      <c r="V37" s="778"/>
      <c r="W37" s="648"/>
      <c r="X37" s="779"/>
      <c r="Y37" s="648"/>
      <c r="AA37" s="778"/>
      <c r="AB37" s="648"/>
      <c r="AC37" s="648"/>
      <c r="AD37" s="648"/>
      <c r="AE37" s="648"/>
      <c r="AF37" s="778"/>
      <c r="AG37" s="648"/>
      <c r="AH37" s="648"/>
      <c r="AI37" s="648"/>
      <c r="AJ37" s="648"/>
      <c r="AK37" s="778"/>
      <c r="AL37" s="648"/>
      <c r="AM37" s="648"/>
      <c r="AN37" s="648"/>
      <c r="AO37" s="648"/>
      <c r="AP37" s="778"/>
      <c r="AQ37" s="648"/>
      <c r="AR37" s="648"/>
      <c r="AS37" s="648"/>
      <c r="AU37" s="369"/>
      <c r="AZ37" s="369"/>
    </row>
    <row r="38" spans="1:52" s="368" customFormat="1" outlineLevel="1">
      <c r="A38" s="107"/>
      <c r="B38" s="750" t="s">
        <v>401</v>
      </c>
      <c r="G38" s="369"/>
      <c r="L38" s="369"/>
      <c r="Q38" s="369"/>
      <c r="R38" s="468"/>
      <c r="S38" s="468"/>
      <c r="T38" s="468"/>
      <c r="U38" s="468"/>
      <c r="V38" s="778"/>
      <c r="W38" s="468">
        <f>IFERROR(W36/V44-1,"--")</f>
        <v>0.82378285066288193</v>
      </c>
      <c r="X38" s="468">
        <f>IFERROR(X36/V44-1,"--")</f>
        <v>0.85538304857040703</v>
      </c>
      <c r="Y38" s="468">
        <f>IFERROR(Y36/V44-1,"--")</f>
        <v>0.92309775837224683</v>
      </c>
      <c r="Z38" s="468">
        <f>IFERROR(Z36/V44-1,"--")</f>
        <v>1.0377613336366953</v>
      </c>
      <c r="AA38" s="778"/>
      <c r="AB38" s="468">
        <f>IFERROR(AB36/AA44-1,"--")</f>
        <v>0.65721295361820431</v>
      </c>
      <c r="AC38" s="468">
        <f>IFERROR(AC36/AA44-1,"--")</f>
        <v>0.65940503424468355</v>
      </c>
      <c r="AD38" s="468">
        <f>IFERROR(AD36/AA44-1,"--")</f>
        <v>0.67474959863003714</v>
      </c>
      <c r="AE38" s="468">
        <f>IFERROR(AE36/AA44-1,"--")</f>
        <v>0.68483316951184103</v>
      </c>
      <c r="AF38" s="778"/>
      <c r="AG38" s="468">
        <f>IFERROR(AG36/AF44-1,"--")</f>
        <v>0.39520513641805199</v>
      </c>
      <c r="AH38" s="468">
        <f>IFERROR(AH36/AF44-1,"--")</f>
        <v>0.34104745090090027</v>
      </c>
      <c r="AI38" s="468">
        <f>IFERROR(AI36/AF44-1,"--")</f>
        <v>0.34104745090090027</v>
      </c>
      <c r="AJ38" s="468">
        <f>IFERROR(AJ36/AF44-1,"--")</f>
        <v>0.3668368249566869</v>
      </c>
      <c r="AK38" s="778"/>
      <c r="AL38" s="468">
        <f>IFERROR(AL36/AK44-1,"--")</f>
        <v>0.21866667366618797</v>
      </c>
      <c r="AM38" s="468">
        <f>IFERROR(AM36/AK44-1,"--")</f>
        <v>0.23741539172259096</v>
      </c>
      <c r="AN38" s="468">
        <f>IFERROR(AN36/AK44-1,"--")</f>
        <v>0.25841395594576211</v>
      </c>
      <c r="AO38" s="468">
        <f>IFERROR(AO36/AK44-1,"--")</f>
        <v>0.28616205866923838</v>
      </c>
      <c r="AP38" s="778"/>
      <c r="AQ38" s="468">
        <f>IFERROR(AQ36/AP44-1,"--")</f>
        <v>0.23612892940259744</v>
      </c>
      <c r="AR38" s="468">
        <f>IFERROR(AR36/AP44-1,"--")</f>
        <v>0.24912561207154993</v>
      </c>
      <c r="AS38" s="468">
        <f>IFERROR(AS36/AP44-1,"--")</f>
        <v>0.26934267400103162</v>
      </c>
      <c r="AU38" s="369"/>
      <c r="AZ38" s="369"/>
    </row>
    <row r="39" spans="1:52" s="368" customFormat="1" outlineLevel="1">
      <c r="A39" s="107"/>
      <c r="B39" s="750"/>
      <c r="G39" s="369"/>
      <c r="L39" s="369"/>
      <c r="Q39" s="369"/>
      <c r="R39" s="777"/>
      <c r="S39" s="777"/>
      <c r="T39" s="777"/>
      <c r="U39" s="777"/>
      <c r="V39" s="778"/>
      <c r="W39" s="648"/>
      <c r="X39" s="779"/>
      <c r="Y39" s="648"/>
      <c r="AA39" s="778"/>
      <c r="AB39" s="648"/>
      <c r="AF39" s="778"/>
      <c r="AG39" s="648"/>
      <c r="AK39" s="778"/>
      <c r="AL39" s="648"/>
      <c r="AP39" s="778"/>
      <c r="AQ39" s="648"/>
      <c r="AU39" s="369"/>
      <c r="AZ39" s="369"/>
    </row>
    <row r="40" spans="1:52" s="368" customFormat="1" outlineLevel="1">
      <c r="A40" s="107"/>
      <c r="B40" s="750" t="s">
        <v>402</v>
      </c>
      <c r="G40" s="369"/>
      <c r="L40" s="369"/>
      <c r="Q40" s="369"/>
      <c r="R40" s="777"/>
      <c r="S40" s="429"/>
      <c r="T40" s="429"/>
      <c r="U40" s="429"/>
      <c r="V40" s="778"/>
      <c r="X40" s="429">
        <f>W18</f>
        <v>16.330000000000013</v>
      </c>
      <c r="Y40" s="429">
        <f>X18</f>
        <v>17.12299999999999</v>
      </c>
      <c r="Z40" s="429">
        <f>Y18</f>
        <v>29.958000000000027</v>
      </c>
      <c r="AA40" s="778"/>
      <c r="AC40" s="429">
        <f>AB18</f>
        <v>8.9340000000000259</v>
      </c>
      <c r="AD40" s="429">
        <f>AC18</f>
        <v>28.767999999999972</v>
      </c>
      <c r="AE40" s="429">
        <f>AD18</f>
        <v>20.251999999999953</v>
      </c>
      <c r="AF40" s="778"/>
      <c r="AH40" s="429">
        <f>AG18</f>
        <v>19.572000000000003</v>
      </c>
      <c r="AI40" s="429">
        <f>AH18</f>
        <v>17.708999999999946</v>
      </c>
      <c r="AJ40" s="429">
        <f>AI18</f>
        <v>25.977999999999952</v>
      </c>
      <c r="AK40" s="778"/>
      <c r="AM40" s="429">
        <f>AL18</f>
        <v>42.086999999999989</v>
      </c>
      <c r="AN40" s="429">
        <f>AM18</f>
        <v>21.75</v>
      </c>
      <c r="AO40" s="429">
        <f>AN18</f>
        <v>47.782000000000039</v>
      </c>
      <c r="AP40" s="778"/>
      <c r="AR40" s="429">
        <f>AQ18</f>
        <v>39.312999999999988</v>
      </c>
      <c r="AS40" s="429">
        <f>AR18</f>
        <v>52.996000000000095</v>
      </c>
      <c r="AU40" s="369"/>
      <c r="AZ40" s="369"/>
    </row>
    <row r="41" spans="1:52" s="368" customFormat="1" outlineLevel="1">
      <c r="A41" s="107"/>
      <c r="B41" s="750" t="s">
        <v>403</v>
      </c>
      <c r="G41" s="369"/>
      <c r="L41" s="369"/>
      <c r="Q41" s="369"/>
      <c r="R41" s="777"/>
      <c r="S41" s="429"/>
      <c r="T41" s="429"/>
      <c r="U41" s="429"/>
      <c r="V41" s="778"/>
      <c r="X41" s="429">
        <f>IFERROR(X36-W36,"--")</f>
        <v>17.5</v>
      </c>
      <c r="Y41" s="429">
        <f>IFERROR(Y36-X36,"--")</f>
        <v>37.5</v>
      </c>
      <c r="Z41" s="429">
        <f>IFERROR(Z36-Y36,"--")</f>
        <v>63.5</v>
      </c>
      <c r="AA41" s="778"/>
      <c r="AC41" s="429">
        <f>IFERROR(AC36-AB36,"--")</f>
        <v>2.5</v>
      </c>
      <c r="AD41" s="429">
        <f>IFERROR(AD36-AC36,"--")</f>
        <v>17.5</v>
      </c>
      <c r="AE41" s="429">
        <f>IFERROR(AE36-AD36,"--")</f>
        <v>11.5</v>
      </c>
      <c r="AF41" s="778"/>
      <c r="AH41" s="429">
        <f>IFERROR(AH36-AG36,"--")</f>
        <v>-105</v>
      </c>
      <c r="AI41" s="429">
        <f>IFERROR(AI36-AH36,"--")</f>
        <v>0</v>
      </c>
      <c r="AJ41" s="429">
        <f>IFERROR(AJ36-AI36,"--")</f>
        <v>50</v>
      </c>
      <c r="AK41" s="778"/>
      <c r="AM41" s="429">
        <f>IFERROR(AM36-AL36,"--")</f>
        <v>50</v>
      </c>
      <c r="AN41" s="429">
        <f>IFERROR(AN36-AM36,"--")</f>
        <v>56</v>
      </c>
      <c r="AO41" s="429">
        <f>IFERROR(AO36-AN36,"--")</f>
        <v>74</v>
      </c>
      <c r="AP41" s="778"/>
      <c r="AR41" s="429">
        <f>IFERROR(AR36-AQ36,"--")</f>
        <v>45</v>
      </c>
      <c r="AS41" s="429">
        <f>IFERROR(AS36-AR36,"--")</f>
        <v>70</v>
      </c>
      <c r="AU41" s="369"/>
      <c r="AZ41" s="369"/>
    </row>
    <row r="42" spans="1:52" s="368" customFormat="1" outlineLevel="1">
      <c r="A42" s="107"/>
      <c r="B42" s="750" t="s">
        <v>404</v>
      </c>
      <c r="G42" s="369"/>
      <c r="L42" s="369"/>
      <c r="Q42" s="369"/>
      <c r="R42" s="777"/>
      <c r="S42" s="429"/>
      <c r="T42" s="429"/>
      <c r="U42" s="429"/>
      <c r="V42" s="754"/>
      <c r="X42" s="429">
        <f>IFERROR(X41-X40,"--")</f>
        <v>1.1699999999999875</v>
      </c>
      <c r="Y42" s="429">
        <f>IFERROR(Y41-Y40,"--")</f>
        <v>20.37700000000001</v>
      </c>
      <c r="Z42" s="429">
        <f>IFERROR(Z41-Z40,"--")</f>
        <v>33.541999999999973</v>
      </c>
      <c r="AA42" s="754">
        <f>SUM(X42:Z42)</f>
        <v>55.08899999999997</v>
      </c>
      <c r="AC42" s="429">
        <f>IFERROR(AC41-AC40,"--")</f>
        <v>-6.4340000000000259</v>
      </c>
      <c r="AD42" s="429">
        <f>IFERROR(AD41-AD40,"--")</f>
        <v>-11.267999999999972</v>
      </c>
      <c r="AE42" s="429">
        <f>IFERROR(AE41-AE40,"--")</f>
        <v>-8.7519999999999527</v>
      </c>
      <c r="AF42" s="754">
        <f>SUM(AC42:AE42)</f>
        <v>-26.453999999999951</v>
      </c>
      <c r="AH42" s="429">
        <f>IFERROR(AH41-AH40,"--")</f>
        <v>-124.572</v>
      </c>
      <c r="AI42" s="429">
        <f>IFERROR(AI41-AI40,"--")</f>
        <v>-17.708999999999946</v>
      </c>
      <c r="AJ42" s="429">
        <f>IFERROR(AJ41-AJ40,"--")</f>
        <v>24.022000000000048</v>
      </c>
      <c r="AK42" s="754">
        <f>SUM(AH42:AJ42)</f>
        <v>-118.2589999999999</v>
      </c>
      <c r="AM42" s="429">
        <f>IFERROR(AM41-AM40,"--")</f>
        <v>7.9130000000000109</v>
      </c>
      <c r="AN42" s="429">
        <f>IFERROR(AN41-AN40,"--")</f>
        <v>34.25</v>
      </c>
      <c r="AO42" s="429">
        <f>IFERROR(AO41-AO40,"--")</f>
        <v>26.217999999999961</v>
      </c>
      <c r="AP42" s="754">
        <f>SUM(AM42:AO42)</f>
        <v>68.380999999999972</v>
      </c>
      <c r="AR42" s="429">
        <f>IFERROR(AR41-AR40,"--")</f>
        <v>5.6870000000000118</v>
      </c>
      <c r="AS42" s="429">
        <f>IFERROR(AS41-AS40,"--")</f>
        <v>17.003999999999905</v>
      </c>
      <c r="AU42" s="369"/>
      <c r="AZ42" s="369"/>
    </row>
    <row r="43" spans="1:52" s="368" customFormat="1" outlineLevel="1">
      <c r="A43" s="107"/>
      <c r="B43" s="750"/>
      <c r="G43" s="369"/>
      <c r="L43" s="369"/>
      <c r="Q43" s="369"/>
      <c r="R43" s="777"/>
      <c r="S43" s="777"/>
      <c r="T43" s="777"/>
      <c r="U43" s="777"/>
      <c r="V43" s="778"/>
      <c r="AA43" s="778"/>
      <c r="AF43" s="778"/>
      <c r="AK43" s="778"/>
      <c r="AP43" s="778"/>
      <c r="AU43" s="369"/>
      <c r="AZ43" s="369"/>
    </row>
    <row r="44" spans="1:52" s="368" customFormat="1" outlineLevel="1">
      <c r="A44" s="107"/>
      <c r="B44" s="750" t="s">
        <v>129</v>
      </c>
      <c r="G44" s="369"/>
      <c r="L44" s="369"/>
      <c r="Q44" s="780"/>
      <c r="R44" s="777"/>
      <c r="S44" s="777"/>
      <c r="T44" s="777"/>
      <c r="U44" s="777"/>
      <c r="V44" s="780">
        <f>'IS (Non-GAAP)'!V14</f>
        <v>553.79399999999998</v>
      </c>
      <c r="AA44" s="780">
        <f>'IS (Non-GAAP)'!AA14</f>
        <v>1140.4690000000001</v>
      </c>
      <c r="AF44" s="780">
        <f>'IS (Non-GAAP)'!AF14</f>
        <v>1938.7829999999999</v>
      </c>
      <c r="AK44" s="780">
        <f>'IS (Non-GAAP)'!AK14</f>
        <v>2666.8490000000002</v>
      </c>
      <c r="AP44" s="780">
        <f>'IS (Non-GAAP)'!AP14</f>
        <v>3462.422</v>
      </c>
      <c r="AU44" s="369"/>
      <c r="AZ44" s="369"/>
    </row>
    <row r="45" spans="1:52" s="783" customFormat="1" outlineLevel="1">
      <c r="A45" s="781"/>
      <c r="B45" s="782" t="s">
        <v>32</v>
      </c>
      <c r="G45" s="784"/>
      <c r="L45" s="784"/>
      <c r="Q45" s="785"/>
      <c r="R45" s="786"/>
      <c r="S45" s="786"/>
      <c r="T45" s="786"/>
      <c r="U45" s="786"/>
      <c r="V45" s="795" t="str">
        <f>IFERROR(V44/Q44-1,"--")</f>
        <v>--</v>
      </c>
      <c r="AA45" s="795">
        <f>IFERROR(AA44/V44-1,"--")</f>
        <v>1.0593740632798481</v>
      </c>
      <c r="AF45" s="795">
        <f>IFERROR(AF44/AA44-1,"--")</f>
        <v>0.69998746129881639</v>
      </c>
      <c r="AK45" s="795">
        <f>IFERROR(AK44/AF44-1,"--")</f>
        <v>0.37552732822600587</v>
      </c>
      <c r="AP45" s="795">
        <f>IFERROR(AP44/AK44-1,"--")</f>
        <v>0.29831947740573228</v>
      </c>
      <c r="AU45" s="784"/>
      <c r="AZ45" s="784"/>
    </row>
    <row r="46" spans="1:52" s="368" customFormat="1" ht="12.75" customHeight="1" outlineLevel="1">
      <c r="A46" s="107"/>
      <c r="B46" s="77"/>
      <c r="G46" s="369"/>
      <c r="L46" s="369"/>
      <c r="Q46" s="369"/>
      <c r="V46" s="369"/>
      <c r="AA46" s="369"/>
      <c r="AF46" s="369"/>
      <c r="AK46" s="369"/>
      <c r="AP46" s="369"/>
      <c r="AU46" s="369"/>
      <c r="AZ46" s="369"/>
    </row>
    <row r="47" spans="1:52" s="368" customFormat="1" outlineLevel="1">
      <c r="A47" s="107"/>
      <c r="B47" s="758" t="s">
        <v>397</v>
      </c>
      <c r="G47" s="369"/>
      <c r="L47" s="369"/>
      <c r="Q47" s="369"/>
      <c r="V47" s="763">
        <f>IFERROR(V44/V36-1,"--")</f>
        <v>2.4595744680851128E-2</v>
      </c>
      <c r="AA47" s="763">
        <f>IFERROR(AA44/AA36-1,"--")</f>
        <v>1.0606114311032311E-2</v>
      </c>
      <c r="AF47" s="763">
        <f>IFERROR(AF44/AF36-1,"--")</f>
        <v>8.9945355191256571E-3</v>
      </c>
      <c r="AK47" s="763">
        <f>IFERROR(AK44/AK36-1,"--")</f>
        <v>6.3581132075472002E-3</v>
      </c>
      <c r="AP47" s="763">
        <f>IFERROR(AP44/AP36-1,"--")</f>
        <v>9.4524781341107644E-3</v>
      </c>
      <c r="AU47" s="369"/>
      <c r="AZ47" s="369"/>
    </row>
    <row r="48" spans="1:52" s="368" customFormat="1" outlineLevel="1">
      <c r="A48" s="107"/>
      <c r="B48" s="77" t="s">
        <v>398</v>
      </c>
      <c r="G48" s="369"/>
      <c r="L48" s="369"/>
      <c r="Q48" s="369"/>
      <c r="V48" s="754">
        <f>IFERROR(V44-V36,"--")</f>
        <v>13.293999999999983</v>
      </c>
      <c r="AA48" s="754">
        <f>IFERROR(AA44-AA36,"--")</f>
        <v>11.969000000000051</v>
      </c>
      <c r="AF48" s="754">
        <f>IFERROR(AF44-AF36,"--")</f>
        <v>17.282999999999902</v>
      </c>
      <c r="AK48" s="754">
        <f>IFERROR(AK44-AK36,"--")</f>
        <v>16.84900000000016</v>
      </c>
      <c r="AP48" s="754">
        <f>IFERROR(AP44-AP36,"--")</f>
        <v>32.422000000000025</v>
      </c>
      <c r="AU48" s="369"/>
      <c r="AZ48" s="369"/>
    </row>
    <row r="49" spans="1:52" s="368" customFormat="1">
      <c r="A49" s="107"/>
      <c r="B49" s="77"/>
      <c r="G49" s="369"/>
      <c r="L49" s="369"/>
      <c r="Q49" s="369"/>
      <c r="V49" s="369"/>
      <c r="AA49" s="369"/>
      <c r="AF49" s="369"/>
      <c r="AK49" s="369"/>
      <c r="AP49" s="369"/>
      <c r="AU49" s="369"/>
      <c r="AZ49" s="369"/>
    </row>
    <row r="50" spans="1:52" s="368" customFormat="1">
      <c r="A50" s="107"/>
      <c r="B50" s="78" t="s">
        <v>445</v>
      </c>
      <c r="G50" s="369"/>
      <c r="L50" s="369"/>
      <c r="Q50" s="369"/>
      <c r="V50" s="369"/>
      <c r="AA50" s="369"/>
      <c r="AF50" s="369"/>
      <c r="AK50" s="369"/>
      <c r="AP50" s="369"/>
      <c r="AU50" s="369"/>
      <c r="AZ50" s="369"/>
    </row>
    <row r="51" spans="1:52" s="368" customFormat="1" outlineLevel="1">
      <c r="A51" s="107"/>
      <c r="B51" s="774" t="s">
        <v>110</v>
      </c>
      <c r="G51" s="369"/>
      <c r="L51" s="369"/>
      <c r="Q51" s="369"/>
      <c r="V51" s="369"/>
      <c r="W51" s="429">
        <f>W34-V44</f>
        <v>446.20600000000002</v>
      </c>
      <c r="X51" s="429">
        <f>X34-V44</f>
        <v>466.20600000000002</v>
      </c>
      <c r="Y51" s="429">
        <f>Y34-V44</f>
        <v>506.20600000000002</v>
      </c>
      <c r="Z51" s="429">
        <f>Z34-V44</f>
        <v>572.20600000000002</v>
      </c>
      <c r="AA51" s="754">
        <f>Z51</f>
        <v>572.20600000000002</v>
      </c>
      <c r="AB51" s="429">
        <f>AB34-AA44</f>
        <v>739.53099999999995</v>
      </c>
      <c r="AC51" s="429">
        <f>AC34-AA44</f>
        <v>744.53099999999995</v>
      </c>
      <c r="AD51" s="429">
        <f>AD34-AA44</f>
        <v>764.53099999999995</v>
      </c>
      <c r="AE51" s="429">
        <f>AE34-AA44</f>
        <v>778.53099999999995</v>
      </c>
      <c r="AF51" s="754">
        <f>AE51</f>
        <v>778.53099999999995</v>
      </c>
      <c r="AG51" s="429">
        <f>AG34-AF44</f>
        <v>766.2170000000001</v>
      </c>
      <c r="AH51" s="429">
        <f>AH34-AF44</f>
        <v>661.2170000000001</v>
      </c>
      <c r="AI51" s="429">
        <f>AI34-AF44</f>
        <v>661.2170000000001</v>
      </c>
      <c r="AJ51" s="429">
        <f>AJ34-AF44</f>
        <v>711.2170000000001</v>
      </c>
      <c r="AK51" s="754">
        <f>AJ51</f>
        <v>711.2170000000001</v>
      </c>
      <c r="AL51" s="429">
        <f>AL34-AK44</f>
        <v>583.15099999999984</v>
      </c>
      <c r="AM51" s="429">
        <f>AM34-AK44</f>
        <v>633.15099999999984</v>
      </c>
      <c r="AN51" s="429">
        <f>AN34-AK44</f>
        <v>689.15099999999984</v>
      </c>
      <c r="AO51" s="429">
        <f>AO34-AK44</f>
        <v>763.15099999999984</v>
      </c>
      <c r="AP51" s="754">
        <f>AO51</f>
        <v>763.15099999999984</v>
      </c>
      <c r="AQ51" s="429">
        <f>AQ34-AP44</f>
        <v>817.57799999999997</v>
      </c>
      <c r="AR51" s="429">
        <f>AR34-AP44</f>
        <v>862.57799999999997</v>
      </c>
      <c r="AS51" s="429">
        <f>AS34-AP44</f>
        <v>932.57799999999997</v>
      </c>
      <c r="AU51" s="369"/>
      <c r="AZ51" s="369"/>
    </row>
    <row r="52" spans="1:52" s="368" customFormat="1" outlineLevel="1">
      <c r="A52" s="107"/>
      <c r="B52" s="774" t="s">
        <v>111</v>
      </c>
      <c r="G52" s="369"/>
      <c r="L52" s="369"/>
      <c r="Q52" s="369"/>
      <c r="V52" s="369"/>
      <c r="W52" s="429">
        <f>W35-V44</f>
        <v>466.20600000000002</v>
      </c>
      <c r="X52" s="429">
        <f>X35-V44</f>
        <v>481.20600000000002</v>
      </c>
      <c r="Y52" s="429">
        <f>Y35-V44</f>
        <v>516.20600000000002</v>
      </c>
      <c r="Z52" s="429">
        <f>Z35-V44</f>
        <v>577.20600000000002</v>
      </c>
      <c r="AA52" s="754">
        <f>Z52</f>
        <v>577.20600000000002</v>
      </c>
      <c r="AB52" s="429">
        <f>AB35-AA44</f>
        <v>759.53099999999995</v>
      </c>
      <c r="AC52" s="429">
        <f>AC35-AA44</f>
        <v>759.53099999999995</v>
      </c>
      <c r="AD52" s="429">
        <f>AD35-AA44</f>
        <v>774.53099999999995</v>
      </c>
      <c r="AE52" s="429">
        <f>AE35-AA44</f>
        <v>783.53099999999995</v>
      </c>
      <c r="AF52" s="754">
        <f>AE52</f>
        <v>783.53099999999995</v>
      </c>
      <c r="AG52" s="429">
        <f>AG35-AF44</f>
        <v>766.2170000000001</v>
      </c>
      <c r="AH52" s="429">
        <f>AH35-AF44</f>
        <v>661.2170000000001</v>
      </c>
      <c r="AI52" s="429">
        <f>AI35-AF44</f>
        <v>661.2170000000001</v>
      </c>
      <c r="AJ52" s="429">
        <f>AJ35-AF44</f>
        <v>711.2170000000001</v>
      </c>
      <c r="AK52" s="754">
        <f>AJ52</f>
        <v>711.2170000000001</v>
      </c>
      <c r="AL52" s="429">
        <f>AL35-AK44</f>
        <v>583.15099999999984</v>
      </c>
      <c r="AM52" s="429">
        <f>AM35-AK44</f>
        <v>633.15099999999984</v>
      </c>
      <c r="AN52" s="429">
        <f>AN35-AK44</f>
        <v>689.15099999999984</v>
      </c>
      <c r="AO52" s="429">
        <f>AO35-AK44</f>
        <v>763.15099999999984</v>
      </c>
      <c r="AP52" s="754">
        <f>AO52</f>
        <v>763.15099999999984</v>
      </c>
      <c r="AQ52" s="429">
        <f>AQ35-AP44</f>
        <v>817.57799999999997</v>
      </c>
      <c r="AR52" s="429">
        <f>AR35-AP44</f>
        <v>862.57799999999997</v>
      </c>
      <c r="AS52" s="429">
        <f>AS35-AP44</f>
        <v>932.57799999999997</v>
      </c>
      <c r="AU52" s="369"/>
      <c r="AZ52" s="369"/>
    </row>
    <row r="53" spans="1:52" s="368" customFormat="1" outlineLevel="1">
      <c r="A53" s="107"/>
      <c r="B53" s="750" t="s">
        <v>396</v>
      </c>
      <c r="G53" s="369"/>
      <c r="L53" s="369"/>
      <c r="Q53" s="369"/>
      <c r="V53" s="369"/>
      <c r="W53" s="429">
        <f>W36-V44</f>
        <v>456.20600000000002</v>
      </c>
      <c r="X53" s="429">
        <f>X36-V44</f>
        <v>473.70600000000002</v>
      </c>
      <c r="Y53" s="429">
        <f>Y36-V44</f>
        <v>511.20600000000002</v>
      </c>
      <c r="Z53" s="429">
        <f>Z36-V44</f>
        <v>574.70600000000002</v>
      </c>
      <c r="AA53" s="754">
        <f>Z53</f>
        <v>574.70600000000002</v>
      </c>
      <c r="AB53" s="429">
        <f>AB36-AA44</f>
        <v>749.53099999999995</v>
      </c>
      <c r="AC53" s="429">
        <f>AC36-AA44</f>
        <v>752.03099999999995</v>
      </c>
      <c r="AD53" s="429">
        <f>AD36-AA44</f>
        <v>769.53099999999995</v>
      </c>
      <c r="AE53" s="429">
        <f>AE36-AA44</f>
        <v>781.03099999999995</v>
      </c>
      <c r="AF53" s="754">
        <f>AE53</f>
        <v>781.03099999999995</v>
      </c>
      <c r="AG53" s="429">
        <f>AG36-AF44</f>
        <v>766.2170000000001</v>
      </c>
      <c r="AH53" s="429">
        <f>AH36-AF44</f>
        <v>661.2170000000001</v>
      </c>
      <c r="AI53" s="429">
        <f>AI36-AF44</f>
        <v>661.2170000000001</v>
      </c>
      <c r="AJ53" s="429">
        <f>AJ36-AF44</f>
        <v>711.2170000000001</v>
      </c>
      <c r="AK53" s="754">
        <f>AJ53</f>
        <v>711.2170000000001</v>
      </c>
      <c r="AL53" s="429">
        <f>AL36-AK44</f>
        <v>583.15099999999984</v>
      </c>
      <c r="AM53" s="429">
        <f>AM36-AK44</f>
        <v>633.15099999999984</v>
      </c>
      <c r="AN53" s="429">
        <f>AN36-AK44</f>
        <v>689.15099999999984</v>
      </c>
      <c r="AO53" s="429">
        <f>AO36-AK44</f>
        <v>763.15099999999984</v>
      </c>
      <c r="AP53" s="754">
        <f>AO53</f>
        <v>763.15099999999984</v>
      </c>
      <c r="AQ53" s="429">
        <f>AQ36-AP44</f>
        <v>817.57799999999997</v>
      </c>
      <c r="AR53" s="429">
        <f>AR36-AP44</f>
        <v>862.57799999999997</v>
      </c>
      <c r="AS53" s="429">
        <f>AS36-AP44</f>
        <v>932.57799999999997</v>
      </c>
      <c r="AU53" s="369"/>
      <c r="AZ53" s="369"/>
    </row>
    <row r="54" spans="1:52" s="368" customFormat="1" outlineLevel="1">
      <c r="A54" s="107"/>
      <c r="B54" s="750"/>
      <c r="G54" s="369"/>
      <c r="L54" s="369"/>
      <c r="Q54" s="369"/>
      <c r="V54" s="369"/>
      <c r="AA54" s="369"/>
      <c r="AF54" s="369"/>
      <c r="AK54" s="369"/>
      <c r="AP54" s="369"/>
      <c r="AU54" s="369"/>
      <c r="AZ54" s="369"/>
    </row>
    <row r="55" spans="1:52" s="368" customFormat="1" outlineLevel="1">
      <c r="A55" s="107"/>
      <c r="B55" s="750" t="s">
        <v>401</v>
      </c>
      <c r="G55" s="369"/>
      <c r="L55" s="369"/>
      <c r="Q55" s="369"/>
      <c r="V55" s="369"/>
      <c r="AA55" s="369"/>
      <c r="AB55" s="918">
        <f>IFERROR(AB53/AA57-1,"--")</f>
        <v>0.27759151148421157</v>
      </c>
      <c r="AC55" s="918">
        <f>IFERROR(AC53/AA57-1,"--")</f>
        <v>0.28185281459070155</v>
      </c>
      <c r="AD55" s="918">
        <f>IFERROR(AD53/AA57-1,"--")</f>
        <v>0.31168193633613139</v>
      </c>
      <c r="AE55" s="918">
        <f>IFERROR(AE53/AA57-1,"--")</f>
        <v>0.33128393062598516</v>
      </c>
      <c r="AF55" s="369"/>
      <c r="AG55" s="918">
        <f>IFERROR(AG53/AF57-1,"--")</f>
        <v>-4.020598411151477E-2</v>
      </c>
      <c r="AH55" s="918">
        <f>IFERROR(AH53/AF57-1,"--")</f>
        <v>-0.17173317767194329</v>
      </c>
      <c r="AI55" s="918">
        <f>IFERROR(AI53/AF57-1,"--")</f>
        <v>-0.17173317767194329</v>
      </c>
      <c r="AJ55" s="918">
        <f>IFERROR(AJ53/AF57-1,"--")</f>
        <v>-0.10910118073840591</v>
      </c>
      <c r="AK55" s="369"/>
      <c r="AL55" s="918">
        <f>IFERROR(AL53/AK57-1,"--")</f>
        <v>-0.1990410210063378</v>
      </c>
      <c r="AM55" s="918">
        <f>IFERROR(AM53/AK57-1,"--")</f>
        <v>-0.13036592836363792</v>
      </c>
      <c r="AN55" s="918">
        <f>IFERROR(AN53/AK57-1,"--")</f>
        <v>-5.3449824603813978E-2</v>
      </c>
      <c r="AO55" s="918">
        <f>IFERROR(AO53/AK57-1,"--")</f>
        <v>4.8189312507382009E-2</v>
      </c>
      <c r="AP55" s="369"/>
      <c r="AQ55" s="918">
        <f>IFERROR(AQ53/AP57-1,"--")</f>
        <v>2.765930970508057E-2</v>
      </c>
      <c r="AR55" s="918">
        <f>IFERROR(AR53/AP57-1,"--")</f>
        <v>8.4222315236942569E-2</v>
      </c>
      <c r="AS55" s="918">
        <f>IFERROR(AS53/AP57-1,"--")</f>
        <v>0.17220921273095002</v>
      </c>
      <c r="AU55" s="369"/>
      <c r="AZ55" s="369"/>
    </row>
    <row r="56" spans="1:52" s="368" customFormat="1" outlineLevel="1">
      <c r="A56" s="107"/>
      <c r="B56" s="750"/>
      <c r="G56" s="369"/>
      <c r="L56" s="369"/>
      <c r="Q56" s="369"/>
      <c r="V56" s="369"/>
      <c r="AA56" s="369"/>
      <c r="AF56" s="369"/>
      <c r="AK56" s="369"/>
      <c r="AP56" s="369"/>
      <c r="AU56" s="369"/>
      <c r="AZ56" s="369"/>
    </row>
    <row r="57" spans="1:52" s="368" customFormat="1" outlineLevel="1">
      <c r="A57" s="107"/>
      <c r="B57" s="750" t="s">
        <v>129</v>
      </c>
      <c r="G57" s="369"/>
      <c r="L57" s="369"/>
      <c r="Q57" s="369"/>
      <c r="V57" s="369"/>
      <c r="AA57" s="754">
        <f>AA44-V44</f>
        <v>586.67500000000007</v>
      </c>
      <c r="AF57" s="754">
        <f>AF44-AA44</f>
        <v>798.31399999999985</v>
      </c>
      <c r="AK57" s="754">
        <f>AK44-AF44</f>
        <v>728.06600000000026</v>
      </c>
      <c r="AP57" s="754">
        <f>AP44-AK44</f>
        <v>795.57299999999987</v>
      </c>
      <c r="AU57" s="369"/>
      <c r="AZ57" s="369"/>
    </row>
    <row r="58" spans="1:52" s="368" customFormat="1" outlineLevel="1">
      <c r="A58" s="107"/>
      <c r="B58" s="782" t="s">
        <v>32</v>
      </c>
      <c r="G58" s="369"/>
      <c r="L58" s="369"/>
      <c r="Q58" s="369"/>
      <c r="V58" s="369"/>
      <c r="AA58" s="369"/>
      <c r="AF58" s="369"/>
      <c r="AK58" s="369"/>
      <c r="AP58" s="369"/>
      <c r="AU58" s="369"/>
      <c r="AZ58" s="369"/>
    </row>
    <row r="59" spans="1:52" s="368" customFormat="1" outlineLevel="1">
      <c r="A59" s="107"/>
      <c r="B59" s="78"/>
      <c r="G59" s="369"/>
      <c r="L59" s="369"/>
      <c r="Q59" s="369"/>
      <c r="V59" s="369"/>
      <c r="AA59" s="369"/>
      <c r="AF59" s="369"/>
      <c r="AK59" s="369"/>
      <c r="AP59" s="369"/>
      <c r="AU59" s="369"/>
      <c r="AZ59" s="369"/>
    </row>
    <row r="60" spans="1:52" s="954" customFormat="1" outlineLevel="1">
      <c r="A60" s="598"/>
      <c r="B60" s="953" t="s">
        <v>397</v>
      </c>
      <c r="G60" s="955"/>
      <c r="L60" s="955"/>
      <c r="Q60" s="955"/>
      <c r="V60" s="955"/>
      <c r="AA60" s="796">
        <f>IFERROR(AA57/AA53-1,"--")</f>
        <v>2.0826300752036842E-2</v>
      </c>
      <c r="AF60" s="796">
        <f>IFERROR(AF57/AF53-1,"--")</f>
        <v>2.2128443045154267E-2</v>
      </c>
      <c r="AK60" s="796">
        <f>IFERROR(AK57/AK53-1,"--")</f>
        <v>2.3690378604561246E-2</v>
      </c>
      <c r="AP60" s="796">
        <f>IFERROR(AP57/AP53-1,"--")</f>
        <v>4.2484383824433314E-2</v>
      </c>
      <c r="AU60" s="955"/>
      <c r="AZ60" s="955"/>
    </row>
    <row r="61" spans="1:52" s="368" customFormat="1" outlineLevel="1">
      <c r="A61" s="107"/>
      <c r="B61" s="77" t="s">
        <v>398</v>
      </c>
      <c r="G61" s="369"/>
      <c r="L61" s="369"/>
      <c r="Q61" s="369"/>
      <c r="V61" s="369"/>
      <c r="AA61" s="754">
        <f>IFERROR(AA57-AA53,"--")</f>
        <v>11.969000000000051</v>
      </c>
      <c r="AF61" s="754">
        <f>IFERROR(AF57-AF53,"--")</f>
        <v>17.282999999999902</v>
      </c>
      <c r="AK61" s="754">
        <f>IFERROR(AK57-AK53,"--")</f>
        <v>16.84900000000016</v>
      </c>
      <c r="AP61" s="754">
        <f>IFERROR(AP57-AP53,"--")</f>
        <v>32.422000000000025</v>
      </c>
      <c r="AU61" s="369"/>
      <c r="AZ61" s="369"/>
    </row>
    <row r="62" spans="1:52" s="368" customFormat="1">
      <c r="A62" s="107"/>
      <c r="B62" s="77"/>
      <c r="G62" s="369"/>
      <c r="L62" s="369"/>
      <c r="Q62" s="369"/>
      <c r="V62" s="369"/>
      <c r="AA62" s="369"/>
      <c r="AF62" s="369"/>
      <c r="AK62" s="369"/>
      <c r="AP62" s="369"/>
      <c r="AU62" s="369"/>
      <c r="AZ62" s="369"/>
    </row>
    <row r="63" spans="1:52" s="368" customFormat="1">
      <c r="A63" s="107"/>
      <c r="B63" s="78" t="s">
        <v>415</v>
      </c>
      <c r="G63" s="369"/>
      <c r="L63" s="369"/>
      <c r="Q63" s="369"/>
      <c r="V63" s="369"/>
      <c r="AA63" s="369"/>
      <c r="AF63" s="369"/>
      <c r="AK63" s="369"/>
      <c r="AP63" s="369"/>
      <c r="AU63" s="369"/>
      <c r="AZ63" s="369"/>
    </row>
    <row r="64" spans="1:52" s="368" customFormat="1" outlineLevel="1">
      <c r="A64" s="107"/>
      <c r="B64" s="758" t="s">
        <v>110</v>
      </c>
      <c r="G64" s="369"/>
      <c r="L64" s="369"/>
      <c r="Q64" s="369"/>
      <c r="U64" s="577">
        <v>0.68</v>
      </c>
      <c r="V64" s="796">
        <f>U64</f>
        <v>0.68</v>
      </c>
      <c r="W64" s="577">
        <v>0.71</v>
      </c>
      <c r="X64" s="577">
        <v>0.72</v>
      </c>
      <c r="Y64" s="577">
        <v>0.73</v>
      </c>
      <c r="Z64" s="577">
        <v>0.74</v>
      </c>
      <c r="AA64" s="796">
        <f>Z64</f>
        <v>0.74</v>
      </c>
      <c r="AB64" s="577">
        <v>0.745</v>
      </c>
      <c r="AC64" s="577">
        <v>0.745</v>
      </c>
      <c r="AD64" s="577">
        <v>0.75</v>
      </c>
      <c r="AE64" s="577">
        <v>0.75</v>
      </c>
      <c r="AF64" s="796">
        <f>AE64</f>
        <v>0.75</v>
      </c>
      <c r="AG64" s="577">
        <v>0.76</v>
      </c>
      <c r="AH64" s="577">
        <v>0.76</v>
      </c>
      <c r="AI64" s="577">
        <v>0.76</v>
      </c>
      <c r="AJ64" s="577">
        <v>0.77</v>
      </c>
      <c r="AK64" s="796">
        <f>AJ64</f>
        <v>0.77</v>
      </c>
      <c r="AL64" s="577">
        <v>0.76</v>
      </c>
      <c r="AM64" s="787">
        <v>0.75</v>
      </c>
      <c r="AN64" s="787">
        <v>0.75</v>
      </c>
      <c r="AO64" s="787">
        <v>0.76</v>
      </c>
      <c r="AP64" s="796">
        <f>AO64</f>
        <v>0.76</v>
      </c>
      <c r="AQ64" s="577">
        <v>0.75</v>
      </c>
      <c r="AR64" s="787">
        <v>0.75</v>
      </c>
      <c r="AS64" s="787">
        <v>0.75</v>
      </c>
      <c r="AU64" s="369"/>
      <c r="AZ64" s="369"/>
    </row>
    <row r="65" spans="1:52" s="368" customFormat="1" outlineLevel="1">
      <c r="A65" s="107"/>
      <c r="B65" s="758" t="s">
        <v>111</v>
      </c>
      <c r="G65" s="369"/>
      <c r="L65" s="369"/>
      <c r="Q65" s="369"/>
      <c r="U65" s="577">
        <v>0.68</v>
      </c>
      <c r="V65" s="796">
        <f>U65</f>
        <v>0.68</v>
      </c>
      <c r="W65" s="577">
        <v>0.71</v>
      </c>
      <c r="X65" s="577">
        <v>0.72</v>
      </c>
      <c r="Y65" s="577">
        <v>0.73</v>
      </c>
      <c r="Z65" s="577">
        <v>0.74</v>
      </c>
      <c r="AA65" s="796">
        <f>Z65</f>
        <v>0.74</v>
      </c>
      <c r="AB65" s="577">
        <v>0.745</v>
      </c>
      <c r="AC65" s="577">
        <v>0.745</v>
      </c>
      <c r="AD65" s="577">
        <v>0.75</v>
      </c>
      <c r="AE65" s="577">
        <v>0.75</v>
      </c>
      <c r="AF65" s="796">
        <f>AE65</f>
        <v>0.75</v>
      </c>
      <c r="AG65" s="577">
        <v>0.76</v>
      </c>
      <c r="AH65" s="577">
        <v>0.76</v>
      </c>
      <c r="AI65" s="577">
        <v>0.76</v>
      </c>
      <c r="AJ65" s="577">
        <v>0.77</v>
      </c>
      <c r="AK65" s="796">
        <f>AJ65</f>
        <v>0.77</v>
      </c>
      <c r="AL65" s="577">
        <v>0.76</v>
      </c>
      <c r="AM65" s="787">
        <v>0.75</v>
      </c>
      <c r="AN65" s="787">
        <v>0.75</v>
      </c>
      <c r="AO65" s="787">
        <v>0.76</v>
      </c>
      <c r="AP65" s="796">
        <f>AO65</f>
        <v>0.76</v>
      </c>
      <c r="AQ65" s="577">
        <v>0.75</v>
      </c>
      <c r="AR65" s="787">
        <v>0.75</v>
      </c>
      <c r="AS65" s="787">
        <v>0.75</v>
      </c>
      <c r="AU65" s="369"/>
      <c r="AZ65" s="369"/>
    </row>
    <row r="66" spans="1:52" s="368" customFormat="1" outlineLevel="1">
      <c r="A66" s="107"/>
      <c r="B66" s="758" t="s">
        <v>396</v>
      </c>
      <c r="G66" s="369"/>
      <c r="L66" s="369"/>
      <c r="Q66" s="369"/>
      <c r="U66" s="581">
        <f t="shared" ref="U66:AJ66" si="10">IFERROR(AVERAGE(U64,U65),"--")</f>
        <v>0.68</v>
      </c>
      <c r="V66" s="796">
        <f>U66</f>
        <v>0.68</v>
      </c>
      <c r="W66" s="581">
        <f t="shared" si="10"/>
        <v>0.71</v>
      </c>
      <c r="X66" s="581">
        <f t="shared" si="10"/>
        <v>0.72</v>
      </c>
      <c r="Y66" s="581">
        <f t="shared" si="10"/>
        <v>0.73</v>
      </c>
      <c r="Z66" s="581">
        <f t="shared" si="10"/>
        <v>0.74</v>
      </c>
      <c r="AA66" s="796">
        <f>Z66</f>
        <v>0.74</v>
      </c>
      <c r="AB66" s="581">
        <f t="shared" si="10"/>
        <v>0.745</v>
      </c>
      <c r="AC66" s="581">
        <f t="shared" si="10"/>
        <v>0.745</v>
      </c>
      <c r="AD66" s="581">
        <f t="shared" si="10"/>
        <v>0.75</v>
      </c>
      <c r="AE66" s="581">
        <f t="shared" si="10"/>
        <v>0.75</v>
      </c>
      <c r="AF66" s="796">
        <f>AE66</f>
        <v>0.75</v>
      </c>
      <c r="AG66" s="581">
        <f t="shared" si="10"/>
        <v>0.76</v>
      </c>
      <c r="AH66" s="581">
        <f t="shared" si="10"/>
        <v>0.76</v>
      </c>
      <c r="AI66" s="581">
        <f t="shared" si="10"/>
        <v>0.76</v>
      </c>
      <c r="AJ66" s="581">
        <f t="shared" si="10"/>
        <v>0.77</v>
      </c>
      <c r="AK66" s="796">
        <f>AJ66</f>
        <v>0.77</v>
      </c>
      <c r="AL66" s="581">
        <f>IFERROR(AVERAGE(AL64,AL65),"--")</f>
        <v>0.76</v>
      </c>
      <c r="AM66" s="581">
        <f>IFERROR(AVERAGE(AM64,AM65),"--")</f>
        <v>0.75</v>
      </c>
      <c r="AN66" s="581">
        <f>IFERROR(AVERAGE(AN64,AN65),"--")</f>
        <v>0.75</v>
      </c>
      <c r="AO66" s="581">
        <f>IFERROR(AVERAGE(AO64,AO65),"--")</f>
        <v>0.76</v>
      </c>
      <c r="AP66" s="796">
        <f>AO66</f>
        <v>0.76</v>
      </c>
      <c r="AQ66" s="581">
        <f>IFERROR(AVERAGE(AQ64,AQ65),"--")</f>
        <v>0.75</v>
      </c>
      <c r="AR66" s="581">
        <f>IFERROR(AVERAGE(AR64,AR65),"--")</f>
        <v>0.75</v>
      </c>
      <c r="AS66" s="581">
        <f>IFERROR(AVERAGE(AS64,AS65),"--")</f>
        <v>0.75</v>
      </c>
      <c r="AU66" s="369"/>
      <c r="AZ66" s="369"/>
    </row>
    <row r="67" spans="1:52" s="368" customFormat="1" outlineLevel="1">
      <c r="A67" s="107"/>
      <c r="B67" s="750"/>
      <c r="G67" s="369"/>
      <c r="L67" s="369"/>
      <c r="Q67" s="369"/>
      <c r="V67" s="369"/>
      <c r="AA67" s="369"/>
      <c r="AF67" s="369"/>
      <c r="AK67" s="369"/>
      <c r="AP67" s="369"/>
      <c r="AU67" s="369"/>
      <c r="AZ67" s="369"/>
    </row>
    <row r="68" spans="1:52" s="368" customFormat="1" outlineLevel="1">
      <c r="A68" s="107"/>
      <c r="B68" s="750" t="s">
        <v>129</v>
      </c>
      <c r="G68" s="369"/>
      <c r="L68" s="369"/>
      <c r="Q68" s="369"/>
      <c r="V68" s="788">
        <f>'IS (Non-GAAP)'!V31</f>
        <v>0.68686009599237252</v>
      </c>
      <c r="AA68" s="788">
        <f>'IS (Non-GAAP)'!AA31</f>
        <v>0.74059268599146488</v>
      </c>
      <c r="AF68" s="788">
        <f>'IS (Non-GAAP)'!AF31</f>
        <v>0.75169939080340609</v>
      </c>
      <c r="AK68" s="788">
        <f>'IS (Non-GAAP)'!AK31</f>
        <v>0.77842877493251406</v>
      </c>
      <c r="AP68" s="788">
        <f>'IS (Non-GAAP)'!AP31</f>
        <v>0.76342600641978353</v>
      </c>
      <c r="AU68" s="369"/>
      <c r="AZ68" s="369"/>
    </row>
    <row r="69" spans="1:52" s="368" customFormat="1" outlineLevel="1">
      <c r="A69" s="107"/>
      <c r="B69" s="782" t="s">
        <v>405</v>
      </c>
      <c r="G69" s="369"/>
      <c r="L69" s="369"/>
      <c r="Q69" s="369"/>
      <c r="V69" s="369"/>
      <c r="AA69" s="791">
        <f>(AA68-V68)*10000</f>
        <v>537.32589999092363</v>
      </c>
      <c r="AF69" s="791">
        <f>(AF68-AA68)*10000</f>
        <v>111.06704811941204</v>
      </c>
      <c r="AK69" s="791">
        <f>(AK68-AF68)*10000</f>
        <v>267.29384129107967</v>
      </c>
      <c r="AP69" s="791">
        <f>(AP68-AK68)*10000</f>
        <v>-150.02768512730523</v>
      </c>
      <c r="AU69" s="369"/>
      <c r="AZ69" s="369"/>
    </row>
    <row r="70" spans="1:52" s="368" customFormat="1">
      <c r="A70" s="107"/>
      <c r="B70" s="77"/>
      <c r="G70" s="369"/>
      <c r="L70" s="369"/>
      <c r="Q70" s="369"/>
      <c r="V70" s="369"/>
      <c r="AA70" s="369"/>
      <c r="AF70" s="369"/>
      <c r="AK70" s="369"/>
      <c r="AP70" s="369"/>
      <c r="AU70" s="369"/>
      <c r="AZ70" s="369"/>
    </row>
    <row r="71" spans="1:52" s="368" customFormat="1">
      <c r="A71" s="107"/>
      <c r="B71" s="78" t="s">
        <v>183</v>
      </c>
      <c r="G71" s="369"/>
      <c r="L71" s="369"/>
      <c r="Q71" s="369"/>
      <c r="V71" s="369"/>
      <c r="AA71" s="369"/>
      <c r="AF71" s="369"/>
      <c r="AK71" s="369"/>
      <c r="AP71" s="369"/>
      <c r="AU71" s="369"/>
      <c r="AZ71" s="369"/>
    </row>
    <row r="72" spans="1:52" s="760" customFormat="1" outlineLevel="1">
      <c r="A72" s="319"/>
      <c r="B72" s="758" t="s">
        <v>110</v>
      </c>
      <c r="G72" s="759"/>
      <c r="L72" s="759"/>
      <c r="Q72" s="759"/>
      <c r="R72" s="577"/>
      <c r="S72" s="577"/>
      <c r="T72" s="577"/>
      <c r="U72" s="577">
        <v>-0.4</v>
      </c>
      <c r="V72" s="763">
        <f>U72</f>
        <v>-0.4</v>
      </c>
      <c r="W72" s="577">
        <v>-0.19</v>
      </c>
      <c r="X72" s="577">
        <v>-0.17</v>
      </c>
      <c r="Y72" s="577">
        <v>-0.09</v>
      </c>
      <c r="Z72" s="787">
        <v>-0.04</v>
      </c>
      <c r="AA72" s="763">
        <f>Z72</f>
        <v>-0.04</v>
      </c>
      <c r="AB72" s="787">
        <v>0.01</v>
      </c>
      <c r="AC72" s="787">
        <v>0.01</v>
      </c>
      <c r="AD72" s="787">
        <v>0.02</v>
      </c>
      <c r="AE72" s="787">
        <v>0.03</v>
      </c>
      <c r="AF72" s="763">
        <f>AE72</f>
        <v>0.03</v>
      </c>
      <c r="AG72" s="787">
        <v>0.06</v>
      </c>
      <c r="AH72" s="787">
        <v>0.05</v>
      </c>
      <c r="AI72" s="787">
        <v>0.05</v>
      </c>
      <c r="AJ72" s="787">
        <v>7.0000000000000007E-2</v>
      </c>
      <c r="AK72" s="763">
        <f>AJ72</f>
        <v>7.0000000000000007E-2</v>
      </c>
      <c r="AL72" s="787">
        <v>0.06</v>
      </c>
      <c r="AM72" s="787">
        <v>0.03</v>
      </c>
      <c r="AN72" s="787">
        <v>0.03</v>
      </c>
      <c r="AO72" s="787">
        <v>0.05</v>
      </c>
      <c r="AP72" s="763">
        <f>AO72</f>
        <v>0.05</v>
      </c>
      <c r="AQ72" s="787">
        <v>0.08</v>
      </c>
      <c r="AR72" s="787">
        <v>0.08</v>
      </c>
      <c r="AS72" s="787">
        <v>0.09</v>
      </c>
      <c r="AU72" s="759"/>
      <c r="AZ72" s="759"/>
    </row>
    <row r="73" spans="1:52" s="760" customFormat="1" outlineLevel="1">
      <c r="A73" s="319"/>
      <c r="B73" s="758" t="s">
        <v>111</v>
      </c>
      <c r="G73" s="759"/>
      <c r="L73" s="759"/>
      <c r="Q73" s="759"/>
      <c r="R73" s="577"/>
      <c r="S73" s="577"/>
      <c r="T73" s="577"/>
      <c r="U73" s="577">
        <v>-0.4</v>
      </c>
      <c r="V73" s="763">
        <f>U73</f>
        <v>-0.4</v>
      </c>
      <c r="W73" s="577">
        <v>-0.19</v>
      </c>
      <c r="X73" s="577">
        <v>-0.17</v>
      </c>
      <c r="Y73" s="577">
        <v>-0.09</v>
      </c>
      <c r="Z73" s="787">
        <v>-0.04</v>
      </c>
      <c r="AA73" s="763">
        <f>Z73</f>
        <v>-0.04</v>
      </c>
      <c r="AB73" s="787">
        <v>0.01</v>
      </c>
      <c r="AC73" s="787">
        <v>0.01</v>
      </c>
      <c r="AD73" s="787">
        <v>0.02</v>
      </c>
      <c r="AE73" s="787">
        <v>0.03</v>
      </c>
      <c r="AF73" s="763">
        <f>AE73</f>
        <v>0.03</v>
      </c>
      <c r="AG73" s="787">
        <v>0.06</v>
      </c>
      <c r="AH73" s="787">
        <v>0.05</v>
      </c>
      <c r="AI73" s="787">
        <v>0.05</v>
      </c>
      <c r="AJ73" s="787">
        <v>7.0000000000000007E-2</v>
      </c>
      <c r="AK73" s="763">
        <f>AJ73</f>
        <v>7.0000000000000007E-2</v>
      </c>
      <c r="AL73" s="787">
        <v>0.06</v>
      </c>
      <c r="AM73" s="787">
        <v>0.03</v>
      </c>
      <c r="AN73" s="787">
        <v>0.03</v>
      </c>
      <c r="AO73" s="787">
        <v>0.05</v>
      </c>
      <c r="AP73" s="763">
        <f>AO73</f>
        <v>0.05</v>
      </c>
      <c r="AQ73" s="787">
        <v>0.08</v>
      </c>
      <c r="AR73" s="787">
        <v>0.08</v>
      </c>
      <c r="AS73" s="787">
        <v>0.09</v>
      </c>
      <c r="AU73" s="759"/>
      <c r="AZ73" s="759"/>
    </row>
    <row r="74" spans="1:52" s="760" customFormat="1" outlineLevel="1">
      <c r="A74" s="319"/>
      <c r="B74" s="758" t="s">
        <v>396</v>
      </c>
      <c r="G74" s="759"/>
      <c r="L74" s="759"/>
      <c r="Q74" s="759"/>
      <c r="R74" s="468"/>
      <c r="S74" s="468"/>
      <c r="T74" s="468"/>
      <c r="U74" s="468">
        <f>IFERROR(AVERAGE(U72:U73),"--")</f>
        <v>-0.4</v>
      </c>
      <c r="V74" s="763">
        <f>U74</f>
        <v>-0.4</v>
      </c>
      <c r="W74" s="468">
        <f>IFERROR(AVERAGE(W72:W73),"--")</f>
        <v>-0.19</v>
      </c>
      <c r="X74" s="468">
        <f>IFERROR(AVERAGE(X72:X73),"--")</f>
        <v>-0.17</v>
      </c>
      <c r="Y74" s="468">
        <f>IFERROR(AVERAGE(Y72:Y73),"--")</f>
        <v>-0.09</v>
      </c>
      <c r="Z74" s="468">
        <f>IFERROR(AVERAGE(Z72:Z73),"--")</f>
        <v>-0.04</v>
      </c>
      <c r="AA74" s="763">
        <f>Z74</f>
        <v>-0.04</v>
      </c>
      <c r="AB74" s="468">
        <f>IFERROR(AVERAGE(AB72:AB73),"--")</f>
        <v>0.01</v>
      </c>
      <c r="AC74" s="468">
        <f>IFERROR(AVERAGE(AC72:AC73),"--")</f>
        <v>0.01</v>
      </c>
      <c r="AD74" s="468">
        <f>IFERROR(AVERAGE(AD72:AD73),"--")</f>
        <v>0.02</v>
      </c>
      <c r="AE74" s="468">
        <f>IFERROR(AVERAGE(AE72:AE73),"--")</f>
        <v>0.03</v>
      </c>
      <c r="AF74" s="763">
        <f>AE74</f>
        <v>0.03</v>
      </c>
      <c r="AG74" s="468">
        <f>IFERROR(AVERAGE(AG72:AG73),"--")</f>
        <v>0.06</v>
      </c>
      <c r="AH74" s="468">
        <f>IFERROR(AVERAGE(AH72:AH73),"--")</f>
        <v>0.05</v>
      </c>
      <c r="AI74" s="468">
        <f>IFERROR(AVERAGE(AI72:AI73),"--")</f>
        <v>0.05</v>
      </c>
      <c r="AJ74" s="468">
        <f>IFERROR(AVERAGE(AJ72:AJ73),"--")</f>
        <v>7.0000000000000007E-2</v>
      </c>
      <c r="AK74" s="763">
        <f>AJ74</f>
        <v>7.0000000000000007E-2</v>
      </c>
      <c r="AL74" s="468">
        <f>IFERROR(AVERAGE(AL72:AL73),"--")</f>
        <v>0.06</v>
      </c>
      <c r="AM74" s="468">
        <f>IFERROR(AVERAGE(AM72:AM73),"--")</f>
        <v>0.03</v>
      </c>
      <c r="AN74" s="468">
        <f>IFERROR(AVERAGE(AN72:AN73),"--")</f>
        <v>0.03</v>
      </c>
      <c r="AO74" s="468">
        <f>IFERROR(AVERAGE(AO72:AO73),"--")</f>
        <v>0.05</v>
      </c>
      <c r="AP74" s="763">
        <f>AO74</f>
        <v>0.05</v>
      </c>
      <c r="AQ74" s="468">
        <f>IFERROR(AVERAGE(AQ72:AQ73),"--")</f>
        <v>0.08</v>
      </c>
      <c r="AR74" s="468">
        <f>IFERROR(AVERAGE(AR72:AR73),"--")</f>
        <v>0.08</v>
      </c>
      <c r="AS74" s="468">
        <f>IFERROR(AVERAGE(AS72:AS73),"--")</f>
        <v>0.09</v>
      </c>
      <c r="AU74" s="759"/>
      <c r="AZ74" s="759"/>
    </row>
    <row r="75" spans="1:52" s="368" customFormat="1" outlineLevel="1">
      <c r="A75" s="107"/>
      <c r="B75" s="750"/>
      <c r="G75" s="369"/>
      <c r="L75" s="369"/>
      <c r="Q75" s="369"/>
      <c r="V75" s="369"/>
      <c r="AA75" s="369"/>
      <c r="AF75" s="369"/>
      <c r="AK75" s="369"/>
      <c r="AP75" s="369"/>
      <c r="AU75" s="369"/>
      <c r="AZ75" s="369"/>
    </row>
    <row r="76" spans="1:52" s="368" customFormat="1" outlineLevel="1">
      <c r="A76" s="107"/>
      <c r="B76" s="750" t="s">
        <v>129</v>
      </c>
      <c r="G76" s="369"/>
      <c r="L76" s="369"/>
      <c r="Q76" s="369"/>
      <c r="V76" s="788">
        <f>'IS (Non-GAAP)'!V70</f>
        <v>-0.38188899905244339</v>
      </c>
      <c r="AA76" s="788">
        <f>'IS (Non-GAAP)'!AA70</f>
        <v>-2.5567382662731172E-2</v>
      </c>
      <c r="AF76" s="788">
        <f>'IS (Non-GAAP)'!AF70</f>
        <v>4.6127168133752942E-2</v>
      </c>
      <c r="AK76" s="788">
        <f>'IS (Non-GAAP)'!AK70</f>
        <v>8.1849599267982159E-2</v>
      </c>
      <c r="AP76" s="788">
        <f>'IS (Non-GAAP)'!AP70</f>
        <v>6.3898978489938793E-2</v>
      </c>
      <c r="AU76" s="369"/>
      <c r="AZ76" s="369"/>
    </row>
    <row r="77" spans="1:52" s="698" customFormat="1" outlineLevel="1">
      <c r="A77" s="575"/>
      <c r="B77" s="789" t="s">
        <v>405</v>
      </c>
      <c r="G77" s="699"/>
      <c r="L77" s="699"/>
      <c r="Q77" s="699"/>
      <c r="V77" s="790"/>
      <c r="AA77" s="791">
        <f>(AA76-V76)*10000</f>
        <v>3563.216163897122</v>
      </c>
      <c r="AF77" s="791">
        <f>(AF76-AA76)*10000</f>
        <v>716.94550796484111</v>
      </c>
      <c r="AK77" s="791">
        <f>(AK76-AF76)*10000</f>
        <v>357.2243113422922</v>
      </c>
      <c r="AP77" s="791">
        <f>(AP76-AK76)*10000</f>
        <v>-179.50620778043367</v>
      </c>
      <c r="AU77" s="699"/>
      <c r="AZ77" s="699"/>
    </row>
    <row r="78" spans="1:52" s="698" customFormat="1">
      <c r="A78" s="575"/>
      <c r="B78" s="789"/>
      <c r="G78" s="699"/>
      <c r="L78" s="699"/>
      <c r="Q78" s="699"/>
      <c r="V78" s="790"/>
      <c r="AA78" s="791"/>
      <c r="AF78" s="791"/>
      <c r="AK78" s="791"/>
      <c r="AP78" s="791"/>
      <c r="AU78" s="699"/>
      <c r="AZ78" s="699"/>
    </row>
    <row r="79" spans="1:52" s="698" customFormat="1">
      <c r="A79" s="575"/>
      <c r="B79" s="78" t="s">
        <v>184</v>
      </c>
      <c r="G79" s="699"/>
      <c r="L79" s="699"/>
      <c r="Q79" s="699"/>
      <c r="V79" s="790"/>
      <c r="AA79" s="791"/>
      <c r="AF79" s="791"/>
      <c r="AK79" s="791"/>
      <c r="AP79" s="791"/>
      <c r="AU79" s="699"/>
      <c r="AZ79" s="699"/>
    </row>
    <row r="80" spans="1:52" s="698" customFormat="1" outlineLevel="1">
      <c r="A80" s="575"/>
      <c r="B80" s="758" t="s">
        <v>110</v>
      </c>
      <c r="G80" s="699"/>
      <c r="L80" s="699"/>
      <c r="Q80" s="699"/>
      <c r="U80" s="577">
        <v>-0.18</v>
      </c>
      <c r="V80" s="763">
        <f>U80</f>
        <v>-0.18</v>
      </c>
      <c r="W80" s="577">
        <v>0</v>
      </c>
      <c r="X80" s="577">
        <v>0</v>
      </c>
      <c r="Y80" s="577">
        <v>7.0000000000000007E-2</v>
      </c>
      <c r="Z80" s="577">
        <v>0.08</v>
      </c>
      <c r="AA80" s="763">
        <f>Z80</f>
        <v>0.08</v>
      </c>
      <c r="AB80" s="577">
        <v>0.15</v>
      </c>
      <c r="AC80" s="577">
        <v>0.16</v>
      </c>
      <c r="AD80" s="577">
        <v>0.17</v>
      </c>
      <c r="AE80" s="577">
        <v>0.21</v>
      </c>
      <c r="AF80" s="763">
        <f>AE80</f>
        <v>0.21</v>
      </c>
      <c r="AG80" s="577">
        <v>0.25</v>
      </c>
      <c r="AH80" s="577">
        <v>0.26</v>
      </c>
      <c r="AI80" s="577">
        <v>0.26</v>
      </c>
      <c r="AJ80" s="577">
        <v>0.27</v>
      </c>
      <c r="AK80" s="763">
        <f>AJ80</f>
        <v>0.27</v>
      </c>
      <c r="AL80" s="577">
        <v>0.28999999999999998</v>
      </c>
      <c r="AM80" s="787">
        <v>0.26</v>
      </c>
      <c r="AN80" s="787">
        <v>0.26</v>
      </c>
      <c r="AO80" s="577">
        <v>0.26</v>
      </c>
      <c r="AP80" s="763">
        <f>AO80</f>
        <v>0.26</v>
      </c>
      <c r="AQ80" s="577">
        <v>0.25</v>
      </c>
      <c r="AR80" s="577">
        <v>0.25</v>
      </c>
      <c r="AS80" s="577">
        <v>0.25</v>
      </c>
      <c r="AU80" s="699"/>
      <c r="AZ80" s="699"/>
    </row>
    <row r="81" spans="1:52" s="698" customFormat="1" outlineLevel="1">
      <c r="A81" s="575"/>
      <c r="B81" s="758" t="s">
        <v>111</v>
      </c>
      <c r="G81" s="699"/>
      <c r="L81" s="699"/>
      <c r="Q81" s="699"/>
      <c r="U81" s="577">
        <v>-0.18</v>
      </c>
      <c r="V81" s="763">
        <f>U81</f>
        <v>-0.18</v>
      </c>
      <c r="W81" s="577">
        <v>0</v>
      </c>
      <c r="X81" s="577">
        <v>0</v>
      </c>
      <c r="Y81" s="577">
        <v>7.0000000000000007E-2</v>
      </c>
      <c r="Z81" s="577">
        <v>0.08</v>
      </c>
      <c r="AA81" s="763">
        <f>Z81</f>
        <v>0.08</v>
      </c>
      <c r="AB81" s="577">
        <v>0.15</v>
      </c>
      <c r="AC81" s="577">
        <v>0.16</v>
      </c>
      <c r="AD81" s="577">
        <v>0.17</v>
      </c>
      <c r="AE81" s="577">
        <v>0.21</v>
      </c>
      <c r="AF81" s="763">
        <f>AE81</f>
        <v>0.21</v>
      </c>
      <c r="AG81" s="577">
        <v>0.25</v>
      </c>
      <c r="AH81" s="577">
        <v>0.26</v>
      </c>
      <c r="AI81" s="577">
        <v>0.26</v>
      </c>
      <c r="AJ81" s="577">
        <v>0.27</v>
      </c>
      <c r="AK81" s="763">
        <f>AJ81</f>
        <v>0.27</v>
      </c>
      <c r="AL81" s="577">
        <v>0.28999999999999998</v>
      </c>
      <c r="AM81" s="787">
        <v>0.26</v>
      </c>
      <c r="AN81" s="787">
        <v>0.26</v>
      </c>
      <c r="AO81" s="577">
        <v>0.26</v>
      </c>
      <c r="AP81" s="763">
        <f>AO81</f>
        <v>0.26</v>
      </c>
      <c r="AQ81" s="577">
        <v>0.25</v>
      </c>
      <c r="AR81" s="577">
        <v>0.25</v>
      </c>
      <c r="AS81" s="577">
        <v>0.25</v>
      </c>
      <c r="AU81" s="699"/>
      <c r="AZ81" s="699"/>
    </row>
    <row r="82" spans="1:52" s="698" customFormat="1" outlineLevel="1">
      <c r="A82" s="575"/>
      <c r="B82" s="758" t="s">
        <v>396</v>
      </c>
      <c r="G82" s="699"/>
      <c r="L82" s="699"/>
      <c r="Q82" s="699"/>
      <c r="U82" s="468">
        <f t="shared" ref="U82:Z82" si="11">IFERROR(AVERAGE(U80:U81),"--")</f>
        <v>-0.18</v>
      </c>
      <c r="V82" s="763">
        <f>U82</f>
        <v>-0.18</v>
      </c>
      <c r="W82" s="468">
        <f t="shared" si="11"/>
        <v>0</v>
      </c>
      <c r="X82" s="468">
        <f t="shared" si="11"/>
        <v>0</v>
      </c>
      <c r="Y82" s="468">
        <f t="shared" si="11"/>
        <v>7.0000000000000007E-2</v>
      </c>
      <c r="Z82" s="468">
        <f t="shared" si="11"/>
        <v>0.08</v>
      </c>
      <c r="AA82" s="763">
        <f>Z82</f>
        <v>0.08</v>
      </c>
      <c r="AB82" s="468">
        <f>IFERROR(AVERAGE(AB80:AB81),"--")</f>
        <v>0.15</v>
      </c>
      <c r="AC82" s="468">
        <f>IFERROR(AVERAGE(AC80:AC81),"--")</f>
        <v>0.16</v>
      </c>
      <c r="AD82" s="468">
        <f>IFERROR(AVERAGE(AD80:AD81),"--")</f>
        <v>0.17</v>
      </c>
      <c r="AE82" s="468">
        <f>IFERROR(AVERAGE(AE80:AE81),"--")</f>
        <v>0.21</v>
      </c>
      <c r="AF82" s="763">
        <f>AE82</f>
        <v>0.21</v>
      </c>
      <c r="AG82" s="468">
        <f>IFERROR(AVERAGE(AG80:AG81),"--")</f>
        <v>0.25</v>
      </c>
      <c r="AH82" s="468">
        <f>IFERROR(AVERAGE(AH80:AH81),"--")</f>
        <v>0.26</v>
      </c>
      <c r="AI82" s="468">
        <f>IFERROR(AVERAGE(AI80:AI81),"--")</f>
        <v>0.26</v>
      </c>
      <c r="AJ82" s="468">
        <f>IFERROR(AVERAGE(AJ80:AJ81),"--")</f>
        <v>0.27</v>
      </c>
      <c r="AK82" s="763">
        <f>AJ82</f>
        <v>0.27</v>
      </c>
      <c r="AL82" s="468">
        <f>IFERROR(AVERAGE(AL80:AL81),"--")</f>
        <v>0.28999999999999998</v>
      </c>
      <c r="AM82" s="468">
        <f>IFERROR(AVERAGE(AM80:AM81),"--")</f>
        <v>0.26</v>
      </c>
      <c r="AN82" s="468">
        <f>IFERROR(AVERAGE(AN80:AN81),"--")</f>
        <v>0.26</v>
      </c>
      <c r="AO82" s="468">
        <f>IFERROR(AVERAGE(AO80:AO81),"--")</f>
        <v>0.26</v>
      </c>
      <c r="AP82" s="763">
        <f>AO82</f>
        <v>0.26</v>
      </c>
      <c r="AQ82" s="468">
        <f>IFERROR(AVERAGE(AQ80:AQ81),"--")</f>
        <v>0.25</v>
      </c>
      <c r="AR82" s="468">
        <f>IFERROR(AVERAGE(AR80:AR81),"--")</f>
        <v>0.25</v>
      </c>
      <c r="AS82" s="468">
        <f>IFERROR(AVERAGE(AS80:AS81),"--")</f>
        <v>0.25</v>
      </c>
      <c r="AU82" s="699"/>
      <c r="AZ82" s="699"/>
    </row>
    <row r="83" spans="1:52" s="698" customFormat="1" outlineLevel="1">
      <c r="A83" s="575"/>
      <c r="B83" s="750"/>
      <c r="G83" s="699"/>
      <c r="L83" s="699"/>
      <c r="Q83" s="699"/>
      <c r="V83" s="369"/>
      <c r="AA83" s="791"/>
      <c r="AF83" s="791"/>
      <c r="AK83" s="791"/>
      <c r="AP83" s="791"/>
      <c r="AU83" s="699"/>
      <c r="AZ83" s="699"/>
    </row>
    <row r="84" spans="1:52" s="698" customFormat="1" outlineLevel="1">
      <c r="A84" s="575"/>
      <c r="B84" s="750" t="s">
        <v>129</v>
      </c>
      <c r="G84" s="699"/>
      <c r="L84" s="699"/>
      <c r="Q84" s="699"/>
      <c r="V84" s="788">
        <f>CF!V85</f>
        <v>-0.12095451558908139</v>
      </c>
      <c r="AA84" s="788">
        <f>CF!AA85</f>
        <v>0.12288008056903525</v>
      </c>
      <c r="AF84" s="788">
        <f>CF!AF85</f>
        <v>0.25194187423964942</v>
      </c>
      <c r="AK84" s="788">
        <f>CF!AK85</f>
        <v>0.28868276341008281</v>
      </c>
      <c r="AP84" s="788">
        <f>CF!AP85</f>
        <v>0.25963132542612555</v>
      </c>
      <c r="AU84" s="699"/>
      <c r="AZ84" s="699"/>
    </row>
    <row r="85" spans="1:52" s="698" customFormat="1" outlineLevel="1">
      <c r="A85" s="575"/>
      <c r="B85" s="789" t="s">
        <v>405</v>
      </c>
      <c r="G85" s="699"/>
      <c r="L85" s="699"/>
      <c r="Q85" s="699"/>
      <c r="V85" s="790"/>
      <c r="AA85" s="791">
        <f>(AA84-V84)*10000</f>
        <v>2438.3459615811666</v>
      </c>
      <c r="AF85" s="791">
        <f>(AF84-AA84)*10000</f>
        <v>1290.6179367061416</v>
      </c>
      <c r="AK85" s="791">
        <f>(AK84-AF84)*10000</f>
        <v>367.40889170433388</v>
      </c>
      <c r="AP85" s="791">
        <f>(AP84-AK84)*10000</f>
        <v>-290.5143798395726</v>
      </c>
      <c r="AU85" s="699"/>
      <c r="AZ85" s="699"/>
    </row>
    <row r="86" spans="1:52" ht="14.25">
      <c r="B86" s="655"/>
      <c r="C86" s="576"/>
      <c r="D86" s="468"/>
      <c r="E86" s="468"/>
      <c r="F86" s="468"/>
      <c r="G86" s="646"/>
      <c r="H86" s="576"/>
      <c r="I86" s="468"/>
      <c r="J86" s="468"/>
      <c r="K86" s="468"/>
      <c r="L86" s="646"/>
      <c r="M86" s="576"/>
      <c r="N86" s="468"/>
      <c r="O86" s="468"/>
      <c r="P86" s="468"/>
      <c r="Q86" s="646"/>
      <c r="R86" s="576"/>
      <c r="S86" s="468"/>
      <c r="T86" s="468"/>
      <c r="U86" s="468"/>
      <c r="V86" s="646"/>
      <c r="W86" s="576"/>
      <c r="X86" s="468"/>
      <c r="Y86" s="468"/>
      <c r="Z86" s="468"/>
      <c r="AA86" s="646"/>
      <c r="AB86" s="576"/>
      <c r="AC86" s="468"/>
      <c r="AD86" s="468"/>
      <c r="AE86" s="468"/>
      <c r="AF86" s="646"/>
      <c r="AG86" s="576"/>
      <c r="AH86" s="468"/>
      <c r="AI86" s="468"/>
      <c r="AJ86" s="468"/>
      <c r="AK86" s="646"/>
      <c r="AL86" s="576"/>
      <c r="AM86" s="468"/>
      <c r="AN86" s="468"/>
      <c r="AO86" s="468"/>
      <c r="AP86" s="646"/>
      <c r="AQ86" s="576"/>
      <c r="AR86" s="468"/>
      <c r="AS86" s="468"/>
      <c r="AT86" s="468"/>
      <c r="AU86" s="646"/>
      <c r="AV86" s="576"/>
      <c r="AW86" s="468"/>
      <c r="AX86" s="468"/>
      <c r="AY86" s="468"/>
      <c r="AZ86" s="646"/>
    </row>
    <row r="87" spans="1:52">
      <c r="B87" s="654"/>
      <c r="C87" s="370"/>
      <c r="D87" s="370"/>
      <c r="E87" s="370"/>
      <c r="F87" s="370"/>
      <c r="G87" s="432"/>
      <c r="H87" s="370"/>
      <c r="I87" s="370"/>
      <c r="J87" s="370"/>
      <c r="K87" s="370"/>
      <c r="L87" s="432"/>
      <c r="M87" s="370"/>
      <c r="N87" s="370"/>
      <c r="O87" s="370"/>
      <c r="P87" s="370"/>
      <c r="Q87" s="432"/>
      <c r="R87" s="370"/>
      <c r="S87" s="370"/>
      <c r="T87" s="370"/>
      <c r="U87" s="370"/>
      <c r="V87" s="432"/>
      <c r="W87" s="370"/>
      <c r="X87" s="370"/>
      <c r="Y87" s="370"/>
      <c r="Z87" s="370"/>
      <c r="AA87" s="432"/>
      <c r="AB87" s="370"/>
      <c r="AC87" s="370"/>
      <c r="AD87" s="370"/>
      <c r="AE87" s="370"/>
      <c r="AF87" s="432"/>
      <c r="AG87" s="370"/>
      <c r="AH87" s="370"/>
      <c r="AI87" s="370"/>
      <c r="AJ87" s="370"/>
      <c r="AK87" s="432"/>
      <c r="AL87" s="370"/>
      <c r="AM87" s="370"/>
      <c r="AN87" s="370"/>
      <c r="AO87" s="370"/>
      <c r="AP87" s="432"/>
      <c r="AQ87" s="370"/>
      <c r="AR87" s="370"/>
      <c r="AS87" s="370"/>
      <c r="AT87" s="370"/>
      <c r="AU87" s="432"/>
      <c r="AV87" s="370"/>
      <c r="AW87" s="370"/>
      <c r="AX87" s="370"/>
      <c r="AY87" s="370"/>
      <c r="AZ87" s="432"/>
    </row>
    <row r="88" spans="1:52" ht="15">
      <c r="B88" s="252"/>
      <c r="C88" s="60" t="str">
        <f>C6</f>
        <v>2018 (A)</v>
      </c>
      <c r="D88" s="60"/>
      <c r="E88" s="60"/>
      <c r="F88" s="60"/>
      <c r="G88" s="58"/>
      <c r="H88" s="60" t="str">
        <f>H6</f>
        <v>2019 (A)</v>
      </c>
      <c r="I88" s="60"/>
      <c r="J88" s="60"/>
      <c r="K88" s="60"/>
      <c r="L88" s="58"/>
      <c r="M88" s="60" t="str">
        <f>M6</f>
        <v>2020 (A)</v>
      </c>
      <c r="N88" s="60"/>
      <c r="O88" s="60"/>
      <c r="P88" s="60"/>
      <c r="Q88" s="58"/>
      <c r="R88" s="60" t="str">
        <f>R6</f>
        <v>2021 (A)</v>
      </c>
      <c r="S88" s="60"/>
      <c r="T88" s="60"/>
      <c r="U88" s="60"/>
      <c r="V88" s="58"/>
      <c r="W88" s="60" t="str">
        <f>W6</f>
        <v>2022 (A)</v>
      </c>
      <c r="X88" s="60"/>
      <c r="Y88" s="60"/>
      <c r="Z88" s="60"/>
      <c r="AA88" s="58"/>
      <c r="AB88" s="60" t="str">
        <f>AB6</f>
        <v>2023 (A)</v>
      </c>
      <c r="AC88" s="60"/>
      <c r="AD88" s="60"/>
      <c r="AE88" s="60"/>
      <c r="AF88" s="58"/>
      <c r="AG88" s="60" t="str">
        <f>AG6</f>
        <v>2024 (A)</v>
      </c>
      <c r="AH88" s="60"/>
      <c r="AI88" s="60"/>
      <c r="AJ88" s="60"/>
      <c r="AK88" s="58"/>
      <c r="AL88" s="60" t="str">
        <f>AL6</f>
        <v>2025 (A)</v>
      </c>
      <c r="AM88" s="60"/>
      <c r="AN88" s="60"/>
      <c r="AO88" s="60"/>
      <c r="AP88" s="58"/>
      <c r="AQ88" s="60" t="str">
        <f>AQ6</f>
        <v>2026 (E)</v>
      </c>
      <c r="AR88" s="60"/>
      <c r="AS88" s="60"/>
      <c r="AT88" s="60"/>
      <c r="AU88" s="58"/>
      <c r="AV88" s="60" t="str">
        <f>AV6</f>
        <v>2027 (E)</v>
      </c>
      <c r="AW88" s="60"/>
      <c r="AX88" s="60"/>
      <c r="AY88" s="60"/>
      <c r="AZ88" s="58"/>
    </row>
    <row r="89" spans="1:52">
      <c r="B89" s="253"/>
      <c r="C89" s="366" t="str">
        <f>C7</f>
        <v>1Q18 (A)</v>
      </c>
      <c r="D89" s="366" t="str">
        <f t="shared" ref="D89:G90" si="12">D7</f>
        <v>2Q18 (A)</v>
      </c>
      <c r="E89" s="366" t="str">
        <f t="shared" si="12"/>
        <v>3Q18 (A)</v>
      </c>
      <c r="F89" s="366" t="str">
        <f t="shared" si="12"/>
        <v>4Q18 (A)</v>
      </c>
      <c r="G89" s="367" t="str">
        <f t="shared" si="12"/>
        <v>FY18 (A)</v>
      </c>
      <c r="H89" s="366" t="str">
        <f>H7</f>
        <v>1Q19 (A)</v>
      </c>
      <c r="I89" s="366" t="str">
        <f t="shared" ref="I89:L90" si="13">I7</f>
        <v>2Q19 (A)</v>
      </c>
      <c r="J89" s="366" t="str">
        <f t="shared" si="13"/>
        <v>3Q19 (A)</v>
      </c>
      <c r="K89" s="366" t="str">
        <f t="shared" si="13"/>
        <v>4Q19 (A)</v>
      </c>
      <c r="L89" s="367" t="str">
        <f t="shared" si="13"/>
        <v>FY19 (A)</v>
      </c>
      <c r="M89" s="366" t="str">
        <f>M7</f>
        <v>1Q20 (A)</v>
      </c>
      <c r="N89" s="366" t="str">
        <f t="shared" ref="N89:Q90" si="14">N7</f>
        <v>2Q20 (A)</v>
      </c>
      <c r="O89" s="366" t="str">
        <f t="shared" si="14"/>
        <v>3Q20 (A)</v>
      </c>
      <c r="P89" s="366" t="str">
        <f t="shared" si="14"/>
        <v>4Q20 (A)</v>
      </c>
      <c r="Q89" s="367" t="str">
        <f t="shared" si="14"/>
        <v>FY20 (A)</v>
      </c>
      <c r="R89" s="366" t="str">
        <f>R7</f>
        <v>1Q21 (A)</v>
      </c>
      <c r="S89" s="366" t="str">
        <f t="shared" ref="S89:V90" si="15">S7</f>
        <v>2Q21 (A)</v>
      </c>
      <c r="T89" s="366" t="str">
        <f t="shared" si="15"/>
        <v>3Q21 (A)</v>
      </c>
      <c r="U89" s="366" t="str">
        <f t="shared" si="15"/>
        <v>4Q21 (A)</v>
      </c>
      <c r="V89" s="367" t="str">
        <f t="shared" si="15"/>
        <v>FY21 (A)</v>
      </c>
      <c r="W89" s="366" t="str">
        <f>W7</f>
        <v>1Q22 (A)</v>
      </c>
      <c r="X89" s="366" t="str">
        <f t="shared" ref="X89:AA90" si="16">X7</f>
        <v>2Q22 (A)</v>
      </c>
      <c r="Y89" s="366" t="str">
        <f t="shared" si="16"/>
        <v>3Q22 (A)</v>
      </c>
      <c r="Z89" s="366" t="str">
        <f t="shared" si="16"/>
        <v>4Q22 (A)</v>
      </c>
      <c r="AA89" s="367" t="str">
        <f t="shared" si="16"/>
        <v>FY22 (A)</v>
      </c>
      <c r="AB89" s="366" t="str">
        <f>AB7</f>
        <v>1Q23 (A)</v>
      </c>
      <c r="AC89" s="366" t="str">
        <f t="shared" ref="AC89:AF90" si="17">AC7</f>
        <v>2Q23 (A)</v>
      </c>
      <c r="AD89" s="366" t="str">
        <f t="shared" si="17"/>
        <v>3Q23 (A)</v>
      </c>
      <c r="AE89" s="366" t="str">
        <f t="shared" si="17"/>
        <v>4Q23 (A)</v>
      </c>
      <c r="AF89" s="367" t="str">
        <f t="shared" si="17"/>
        <v>FY23 (A)</v>
      </c>
      <c r="AG89" s="366" t="str">
        <f>AG7</f>
        <v>1Q24 (A)</v>
      </c>
      <c r="AH89" s="366" t="str">
        <f t="shared" ref="AH89:AK90" si="18">AH7</f>
        <v>2Q24 (A)</v>
      </c>
      <c r="AI89" s="366" t="str">
        <f t="shared" si="18"/>
        <v>3Q24 (A)</v>
      </c>
      <c r="AJ89" s="366" t="str">
        <f t="shared" si="18"/>
        <v>4Q24 (A)</v>
      </c>
      <c r="AK89" s="367" t="str">
        <f t="shared" si="18"/>
        <v>FY24 (A)</v>
      </c>
      <c r="AL89" s="366" t="str">
        <f>AL7</f>
        <v>1Q25 (A)</v>
      </c>
      <c r="AM89" s="366" t="str">
        <f t="shared" ref="AM89:AP90" si="19">AM7</f>
        <v>2Q25 (A)</v>
      </c>
      <c r="AN89" s="366" t="str">
        <f t="shared" si="19"/>
        <v>3Q25 (A)</v>
      </c>
      <c r="AO89" s="366" t="str">
        <f t="shared" si="19"/>
        <v>4Q25 (A)</v>
      </c>
      <c r="AP89" s="367" t="str">
        <f t="shared" si="19"/>
        <v>FY25 (A)</v>
      </c>
      <c r="AQ89" s="366" t="str">
        <f>AQ7</f>
        <v>1Q26 (A)</v>
      </c>
      <c r="AR89" s="366" t="str">
        <f t="shared" ref="AR89:AU90" si="20">AR7</f>
        <v>2Q26 (A)</v>
      </c>
      <c r="AS89" s="366" t="str">
        <f t="shared" si="20"/>
        <v>3Q26 (A)</v>
      </c>
      <c r="AT89" s="366" t="str">
        <f t="shared" si="20"/>
        <v>4Q26 (E)</v>
      </c>
      <c r="AU89" s="367" t="str">
        <f t="shared" si="20"/>
        <v>FY26 (E)</v>
      </c>
      <c r="AV89" s="366" t="str">
        <f>AV7</f>
        <v>1Q27 (E)</v>
      </c>
      <c r="AW89" s="366" t="str">
        <f t="shared" ref="AW89:AZ90" si="21">AW7</f>
        <v>2Q27 (E)</v>
      </c>
      <c r="AX89" s="366" t="str">
        <f t="shared" si="21"/>
        <v>3Q27 (E)</v>
      </c>
      <c r="AY89" s="366" t="str">
        <f t="shared" si="21"/>
        <v>4Q27 (E)</v>
      </c>
      <c r="AZ89" s="367" t="str">
        <f t="shared" si="21"/>
        <v>FY27 (E)</v>
      </c>
    </row>
    <row r="90" spans="1:52">
      <c r="B90" s="252"/>
      <c r="C90" s="368">
        <f>C8</f>
        <v>42855</v>
      </c>
      <c r="D90" s="368">
        <f t="shared" si="12"/>
        <v>42947</v>
      </c>
      <c r="E90" s="368">
        <f t="shared" si="12"/>
        <v>43039</v>
      </c>
      <c r="F90" s="368">
        <f t="shared" si="12"/>
        <v>43131</v>
      </c>
      <c r="G90" s="369">
        <f t="shared" si="12"/>
        <v>43131</v>
      </c>
      <c r="H90" s="368">
        <f>H8</f>
        <v>43220</v>
      </c>
      <c r="I90" s="368">
        <f t="shared" si="13"/>
        <v>43312</v>
      </c>
      <c r="J90" s="368">
        <f t="shared" si="13"/>
        <v>43404</v>
      </c>
      <c r="K90" s="368">
        <f t="shared" si="13"/>
        <v>43496</v>
      </c>
      <c r="L90" s="369">
        <f t="shared" si="13"/>
        <v>43496</v>
      </c>
      <c r="M90" s="368">
        <f>M8</f>
        <v>43585</v>
      </c>
      <c r="N90" s="368">
        <f t="shared" si="14"/>
        <v>43677</v>
      </c>
      <c r="O90" s="368">
        <f t="shared" si="14"/>
        <v>43769</v>
      </c>
      <c r="P90" s="368">
        <f t="shared" si="14"/>
        <v>43861</v>
      </c>
      <c r="Q90" s="369">
        <f t="shared" si="14"/>
        <v>43861</v>
      </c>
      <c r="R90" s="368">
        <f>R8</f>
        <v>43951</v>
      </c>
      <c r="S90" s="368">
        <f t="shared" si="15"/>
        <v>44043</v>
      </c>
      <c r="T90" s="368">
        <f t="shared" si="15"/>
        <v>44135</v>
      </c>
      <c r="U90" s="368">
        <f t="shared" si="15"/>
        <v>44227</v>
      </c>
      <c r="V90" s="369">
        <f t="shared" si="15"/>
        <v>44227</v>
      </c>
      <c r="W90" s="368">
        <f>W8</f>
        <v>44316</v>
      </c>
      <c r="X90" s="368">
        <f t="shared" si="16"/>
        <v>44408</v>
      </c>
      <c r="Y90" s="368">
        <f t="shared" si="16"/>
        <v>44500</v>
      </c>
      <c r="Z90" s="368">
        <f t="shared" si="16"/>
        <v>44592</v>
      </c>
      <c r="AA90" s="369">
        <f t="shared" si="16"/>
        <v>44592</v>
      </c>
      <c r="AB90" s="368">
        <f>AB8</f>
        <v>44681</v>
      </c>
      <c r="AC90" s="368">
        <f t="shared" si="17"/>
        <v>44773</v>
      </c>
      <c r="AD90" s="368">
        <f t="shared" si="17"/>
        <v>44865</v>
      </c>
      <c r="AE90" s="368">
        <f t="shared" si="17"/>
        <v>44957</v>
      </c>
      <c r="AF90" s="369">
        <f t="shared" si="17"/>
        <v>44957</v>
      </c>
      <c r="AG90" s="368">
        <f>AG8</f>
        <v>45046</v>
      </c>
      <c r="AH90" s="368">
        <f t="shared" si="18"/>
        <v>45138</v>
      </c>
      <c r="AI90" s="368">
        <f t="shared" si="18"/>
        <v>45230</v>
      </c>
      <c r="AJ90" s="368">
        <f t="shared" si="18"/>
        <v>45322</v>
      </c>
      <c r="AK90" s="369">
        <f t="shared" si="18"/>
        <v>45322</v>
      </c>
      <c r="AL90" s="368">
        <f>AL8</f>
        <v>45412</v>
      </c>
      <c r="AM90" s="368">
        <f t="shared" si="19"/>
        <v>45504</v>
      </c>
      <c r="AN90" s="368">
        <f t="shared" si="19"/>
        <v>45596</v>
      </c>
      <c r="AO90" s="368">
        <f t="shared" si="19"/>
        <v>45688</v>
      </c>
      <c r="AP90" s="369">
        <f t="shared" si="19"/>
        <v>45688</v>
      </c>
      <c r="AQ90" s="368">
        <f>AQ8</f>
        <v>45777</v>
      </c>
      <c r="AR90" s="368">
        <f t="shared" si="20"/>
        <v>45869</v>
      </c>
      <c r="AS90" s="368">
        <f t="shared" si="20"/>
        <v>45961</v>
      </c>
      <c r="AT90" s="368">
        <f t="shared" si="20"/>
        <v>46053</v>
      </c>
      <c r="AU90" s="369">
        <f t="shared" si="20"/>
        <v>46053</v>
      </c>
      <c r="AV90" s="368">
        <f>AV8</f>
        <v>46142</v>
      </c>
      <c r="AW90" s="368">
        <f t="shared" si="21"/>
        <v>46234</v>
      </c>
      <c r="AX90" s="368">
        <f t="shared" si="21"/>
        <v>46326</v>
      </c>
      <c r="AY90" s="368">
        <f t="shared" si="21"/>
        <v>46418</v>
      </c>
      <c r="AZ90" s="369">
        <f t="shared" si="21"/>
        <v>46418</v>
      </c>
    </row>
    <row r="91" spans="1:52">
      <c r="B91" s="59" t="s">
        <v>406</v>
      </c>
      <c r="C91" s="368"/>
      <c r="D91" s="368"/>
      <c r="E91" s="368"/>
      <c r="F91" s="368"/>
      <c r="G91" s="369"/>
      <c r="H91" s="368"/>
      <c r="I91" s="368"/>
      <c r="J91" s="368"/>
      <c r="K91" s="368"/>
      <c r="L91" s="369"/>
      <c r="M91" s="368"/>
      <c r="N91" s="368"/>
      <c r="O91" s="368"/>
      <c r="P91" s="368"/>
      <c r="Q91" s="369"/>
      <c r="R91" s="368"/>
      <c r="S91" s="368"/>
      <c r="T91" s="368"/>
      <c r="U91" s="368"/>
      <c r="V91" s="369"/>
      <c r="W91" s="368"/>
      <c r="X91" s="368"/>
      <c r="Y91" s="368"/>
      <c r="Z91" s="368"/>
      <c r="AA91" s="369"/>
      <c r="AB91" s="368"/>
      <c r="AC91" s="368"/>
      <c r="AD91" s="368"/>
      <c r="AE91" s="368"/>
      <c r="AF91" s="369"/>
      <c r="AG91" s="368"/>
      <c r="AH91" s="368"/>
      <c r="AI91" s="368"/>
      <c r="AJ91" s="368"/>
      <c r="AK91" s="369"/>
      <c r="AL91" s="368"/>
      <c r="AM91" s="368"/>
      <c r="AN91" s="368"/>
      <c r="AO91" s="368"/>
      <c r="AP91" s="369"/>
      <c r="AQ91" s="368"/>
      <c r="AR91" s="368"/>
      <c r="AS91" s="368"/>
      <c r="AT91" s="368"/>
      <c r="AU91" s="369"/>
      <c r="AV91" s="368"/>
      <c r="AW91" s="368"/>
      <c r="AX91" s="368"/>
      <c r="AY91" s="368"/>
      <c r="AZ91" s="369"/>
    </row>
    <row r="92" spans="1:52" outlineLevel="1">
      <c r="B92" s="58" t="s">
        <v>407</v>
      </c>
      <c r="C92" s="368"/>
      <c r="D92" s="368"/>
      <c r="E92" s="368"/>
      <c r="F92" s="368"/>
      <c r="G92" s="369"/>
      <c r="H92" s="368"/>
      <c r="I92" s="368"/>
      <c r="J92" s="368"/>
      <c r="K92" s="368"/>
      <c r="L92" s="369"/>
      <c r="M92" s="368"/>
      <c r="N92" s="368"/>
      <c r="O92" s="368"/>
      <c r="P92" s="792"/>
      <c r="Q92" s="369"/>
      <c r="R92" s="792"/>
      <c r="S92" s="792"/>
      <c r="T92" s="792">
        <v>44167</v>
      </c>
      <c r="U92" s="792">
        <v>44258</v>
      </c>
      <c r="V92" s="369"/>
      <c r="W92" s="792">
        <v>44342</v>
      </c>
      <c r="X92" s="792">
        <v>44433</v>
      </c>
      <c r="Y92" s="792">
        <v>44531</v>
      </c>
      <c r="Z92" s="792">
        <v>44622</v>
      </c>
      <c r="AA92" s="369"/>
      <c r="AB92" s="792">
        <v>44706</v>
      </c>
      <c r="AC92" s="792">
        <v>44797</v>
      </c>
      <c r="AD92" s="792">
        <v>44895</v>
      </c>
      <c r="AE92" s="792">
        <v>44986</v>
      </c>
      <c r="AF92" s="369"/>
      <c r="AG92" s="792">
        <v>45070</v>
      </c>
      <c r="AH92" s="792">
        <v>45161</v>
      </c>
      <c r="AI92" s="792">
        <v>45259</v>
      </c>
      <c r="AJ92" s="792">
        <v>45350</v>
      </c>
      <c r="AK92" s="369"/>
      <c r="AL92" s="792">
        <v>45434</v>
      </c>
      <c r="AM92" s="792">
        <v>45525</v>
      </c>
      <c r="AN92" s="792">
        <v>45616</v>
      </c>
      <c r="AO92" s="792">
        <v>45714</v>
      </c>
      <c r="AP92" s="369"/>
      <c r="AQ92" s="792">
        <v>45798</v>
      </c>
      <c r="AR92" s="792">
        <v>45896</v>
      </c>
      <c r="AS92" s="792"/>
      <c r="AT92" s="792"/>
      <c r="AU92" s="369"/>
      <c r="AV92" s="792"/>
      <c r="AW92" s="792"/>
      <c r="AX92" s="792"/>
      <c r="AY92" s="792"/>
      <c r="AZ92" s="369"/>
    </row>
    <row r="93" spans="1:52" outlineLevel="1">
      <c r="B93" s="58" t="s">
        <v>408</v>
      </c>
      <c r="C93" s="368"/>
      <c r="D93" s="368"/>
      <c r="E93" s="368"/>
      <c r="F93" s="368"/>
      <c r="G93" s="369"/>
      <c r="H93" s="368"/>
      <c r="I93" s="368"/>
      <c r="J93" s="368"/>
      <c r="K93" s="368"/>
      <c r="L93" s="369"/>
      <c r="M93" s="368"/>
      <c r="N93" s="368"/>
      <c r="O93" s="368"/>
      <c r="P93" s="793"/>
      <c r="Q93" s="369"/>
      <c r="R93" s="793"/>
      <c r="S93" s="793"/>
      <c r="T93" s="793">
        <f>T92+1</f>
        <v>44168</v>
      </c>
      <c r="U93" s="793">
        <f>U92+1</f>
        <v>44259</v>
      </c>
      <c r="V93" s="369"/>
      <c r="W93" s="793">
        <f>W92+1</f>
        <v>44343</v>
      </c>
      <c r="X93" s="793">
        <f>X92+1</f>
        <v>44434</v>
      </c>
      <c r="Y93" s="793">
        <f>Y92+1</f>
        <v>44532</v>
      </c>
      <c r="Z93" s="793">
        <f>Z92+1</f>
        <v>44623</v>
      </c>
      <c r="AA93" s="369"/>
      <c r="AB93" s="793">
        <f>AB92+1</f>
        <v>44707</v>
      </c>
      <c r="AC93" s="793">
        <f>AC92+1</f>
        <v>44798</v>
      </c>
      <c r="AD93" s="793">
        <f>AD92+1</f>
        <v>44896</v>
      </c>
      <c r="AE93" s="793">
        <f>AE92+1</f>
        <v>44987</v>
      </c>
      <c r="AF93" s="369"/>
      <c r="AG93" s="793">
        <f>AG92+1</f>
        <v>45071</v>
      </c>
      <c r="AH93" s="793">
        <f>AH92+1</f>
        <v>45162</v>
      </c>
      <c r="AI93" s="793">
        <f>AI92+1</f>
        <v>45260</v>
      </c>
      <c r="AJ93" s="793">
        <f>AJ92+1</f>
        <v>45351</v>
      </c>
      <c r="AK93" s="369"/>
      <c r="AL93" s="793">
        <f>AL92+1</f>
        <v>45435</v>
      </c>
      <c r="AM93" s="793">
        <f>AM92+1</f>
        <v>45526</v>
      </c>
      <c r="AN93" s="793">
        <f>AN92+1</f>
        <v>45617</v>
      </c>
      <c r="AO93" s="793">
        <f>AO92+1</f>
        <v>45715</v>
      </c>
      <c r="AP93" s="369"/>
      <c r="AQ93" s="793">
        <f>AQ92+1</f>
        <v>45799</v>
      </c>
      <c r="AR93" s="793">
        <f>AR92+1</f>
        <v>45897</v>
      </c>
      <c r="AS93" s="793"/>
      <c r="AT93" s="793"/>
      <c r="AU93" s="369"/>
      <c r="AV93" s="793"/>
      <c r="AW93" s="793"/>
      <c r="AX93" s="793"/>
      <c r="AY93" s="793"/>
      <c r="AZ93" s="369"/>
    </row>
    <row r="94" spans="1:52" outlineLevel="1">
      <c r="B94" s="59"/>
      <c r="C94" s="368"/>
      <c r="D94" s="368"/>
      <c r="E94" s="368"/>
      <c r="F94" s="368"/>
      <c r="G94" s="369"/>
      <c r="H94" s="368"/>
      <c r="I94" s="368"/>
      <c r="J94" s="368"/>
      <c r="K94" s="368"/>
      <c r="L94" s="369"/>
      <c r="M94" s="368"/>
      <c r="N94" s="368"/>
      <c r="O94" s="368"/>
      <c r="P94" s="368"/>
      <c r="Q94" s="369"/>
      <c r="R94" s="368"/>
      <c r="S94" s="368"/>
      <c r="T94" s="368"/>
      <c r="U94" s="368"/>
      <c r="V94" s="369"/>
      <c r="W94" s="368"/>
      <c r="X94" s="368"/>
      <c r="Y94" s="368"/>
      <c r="Z94" s="368"/>
      <c r="AA94" s="369"/>
      <c r="AB94" s="368"/>
      <c r="AC94" s="368"/>
      <c r="AD94" s="368"/>
      <c r="AE94" s="368"/>
      <c r="AF94" s="369"/>
      <c r="AG94" s="368"/>
      <c r="AH94" s="368"/>
      <c r="AI94" s="368"/>
      <c r="AJ94" s="368"/>
      <c r="AK94" s="369"/>
      <c r="AL94" s="368"/>
      <c r="AM94" s="368"/>
      <c r="AN94" s="368"/>
      <c r="AO94" s="368"/>
      <c r="AP94" s="369"/>
      <c r="AQ94" s="368"/>
      <c r="AR94" s="368"/>
      <c r="AS94" s="368"/>
      <c r="AT94" s="368"/>
      <c r="AU94" s="369"/>
      <c r="AV94" s="368"/>
      <c r="AW94" s="368"/>
      <c r="AX94" s="368"/>
      <c r="AY94" s="368"/>
      <c r="AZ94" s="369"/>
    </row>
    <row r="95" spans="1:52" outlineLevel="1">
      <c r="B95" s="654" t="s">
        <v>409</v>
      </c>
      <c r="C95" s="368"/>
      <c r="D95" s="368"/>
      <c r="E95" s="368"/>
      <c r="F95" s="368"/>
      <c r="G95" s="369"/>
      <c r="H95" s="368"/>
      <c r="I95" s="368"/>
      <c r="J95" s="368"/>
      <c r="K95" s="368"/>
      <c r="L95" s="369"/>
      <c r="M95" s="368"/>
      <c r="N95" s="368"/>
      <c r="O95" s="368"/>
      <c r="P95" s="432"/>
      <c r="Q95" s="369"/>
      <c r="R95" s="432"/>
      <c r="S95" s="432"/>
      <c r="T95" s="432" cm="1">
        <f t="array" ref="T95">_xll.FDSB("SNOW", "FG_Price",T92)</f>
        <v>292.69</v>
      </c>
      <c r="U95" s="432" cm="1">
        <f t="array" ref="U95">_xll.FDSB("SNOW", "FG_Price",U92)</f>
        <v>247.03</v>
      </c>
      <c r="V95" s="369"/>
      <c r="W95" s="432" cm="1">
        <f t="array" ref="W95">_xll.FDSB("SNOW", "FG_Price",W92)</f>
        <v>235.25</v>
      </c>
      <c r="X95" s="432" cm="1">
        <f t="array" ref="X95">_xll.FDSB("SNOW", "FG_Price",X92)</f>
        <v>283.76</v>
      </c>
      <c r="Y95" s="432" cm="1">
        <f t="array" ref="Y95">_xll.FDSB("SNOW", "FG_Price",Y92)</f>
        <v>311</v>
      </c>
      <c r="Z95" s="432" cm="1">
        <f t="array" ref="Z95">_xll.FDSB("SNOW", "FG_Price",Z92)</f>
        <v>264.69</v>
      </c>
      <c r="AA95" s="369"/>
      <c r="AB95" s="432" cm="1">
        <f t="array" ref="AB95">_xll.FDSB("SNOW", "FG_Price",AB92)</f>
        <v>132.77000000000001</v>
      </c>
      <c r="AC95" s="432" cm="1">
        <f t="array" ref="AC95">_xll.FDSB("SNOW", "FG_Price",AC92)</f>
        <v>159.49</v>
      </c>
      <c r="AD95" s="432" cm="1">
        <f t="array" ref="AD95">_xll.FDSB("SNOW", "FG_Price",AD92)</f>
        <v>142.9</v>
      </c>
      <c r="AE95" s="432" cm="1">
        <f t="array" ref="AE95">_xll.FDSB("SNOW", "FG_Price",AE92)</f>
        <v>154.5</v>
      </c>
      <c r="AF95" s="369"/>
      <c r="AG95" s="432" cm="1">
        <f t="array" ref="AG95">_xll.FDSB("SNOW", "FG_Price",AG92)</f>
        <v>177.14</v>
      </c>
      <c r="AH95" s="432" cm="1">
        <f t="array" ref="AH95">_xll.FDSB("SNOW", "FG_Price",AH92)</f>
        <v>155.69999999999999</v>
      </c>
      <c r="AI95" s="432" cm="1">
        <f t="array" ref="AI95">_xll.FDSB("SNOW", "FG_Price",AI92)</f>
        <v>175.32</v>
      </c>
      <c r="AJ95" s="432" cm="1">
        <f t="array" ref="AJ95">_xll.FDSB("SNOW", "FG_Price",AJ92)</f>
        <v>230</v>
      </c>
      <c r="AK95" s="369"/>
      <c r="AL95" s="432" cm="1">
        <f t="array" ref="AL95">_xll.FDSB("SNOW", "FG_Price",AL92)</f>
        <v>163.34</v>
      </c>
      <c r="AM95" s="432" cm="1">
        <f t="array" ref="AM95">_xll.FDSB("SNOW", "FG_Price",AM92)</f>
        <v>135.06</v>
      </c>
      <c r="AN95" s="432" cm="1">
        <f t="array" ref="AN95">_xll.FDSB("SNOW", "FG_Price",AN92)</f>
        <v>129.12</v>
      </c>
      <c r="AO95" s="432" cm="1">
        <f t="array" ref="AO95">_xll.FDSB("SNOW", "FG_Price",AO92)</f>
        <v>166.19</v>
      </c>
      <c r="AP95" s="369"/>
      <c r="AQ95" s="432" cm="1">
        <f t="array" ref="AQ95">_xll.FDSB("SNOW", "FG_Price",AQ92)</f>
        <v>179.12</v>
      </c>
      <c r="AR95" s="432" cm="1">
        <f t="array" ref="AR95">_xll.FDSB("SNOW", "FG_Price",AR92)</f>
        <v>200.39</v>
      </c>
      <c r="AS95" s="432"/>
      <c r="AT95" s="432"/>
      <c r="AU95" s="369"/>
      <c r="AV95" s="432"/>
      <c r="AW95" s="432"/>
      <c r="AX95" s="432"/>
      <c r="AY95" s="432"/>
      <c r="AZ95" s="369"/>
    </row>
    <row r="96" spans="1:52" outlineLevel="1">
      <c r="B96" s="654" t="s">
        <v>410</v>
      </c>
      <c r="C96" s="775"/>
      <c r="D96" s="775"/>
      <c r="E96" s="775"/>
      <c r="F96" s="775"/>
      <c r="G96" s="776"/>
      <c r="H96" s="775"/>
      <c r="I96" s="775"/>
      <c r="J96" s="775"/>
      <c r="K96" s="775"/>
      <c r="L96" s="776"/>
      <c r="M96" s="775"/>
      <c r="N96" s="775"/>
      <c r="O96" s="775"/>
      <c r="P96" s="432"/>
      <c r="Q96" s="776"/>
      <c r="R96" s="432"/>
      <c r="S96" s="432"/>
      <c r="T96" s="432" cm="1">
        <f t="array" ref="T96">_xll.FDSB("SNOW", "FG_Price",T93)</f>
        <v>339.89</v>
      </c>
      <c r="U96" s="432" cm="1">
        <f t="array" ref="U96">_xll.FDSB("SNOW", "FG_Price",U93)</f>
        <v>249</v>
      </c>
      <c r="V96" s="754"/>
      <c r="W96" s="432" cm="1">
        <f t="array" ref="W96">_xll.FDSB("SNOW", "FG_Price",W93)</f>
        <v>245.15</v>
      </c>
      <c r="X96" s="432" cm="1">
        <f t="array" ref="X96">_xll.FDSB("SNOW", "FG_Price",X93)</f>
        <v>305.26</v>
      </c>
      <c r="Y96" s="432" cm="1">
        <f t="array" ref="Y96">_xll.FDSB("SNOW", "FG_Price",Y93)</f>
        <v>360.28</v>
      </c>
      <c r="Z96" s="432" cm="1">
        <f t="array" ref="Z96">_xll.FDSB("SNOW", "FG_Price",Z93)</f>
        <v>224.02</v>
      </c>
      <c r="AA96" s="776"/>
      <c r="AB96" s="432" cm="1">
        <f t="array" ref="AB96">_xll.FDSB("SNOW", "FG_Price",AB93)</f>
        <v>126.8</v>
      </c>
      <c r="AC96" s="432" cm="1">
        <f t="array" ref="AC96">_xll.FDSB("SNOW", "FG_Price",AC93)</f>
        <v>196.28</v>
      </c>
      <c r="AD96" s="432" cm="1">
        <f t="array" ref="AD96">_xll.FDSB("SNOW", "FG_Price",AD93)</f>
        <v>154.04</v>
      </c>
      <c r="AE96" s="432" cm="1">
        <f t="array" ref="AE96">_xll.FDSB("SNOW", "FG_Price",AE93)</f>
        <v>135.28</v>
      </c>
      <c r="AF96" s="776"/>
      <c r="AG96" s="432" cm="1">
        <f t="array" ref="AG96">_xll.FDSB("SNOW", "FG_Price",AG93)</f>
        <v>147.91</v>
      </c>
      <c r="AH96" s="432" cm="1">
        <f t="array" ref="AH96">_xll.FDSB("SNOW", "FG_Price",AH93)</f>
        <v>147.66999999999999</v>
      </c>
      <c r="AI96" s="432" cm="1">
        <f t="array" ref="AI96">_xll.FDSB("SNOW", "FG_Price",AI93)</f>
        <v>187.68</v>
      </c>
      <c r="AJ96" s="432" cm="1">
        <f t="array" ref="AJ96">_xll.FDSB("SNOW", "FG_Price",AJ93)</f>
        <v>188.28</v>
      </c>
      <c r="AK96" s="776"/>
      <c r="AL96" s="432" cm="1">
        <f t="array" ref="AL96">_xll.FDSB("SNOW", "FG_Price",AL93)</f>
        <v>154.58000000000001</v>
      </c>
      <c r="AM96" s="432" cm="1">
        <f t="array" ref="AM96">_xll.FDSB("SNOW", "FG_Price",AM93)</f>
        <v>115.21</v>
      </c>
      <c r="AN96" s="432" cm="1">
        <f t="array" ref="AN96">_xll.FDSB("SNOW", "FG_Price",AN93)</f>
        <v>171.35</v>
      </c>
      <c r="AO96" s="432" cm="1">
        <f t="array" ref="AO96">_xll.FDSB("SNOW", "FG_Price",AO93)</f>
        <v>173.69</v>
      </c>
      <c r="AP96" s="776"/>
      <c r="AQ96" s="432" cm="1">
        <f t="array" ref="AQ96">_xll.FDSB("SNOW", "FG_Price",AQ93)</f>
        <v>203.18</v>
      </c>
      <c r="AR96" s="432" cm="1">
        <f t="array" ref="AR96">_xll.FDSB("SNOW", "FG_Price",AR93)</f>
        <v>241</v>
      </c>
      <c r="AS96" s="432"/>
      <c r="AT96" s="432"/>
      <c r="AU96" s="776"/>
      <c r="AV96" s="432"/>
      <c r="AW96" s="432"/>
      <c r="AX96" s="432"/>
      <c r="AY96" s="432"/>
      <c r="AZ96" s="776"/>
    </row>
    <row r="97" spans="2:52" outlineLevel="1">
      <c r="B97" s="654"/>
      <c r="C97" s="775"/>
      <c r="D97" s="775"/>
      <c r="E97" s="775"/>
      <c r="F97" s="775"/>
      <c r="G97" s="776"/>
      <c r="H97" s="775"/>
      <c r="I97" s="775"/>
      <c r="J97" s="775"/>
      <c r="K97" s="775"/>
      <c r="L97" s="776"/>
      <c r="M97" s="775"/>
      <c r="N97" s="775"/>
      <c r="O97" s="775"/>
      <c r="P97" s="775"/>
      <c r="Q97" s="776"/>
      <c r="R97" s="775"/>
      <c r="S97" s="775"/>
      <c r="T97" s="775"/>
      <c r="U97" s="775"/>
      <c r="V97" s="754"/>
      <c r="W97" s="775"/>
      <c r="X97" s="775"/>
      <c r="Y97" s="775"/>
      <c r="Z97" s="775"/>
      <c r="AA97" s="776"/>
      <c r="AB97" s="775"/>
      <c r="AC97" s="775"/>
      <c r="AD97" s="775"/>
      <c r="AE97" s="775"/>
      <c r="AF97" s="776"/>
      <c r="AG97" s="775"/>
      <c r="AH97" s="775"/>
      <c r="AI97" s="775"/>
      <c r="AJ97" s="775"/>
      <c r="AK97" s="776"/>
      <c r="AL97" s="775"/>
      <c r="AM97" s="775"/>
      <c r="AN97" s="775"/>
      <c r="AO97" s="775"/>
      <c r="AP97" s="776"/>
      <c r="AQ97" s="775"/>
      <c r="AR97" s="775"/>
      <c r="AS97" s="775"/>
      <c r="AT97" s="775"/>
      <c r="AU97" s="776"/>
      <c r="AV97" s="775"/>
      <c r="AW97" s="775"/>
      <c r="AX97" s="775"/>
      <c r="AY97" s="775"/>
      <c r="AZ97" s="776"/>
    </row>
    <row r="98" spans="2:52" outlineLevel="1">
      <c r="B98" s="654" t="s">
        <v>411</v>
      </c>
      <c r="C98" s="368"/>
      <c r="D98" s="368"/>
      <c r="E98" s="368"/>
      <c r="F98" s="368"/>
      <c r="G98" s="369"/>
      <c r="H98" s="368"/>
      <c r="I98" s="368"/>
      <c r="J98" s="368"/>
      <c r="K98" s="368"/>
      <c r="L98" s="369"/>
      <c r="M98" s="368"/>
      <c r="N98" s="368"/>
      <c r="O98" s="368"/>
      <c r="P98" s="468"/>
      <c r="Q98" s="369"/>
      <c r="R98" s="468"/>
      <c r="S98" s="468"/>
      <c r="T98" s="468">
        <f>IFERROR(T96/T95-1,"--")</f>
        <v>0.16126276948307083</v>
      </c>
      <c r="U98" s="468">
        <f>IFERROR(U96/U95-1,"--")</f>
        <v>7.9747399101324223E-3</v>
      </c>
      <c r="V98" s="754"/>
      <c r="W98" s="468">
        <f>IFERROR(W96/W95-1,"--")</f>
        <v>4.2082890541976559E-2</v>
      </c>
      <c r="X98" s="468">
        <f>IFERROR(X96/X95-1,"--")</f>
        <v>7.5768254863264772E-2</v>
      </c>
      <c r="Y98" s="468">
        <f>IFERROR(Y96/Y95-1,"--")</f>
        <v>0.15845659163987125</v>
      </c>
      <c r="Z98" s="468">
        <f>IFERROR(Z96/Z95-1,"--")</f>
        <v>-0.15365144130870068</v>
      </c>
      <c r="AA98" s="369"/>
      <c r="AB98" s="468">
        <f>IFERROR(AB96/AB95-1,"--")</f>
        <v>-4.4964977027943109E-2</v>
      </c>
      <c r="AC98" s="468">
        <f>IFERROR(AC96/AC95-1,"--")</f>
        <v>0.23067276945263027</v>
      </c>
      <c r="AD98" s="468">
        <f>IFERROR(AD96/AD95-1,"--")</f>
        <v>7.7956613016095133E-2</v>
      </c>
      <c r="AE98" s="468">
        <f>IFERROR(AE96/AE95-1,"--")</f>
        <v>-0.12440129449838189</v>
      </c>
      <c r="AF98" s="369"/>
      <c r="AG98" s="468">
        <f>IFERROR(AG96/AG95-1,"--")</f>
        <v>-0.16501072597945121</v>
      </c>
      <c r="AH98" s="468">
        <f>IFERROR(AH96/AH95-1,"--")</f>
        <v>-5.1573538856775847E-2</v>
      </c>
      <c r="AI98" s="468">
        <f>IFERROR(AI96/AI95-1,"--")</f>
        <v>7.0499657768651636E-2</v>
      </c>
      <c r="AJ98" s="468">
        <f>IFERROR(AJ96/AJ95-1,"--")</f>
        <v>-0.18139130434782613</v>
      </c>
      <c r="AK98" s="369"/>
      <c r="AL98" s="468">
        <f>IFERROR(AL96/AL95-1,"--")</f>
        <v>-5.363046406269123E-2</v>
      </c>
      <c r="AM98" s="468">
        <f>IFERROR(AM96/AM95-1,"--")</f>
        <v>-0.14697171627424854</v>
      </c>
      <c r="AN98" s="468">
        <f>IFERROR(AN96/AN95-1,"--")</f>
        <v>0.32706009913258982</v>
      </c>
      <c r="AO98" s="468">
        <f>IFERROR(AO96/AO95-1,"--")</f>
        <v>4.5129069137733957E-2</v>
      </c>
      <c r="AP98" s="369"/>
      <c r="AQ98" s="468">
        <f>IFERROR(AQ96/AQ95-1,"--")</f>
        <v>0.13432335864225098</v>
      </c>
      <c r="AR98" s="468">
        <f>IFERROR(AR96/AR95-1,"--")</f>
        <v>0.20265482309496496</v>
      </c>
      <c r="AS98" s="468"/>
      <c r="AT98" s="468"/>
      <c r="AU98" s="369"/>
      <c r="AV98" s="468"/>
      <c r="AW98" s="468"/>
      <c r="AX98" s="468"/>
      <c r="AY98" s="468"/>
      <c r="AZ98" s="369"/>
    </row>
    <row r="99" spans="2:52" outlineLevel="1">
      <c r="B99" s="654" t="s">
        <v>412</v>
      </c>
      <c r="C99" s="368"/>
      <c r="D99" s="368"/>
      <c r="E99" s="368"/>
      <c r="F99" s="368"/>
      <c r="G99" s="369"/>
      <c r="H99" s="368"/>
      <c r="I99" s="368"/>
      <c r="J99" s="368"/>
      <c r="K99" s="368"/>
      <c r="L99" s="369"/>
      <c r="M99" s="368"/>
      <c r="N99" s="368"/>
      <c r="O99" s="368"/>
      <c r="P99" s="432"/>
      <c r="Q99" s="369"/>
      <c r="R99" s="432"/>
      <c r="S99" s="432"/>
      <c r="T99" s="432">
        <f>IFERROR(T96-T95,"--")</f>
        <v>47.199999999999989</v>
      </c>
      <c r="U99" s="432">
        <f>IFERROR(U96-U95,"--")</f>
        <v>1.9699999999999989</v>
      </c>
      <c r="V99" s="778"/>
      <c r="W99" s="432">
        <f>IFERROR(W96-W95,"--")</f>
        <v>9.9000000000000057</v>
      </c>
      <c r="X99" s="432">
        <f>IFERROR(X96-X95,"--")</f>
        <v>21.5</v>
      </c>
      <c r="Y99" s="432">
        <f>IFERROR(Y96-Y95,"--")</f>
        <v>49.279999999999973</v>
      </c>
      <c r="Z99" s="432">
        <f>IFERROR(Z96-Z95,"--")</f>
        <v>-40.669999999999987</v>
      </c>
      <c r="AA99" s="369"/>
      <c r="AB99" s="432">
        <f>IFERROR(AB96-AB95,"--")</f>
        <v>-5.9700000000000131</v>
      </c>
      <c r="AC99" s="432">
        <f>IFERROR(AC96-AC95,"--")</f>
        <v>36.789999999999992</v>
      </c>
      <c r="AD99" s="432">
        <f>IFERROR(AD96-AD95,"--")</f>
        <v>11.139999999999986</v>
      </c>
      <c r="AE99" s="432">
        <f>IFERROR(AE96-AE95,"--")</f>
        <v>-19.22</v>
      </c>
      <c r="AF99" s="369"/>
      <c r="AG99" s="432">
        <f>IFERROR(AG96-AG95,"--")</f>
        <v>-29.22999999999999</v>
      </c>
      <c r="AH99" s="432">
        <f>IFERROR(AH96-AH95,"--")</f>
        <v>-8.0300000000000011</v>
      </c>
      <c r="AI99" s="432">
        <f>IFERROR(AI96-AI95,"--")</f>
        <v>12.360000000000014</v>
      </c>
      <c r="AJ99" s="432">
        <f>IFERROR(AJ96-AJ95,"--")</f>
        <v>-41.72</v>
      </c>
      <c r="AK99" s="369"/>
      <c r="AL99" s="432">
        <f>IFERROR(AL96-AL95,"--")</f>
        <v>-8.7599999999999909</v>
      </c>
      <c r="AM99" s="432">
        <f>IFERROR(AM96-AM95,"--")</f>
        <v>-19.850000000000009</v>
      </c>
      <c r="AN99" s="432">
        <f>IFERROR(AN96-AN95,"--")</f>
        <v>42.22999999999999</v>
      </c>
      <c r="AO99" s="432">
        <f>IFERROR(AO96-AO95,"--")</f>
        <v>7.5</v>
      </c>
      <c r="AP99" s="369"/>
      <c r="AQ99" s="432">
        <f>IFERROR(AQ96-AQ95,"--")</f>
        <v>24.060000000000002</v>
      </c>
      <c r="AR99" s="432">
        <f>IFERROR(AR96-AR95,"--")</f>
        <v>40.610000000000014</v>
      </c>
      <c r="AS99" s="432"/>
      <c r="AT99" s="432"/>
      <c r="AU99" s="369"/>
      <c r="AV99" s="432"/>
      <c r="AW99" s="432"/>
      <c r="AX99" s="432"/>
      <c r="AY99" s="432"/>
      <c r="AZ99" s="369"/>
    </row>
    <row r="100" spans="2:52" outlineLevel="1">
      <c r="B100" s="654"/>
      <c r="C100" s="368"/>
      <c r="D100" s="368"/>
      <c r="E100" s="368"/>
      <c r="F100" s="368"/>
      <c r="G100" s="369"/>
      <c r="H100" s="368"/>
      <c r="I100" s="368"/>
      <c r="J100" s="368"/>
      <c r="K100" s="368"/>
      <c r="L100" s="369"/>
      <c r="M100" s="368"/>
      <c r="N100" s="368"/>
      <c r="O100" s="368"/>
      <c r="P100" s="432"/>
      <c r="Q100" s="369"/>
      <c r="R100" s="432"/>
      <c r="S100" s="432"/>
      <c r="T100" s="432"/>
      <c r="U100" s="432"/>
      <c r="V100" s="778"/>
      <c r="W100" s="432"/>
      <c r="X100" s="432"/>
      <c r="Y100" s="432"/>
      <c r="Z100" s="432"/>
      <c r="AA100" s="369"/>
      <c r="AB100" s="432"/>
      <c r="AC100" s="432"/>
      <c r="AD100" s="432"/>
      <c r="AE100" s="432"/>
      <c r="AF100" s="369"/>
      <c r="AG100" s="432"/>
      <c r="AH100" s="432"/>
      <c r="AI100" s="432"/>
      <c r="AJ100" s="432"/>
      <c r="AK100" s="369"/>
      <c r="AL100" s="432"/>
      <c r="AM100" s="432"/>
      <c r="AN100" s="432"/>
      <c r="AO100" s="432"/>
      <c r="AP100" s="369"/>
      <c r="AQ100" s="432"/>
      <c r="AR100" s="432"/>
      <c r="AS100" s="432"/>
      <c r="AT100" s="432"/>
      <c r="AU100" s="369"/>
      <c r="AV100" s="432"/>
      <c r="AW100" s="432"/>
      <c r="AX100" s="432"/>
      <c r="AY100" s="432"/>
      <c r="AZ100" s="369"/>
    </row>
    <row r="101" spans="2:52" outlineLevel="1">
      <c r="B101" s="654" t="s">
        <v>413</v>
      </c>
      <c r="C101" s="368"/>
      <c r="D101" s="368"/>
      <c r="E101" s="368"/>
      <c r="F101" s="368"/>
      <c r="G101" s="369"/>
      <c r="H101" s="368"/>
      <c r="I101" s="368"/>
      <c r="J101" s="368"/>
      <c r="K101" s="368"/>
      <c r="L101" s="369"/>
      <c r="M101" s="368"/>
      <c r="N101" s="368"/>
      <c r="O101" s="368"/>
      <c r="P101" s="429"/>
      <c r="Q101" s="778"/>
      <c r="R101" s="429"/>
      <c r="S101" s="429"/>
      <c r="T101" s="429" cm="1">
        <f t="array" ref="T101">_xll.FDS("COMP", "FG_Price",T92)</f>
        <v>12349.367</v>
      </c>
      <c r="U101" s="429" cm="1">
        <f t="array" ref="U101">_xll.FDS("COMP", "FG_Price",U92)</f>
        <v>12997.75</v>
      </c>
      <c r="V101" s="778"/>
      <c r="W101" s="429" cm="1">
        <f t="array" ref="W101">_xll.FDS("COMP", "FG_Price",W92)</f>
        <v>13737.995999999999</v>
      </c>
      <c r="X101" s="429" cm="1">
        <f t="array" ref="X101">_xll.FDS("COMP", "FG_Price",X92)</f>
        <v>15041.859</v>
      </c>
      <c r="Y101" s="429" cm="1">
        <f t="array" ref="Y101">_xll.FDS("COMP", "FG_Price",Y92)</f>
        <v>15254.052</v>
      </c>
      <c r="Z101" s="429" cm="1">
        <f t="array" ref="Z101">_xll.FDS("COMP", "FG_Price",Z92)</f>
        <v>13752.016</v>
      </c>
      <c r="AA101" s="369"/>
      <c r="AB101" s="429" cm="1">
        <f t="array" ref="AB101">_xll.FDS("COMP", "FG_Price",AB92)</f>
        <v>11434.741</v>
      </c>
      <c r="AC101" s="429" cm="1">
        <f t="array" ref="AC101">_xll.FDS("COMP", "FG_Price",AC92)</f>
        <v>12431.528</v>
      </c>
      <c r="AD101" s="429" cm="1">
        <f t="array" ref="AD101">_xll.FDS("COMP", "FG_Price",AD92)</f>
        <v>11467.995999999999</v>
      </c>
      <c r="AE101" s="429" cm="1">
        <f t="array" ref="AE101">_xll.FDS("COMP", "FG_Price",AE92)</f>
        <v>11379.485000000001</v>
      </c>
      <c r="AF101" s="369"/>
      <c r="AG101" s="429" cm="1">
        <f t="array" ref="AG101">_xll.FDS("COMP", "FG_Price",AG92)</f>
        <v>12484.162</v>
      </c>
      <c r="AH101" s="429" cm="1">
        <f t="array" ref="AH101">_xll.FDS("COMP", "FG_Price",AH92)</f>
        <v>13721.032999999999</v>
      </c>
      <c r="AI101" s="429" cm="1">
        <f t="array" ref="AI101">_xll.FDS("COMP", "FG_Price",AI92)</f>
        <v>14258.49</v>
      </c>
      <c r="AJ101" s="429" cm="1">
        <f t="array" ref="AJ101">_xll.FDS("COMP", "FG_Price",AJ92)</f>
        <v>15947.737999999999</v>
      </c>
      <c r="AK101" s="369"/>
      <c r="AL101" s="429" cm="1">
        <f t="array" ref="AL101">_xll.FDS("COMP", "FG_Price",AL92)</f>
        <v>16801.544999999998</v>
      </c>
      <c r="AM101" s="429" cm="1">
        <f t="array" ref="AM101">_xll.FDS("COMP", "FG_Price",AM92)</f>
        <v>17918.986000000001</v>
      </c>
      <c r="AN101" s="429" cm="1">
        <f t="array" ref="AN101">_xll.FDS("COMP", "FG_Price",AN92)</f>
        <v>18966.143</v>
      </c>
      <c r="AO101" s="429" cm="1">
        <f t="array" ref="AO101">_xll.FDS("COMP", "FG_Price",AO92)</f>
        <v>19075.263999999999</v>
      </c>
      <c r="AP101" s="369"/>
      <c r="AQ101" s="429" cm="1">
        <f t="array" ref="AQ101">_xll.FDS("COMP", "FG_Price",AQ92)</f>
        <v>18872.643</v>
      </c>
      <c r="AR101" s="429" cm="1">
        <f t="array" ref="AR101">_xll.FDS("COMP", "FG_Price",AR92)</f>
        <v>21590.14</v>
      </c>
      <c r="AS101" s="429"/>
      <c r="AT101" s="429"/>
      <c r="AU101" s="369"/>
      <c r="AV101" s="429"/>
      <c r="AW101" s="429"/>
      <c r="AX101" s="429"/>
      <c r="AY101" s="429"/>
      <c r="AZ101" s="369"/>
    </row>
    <row r="102" spans="2:52" outlineLevel="1">
      <c r="B102" s="654" t="s">
        <v>414</v>
      </c>
      <c r="C102" s="368"/>
      <c r="D102" s="368"/>
      <c r="E102" s="368"/>
      <c r="F102" s="368"/>
      <c r="G102" s="369"/>
      <c r="H102" s="368"/>
      <c r="I102" s="368"/>
      <c r="J102" s="368"/>
      <c r="K102" s="368"/>
      <c r="L102" s="369"/>
      <c r="M102" s="368"/>
      <c r="N102" s="368"/>
      <c r="O102" s="368"/>
      <c r="P102" s="429"/>
      <c r="Q102" s="752"/>
      <c r="R102" s="429"/>
      <c r="S102" s="429"/>
      <c r="T102" s="429" cm="1">
        <f t="array" ref="T102">_xll.FDS("COMP", "FG_Price",T93)</f>
        <v>12377.18</v>
      </c>
      <c r="U102" s="429" cm="1">
        <f t="array" ref="U102">_xll.FDS("COMP", "FG_Price",U93)</f>
        <v>12723.473</v>
      </c>
      <c r="V102" s="754"/>
      <c r="W102" s="429" cm="1">
        <f t="array" ref="W102">_xll.FDS("COMP", "FG_Price",W93)</f>
        <v>13736.277</v>
      </c>
      <c r="X102" s="429" cm="1">
        <f t="array" ref="X102">_xll.FDS("COMP", "FG_Price",X93)</f>
        <v>14945.808999999999</v>
      </c>
      <c r="Y102" s="429" cm="1">
        <f t="array" ref="Y102">_xll.FDS("COMP", "FG_Price",Y93)</f>
        <v>15381.32</v>
      </c>
      <c r="Z102" s="429" cm="1">
        <f t="array" ref="Z102">_xll.FDS("COMP", "FG_Price",Z93)</f>
        <v>13537.941000000001</v>
      </c>
      <c r="AA102" s="369"/>
      <c r="AB102" s="429" cm="1">
        <f t="array" ref="AB102">_xll.FDS("COMP", "FG_Price",AB93)</f>
        <v>11740.65</v>
      </c>
      <c r="AC102" s="429" cm="1">
        <f t="array" ref="AC102">_xll.FDS("COMP", "FG_Price",AC93)</f>
        <v>12639.264999999999</v>
      </c>
      <c r="AD102" s="429" cm="1">
        <f t="array" ref="AD102">_xll.FDS("COMP", "FG_Price",AD93)</f>
        <v>11482.449000000001</v>
      </c>
      <c r="AE102" s="429" cm="1">
        <f t="array" ref="AE102">_xll.FDS("COMP", "FG_Price",AE93)</f>
        <v>11462.982</v>
      </c>
      <c r="AF102" s="369"/>
      <c r="AG102" s="429" cm="1">
        <f t="array" ref="AG102">_xll.FDS("COMP", "FG_Price",AG93)</f>
        <v>12698.093999999999</v>
      </c>
      <c r="AH102" s="429" cm="1">
        <f t="array" ref="AH102">_xll.FDS("COMP", "FG_Price",AH93)</f>
        <v>13463.972</v>
      </c>
      <c r="AI102" s="429" cm="1">
        <f t="array" ref="AI102">_xll.FDS("COMP", "FG_Price",AI93)</f>
        <v>14226.218000000001</v>
      </c>
      <c r="AJ102" s="429" cm="1">
        <f t="array" ref="AJ102">_xll.FDS("COMP", "FG_Price",AJ93)</f>
        <v>16091.922</v>
      </c>
      <c r="AK102" s="369"/>
      <c r="AL102" s="429" cm="1">
        <f t="array" ref="AL102">_xll.FDS("COMP", "FG_Price",AL93)</f>
        <v>16736.032999999999</v>
      </c>
      <c r="AM102" s="429" cm="1">
        <f t="array" ref="AM102">_xll.FDS("COMP", "FG_Price",AM93)</f>
        <v>17619.353999999999</v>
      </c>
      <c r="AN102" s="429" cm="1">
        <f t="array" ref="AN102">_xll.FDS("COMP", "FG_Price",AN93)</f>
        <v>18972.419999999998</v>
      </c>
      <c r="AO102" s="429" cm="1">
        <f t="array" ref="AO102">_xll.FDS("COMP", "FG_Price",AO93)</f>
        <v>18544.419999999998</v>
      </c>
      <c r="AP102" s="369"/>
      <c r="AQ102" s="429" cm="1">
        <f t="array" ref="AQ102">_xll.FDS("COMP", "FG_Price",AQ93)</f>
        <v>18925.734</v>
      </c>
      <c r="AR102" s="429" cm="1">
        <f t="array" ref="AR102">_xll.FDS("COMP", "FG_Price",AR93)</f>
        <v>21705.157999999999</v>
      </c>
      <c r="AS102" s="429"/>
      <c r="AT102" s="429"/>
      <c r="AU102" s="369"/>
      <c r="AV102" s="429"/>
      <c r="AW102" s="429"/>
      <c r="AX102" s="429"/>
      <c r="AY102" s="429"/>
      <c r="AZ102" s="369"/>
    </row>
    <row r="103" spans="2:52" outlineLevel="1">
      <c r="B103" s="654"/>
      <c r="C103" s="368"/>
      <c r="D103" s="368"/>
      <c r="E103" s="368"/>
      <c r="F103" s="368"/>
      <c r="G103" s="369"/>
      <c r="H103" s="368"/>
      <c r="I103" s="368"/>
      <c r="J103" s="368"/>
      <c r="K103" s="368"/>
      <c r="L103" s="369"/>
      <c r="M103" s="368"/>
      <c r="N103" s="368"/>
      <c r="O103" s="368"/>
      <c r="P103" s="775"/>
      <c r="Q103" s="776"/>
      <c r="R103" s="775"/>
      <c r="S103" s="775"/>
      <c r="T103" s="775"/>
      <c r="U103" s="775"/>
      <c r="V103" s="754"/>
      <c r="W103" s="775"/>
      <c r="X103" s="775"/>
      <c r="Y103" s="775"/>
      <c r="Z103" s="775"/>
      <c r="AA103" s="369"/>
      <c r="AB103" s="775"/>
      <c r="AC103" s="775"/>
      <c r="AD103" s="775"/>
      <c r="AE103" s="775"/>
      <c r="AF103" s="369"/>
      <c r="AG103" s="775"/>
      <c r="AH103" s="775"/>
      <c r="AI103" s="775"/>
      <c r="AJ103" s="775"/>
      <c r="AK103" s="369"/>
      <c r="AL103" s="775"/>
      <c r="AM103" s="775"/>
      <c r="AN103" s="775"/>
      <c r="AO103" s="775"/>
      <c r="AP103" s="369"/>
      <c r="AQ103" s="775"/>
      <c r="AR103" s="775"/>
      <c r="AS103" s="775"/>
      <c r="AT103" s="775"/>
      <c r="AU103" s="369"/>
      <c r="AV103" s="775"/>
      <c r="AW103" s="775"/>
      <c r="AX103" s="775"/>
      <c r="AY103" s="775"/>
      <c r="AZ103" s="369"/>
    </row>
    <row r="104" spans="2:52" outlineLevel="1">
      <c r="B104" s="654" t="s">
        <v>411</v>
      </c>
      <c r="C104" s="368"/>
      <c r="D104" s="368"/>
      <c r="E104" s="368"/>
      <c r="F104" s="368"/>
      <c r="G104" s="369"/>
      <c r="H104" s="368"/>
      <c r="I104" s="368"/>
      <c r="J104" s="368"/>
      <c r="K104" s="368"/>
      <c r="L104" s="369"/>
      <c r="M104" s="368"/>
      <c r="N104" s="368"/>
      <c r="O104" s="368"/>
      <c r="P104" s="468"/>
      <c r="Q104" s="369"/>
      <c r="R104" s="468"/>
      <c r="S104" s="468"/>
      <c r="T104" s="468">
        <f>IFERROR(T102/T101-1,"--")</f>
        <v>2.2521802129615853E-3</v>
      </c>
      <c r="U104" s="468">
        <f>IFERROR(U102/U101-1,"--")</f>
        <v>-2.1101883018214695E-2</v>
      </c>
      <c r="V104" s="754"/>
      <c r="W104" s="468">
        <f>IFERROR(W102/W101-1,"--")</f>
        <v>-1.2512742033110591E-4</v>
      </c>
      <c r="X104" s="468">
        <f>IFERROR(X102/X101-1,"--")</f>
        <v>-6.3855139181933085E-3</v>
      </c>
      <c r="Y104" s="468">
        <f>IFERROR(Y102/Y101-1,"--")</f>
        <v>8.3432257868270021E-3</v>
      </c>
      <c r="Z104" s="468">
        <f>IFERROR(Z102/Z101-1,"--")</f>
        <v>-1.5566808531927157E-2</v>
      </c>
      <c r="AA104" s="369"/>
      <c r="AB104" s="468">
        <f>IFERROR(AB102/AB101-1,"--")</f>
        <v>2.6752595445755922E-2</v>
      </c>
      <c r="AC104" s="468">
        <f>IFERROR(AC102/AC101-1,"--")</f>
        <v>1.6710496087045668E-2</v>
      </c>
      <c r="AD104" s="468">
        <f>IFERROR(AD102/AD101-1,"--")</f>
        <v>1.2602899408058477E-3</v>
      </c>
      <c r="AE104" s="468">
        <f>IFERROR(AE102/AE101-1,"--")</f>
        <v>7.3375025319686316E-3</v>
      </c>
      <c r="AF104" s="369"/>
      <c r="AG104" s="468">
        <f>IFERROR(AG102/AG101-1,"--")</f>
        <v>1.7136272342508807E-2</v>
      </c>
      <c r="AH104" s="468">
        <f>IFERROR(AH102/AH101-1,"--")</f>
        <v>-1.8734813916707282E-2</v>
      </c>
      <c r="AI104" s="468">
        <f>IFERROR(AI102/AI101-1,"--")</f>
        <v>-2.2633532723309591E-3</v>
      </c>
      <c r="AJ104" s="468">
        <f>IFERROR(AJ102/AJ101-1,"--")</f>
        <v>9.0410313989357505E-3</v>
      </c>
      <c r="AK104" s="369"/>
      <c r="AL104" s="468">
        <f>IFERROR(AL102/AL101-1,"--")</f>
        <v>-3.8991652255788711E-3</v>
      </c>
      <c r="AM104" s="468">
        <f>IFERROR(AM102/AM101-1,"--")</f>
        <v>-1.6721481896352919E-2</v>
      </c>
      <c r="AN104" s="468">
        <f>IFERROR(AN102/AN101-1,"--")</f>
        <v>3.3095817109463077E-4</v>
      </c>
      <c r="AO104" s="468">
        <f>IFERROR(AO102/AO101-1,"--")</f>
        <v>-2.7828920218351927E-2</v>
      </c>
      <c r="AP104" s="369"/>
      <c r="AQ104" s="468">
        <f>IFERROR(AQ102/AQ101-1,"--")</f>
        <v>2.8131194978890939E-3</v>
      </c>
      <c r="AR104" s="468">
        <f>IFERROR(AR102/AR101-1,"--")</f>
        <v>5.3273392391155472E-3</v>
      </c>
      <c r="AS104" s="468"/>
      <c r="AT104" s="468"/>
      <c r="AU104" s="369"/>
      <c r="AV104" s="468"/>
      <c r="AW104" s="468"/>
      <c r="AX104" s="468"/>
      <c r="AY104" s="468"/>
      <c r="AZ104" s="369"/>
    </row>
    <row r="105" spans="2:52" outlineLevel="1">
      <c r="B105" s="654" t="s">
        <v>412</v>
      </c>
      <c r="C105" s="368"/>
      <c r="D105" s="368"/>
      <c r="E105" s="368"/>
      <c r="F105" s="368"/>
      <c r="G105" s="369"/>
      <c r="H105" s="368"/>
      <c r="I105" s="368"/>
      <c r="J105" s="368"/>
      <c r="K105" s="368"/>
      <c r="L105" s="369"/>
      <c r="M105" s="368"/>
      <c r="N105" s="368"/>
      <c r="O105" s="368"/>
      <c r="P105" s="432"/>
      <c r="Q105" s="369"/>
      <c r="R105" s="432"/>
      <c r="S105" s="432"/>
      <c r="T105" s="432">
        <f>IFERROR(T102-T101,"--")</f>
        <v>27.813000000000102</v>
      </c>
      <c r="U105" s="432">
        <f>IFERROR(U102-U101,"--")</f>
        <v>-274.27700000000004</v>
      </c>
      <c r="V105" s="778"/>
      <c r="W105" s="432">
        <f>IFERROR(W102-W101,"--")</f>
        <v>-1.7189999999991414</v>
      </c>
      <c r="X105" s="432">
        <f>IFERROR(X102-X101,"--")</f>
        <v>-96.050000000001091</v>
      </c>
      <c r="Y105" s="432">
        <f>IFERROR(Y102-Y101,"--")</f>
        <v>127.26800000000003</v>
      </c>
      <c r="Z105" s="432">
        <f>IFERROR(Z102-Z101,"--")</f>
        <v>-214.07499999999891</v>
      </c>
      <c r="AA105" s="369"/>
      <c r="AB105" s="432">
        <f>IFERROR(AB102-AB101,"--")</f>
        <v>305.90899999999965</v>
      </c>
      <c r="AC105" s="432">
        <f>IFERROR(AC102-AC101,"--")</f>
        <v>207.73699999999917</v>
      </c>
      <c r="AD105" s="432">
        <f>IFERROR(AD102-AD101,"--")</f>
        <v>14.453000000001339</v>
      </c>
      <c r="AE105" s="432">
        <f>IFERROR(AE102-AE101,"--")</f>
        <v>83.496999999999389</v>
      </c>
      <c r="AF105" s="369"/>
      <c r="AG105" s="432">
        <f>IFERROR(AG102-AG101,"--")</f>
        <v>213.93199999999888</v>
      </c>
      <c r="AH105" s="432">
        <f>IFERROR(AH102-AH101,"--")</f>
        <v>-257.06099999999969</v>
      </c>
      <c r="AI105" s="432">
        <f>IFERROR(AI102-AI101,"--")</f>
        <v>-32.271999999999025</v>
      </c>
      <c r="AJ105" s="432">
        <f>IFERROR(AJ102-AJ101,"--")</f>
        <v>144.18400000000111</v>
      </c>
      <c r="AK105" s="369"/>
      <c r="AL105" s="432">
        <f>IFERROR(AL102-AL101,"--")</f>
        <v>-65.511999999998807</v>
      </c>
      <c r="AM105" s="432">
        <f>IFERROR(AM102-AM101,"--")</f>
        <v>-299.63200000000143</v>
      </c>
      <c r="AN105" s="432">
        <f>IFERROR(AN102-AN101,"--")</f>
        <v>6.2769999999982247</v>
      </c>
      <c r="AO105" s="432">
        <f>IFERROR(AO102-AO101,"--")</f>
        <v>-530.84400000000096</v>
      </c>
      <c r="AP105" s="369"/>
      <c r="AQ105" s="432">
        <f>IFERROR(AQ102-AQ101,"--")</f>
        <v>53.091000000000349</v>
      </c>
      <c r="AR105" s="432">
        <f>IFERROR(AR102-AR101,"--")</f>
        <v>115.01800000000003</v>
      </c>
      <c r="AS105" s="432"/>
      <c r="AT105" s="432"/>
      <c r="AU105" s="369"/>
      <c r="AV105" s="432"/>
      <c r="AW105" s="432"/>
      <c r="AX105" s="432"/>
      <c r="AY105" s="432"/>
      <c r="AZ105" s="369"/>
    </row>
    <row r="106" spans="2:52">
      <c r="C106" s="576"/>
      <c r="D106" s="468"/>
      <c r="E106" s="468"/>
      <c r="F106" s="468"/>
      <c r="G106" s="646"/>
      <c r="H106" s="576"/>
      <c r="I106" s="468"/>
      <c r="J106" s="468"/>
      <c r="K106" s="468"/>
      <c r="L106" s="646"/>
      <c r="M106" s="576"/>
      <c r="N106" s="468"/>
      <c r="O106" s="468"/>
      <c r="P106" s="468"/>
      <c r="Q106" s="646"/>
      <c r="R106" s="576"/>
      <c r="S106" s="468"/>
      <c r="T106" s="468"/>
      <c r="U106" s="468"/>
      <c r="V106" s="646"/>
      <c r="W106" s="576"/>
      <c r="X106" s="576"/>
      <c r="Y106" s="468"/>
      <c r="Z106" s="468"/>
      <c r="AA106" s="646"/>
      <c r="AB106" s="576"/>
      <c r="AC106" s="576"/>
      <c r="AD106" s="468"/>
      <c r="AE106" s="468"/>
      <c r="AF106" s="646"/>
      <c r="AG106" s="576"/>
      <c r="AH106" s="576"/>
      <c r="AI106" s="468"/>
      <c r="AJ106" s="468"/>
      <c r="AK106" s="646"/>
      <c r="AL106" s="576"/>
      <c r="AM106" s="576"/>
      <c r="AN106" s="468"/>
      <c r="AO106" s="468"/>
      <c r="AP106" s="646"/>
      <c r="AQ106" s="576"/>
      <c r="AR106" s="468"/>
      <c r="AS106" s="468"/>
      <c r="AT106" s="468"/>
      <c r="AU106" s="646"/>
      <c r="AV106" s="576"/>
      <c r="AW106" s="468"/>
      <c r="AX106" s="468"/>
      <c r="AY106" s="468"/>
      <c r="AZ106" s="646"/>
    </row>
    <row r="121" spans="3:52">
      <c r="C121" s="471"/>
      <c r="D121" s="471"/>
      <c r="E121" s="471"/>
      <c r="F121" s="471"/>
      <c r="G121" s="471"/>
      <c r="H121" s="471"/>
      <c r="I121" s="471"/>
      <c r="J121" s="471"/>
      <c r="K121" s="471"/>
      <c r="L121" s="471"/>
      <c r="M121" s="471"/>
      <c r="N121" s="471"/>
      <c r="O121" s="471"/>
      <c r="P121" s="471"/>
      <c r="Q121" s="471"/>
      <c r="R121" s="471"/>
      <c r="S121" s="471"/>
      <c r="T121" s="471"/>
      <c r="U121" s="471"/>
      <c r="V121" s="471"/>
      <c r="W121" s="471"/>
      <c r="X121" s="471"/>
      <c r="Y121" s="471"/>
      <c r="Z121" s="471"/>
      <c r="AA121" s="471"/>
      <c r="AB121" s="471"/>
      <c r="AC121" s="471"/>
      <c r="AD121" s="471"/>
      <c r="AE121" s="471"/>
      <c r="AF121" s="471"/>
      <c r="AG121" s="471"/>
      <c r="AH121" s="471"/>
      <c r="AI121" s="471"/>
      <c r="AJ121" s="471"/>
      <c r="AK121" s="471"/>
      <c r="AL121" s="471"/>
      <c r="AM121" s="471"/>
      <c r="AN121" s="471"/>
      <c r="AO121" s="471"/>
      <c r="AP121" s="471"/>
      <c r="AQ121" s="471"/>
      <c r="AR121" s="471"/>
      <c r="AS121" s="471"/>
      <c r="AT121" s="471"/>
      <c r="AU121" s="471"/>
      <c r="AV121" s="471"/>
      <c r="AW121" s="471"/>
      <c r="AX121" s="471"/>
      <c r="AY121" s="471"/>
      <c r="AZ121" s="471"/>
    </row>
    <row r="122" spans="3:52">
      <c r="C122" s="471"/>
      <c r="D122" s="471"/>
      <c r="E122" s="471"/>
      <c r="F122" s="471"/>
      <c r="G122" s="471"/>
      <c r="H122" s="471"/>
      <c r="I122" s="471"/>
      <c r="J122" s="471"/>
      <c r="K122" s="471"/>
      <c r="L122" s="471"/>
      <c r="M122" s="471"/>
      <c r="N122" s="471"/>
      <c r="O122" s="471"/>
      <c r="P122" s="471"/>
      <c r="Q122" s="471"/>
      <c r="R122" s="471"/>
      <c r="S122" s="471"/>
      <c r="T122" s="471"/>
      <c r="U122" s="471"/>
      <c r="V122" s="471"/>
      <c r="W122" s="471"/>
      <c r="X122" s="471"/>
      <c r="Y122" s="471"/>
      <c r="Z122" s="471"/>
      <c r="AA122" s="471"/>
      <c r="AB122" s="471"/>
      <c r="AC122" s="471"/>
      <c r="AD122" s="471"/>
      <c r="AE122" s="471"/>
      <c r="AF122" s="471"/>
      <c r="AG122" s="471"/>
      <c r="AH122" s="471"/>
      <c r="AI122" s="471"/>
      <c r="AJ122" s="471"/>
      <c r="AK122" s="471"/>
      <c r="AL122" s="471"/>
      <c r="AM122" s="471"/>
      <c r="AN122" s="471"/>
      <c r="AO122" s="471"/>
      <c r="AP122" s="471"/>
      <c r="AQ122" s="471"/>
      <c r="AR122" s="471"/>
      <c r="AS122" s="471"/>
      <c r="AT122" s="471"/>
      <c r="AU122" s="471"/>
      <c r="AV122" s="471"/>
      <c r="AW122" s="471"/>
      <c r="AX122" s="471"/>
      <c r="AY122" s="471"/>
      <c r="AZ122" s="471"/>
    </row>
    <row r="123" spans="3:52">
      <c r="C123" s="472"/>
      <c r="D123" s="471"/>
      <c r="E123" s="471"/>
      <c r="F123" s="471"/>
      <c r="G123" s="471"/>
      <c r="H123" s="472"/>
      <c r="I123" s="471"/>
      <c r="J123" s="471"/>
      <c r="K123" s="471"/>
      <c r="L123" s="471"/>
      <c r="M123" s="472"/>
      <c r="N123" s="471"/>
      <c r="O123" s="471"/>
      <c r="P123" s="471"/>
      <c r="Q123" s="471"/>
      <c r="R123" s="472"/>
      <c r="S123" s="471"/>
      <c r="T123" s="471"/>
      <c r="U123" s="471"/>
      <c r="V123" s="471"/>
      <c r="W123" s="472"/>
      <c r="X123" s="471"/>
      <c r="Y123" s="471"/>
      <c r="Z123" s="471"/>
      <c r="AA123" s="471"/>
      <c r="AB123" s="472"/>
      <c r="AC123" s="471"/>
      <c r="AD123" s="471"/>
      <c r="AE123" s="471"/>
      <c r="AF123" s="471"/>
      <c r="AG123" s="472"/>
      <c r="AH123" s="471"/>
      <c r="AI123" s="471"/>
      <c r="AJ123" s="471"/>
      <c r="AK123" s="471"/>
      <c r="AL123" s="472"/>
      <c r="AM123" s="471"/>
      <c r="AN123" s="471"/>
      <c r="AO123" s="471"/>
      <c r="AP123" s="471"/>
      <c r="AQ123" s="472"/>
      <c r="AR123" s="471"/>
      <c r="AS123" s="471"/>
      <c r="AT123" s="471"/>
      <c r="AU123" s="471"/>
      <c r="AV123" s="472"/>
      <c r="AW123" s="471"/>
      <c r="AX123" s="471"/>
      <c r="AY123" s="471"/>
      <c r="AZ123" s="471"/>
    </row>
    <row r="124" spans="3:52">
      <c r="C124" s="473"/>
      <c r="D124" s="471"/>
      <c r="E124" s="471"/>
      <c r="F124" s="471"/>
      <c r="G124" s="471"/>
      <c r="H124" s="473"/>
      <c r="I124" s="471"/>
      <c r="J124" s="471"/>
      <c r="K124" s="471"/>
      <c r="L124" s="471"/>
      <c r="M124" s="473"/>
      <c r="N124" s="471"/>
      <c r="O124" s="471"/>
      <c r="P124" s="471"/>
      <c r="Q124" s="471"/>
      <c r="R124" s="473"/>
      <c r="S124" s="471"/>
      <c r="T124" s="471"/>
      <c r="U124" s="471"/>
      <c r="V124" s="471"/>
      <c r="W124" s="473"/>
      <c r="X124" s="471"/>
      <c r="Y124" s="471"/>
      <c r="Z124" s="471"/>
      <c r="AA124" s="471"/>
      <c r="AB124" s="473"/>
      <c r="AC124" s="471"/>
      <c r="AD124" s="471"/>
      <c r="AE124" s="471"/>
      <c r="AF124" s="471"/>
      <c r="AG124" s="473"/>
      <c r="AH124" s="471"/>
      <c r="AI124" s="471"/>
      <c r="AJ124" s="471"/>
      <c r="AK124" s="471"/>
      <c r="AL124" s="473"/>
      <c r="AM124" s="471"/>
      <c r="AN124" s="471"/>
      <c r="AO124" s="471"/>
      <c r="AP124" s="471"/>
      <c r="AQ124" s="473"/>
      <c r="AR124" s="471"/>
      <c r="AS124" s="471"/>
      <c r="AT124" s="471"/>
      <c r="AU124" s="471"/>
      <c r="AV124" s="473"/>
      <c r="AW124" s="471"/>
      <c r="AX124" s="471"/>
      <c r="AY124" s="471"/>
      <c r="AZ124" s="471"/>
    </row>
    <row r="125" spans="3:52">
      <c r="C125" s="429"/>
      <c r="D125" s="474"/>
      <c r="E125" s="474"/>
      <c r="F125" s="474"/>
      <c r="G125" s="474"/>
      <c r="H125" s="429"/>
      <c r="I125" s="474"/>
      <c r="J125" s="474"/>
      <c r="K125" s="474"/>
      <c r="L125" s="474"/>
      <c r="M125" s="429"/>
      <c r="N125" s="474"/>
      <c r="O125" s="474"/>
      <c r="P125" s="474"/>
      <c r="Q125" s="474"/>
      <c r="R125" s="429"/>
      <c r="S125" s="474"/>
      <c r="T125" s="474"/>
      <c r="U125" s="474"/>
      <c r="V125" s="474"/>
      <c r="W125" s="429"/>
      <c r="X125" s="474"/>
      <c r="Y125" s="474"/>
      <c r="Z125" s="474"/>
      <c r="AA125" s="474"/>
      <c r="AB125" s="429"/>
      <c r="AC125" s="474"/>
      <c r="AD125" s="474"/>
      <c r="AE125" s="474"/>
      <c r="AF125" s="474"/>
      <c r="AG125" s="429"/>
      <c r="AH125" s="474"/>
      <c r="AI125" s="474"/>
      <c r="AJ125" s="474"/>
      <c r="AK125" s="474"/>
      <c r="AL125" s="429"/>
      <c r="AM125" s="474"/>
      <c r="AN125" s="474"/>
      <c r="AO125" s="474"/>
      <c r="AP125" s="474"/>
      <c r="AQ125" s="429"/>
      <c r="AR125" s="474"/>
      <c r="AS125" s="474"/>
      <c r="AT125" s="474"/>
      <c r="AU125" s="474"/>
      <c r="AV125" s="429"/>
      <c r="AW125" s="474"/>
      <c r="AX125" s="474"/>
      <c r="AY125" s="474"/>
      <c r="AZ125" s="474"/>
    </row>
    <row r="126" spans="3:52">
      <c r="C126" s="475"/>
      <c r="D126" s="476"/>
      <c r="E126" s="476"/>
      <c r="F126" s="476"/>
      <c r="G126" s="476"/>
      <c r="H126" s="475"/>
      <c r="I126" s="476"/>
      <c r="J126" s="476"/>
      <c r="K126" s="476"/>
      <c r="L126" s="476"/>
      <c r="M126" s="475"/>
      <c r="N126" s="476"/>
      <c r="O126" s="476"/>
      <c r="P126" s="476"/>
      <c r="Q126" s="476"/>
      <c r="R126" s="475"/>
      <c r="S126" s="476"/>
      <c r="T126" s="476"/>
      <c r="U126" s="476"/>
      <c r="V126" s="476"/>
      <c r="W126" s="475"/>
      <c r="X126" s="476"/>
      <c r="Y126" s="476"/>
      <c r="Z126" s="476"/>
      <c r="AA126" s="476"/>
      <c r="AB126" s="475"/>
      <c r="AC126" s="476"/>
      <c r="AD126" s="476"/>
      <c r="AE126" s="476"/>
      <c r="AF126" s="476"/>
      <c r="AG126" s="475"/>
      <c r="AH126" s="476"/>
      <c r="AI126" s="476"/>
      <c r="AJ126" s="476"/>
      <c r="AK126" s="476"/>
      <c r="AL126" s="475"/>
      <c r="AM126" s="476"/>
      <c r="AN126" s="476"/>
      <c r="AO126" s="476"/>
      <c r="AP126" s="476"/>
      <c r="AQ126" s="475"/>
      <c r="AR126" s="476"/>
      <c r="AS126" s="476"/>
      <c r="AT126" s="476"/>
      <c r="AU126" s="476"/>
      <c r="AV126" s="475"/>
      <c r="AW126" s="476"/>
      <c r="AX126" s="476"/>
      <c r="AY126" s="476"/>
      <c r="AZ126" s="476"/>
    </row>
    <row r="127" spans="3:52">
      <c r="C127" s="475"/>
      <c r="D127" s="476"/>
      <c r="E127" s="476"/>
      <c r="F127" s="476"/>
      <c r="G127" s="476"/>
      <c r="H127" s="475"/>
      <c r="I127" s="476"/>
      <c r="J127" s="476"/>
      <c r="K127" s="476"/>
      <c r="L127" s="476"/>
      <c r="M127" s="475"/>
      <c r="N127" s="476"/>
      <c r="O127" s="476"/>
      <c r="P127" s="476"/>
      <c r="Q127" s="476"/>
      <c r="R127" s="475"/>
      <c r="S127" s="476"/>
      <c r="T127" s="476"/>
      <c r="U127" s="476"/>
      <c r="V127" s="476"/>
      <c r="W127" s="475"/>
      <c r="X127" s="476"/>
      <c r="Y127" s="476"/>
      <c r="Z127" s="476"/>
      <c r="AA127" s="476"/>
      <c r="AB127" s="475"/>
      <c r="AC127" s="476"/>
      <c r="AD127" s="476"/>
      <c r="AE127" s="476"/>
      <c r="AF127" s="476"/>
      <c r="AG127" s="475"/>
      <c r="AH127" s="476"/>
      <c r="AI127" s="476"/>
      <c r="AJ127" s="476"/>
      <c r="AK127" s="476"/>
      <c r="AL127" s="475"/>
      <c r="AM127" s="476"/>
      <c r="AN127" s="476"/>
      <c r="AO127" s="476"/>
      <c r="AP127" s="476"/>
      <c r="AQ127" s="475"/>
      <c r="AR127" s="476"/>
      <c r="AS127" s="476"/>
      <c r="AT127" s="476"/>
      <c r="AU127" s="476"/>
      <c r="AV127" s="475"/>
      <c r="AW127" s="476"/>
      <c r="AX127" s="476"/>
      <c r="AY127" s="476"/>
      <c r="AZ127" s="476"/>
    </row>
    <row r="128" spans="3:52">
      <c r="C128" s="475"/>
      <c r="D128" s="476"/>
      <c r="E128" s="476"/>
      <c r="F128" s="476"/>
      <c r="G128" s="476"/>
      <c r="H128" s="475"/>
      <c r="I128" s="476"/>
      <c r="J128" s="476"/>
      <c r="K128" s="476"/>
      <c r="L128" s="476"/>
      <c r="M128" s="475"/>
      <c r="N128" s="476"/>
      <c r="O128" s="476"/>
      <c r="P128" s="476"/>
      <c r="Q128" s="476"/>
      <c r="R128" s="475"/>
      <c r="S128" s="476"/>
      <c r="T128" s="476"/>
      <c r="U128" s="476"/>
      <c r="V128" s="476"/>
      <c r="W128" s="475"/>
      <c r="X128" s="476"/>
      <c r="Y128" s="476"/>
      <c r="Z128" s="476"/>
      <c r="AA128" s="476"/>
      <c r="AB128" s="475"/>
      <c r="AC128" s="476"/>
      <c r="AD128" s="476"/>
      <c r="AE128" s="476"/>
      <c r="AF128" s="476"/>
      <c r="AG128" s="475"/>
      <c r="AH128" s="476"/>
      <c r="AI128" s="476"/>
      <c r="AJ128" s="476"/>
      <c r="AK128" s="476"/>
      <c r="AL128" s="475"/>
      <c r="AM128" s="476"/>
      <c r="AN128" s="476"/>
      <c r="AO128" s="476"/>
      <c r="AP128" s="476"/>
      <c r="AQ128" s="475"/>
      <c r="AR128" s="476"/>
      <c r="AS128" s="476"/>
      <c r="AT128" s="476"/>
      <c r="AU128" s="476"/>
      <c r="AV128" s="475"/>
      <c r="AW128" s="476"/>
      <c r="AX128" s="476"/>
      <c r="AY128" s="476"/>
      <c r="AZ128" s="476"/>
    </row>
    <row r="129" spans="3:52">
      <c r="C129" s="430"/>
      <c r="D129" s="477"/>
      <c r="E129" s="477"/>
      <c r="F129" s="477"/>
      <c r="G129" s="477"/>
      <c r="H129" s="430"/>
      <c r="I129" s="477"/>
      <c r="J129" s="477"/>
      <c r="K129" s="477"/>
      <c r="L129" s="477"/>
      <c r="M129" s="430"/>
      <c r="N129" s="477"/>
      <c r="O129" s="477"/>
      <c r="P129" s="477"/>
      <c r="Q129" s="477"/>
      <c r="R129" s="430"/>
      <c r="S129" s="477"/>
      <c r="T129" s="477"/>
      <c r="U129" s="477"/>
      <c r="V129" s="477"/>
      <c r="W129" s="430"/>
      <c r="X129" s="477"/>
      <c r="Y129" s="477"/>
      <c r="Z129" s="477"/>
      <c r="AA129" s="477"/>
      <c r="AB129" s="430"/>
      <c r="AC129" s="477"/>
      <c r="AD129" s="477"/>
      <c r="AE129" s="477"/>
      <c r="AF129" s="477"/>
      <c r="AG129" s="430"/>
      <c r="AH129" s="477"/>
      <c r="AI129" s="477"/>
      <c r="AJ129" s="477"/>
      <c r="AK129" s="477"/>
      <c r="AL129" s="430"/>
      <c r="AM129" s="477"/>
      <c r="AN129" s="477"/>
      <c r="AO129" s="477"/>
      <c r="AP129" s="477"/>
      <c r="AQ129" s="430"/>
      <c r="AR129" s="477"/>
      <c r="AS129" s="477"/>
      <c r="AT129" s="477"/>
      <c r="AU129" s="477"/>
      <c r="AV129" s="430"/>
      <c r="AW129" s="477"/>
      <c r="AX129" s="477"/>
      <c r="AY129" s="477"/>
      <c r="AZ129" s="477"/>
    </row>
    <row r="130" spans="3:52">
      <c r="C130" s="478"/>
      <c r="D130" s="476"/>
      <c r="E130" s="476"/>
      <c r="F130" s="476"/>
      <c r="G130" s="476"/>
      <c r="H130" s="478"/>
      <c r="I130" s="476"/>
      <c r="J130" s="476"/>
      <c r="K130" s="476"/>
      <c r="L130" s="476"/>
      <c r="M130" s="478"/>
      <c r="N130" s="476"/>
      <c r="O130" s="476"/>
      <c r="P130" s="476"/>
      <c r="Q130" s="476"/>
      <c r="R130" s="478"/>
      <c r="S130" s="476"/>
      <c r="T130" s="476"/>
      <c r="U130" s="476"/>
      <c r="V130" s="476"/>
      <c r="W130" s="478"/>
      <c r="X130" s="476"/>
      <c r="Y130" s="476"/>
      <c r="Z130" s="476"/>
      <c r="AA130" s="476"/>
      <c r="AB130" s="478"/>
      <c r="AC130" s="476"/>
      <c r="AD130" s="476"/>
      <c r="AE130" s="476"/>
      <c r="AF130" s="476"/>
      <c r="AG130" s="478"/>
      <c r="AH130" s="476"/>
      <c r="AI130" s="476"/>
      <c r="AJ130" s="476"/>
      <c r="AK130" s="476"/>
      <c r="AL130" s="478"/>
      <c r="AM130" s="476"/>
      <c r="AN130" s="476"/>
      <c r="AO130" s="476"/>
      <c r="AP130" s="476"/>
      <c r="AQ130" s="478"/>
      <c r="AR130" s="476"/>
      <c r="AS130" s="476"/>
      <c r="AT130" s="476"/>
      <c r="AU130" s="476"/>
      <c r="AV130" s="478"/>
      <c r="AW130" s="476"/>
      <c r="AX130" s="476"/>
      <c r="AY130" s="476"/>
      <c r="AZ130" s="476"/>
    </row>
    <row r="131" spans="3:52">
      <c r="C131" s="478"/>
      <c r="D131" s="476"/>
      <c r="E131" s="476"/>
      <c r="F131" s="476"/>
      <c r="G131" s="476"/>
      <c r="H131" s="478"/>
      <c r="I131" s="476"/>
      <c r="J131" s="476"/>
      <c r="K131" s="476"/>
      <c r="L131" s="476"/>
      <c r="M131" s="478"/>
      <c r="N131" s="476"/>
      <c r="O131" s="476"/>
      <c r="P131" s="476"/>
      <c r="Q131" s="476"/>
      <c r="R131" s="478"/>
      <c r="S131" s="476"/>
      <c r="T131" s="476"/>
      <c r="U131" s="476"/>
      <c r="V131" s="476"/>
      <c r="W131" s="478"/>
      <c r="X131" s="476"/>
      <c r="Y131" s="476"/>
      <c r="Z131" s="476"/>
      <c r="AA131" s="476"/>
      <c r="AB131" s="478"/>
      <c r="AC131" s="476"/>
      <c r="AD131" s="476"/>
      <c r="AE131" s="476"/>
      <c r="AF131" s="476"/>
      <c r="AG131" s="478"/>
      <c r="AH131" s="476"/>
      <c r="AI131" s="476"/>
      <c r="AJ131" s="476"/>
      <c r="AK131" s="476"/>
      <c r="AL131" s="478"/>
      <c r="AM131" s="476"/>
      <c r="AN131" s="476"/>
      <c r="AO131" s="476"/>
      <c r="AP131" s="476"/>
      <c r="AQ131" s="478"/>
      <c r="AR131" s="476"/>
      <c r="AS131" s="476"/>
      <c r="AT131" s="476"/>
      <c r="AU131" s="476"/>
      <c r="AV131" s="478"/>
      <c r="AW131" s="476"/>
      <c r="AX131" s="476"/>
      <c r="AY131" s="476"/>
      <c r="AZ131" s="476"/>
    </row>
    <row r="132" spans="3:52">
      <c r="C132" s="478"/>
      <c r="D132" s="476"/>
      <c r="E132" s="476"/>
      <c r="F132" s="476"/>
      <c r="G132" s="476"/>
      <c r="H132" s="478"/>
      <c r="I132" s="476"/>
      <c r="J132" s="476"/>
      <c r="K132" s="476"/>
      <c r="L132" s="476"/>
      <c r="M132" s="478"/>
      <c r="N132" s="476"/>
      <c r="O132" s="476"/>
      <c r="P132" s="476"/>
      <c r="Q132" s="476"/>
      <c r="R132" s="478"/>
      <c r="S132" s="476"/>
      <c r="T132" s="476"/>
      <c r="U132" s="476"/>
      <c r="V132" s="476"/>
      <c r="W132" s="478"/>
      <c r="X132" s="476"/>
      <c r="Y132" s="476"/>
      <c r="Z132" s="476"/>
      <c r="AA132" s="476"/>
      <c r="AB132" s="478"/>
      <c r="AC132" s="476"/>
      <c r="AD132" s="476"/>
      <c r="AE132" s="476"/>
      <c r="AF132" s="476"/>
      <c r="AG132" s="478"/>
      <c r="AH132" s="476"/>
      <c r="AI132" s="476"/>
      <c r="AJ132" s="476"/>
      <c r="AK132" s="476"/>
      <c r="AL132" s="478"/>
      <c r="AM132" s="476"/>
      <c r="AN132" s="476"/>
      <c r="AO132" s="476"/>
      <c r="AP132" s="476"/>
      <c r="AQ132" s="478"/>
      <c r="AR132" s="476"/>
      <c r="AS132" s="476"/>
      <c r="AT132" s="476"/>
      <c r="AU132" s="476"/>
      <c r="AV132" s="478"/>
      <c r="AW132" s="476"/>
      <c r="AX132" s="476"/>
      <c r="AY132" s="476"/>
      <c r="AZ132" s="476"/>
    </row>
    <row r="133" spans="3:52">
      <c r="C133" s="430"/>
      <c r="D133" s="477"/>
      <c r="E133" s="477"/>
      <c r="F133" s="477"/>
      <c r="G133" s="477"/>
      <c r="H133" s="430"/>
      <c r="I133" s="477"/>
      <c r="J133" s="477"/>
      <c r="K133" s="477"/>
      <c r="L133" s="477"/>
      <c r="M133" s="430"/>
      <c r="N133" s="477"/>
      <c r="O133" s="477"/>
      <c r="P133" s="477"/>
      <c r="Q133" s="477"/>
      <c r="R133" s="430"/>
      <c r="S133" s="477"/>
      <c r="T133" s="477"/>
      <c r="U133" s="477"/>
      <c r="V133" s="477"/>
      <c r="W133" s="430"/>
      <c r="X133" s="477"/>
      <c r="Y133" s="477"/>
      <c r="Z133" s="477"/>
      <c r="AA133" s="477"/>
      <c r="AB133" s="430"/>
      <c r="AC133" s="477"/>
      <c r="AD133" s="477"/>
      <c r="AE133" s="477"/>
      <c r="AF133" s="477"/>
      <c r="AG133" s="430"/>
      <c r="AH133" s="477"/>
      <c r="AI133" s="477"/>
      <c r="AJ133" s="477"/>
      <c r="AK133" s="477"/>
      <c r="AL133" s="430"/>
      <c r="AM133" s="477"/>
      <c r="AN133" s="477"/>
      <c r="AO133" s="477"/>
      <c r="AP133" s="477"/>
      <c r="AQ133" s="430"/>
      <c r="AR133" s="477"/>
      <c r="AS133" s="477"/>
      <c r="AT133" s="477"/>
      <c r="AU133" s="477"/>
      <c r="AV133" s="430"/>
      <c r="AW133" s="477"/>
      <c r="AX133" s="477"/>
      <c r="AY133" s="477"/>
      <c r="AZ133" s="477"/>
    </row>
    <row r="134" spans="3:52">
      <c r="C134" s="479"/>
      <c r="D134" s="476"/>
      <c r="E134" s="476"/>
      <c r="F134" s="476"/>
      <c r="G134" s="476"/>
      <c r="H134" s="479"/>
      <c r="I134" s="476"/>
      <c r="J134" s="476"/>
      <c r="K134" s="476"/>
      <c r="L134" s="476"/>
      <c r="M134" s="479"/>
      <c r="N134" s="476"/>
      <c r="O134" s="476"/>
      <c r="P134" s="476"/>
      <c r="Q134" s="476"/>
      <c r="R134" s="479"/>
      <c r="S134" s="476"/>
      <c r="T134" s="476"/>
      <c r="U134" s="476"/>
      <c r="V134" s="476"/>
      <c r="W134" s="479"/>
      <c r="X134" s="476"/>
      <c r="Y134" s="476"/>
      <c r="Z134" s="476"/>
      <c r="AA134" s="476"/>
      <c r="AB134" s="479"/>
      <c r="AC134" s="476"/>
      <c r="AD134" s="476"/>
      <c r="AE134" s="476"/>
      <c r="AF134" s="476"/>
      <c r="AG134" s="479"/>
      <c r="AH134" s="476"/>
      <c r="AI134" s="476"/>
      <c r="AJ134" s="476"/>
      <c r="AK134" s="476"/>
      <c r="AL134" s="479"/>
      <c r="AM134" s="476"/>
      <c r="AN134" s="476"/>
      <c r="AO134" s="476"/>
      <c r="AP134" s="476"/>
      <c r="AQ134" s="479"/>
      <c r="AR134" s="476"/>
      <c r="AS134" s="476"/>
      <c r="AT134" s="476"/>
      <c r="AU134" s="476"/>
      <c r="AV134" s="479"/>
      <c r="AW134" s="476"/>
      <c r="AX134" s="476"/>
      <c r="AY134" s="476"/>
      <c r="AZ134" s="476"/>
    </row>
    <row r="135" spans="3:52">
      <c r="C135" s="479"/>
      <c r="D135" s="476"/>
      <c r="E135" s="476"/>
      <c r="F135" s="476"/>
      <c r="G135" s="476"/>
      <c r="H135" s="479"/>
      <c r="I135" s="476"/>
      <c r="J135" s="476"/>
      <c r="K135" s="476"/>
      <c r="L135" s="476"/>
      <c r="M135" s="479"/>
      <c r="N135" s="476"/>
      <c r="O135" s="476"/>
      <c r="P135" s="476"/>
      <c r="Q135" s="476"/>
      <c r="R135" s="479"/>
      <c r="S135" s="476"/>
      <c r="T135" s="476"/>
      <c r="U135" s="476"/>
      <c r="V135" s="476"/>
      <c r="W135" s="479"/>
      <c r="X135" s="476"/>
      <c r="Y135" s="476"/>
      <c r="Z135" s="476"/>
      <c r="AA135" s="476"/>
      <c r="AB135" s="479"/>
      <c r="AC135" s="476"/>
      <c r="AD135" s="476"/>
      <c r="AE135" s="476"/>
      <c r="AF135" s="476"/>
      <c r="AG135" s="479"/>
      <c r="AH135" s="476"/>
      <c r="AI135" s="476"/>
      <c r="AJ135" s="476"/>
      <c r="AK135" s="476"/>
      <c r="AL135" s="479"/>
      <c r="AM135" s="476"/>
      <c r="AN135" s="476"/>
      <c r="AO135" s="476"/>
      <c r="AP135" s="476"/>
      <c r="AQ135" s="479"/>
      <c r="AR135" s="476"/>
      <c r="AS135" s="476"/>
      <c r="AT135" s="476"/>
      <c r="AU135" s="476"/>
      <c r="AV135" s="479"/>
      <c r="AW135" s="476"/>
      <c r="AX135" s="476"/>
      <c r="AY135" s="476"/>
      <c r="AZ135" s="476"/>
    </row>
    <row r="136" spans="3:52">
      <c r="C136" s="479"/>
      <c r="D136" s="476"/>
      <c r="E136" s="476"/>
      <c r="F136" s="476"/>
      <c r="G136" s="476"/>
      <c r="H136" s="479"/>
      <c r="I136" s="476"/>
      <c r="J136" s="476"/>
      <c r="K136" s="476"/>
      <c r="L136" s="476"/>
      <c r="M136" s="479"/>
      <c r="N136" s="476"/>
      <c r="O136" s="476"/>
      <c r="P136" s="476"/>
      <c r="Q136" s="476"/>
      <c r="R136" s="479"/>
      <c r="S136" s="476"/>
      <c r="T136" s="476"/>
      <c r="U136" s="476"/>
      <c r="V136" s="476"/>
      <c r="W136" s="479"/>
      <c r="X136" s="476"/>
      <c r="Y136" s="476"/>
      <c r="Z136" s="476"/>
      <c r="AA136" s="476"/>
      <c r="AB136" s="479"/>
      <c r="AC136" s="476"/>
      <c r="AD136" s="476"/>
      <c r="AE136" s="476"/>
      <c r="AF136" s="476"/>
      <c r="AG136" s="479"/>
      <c r="AH136" s="476"/>
      <c r="AI136" s="476"/>
      <c r="AJ136" s="476"/>
      <c r="AK136" s="476"/>
      <c r="AL136" s="479"/>
      <c r="AM136" s="476"/>
      <c r="AN136" s="476"/>
      <c r="AO136" s="476"/>
      <c r="AP136" s="476"/>
      <c r="AQ136" s="479"/>
      <c r="AR136" s="476"/>
      <c r="AS136" s="476"/>
      <c r="AT136" s="476"/>
      <c r="AU136" s="476"/>
      <c r="AV136" s="479"/>
      <c r="AW136" s="476"/>
      <c r="AX136" s="476"/>
      <c r="AY136" s="476"/>
      <c r="AZ136" s="476"/>
    </row>
    <row r="137" spans="3:52">
      <c r="C137" s="430"/>
      <c r="D137" s="477"/>
      <c r="E137" s="477"/>
      <c r="F137" s="477"/>
      <c r="G137" s="477"/>
      <c r="H137" s="430"/>
      <c r="I137" s="477"/>
      <c r="J137" s="477"/>
      <c r="K137" s="477"/>
      <c r="L137" s="477"/>
      <c r="M137" s="430"/>
      <c r="N137" s="477"/>
      <c r="O137" s="477"/>
      <c r="P137" s="477"/>
      <c r="Q137" s="477"/>
      <c r="R137" s="430"/>
      <c r="S137" s="477"/>
      <c r="T137" s="477"/>
      <c r="U137" s="477"/>
      <c r="V137" s="477"/>
      <c r="W137" s="430"/>
      <c r="X137" s="477"/>
      <c r="Y137" s="477"/>
      <c r="Z137" s="477"/>
      <c r="AA137" s="477"/>
      <c r="AB137" s="430"/>
      <c r="AC137" s="477"/>
      <c r="AD137" s="477"/>
      <c r="AE137" s="477"/>
      <c r="AF137" s="477"/>
      <c r="AG137" s="430"/>
      <c r="AH137" s="477"/>
      <c r="AI137" s="477"/>
      <c r="AJ137" s="477"/>
      <c r="AK137" s="477"/>
      <c r="AL137" s="430"/>
      <c r="AM137" s="477"/>
      <c r="AN137" s="477"/>
      <c r="AO137" s="477"/>
      <c r="AP137" s="477"/>
      <c r="AQ137" s="430"/>
      <c r="AR137" s="477"/>
      <c r="AS137" s="477"/>
      <c r="AT137" s="477"/>
      <c r="AU137" s="477"/>
      <c r="AV137" s="430"/>
      <c r="AW137" s="477"/>
      <c r="AX137" s="477"/>
      <c r="AY137" s="477"/>
      <c r="AZ137" s="477"/>
    </row>
    <row r="138" spans="3:52">
      <c r="C138" s="479"/>
      <c r="D138" s="476"/>
      <c r="E138" s="476"/>
      <c r="F138" s="476"/>
      <c r="G138" s="476"/>
      <c r="H138" s="479"/>
      <c r="I138" s="476"/>
      <c r="J138" s="476"/>
      <c r="K138" s="476"/>
      <c r="L138" s="476"/>
      <c r="M138" s="479"/>
      <c r="N138" s="476"/>
      <c r="O138" s="476"/>
      <c r="P138" s="476"/>
      <c r="Q138" s="476"/>
      <c r="R138" s="479"/>
      <c r="S138" s="476"/>
      <c r="T138" s="476"/>
      <c r="U138" s="476"/>
      <c r="V138" s="476"/>
      <c r="W138" s="479"/>
      <c r="X138" s="476"/>
      <c r="Y138" s="476"/>
      <c r="Z138" s="476"/>
      <c r="AA138" s="476"/>
      <c r="AB138" s="479"/>
      <c r="AC138" s="476"/>
      <c r="AD138" s="476"/>
      <c r="AE138" s="476"/>
      <c r="AF138" s="476"/>
      <c r="AG138" s="479"/>
      <c r="AH138" s="476"/>
      <c r="AI138" s="476"/>
      <c r="AJ138" s="476"/>
      <c r="AK138" s="476"/>
      <c r="AL138" s="479"/>
      <c r="AM138" s="476"/>
      <c r="AN138" s="476"/>
      <c r="AO138" s="476"/>
      <c r="AP138" s="476"/>
      <c r="AQ138" s="479"/>
      <c r="AR138" s="476"/>
      <c r="AS138" s="476"/>
      <c r="AT138" s="476"/>
      <c r="AU138" s="476"/>
      <c r="AV138" s="479"/>
      <c r="AW138" s="476"/>
      <c r="AX138" s="476"/>
      <c r="AY138" s="476"/>
      <c r="AZ138" s="476"/>
    </row>
    <row r="139" spans="3:52">
      <c r="C139" s="479"/>
      <c r="D139" s="476"/>
      <c r="E139" s="476"/>
      <c r="F139" s="476"/>
      <c r="G139" s="476"/>
      <c r="H139" s="479"/>
      <c r="I139" s="476"/>
      <c r="J139" s="476"/>
      <c r="K139" s="476"/>
      <c r="L139" s="476"/>
      <c r="M139" s="479"/>
      <c r="N139" s="476"/>
      <c r="O139" s="476"/>
      <c r="P139" s="476"/>
      <c r="Q139" s="476"/>
      <c r="R139" s="479"/>
      <c r="S139" s="476"/>
      <c r="T139" s="476"/>
      <c r="U139" s="476"/>
      <c r="V139" s="476"/>
      <c r="W139" s="479"/>
      <c r="X139" s="476"/>
      <c r="Y139" s="476"/>
      <c r="Z139" s="476"/>
      <c r="AA139" s="476"/>
      <c r="AB139" s="479"/>
      <c r="AC139" s="476"/>
      <c r="AD139" s="476"/>
      <c r="AE139" s="476"/>
      <c r="AF139" s="476"/>
      <c r="AG139" s="479"/>
      <c r="AH139" s="476"/>
      <c r="AI139" s="476"/>
      <c r="AJ139" s="476"/>
      <c r="AK139" s="476"/>
      <c r="AL139" s="479"/>
      <c r="AM139" s="476"/>
      <c r="AN139" s="476"/>
      <c r="AO139" s="476"/>
      <c r="AP139" s="476"/>
      <c r="AQ139" s="479"/>
      <c r="AR139" s="476"/>
      <c r="AS139" s="476"/>
      <c r="AT139" s="476"/>
      <c r="AU139" s="476"/>
      <c r="AV139" s="479"/>
      <c r="AW139" s="476"/>
      <c r="AX139" s="476"/>
      <c r="AY139" s="476"/>
      <c r="AZ139" s="476"/>
    </row>
    <row r="140" spans="3:52">
      <c r="C140" s="479"/>
      <c r="D140" s="476"/>
      <c r="E140" s="476"/>
      <c r="F140" s="476"/>
      <c r="G140" s="476"/>
      <c r="H140" s="479"/>
      <c r="I140" s="476"/>
      <c r="J140" s="476"/>
      <c r="K140" s="476"/>
      <c r="L140" s="476"/>
      <c r="M140" s="479"/>
      <c r="N140" s="476"/>
      <c r="O140" s="476"/>
      <c r="P140" s="476"/>
      <c r="Q140" s="476"/>
      <c r="R140" s="479"/>
      <c r="S140" s="476"/>
      <c r="T140" s="476"/>
      <c r="U140" s="476"/>
      <c r="V140" s="476"/>
      <c r="W140" s="479"/>
      <c r="X140" s="476"/>
      <c r="Y140" s="476"/>
      <c r="Z140" s="476"/>
      <c r="AA140" s="476"/>
      <c r="AB140" s="479"/>
      <c r="AC140" s="476"/>
      <c r="AD140" s="476"/>
      <c r="AE140" s="476"/>
      <c r="AF140" s="476"/>
      <c r="AG140" s="479"/>
      <c r="AH140" s="476"/>
      <c r="AI140" s="476"/>
      <c r="AJ140" s="476"/>
      <c r="AK140" s="476"/>
      <c r="AL140" s="479"/>
      <c r="AM140" s="476"/>
      <c r="AN140" s="476"/>
      <c r="AO140" s="476"/>
      <c r="AP140" s="476"/>
      <c r="AQ140" s="479"/>
      <c r="AR140" s="476"/>
      <c r="AS140" s="476"/>
      <c r="AT140" s="476"/>
      <c r="AU140" s="476"/>
      <c r="AV140" s="479"/>
      <c r="AW140" s="476"/>
      <c r="AX140" s="476"/>
      <c r="AY140" s="476"/>
      <c r="AZ140" s="476"/>
    </row>
    <row r="141" spans="3:52">
      <c r="C141" s="429"/>
      <c r="D141" s="477"/>
      <c r="E141" s="477"/>
      <c r="F141" s="477"/>
      <c r="G141" s="477"/>
      <c r="H141" s="429"/>
      <c r="I141" s="477"/>
      <c r="J141" s="477"/>
      <c r="K141" s="477"/>
      <c r="L141" s="477"/>
      <c r="M141" s="429"/>
      <c r="N141" s="477"/>
      <c r="O141" s="477"/>
      <c r="P141" s="477"/>
      <c r="Q141" s="477"/>
      <c r="R141" s="429"/>
      <c r="S141" s="477"/>
      <c r="T141" s="477"/>
      <c r="U141" s="477"/>
      <c r="V141" s="477"/>
      <c r="W141" s="429"/>
      <c r="X141" s="477"/>
      <c r="Y141" s="477"/>
      <c r="Z141" s="477"/>
      <c r="AA141" s="477"/>
      <c r="AB141" s="429"/>
      <c r="AC141" s="477"/>
      <c r="AD141" s="477"/>
      <c r="AE141" s="477"/>
      <c r="AF141" s="477"/>
      <c r="AG141" s="429"/>
      <c r="AH141" s="477"/>
      <c r="AI141" s="477"/>
      <c r="AJ141" s="477"/>
      <c r="AK141" s="477"/>
      <c r="AL141" s="429"/>
      <c r="AM141" s="477"/>
      <c r="AN141" s="477"/>
      <c r="AO141" s="477"/>
      <c r="AP141" s="477"/>
      <c r="AQ141" s="429"/>
      <c r="AR141" s="477"/>
      <c r="AS141" s="477"/>
      <c r="AT141" s="477"/>
      <c r="AU141" s="477"/>
      <c r="AV141" s="429"/>
      <c r="AW141" s="477"/>
      <c r="AX141" s="477"/>
      <c r="AY141" s="477"/>
      <c r="AZ141" s="477"/>
    </row>
    <row r="142" spans="3:52">
      <c r="C142" s="475"/>
      <c r="D142" s="476"/>
      <c r="E142" s="476"/>
      <c r="F142" s="476"/>
      <c r="G142" s="476"/>
      <c r="H142" s="475"/>
      <c r="I142" s="476"/>
      <c r="J142" s="476"/>
      <c r="K142" s="476"/>
      <c r="L142" s="476"/>
      <c r="M142" s="475"/>
      <c r="N142" s="476"/>
      <c r="O142" s="476"/>
      <c r="P142" s="476"/>
      <c r="Q142" s="476"/>
      <c r="R142" s="475"/>
      <c r="S142" s="476"/>
      <c r="T142" s="476"/>
      <c r="U142" s="476"/>
      <c r="V142" s="476"/>
      <c r="W142" s="475"/>
      <c r="X142" s="476"/>
      <c r="Y142" s="476"/>
      <c r="Z142" s="476"/>
      <c r="AA142" s="476"/>
      <c r="AB142" s="475"/>
      <c r="AC142" s="476"/>
      <c r="AD142" s="476"/>
      <c r="AE142" s="476"/>
      <c r="AF142" s="476"/>
      <c r="AG142" s="475"/>
      <c r="AH142" s="476"/>
      <c r="AI142" s="476"/>
      <c r="AJ142" s="476"/>
      <c r="AK142" s="476"/>
      <c r="AL142" s="475"/>
      <c r="AM142" s="476"/>
      <c r="AN142" s="476"/>
      <c r="AO142" s="476"/>
      <c r="AP142" s="476"/>
      <c r="AQ142" s="475"/>
      <c r="AR142" s="476"/>
      <c r="AS142" s="476"/>
      <c r="AT142" s="476"/>
      <c r="AU142" s="476"/>
      <c r="AV142" s="475"/>
      <c r="AW142" s="476"/>
      <c r="AX142" s="476"/>
      <c r="AY142" s="476"/>
      <c r="AZ142" s="476"/>
    </row>
    <row r="143" spans="3:52">
      <c r="C143" s="475"/>
      <c r="D143" s="476"/>
      <c r="E143" s="476"/>
      <c r="F143" s="476"/>
      <c r="G143" s="476"/>
      <c r="H143" s="475"/>
      <c r="I143" s="476"/>
      <c r="J143" s="476"/>
      <c r="K143" s="476"/>
      <c r="L143" s="476"/>
      <c r="M143" s="475"/>
      <c r="N143" s="476"/>
      <c r="O143" s="476"/>
      <c r="P143" s="476"/>
      <c r="Q143" s="476"/>
      <c r="R143" s="475"/>
      <c r="S143" s="476"/>
      <c r="T143" s="476"/>
      <c r="U143" s="476"/>
      <c r="V143" s="476"/>
      <c r="W143" s="475"/>
      <c r="X143" s="476"/>
      <c r="Y143" s="476"/>
      <c r="Z143" s="476"/>
      <c r="AA143" s="476"/>
      <c r="AB143" s="475"/>
      <c r="AC143" s="476"/>
      <c r="AD143" s="476"/>
      <c r="AE143" s="476"/>
      <c r="AF143" s="476"/>
      <c r="AG143" s="475"/>
      <c r="AH143" s="476"/>
      <c r="AI143" s="476"/>
      <c r="AJ143" s="476"/>
      <c r="AK143" s="476"/>
      <c r="AL143" s="475"/>
      <c r="AM143" s="476"/>
      <c r="AN143" s="476"/>
      <c r="AO143" s="476"/>
      <c r="AP143" s="476"/>
      <c r="AQ143" s="475"/>
      <c r="AR143" s="476"/>
      <c r="AS143" s="476"/>
      <c r="AT143" s="476"/>
      <c r="AU143" s="476"/>
      <c r="AV143" s="475"/>
      <c r="AW143" s="476"/>
      <c r="AX143" s="476"/>
      <c r="AY143" s="476"/>
      <c r="AZ143" s="476"/>
    </row>
    <row r="144" spans="3:52">
      <c r="C144" s="475"/>
      <c r="D144" s="476"/>
      <c r="E144" s="476"/>
      <c r="F144" s="476"/>
      <c r="G144" s="476"/>
      <c r="H144" s="475"/>
      <c r="I144" s="476"/>
      <c r="J144" s="476"/>
      <c r="K144" s="476"/>
      <c r="L144" s="476"/>
      <c r="M144" s="475"/>
      <c r="N144" s="476"/>
      <c r="O144" s="476"/>
      <c r="P144" s="476"/>
      <c r="Q144" s="476"/>
      <c r="R144" s="475"/>
      <c r="S144" s="476"/>
      <c r="T144" s="476"/>
      <c r="U144" s="476"/>
      <c r="V144" s="476"/>
      <c r="W144" s="475"/>
      <c r="X144" s="476"/>
      <c r="Y144" s="476"/>
      <c r="Z144" s="476"/>
      <c r="AA144" s="476"/>
      <c r="AB144" s="475"/>
      <c r="AC144" s="476"/>
      <c r="AD144" s="476"/>
      <c r="AE144" s="476"/>
      <c r="AF144" s="476"/>
      <c r="AG144" s="475"/>
      <c r="AH144" s="476"/>
      <c r="AI144" s="476"/>
      <c r="AJ144" s="476"/>
      <c r="AK144" s="476"/>
      <c r="AL144" s="475"/>
      <c r="AM144" s="476"/>
      <c r="AN144" s="476"/>
      <c r="AO144" s="476"/>
      <c r="AP144" s="476"/>
      <c r="AQ144" s="475"/>
      <c r="AR144" s="476"/>
      <c r="AS144" s="476"/>
      <c r="AT144" s="476"/>
      <c r="AU144" s="476"/>
      <c r="AV144" s="475"/>
      <c r="AW144" s="476"/>
      <c r="AX144" s="476"/>
      <c r="AY144" s="476"/>
      <c r="AZ144" s="476"/>
    </row>
    <row r="145" spans="3:52">
      <c r="C145" s="480"/>
      <c r="D145" s="481"/>
      <c r="E145" s="481"/>
      <c r="F145" s="481"/>
      <c r="G145" s="481"/>
      <c r="H145" s="480"/>
      <c r="I145" s="481"/>
      <c r="J145" s="481"/>
      <c r="K145" s="481"/>
      <c r="L145" s="481"/>
      <c r="M145" s="480"/>
      <c r="N145" s="481"/>
      <c r="O145" s="481"/>
      <c r="P145" s="481"/>
      <c r="Q145" s="481"/>
      <c r="R145" s="480"/>
      <c r="S145" s="481"/>
      <c r="T145" s="481"/>
      <c r="U145" s="481"/>
      <c r="V145" s="481"/>
      <c r="W145" s="480"/>
      <c r="X145" s="481"/>
      <c r="Y145" s="481"/>
      <c r="Z145" s="481"/>
      <c r="AA145" s="481"/>
      <c r="AB145" s="480"/>
      <c r="AC145" s="481"/>
      <c r="AD145" s="481"/>
      <c r="AE145" s="481"/>
      <c r="AF145" s="481"/>
      <c r="AG145" s="480"/>
      <c r="AH145" s="481"/>
      <c r="AI145" s="481"/>
      <c r="AJ145" s="481"/>
      <c r="AK145" s="481"/>
      <c r="AL145" s="480"/>
      <c r="AM145" s="481"/>
      <c r="AN145" s="481"/>
      <c r="AO145" s="481"/>
      <c r="AP145" s="481"/>
      <c r="AQ145" s="480"/>
      <c r="AR145" s="481"/>
      <c r="AS145" s="481"/>
      <c r="AT145" s="481"/>
      <c r="AU145" s="481"/>
      <c r="AV145" s="480"/>
      <c r="AW145" s="481"/>
      <c r="AX145" s="481"/>
      <c r="AY145" s="481"/>
      <c r="AZ145" s="481"/>
    </row>
    <row r="146" spans="3:52">
      <c r="C146" s="475"/>
      <c r="D146" s="476"/>
      <c r="E146" s="476"/>
      <c r="F146" s="476"/>
      <c r="G146" s="476"/>
      <c r="H146" s="475"/>
      <c r="I146" s="476"/>
      <c r="J146" s="476"/>
      <c r="K146" s="476"/>
      <c r="L146" s="476"/>
      <c r="M146" s="475"/>
      <c r="N146" s="476"/>
      <c r="O146" s="476"/>
      <c r="P146" s="476"/>
      <c r="Q146" s="476"/>
      <c r="R146" s="475"/>
      <c r="S146" s="476"/>
      <c r="T146" s="476"/>
      <c r="U146" s="476"/>
      <c r="V146" s="476"/>
      <c r="W146" s="475"/>
      <c r="X146" s="476"/>
      <c r="Y146" s="476"/>
      <c r="Z146" s="476"/>
      <c r="AA146" s="476"/>
      <c r="AB146" s="475"/>
      <c r="AC146" s="476"/>
      <c r="AD146" s="476"/>
      <c r="AE146" s="476"/>
      <c r="AF146" s="476"/>
      <c r="AG146" s="475"/>
      <c r="AH146" s="476"/>
      <c r="AI146" s="476"/>
      <c r="AJ146" s="476"/>
      <c r="AK146" s="476"/>
      <c r="AL146" s="475"/>
      <c r="AM146" s="476"/>
      <c r="AN146" s="476"/>
      <c r="AO146" s="476"/>
      <c r="AP146" s="476"/>
      <c r="AQ146" s="475"/>
      <c r="AR146" s="476"/>
      <c r="AS146" s="476"/>
      <c r="AT146" s="476"/>
      <c r="AU146" s="476"/>
      <c r="AV146" s="475"/>
      <c r="AW146" s="476"/>
      <c r="AX146" s="476"/>
      <c r="AY146" s="476"/>
      <c r="AZ146" s="476"/>
    </row>
    <row r="147" spans="3:52">
      <c r="C147" s="475"/>
      <c r="D147" s="476"/>
      <c r="E147" s="476"/>
      <c r="F147" s="476"/>
      <c r="G147" s="476"/>
      <c r="H147" s="475"/>
      <c r="I147" s="476"/>
      <c r="J147" s="476"/>
      <c r="K147" s="476"/>
      <c r="L147" s="476"/>
      <c r="M147" s="475"/>
      <c r="N147" s="476"/>
      <c r="O147" s="476"/>
      <c r="P147" s="476"/>
      <c r="Q147" s="476"/>
      <c r="R147" s="475"/>
      <c r="S147" s="476"/>
      <c r="T147" s="476"/>
      <c r="U147" s="476"/>
      <c r="V147" s="476"/>
      <c r="W147" s="475"/>
      <c r="X147" s="476"/>
      <c r="Y147" s="476"/>
      <c r="Z147" s="476"/>
      <c r="AA147" s="476"/>
      <c r="AB147" s="475"/>
      <c r="AC147" s="476"/>
      <c r="AD147" s="476"/>
      <c r="AE147" s="476"/>
      <c r="AF147" s="476"/>
      <c r="AG147" s="475"/>
      <c r="AH147" s="476"/>
      <c r="AI147" s="476"/>
      <c r="AJ147" s="476"/>
      <c r="AK147" s="476"/>
      <c r="AL147" s="475"/>
      <c r="AM147" s="476"/>
      <c r="AN147" s="476"/>
      <c r="AO147" s="476"/>
      <c r="AP147" s="476"/>
      <c r="AQ147" s="475"/>
      <c r="AR147" s="476"/>
      <c r="AS147" s="476"/>
      <c r="AT147" s="476"/>
      <c r="AU147" s="476"/>
      <c r="AV147" s="475"/>
      <c r="AW147" s="476"/>
      <c r="AX147" s="476"/>
      <c r="AY147" s="476"/>
      <c r="AZ147" s="476"/>
    </row>
    <row r="148" spans="3:52">
      <c r="C148" s="475"/>
      <c r="D148" s="476"/>
      <c r="E148" s="476"/>
      <c r="F148" s="476"/>
      <c r="G148" s="476"/>
      <c r="H148" s="475"/>
      <c r="I148" s="476"/>
      <c r="J148" s="476"/>
      <c r="K148" s="476"/>
      <c r="L148" s="476"/>
      <c r="M148" s="475"/>
      <c r="N148" s="476"/>
      <c r="O148" s="476"/>
      <c r="P148" s="476"/>
      <c r="Q148" s="476"/>
      <c r="R148" s="475"/>
      <c r="S148" s="476"/>
      <c r="T148" s="476"/>
      <c r="U148" s="476"/>
      <c r="V148" s="476"/>
      <c r="W148" s="475"/>
      <c r="X148" s="476"/>
      <c r="Y148" s="476"/>
      <c r="Z148" s="476"/>
      <c r="AA148" s="476"/>
      <c r="AB148" s="475"/>
      <c r="AC148" s="476"/>
      <c r="AD148" s="476"/>
      <c r="AE148" s="476"/>
      <c r="AF148" s="476"/>
      <c r="AG148" s="475"/>
      <c r="AH148" s="476"/>
      <c r="AI148" s="476"/>
      <c r="AJ148" s="476"/>
      <c r="AK148" s="476"/>
      <c r="AL148" s="475"/>
      <c r="AM148" s="476"/>
      <c r="AN148" s="476"/>
      <c r="AO148" s="476"/>
      <c r="AP148" s="476"/>
      <c r="AQ148" s="475"/>
      <c r="AR148" s="476"/>
      <c r="AS148" s="476"/>
      <c r="AT148" s="476"/>
      <c r="AU148" s="476"/>
      <c r="AV148" s="475"/>
      <c r="AW148" s="476"/>
      <c r="AX148" s="476"/>
      <c r="AY148" s="476"/>
      <c r="AZ148" s="476"/>
    </row>
    <row r="149" spans="3:52">
      <c r="C149" s="429"/>
      <c r="D149" s="477"/>
      <c r="E149" s="477"/>
      <c r="F149" s="477"/>
      <c r="G149" s="477"/>
      <c r="H149" s="429"/>
      <c r="I149" s="477"/>
      <c r="J149" s="477"/>
      <c r="K149" s="477"/>
      <c r="L149" s="477"/>
      <c r="M149" s="429"/>
      <c r="N149" s="477"/>
      <c r="O149" s="477"/>
      <c r="P149" s="477"/>
      <c r="Q149" s="477"/>
      <c r="R149" s="429"/>
      <c r="S149" s="477"/>
      <c r="T149" s="477"/>
      <c r="U149" s="477"/>
      <c r="V149" s="477"/>
      <c r="W149" s="429"/>
      <c r="X149" s="477"/>
      <c r="Y149" s="477"/>
      <c r="Z149" s="477"/>
      <c r="AA149" s="477"/>
      <c r="AB149" s="429"/>
      <c r="AC149" s="477"/>
      <c r="AD149" s="477"/>
      <c r="AE149" s="477"/>
      <c r="AF149" s="477"/>
      <c r="AG149" s="429"/>
      <c r="AH149" s="477"/>
      <c r="AI149" s="477"/>
      <c r="AJ149" s="477"/>
      <c r="AK149" s="477"/>
      <c r="AL149" s="429"/>
      <c r="AM149" s="477"/>
      <c r="AN149" s="477"/>
      <c r="AO149" s="477"/>
      <c r="AP149" s="477"/>
      <c r="AQ149" s="429"/>
      <c r="AR149" s="477"/>
      <c r="AS149" s="477"/>
      <c r="AT149" s="477"/>
      <c r="AU149" s="477"/>
      <c r="AV149" s="429"/>
      <c r="AW149" s="477"/>
      <c r="AX149" s="477"/>
      <c r="AY149" s="477"/>
      <c r="AZ149" s="477"/>
    </row>
    <row r="150" spans="3:52">
      <c r="C150" s="475"/>
      <c r="D150" s="476"/>
      <c r="E150" s="476"/>
      <c r="F150" s="476"/>
      <c r="G150" s="476"/>
      <c r="H150" s="475"/>
      <c r="I150" s="476"/>
      <c r="J150" s="476"/>
      <c r="K150" s="476"/>
      <c r="L150" s="476"/>
      <c r="M150" s="475"/>
      <c r="N150" s="476"/>
      <c r="O150" s="476"/>
      <c r="P150" s="476"/>
      <c r="Q150" s="476"/>
      <c r="R150" s="475"/>
      <c r="S150" s="476"/>
      <c r="T150" s="476"/>
      <c r="U150" s="476"/>
      <c r="V150" s="476"/>
      <c r="W150" s="475"/>
      <c r="X150" s="476"/>
      <c r="Y150" s="476"/>
      <c r="Z150" s="476"/>
      <c r="AA150" s="476"/>
      <c r="AB150" s="475"/>
      <c r="AC150" s="476"/>
      <c r="AD150" s="476"/>
      <c r="AE150" s="476"/>
      <c r="AF150" s="476"/>
      <c r="AG150" s="475"/>
      <c r="AH150" s="476"/>
      <c r="AI150" s="476"/>
      <c r="AJ150" s="476"/>
      <c r="AK150" s="476"/>
      <c r="AL150" s="475"/>
      <c r="AM150" s="476"/>
      <c r="AN150" s="476"/>
      <c r="AO150" s="476"/>
      <c r="AP150" s="476"/>
      <c r="AQ150" s="475"/>
      <c r="AR150" s="476"/>
      <c r="AS150" s="476"/>
      <c r="AT150" s="476"/>
      <c r="AU150" s="476"/>
      <c r="AV150" s="475"/>
      <c r="AW150" s="476"/>
      <c r="AX150" s="476"/>
      <c r="AY150" s="476"/>
      <c r="AZ150" s="476"/>
    </row>
    <row r="151" spans="3:52">
      <c r="C151" s="475"/>
      <c r="D151" s="476"/>
      <c r="E151" s="476"/>
      <c r="F151" s="476"/>
      <c r="G151" s="476"/>
      <c r="H151" s="475"/>
      <c r="I151" s="476"/>
      <c r="J151" s="476"/>
      <c r="K151" s="476"/>
      <c r="L151" s="476"/>
      <c r="M151" s="475"/>
      <c r="N151" s="476"/>
      <c r="O151" s="476"/>
      <c r="P151" s="476"/>
      <c r="Q151" s="476"/>
      <c r="R151" s="475"/>
      <c r="S151" s="476"/>
      <c r="T151" s="476"/>
      <c r="U151" s="476"/>
      <c r="V151" s="476"/>
      <c r="W151" s="475"/>
      <c r="X151" s="476"/>
      <c r="Y151" s="476"/>
      <c r="Z151" s="476"/>
      <c r="AA151" s="476"/>
      <c r="AB151" s="475"/>
      <c r="AC151" s="476"/>
      <c r="AD151" s="476"/>
      <c r="AE151" s="476"/>
      <c r="AF151" s="476"/>
      <c r="AG151" s="475"/>
      <c r="AH151" s="476"/>
      <c r="AI151" s="476"/>
      <c r="AJ151" s="476"/>
      <c r="AK151" s="476"/>
      <c r="AL151" s="475"/>
      <c r="AM151" s="476"/>
      <c r="AN151" s="476"/>
      <c r="AO151" s="476"/>
      <c r="AP151" s="476"/>
      <c r="AQ151" s="475"/>
      <c r="AR151" s="476"/>
      <c r="AS151" s="476"/>
      <c r="AT151" s="476"/>
      <c r="AU151" s="476"/>
      <c r="AV151" s="475"/>
      <c r="AW151" s="476"/>
      <c r="AX151" s="476"/>
      <c r="AY151" s="476"/>
      <c r="AZ151" s="476"/>
    </row>
    <row r="152" spans="3:52">
      <c r="C152" s="475"/>
      <c r="D152" s="476"/>
      <c r="E152" s="476"/>
      <c r="F152" s="476"/>
      <c r="G152" s="476"/>
      <c r="H152" s="475"/>
      <c r="I152" s="476"/>
      <c r="J152" s="476"/>
      <c r="K152" s="476"/>
      <c r="L152" s="476"/>
      <c r="M152" s="475"/>
      <c r="N152" s="476"/>
      <c r="O152" s="476"/>
      <c r="P152" s="476"/>
      <c r="Q152" s="476"/>
      <c r="R152" s="475"/>
      <c r="S152" s="476"/>
      <c r="T152" s="476"/>
      <c r="U152" s="476"/>
      <c r="V152" s="476"/>
      <c r="W152" s="475"/>
      <c r="X152" s="476"/>
      <c r="Y152" s="476"/>
      <c r="Z152" s="476"/>
      <c r="AA152" s="476"/>
      <c r="AB152" s="475"/>
      <c r="AC152" s="476"/>
      <c r="AD152" s="476"/>
      <c r="AE152" s="476"/>
      <c r="AF152" s="476"/>
      <c r="AG152" s="475"/>
      <c r="AH152" s="476"/>
      <c r="AI152" s="476"/>
      <c r="AJ152" s="476"/>
      <c r="AK152" s="476"/>
      <c r="AL152" s="475"/>
      <c r="AM152" s="476"/>
      <c r="AN152" s="476"/>
      <c r="AO152" s="476"/>
      <c r="AP152" s="476"/>
      <c r="AQ152" s="475"/>
      <c r="AR152" s="476"/>
      <c r="AS152" s="476"/>
      <c r="AT152" s="476"/>
      <c r="AU152" s="476"/>
      <c r="AV152" s="475"/>
      <c r="AW152" s="476"/>
      <c r="AX152" s="476"/>
      <c r="AY152" s="476"/>
      <c r="AZ152" s="476"/>
    </row>
    <row r="153" spans="3:52">
      <c r="C153" s="482"/>
      <c r="D153" s="483"/>
      <c r="E153" s="483"/>
      <c r="F153" s="483"/>
      <c r="G153" s="483"/>
      <c r="H153" s="482"/>
      <c r="I153" s="483"/>
      <c r="J153" s="483"/>
      <c r="K153" s="483"/>
      <c r="L153" s="483"/>
      <c r="M153" s="482"/>
      <c r="N153" s="483"/>
      <c r="O153" s="483"/>
      <c r="P153" s="483"/>
      <c r="Q153" s="483"/>
      <c r="R153" s="482"/>
      <c r="S153" s="483"/>
      <c r="T153" s="483"/>
      <c r="U153" s="483"/>
      <c r="V153" s="483"/>
      <c r="W153" s="482"/>
      <c r="X153" s="483"/>
      <c r="Y153" s="483"/>
      <c r="Z153" s="483"/>
      <c r="AA153" s="483"/>
      <c r="AB153" s="482"/>
      <c r="AC153" s="483"/>
      <c r="AD153" s="483"/>
      <c r="AE153" s="483"/>
      <c r="AF153" s="483"/>
      <c r="AG153" s="482"/>
      <c r="AH153" s="483"/>
      <c r="AI153" s="483"/>
      <c r="AJ153" s="483"/>
      <c r="AK153" s="483"/>
      <c r="AL153" s="482"/>
      <c r="AM153" s="483"/>
      <c r="AN153" s="483"/>
      <c r="AO153" s="483"/>
      <c r="AP153" s="483"/>
      <c r="AQ153" s="482"/>
      <c r="AR153" s="483"/>
      <c r="AS153" s="483"/>
      <c r="AT153" s="483"/>
      <c r="AU153" s="483"/>
      <c r="AV153" s="482"/>
      <c r="AW153" s="483"/>
      <c r="AX153" s="483"/>
      <c r="AY153" s="483"/>
      <c r="AZ153" s="483"/>
    </row>
    <row r="154" spans="3:52">
      <c r="C154" s="475"/>
      <c r="D154" s="476"/>
      <c r="E154" s="476"/>
      <c r="F154" s="476"/>
      <c r="G154" s="476"/>
      <c r="H154" s="475"/>
      <c r="I154" s="476"/>
      <c r="J154" s="476"/>
      <c r="K154" s="476"/>
      <c r="L154" s="476"/>
      <c r="M154" s="475"/>
      <c r="N154" s="476"/>
      <c r="O154" s="476"/>
      <c r="P154" s="476"/>
      <c r="Q154" s="476"/>
      <c r="R154" s="475"/>
      <c r="S154" s="476"/>
      <c r="T154" s="476"/>
      <c r="U154" s="476"/>
      <c r="V154" s="476"/>
      <c r="W154" s="475"/>
      <c r="X154" s="476"/>
      <c r="Y154" s="476"/>
      <c r="Z154" s="476"/>
      <c r="AA154" s="476"/>
      <c r="AB154" s="475"/>
      <c r="AC154" s="476"/>
      <c r="AD154" s="476"/>
      <c r="AE154" s="476"/>
      <c r="AF154" s="476"/>
      <c r="AG154" s="475"/>
      <c r="AH154" s="476"/>
      <c r="AI154" s="476"/>
      <c r="AJ154" s="476"/>
      <c r="AK154" s="476"/>
      <c r="AL154" s="475"/>
      <c r="AM154" s="476"/>
      <c r="AN154" s="476"/>
      <c r="AO154" s="476"/>
      <c r="AP154" s="476"/>
      <c r="AQ154" s="475"/>
      <c r="AR154" s="476"/>
      <c r="AS154" s="476"/>
      <c r="AT154" s="476"/>
      <c r="AU154" s="476"/>
      <c r="AV154" s="475"/>
      <c r="AW154" s="476"/>
      <c r="AX154" s="476"/>
      <c r="AY154" s="476"/>
      <c r="AZ154" s="476"/>
    </row>
    <row r="155" spans="3:52">
      <c r="C155" s="475"/>
      <c r="D155" s="476"/>
      <c r="E155" s="476"/>
      <c r="F155" s="476"/>
      <c r="G155" s="476"/>
      <c r="H155" s="475"/>
      <c r="I155" s="476"/>
      <c r="J155" s="476"/>
      <c r="K155" s="476"/>
      <c r="L155" s="476"/>
      <c r="M155" s="475"/>
      <c r="N155" s="476"/>
      <c r="O155" s="476"/>
      <c r="P155" s="476"/>
      <c r="Q155" s="476"/>
      <c r="R155" s="475"/>
      <c r="S155" s="476"/>
      <c r="T155" s="476"/>
      <c r="U155" s="476"/>
      <c r="V155" s="476"/>
      <c r="W155" s="475"/>
      <c r="X155" s="476"/>
      <c r="Y155" s="476"/>
      <c r="Z155" s="476"/>
      <c r="AA155" s="476"/>
      <c r="AB155" s="475"/>
      <c r="AC155" s="476"/>
      <c r="AD155" s="476"/>
      <c r="AE155" s="476"/>
      <c r="AF155" s="476"/>
      <c r="AG155" s="475"/>
      <c r="AH155" s="476"/>
      <c r="AI155" s="476"/>
      <c r="AJ155" s="476"/>
      <c r="AK155" s="476"/>
      <c r="AL155" s="475"/>
      <c r="AM155" s="476"/>
      <c r="AN155" s="476"/>
      <c r="AO155" s="476"/>
      <c r="AP155" s="476"/>
      <c r="AQ155" s="475"/>
      <c r="AR155" s="476"/>
      <c r="AS155" s="476"/>
      <c r="AT155" s="476"/>
      <c r="AU155" s="476"/>
      <c r="AV155" s="475"/>
      <c r="AW155" s="476"/>
      <c r="AX155" s="476"/>
      <c r="AY155" s="476"/>
      <c r="AZ155" s="476"/>
    </row>
    <row r="156" spans="3:52">
      <c r="C156" s="484"/>
      <c r="D156" s="485"/>
      <c r="E156" s="485"/>
      <c r="F156" s="485"/>
      <c r="G156" s="485"/>
      <c r="H156" s="484"/>
      <c r="I156" s="485"/>
      <c r="J156" s="485"/>
      <c r="K156" s="485"/>
      <c r="L156" s="485"/>
      <c r="M156" s="484"/>
      <c r="N156" s="485"/>
      <c r="O156" s="485"/>
      <c r="P156" s="485"/>
      <c r="Q156" s="485"/>
      <c r="R156" s="484"/>
      <c r="S156" s="485"/>
      <c r="T156" s="485"/>
      <c r="U156" s="485"/>
      <c r="V156" s="485"/>
      <c r="W156" s="484"/>
      <c r="X156" s="485"/>
      <c r="Y156" s="485"/>
      <c r="Z156" s="485"/>
      <c r="AA156" s="485"/>
      <c r="AB156" s="484"/>
      <c r="AC156" s="485"/>
      <c r="AD156" s="485"/>
      <c r="AE156" s="485"/>
      <c r="AF156" s="485"/>
      <c r="AG156" s="484"/>
      <c r="AH156" s="485"/>
      <c r="AI156" s="485"/>
      <c r="AJ156" s="485"/>
      <c r="AK156" s="485"/>
      <c r="AL156" s="484"/>
      <c r="AM156" s="485"/>
      <c r="AN156" s="485"/>
      <c r="AO156" s="485"/>
      <c r="AP156" s="485"/>
      <c r="AQ156" s="484"/>
      <c r="AR156" s="485"/>
      <c r="AS156" s="485"/>
      <c r="AT156" s="485"/>
      <c r="AU156" s="485"/>
      <c r="AV156" s="484"/>
      <c r="AW156" s="485"/>
      <c r="AX156" s="485"/>
      <c r="AY156" s="485"/>
      <c r="AZ156" s="485"/>
    </row>
    <row r="158" spans="3:52">
      <c r="C158" s="486"/>
      <c r="D158" s="487"/>
      <c r="E158" s="487"/>
      <c r="F158" s="487"/>
      <c r="G158" s="487"/>
      <c r="H158" s="486"/>
      <c r="I158" s="487"/>
      <c r="J158" s="487"/>
      <c r="K158" s="487"/>
      <c r="L158" s="487"/>
      <c r="M158" s="486"/>
      <c r="N158" s="487"/>
      <c r="O158" s="487"/>
      <c r="P158" s="487"/>
      <c r="Q158" s="487"/>
      <c r="R158" s="486"/>
      <c r="S158" s="487"/>
      <c r="T158" s="487"/>
      <c r="U158" s="487"/>
      <c r="V158" s="487"/>
      <c r="W158" s="486"/>
      <c r="X158" s="487"/>
      <c r="Y158" s="487"/>
      <c r="Z158" s="487"/>
      <c r="AA158" s="487"/>
      <c r="AB158" s="486"/>
      <c r="AC158" s="487"/>
      <c r="AD158" s="487"/>
      <c r="AE158" s="487"/>
      <c r="AF158" s="487"/>
      <c r="AG158" s="486"/>
      <c r="AH158" s="487"/>
      <c r="AI158" s="487"/>
      <c r="AJ158" s="487"/>
      <c r="AK158" s="487"/>
      <c r="AL158" s="486"/>
      <c r="AM158" s="487"/>
      <c r="AN158" s="487"/>
      <c r="AO158" s="487"/>
      <c r="AP158" s="487"/>
      <c r="AQ158" s="486"/>
      <c r="AR158" s="487"/>
      <c r="AS158" s="487"/>
      <c r="AT158" s="487"/>
      <c r="AU158" s="487"/>
      <c r="AV158" s="486"/>
      <c r="AW158" s="487"/>
      <c r="AX158" s="487"/>
      <c r="AY158" s="487"/>
      <c r="AZ158" s="487"/>
    </row>
    <row r="159" spans="3:52">
      <c r="C159" s="488"/>
      <c r="D159" s="489"/>
      <c r="E159" s="489"/>
      <c r="F159" s="489"/>
      <c r="G159" s="489"/>
      <c r="H159" s="488"/>
      <c r="I159" s="489"/>
      <c r="J159" s="489"/>
      <c r="K159" s="489"/>
      <c r="L159" s="489"/>
      <c r="M159" s="488"/>
      <c r="N159" s="489"/>
      <c r="O159" s="489"/>
      <c r="P159" s="489"/>
      <c r="Q159" s="489"/>
      <c r="R159" s="488"/>
      <c r="S159" s="489"/>
      <c r="T159" s="489"/>
      <c r="U159" s="489"/>
      <c r="V159" s="489"/>
      <c r="W159" s="488"/>
      <c r="X159" s="489"/>
      <c r="Y159" s="489"/>
      <c r="Z159" s="489"/>
      <c r="AA159" s="489"/>
      <c r="AB159" s="488"/>
      <c r="AC159" s="489"/>
      <c r="AD159" s="489"/>
      <c r="AE159" s="489"/>
      <c r="AF159" s="489"/>
      <c r="AG159" s="488"/>
      <c r="AH159" s="489"/>
      <c r="AI159" s="489"/>
      <c r="AJ159" s="489"/>
      <c r="AK159" s="489"/>
      <c r="AL159" s="488"/>
      <c r="AM159" s="489"/>
      <c r="AN159" s="489"/>
      <c r="AO159" s="489"/>
      <c r="AP159" s="489"/>
      <c r="AQ159" s="488"/>
      <c r="AR159" s="489"/>
      <c r="AS159" s="489"/>
      <c r="AT159" s="489"/>
      <c r="AU159" s="489"/>
      <c r="AV159" s="488"/>
      <c r="AW159" s="489"/>
      <c r="AX159" s="489"/>
      <c r="AY159" s="489"/>
      <c r="AZ159" s="489"/>
    </row>
    <row r="160" spans="3:52">
      <c r="C160" s="490"/>
      <c r="D160" s="491"/>
      <c r="E160" s="491"/>
      <c r="F160" s="491"/>
      <c r="G160" s="491"/>
      <c r="H160" s="490"/>
      <c r="I160" s="491"/>
      <c r="J160" s="491"/>
      <c r="K160" s="491"/>
      <c r="L160" s="491"/>
      <c r="M160" s="490"/>
      <c r="N160" s="491"/>
      <c r="O160" s="491"/>
      <c r="P160" s="491"/>
      <c r="Q160" s="491"/>
      <c r="R160" s="490"/>
      <c r="S160" s="491"/>
      <c r="T160" s="491"/>
      <c r="U160" s="491"/>
      <c r="V160" s="491"/>
      <c r="W160" s="490"/>
      <c r="X160" s="491"/>
      <c r="Y160" s="491"/>
      <c r="Z160" s="491"/>
      <c r="AA160" s="491"/>
      <c r="AB160" s="490"/>
      <c r="AC160" s="491"/>
      <c r="AD160" s="491"/>
      <c r="AE160" s="491"/>
      <c r="AF160" s="491"/>
      <c r="AG160" s="490"/>
      <c r="AH160" s="491"/>
      <c r="AI160" s="491"/>
      <c r="AJ160" s="491"/>
      <c r="AK160" s="491"/>
      <c r="AL160" s="490"/>
      <c r="AM160" s="491"/>
      <c r="AN160" s="491"/>
      <c r="AO160" s="491"/>
      <c r="AP160" s="491"/>
      <c r="AQ160" s="490"/>
      <c r="AR160" s="491"/>
      <c r="AS160" s="491"/>
      <c r="AT160" s="491"/>
      <c r="AU160" s="491"/>
      <c r="AV160" s="490"/>
      <c r="AW160" s="491"/>
      <c r="AX160" s="491"/>
      <c r="AY160" s="491"/>
      <c r="AZ160" s="491"/>
    </row>
    <row r="161" spans="3:52">
      <c r="C161" s="492"/>
      <c r="D161" s="492"/>
      <c r="E161" s="492"/>
      <c r="F161" s="492"/>
      <c r="G161" s="492"/>
      <c r="H161" s="492"/>
      <c r="I161" s="492"/>
      <c r="J161" s="492"/>
      <c r="K161" s="492"/>
      <c r="L161" s="492"/>
      <c r="M161" s="492"/>
      <c r="N161" s="492"/>
      <c r="O161" s="492"/>
      <c r="P161" s="492"/>
      <c r="Q161" s="492"/>
      <c r="R161" s="492"/>
      <c r="S161" s="492"/>
      <c r="T161" s="492"/>
      <c r="U161" s="492"/>
      <c r="V161" s="492"/>
      <c r="W161" s="492"/>
      <c r="X161" s="492"/>
      <c r="Y161" s="492"/>
      <c r="Z161" s="492"/>
      <c r="AA161" s="492"/>
      <c r="AB161" s="492"/>
      <c r="AC161" s="492"/>
      <c r="AD161" s="492"/>
      <c r="AE161" s="492"/>
      <c r="AF161" s="492"/>
      <c r="AG161" s="492"/>
      <c r="AH161" s="492"/>
      <c r="AI161" s="492"/>
      <c r="AJ161" s="492"/>
      <c r="AK161" s="492"/>
      <c r="AL161" s="492"/>
      <c r="AM161" s="492"/>
      <c r="AN161" s="492"/>
      <c r="AO161" s="492"/>
      <c r="AP161" s="492"/>
      <c r="AQ161" s="492"/>
      <c r="AR161" s="492"/>
      <c r="AS161" s="492"/>
      <c r="AT161" s="492"/>
      <c r="AU161" s="492"/>
      <c r="AV161" s="492"/>
      <c r="AW161" s="492"/>
      <c r="AX161" s="492"/>
      <c r="AY161" s="492"/>
      <c r="AZ161" s="492"/>
    </row>
    <row r="162" spans="3:52">
      <c r="D162" s="493"/>
      <c r="E162" s="493"/>
      <c r="F162" s="493"/>
      <c r="G162" s="493"/>
      <c r="I162" s="493"/>
      <c r="J162" s="493"/>
      <c r="K162" s="493"/>
      <c r="L162" s="493"/>
      <c r="N162" s="493"/>
      <c r="O162" s="493"/>
      <c r="P162" s="493"/>
      <c r="Q162" s="493"/>
      <c r="S162" s="493"/>
      <c r="T162" s="493"/>
      <c r="U162" s="493"/>
      <c r="V162" s="493"/>
      <c r="X162" s="493"/>
      <c r="Y162" s="493"/>
      <c r="Z162" s="493"/>
      <c r="AA162" s="493"/>
      <c r="AC162" s="493"/>
      <c r="AD162" s="493"/>
      <c r="AE162" s="493"/>
      <c r="AF162" s="493"/>
      <c r="AH162" s="493"/>
      <c r="AI162" s="493"/>
      <c r="AJ162" s="493"/>
      <c r="AK162" s="493"/>
      <c r="AM162" s="493"/>
      <c r="AN162" s="493"/>
      <c r="AO162" s="493"/>
      <c r="AP162" s="493"/>
      <c r="AR162" s="493"/>
      <c r="AS162" s="493"/>
      <c r="AT162" s="493"/>
      <c r="AU162" s="493"/>
      <c r="AW162" s="493"/>
      <c r="AX162" s="493"/>
      <c r="AY162" s="493"/>
      <c r="AZ162" s="493"/>
    </row>
    <row r="163" spans="3:52">
      <c r="C163" s="479"/>
      <c r="D163" s="475"/>
      <c r="E163" s="475"/>
      <c r="F163" s="475"/>
      <c r="G163" s="475"/>
      <c r="H163" s="479"/>
      <c r="I163" s="475"/>
      <c r="J163" s="475"/>
      <c r="K163" s="475"/>
      <c r="L163" s="475"/>
      <c r="M163" s="479"/>
      <c r="N163" s="475"/>
      <c r="O163" s="475"/>
      <c r="P163" s="475"/>
      <c r="Q163" s="475"/>
      <c r="R163" s="479"/>
      <c r="S163" s="475"/>
      <c r="T163" s="475"/>
      <c r="U163" s="475"/>
      <c r="V163" s="475"/>
      <c r="W163" s="479"/>
      <c r="X163" s="475"/>
      <c r="Y163" s="475"/>
      <c r="Z163" s="475"/>
      <c r="AA163" s="475"/>
      <c r="AB163" s="479"/>
      <c r="AC163" s="475"/>
      <c r="AD163" s="475"/>
      <c r="AE163" s="475"/>
      <c r="AF163" s="475"/>
      <c r="AG163" s="479"/>
      <c r="AH163" s="475"/>
      <c r="AI163" s="475"/>
      <c r="AJ163" s="475"/>
      <c r="AK163" s="475"/>
      <c r="AL163" s="479"/>
      <c r="AM163" s="475"/>
      <c r="AN163" s="475"/>
      <c r="AO163" s="475"/>
      <c r="AP163" s="475"/>
      <c r="AQ163" s="479"/>
      <c r="AR163" s="475"/>
      <c r="AS163" s="475"/>
      <c r="AT163" s="475"/>
      <c r="AU163" s="475"/>
      <c r="AV163" s="479"/>
      <c r="AW163" s="475"/>
      <c r="AX163" s="475"/>
      <c r="AY163" s="475"/>
      <c r="AZ163" s="475"/>
    </row>
    <row r="164" spans="3:52">
      <c r="C164" s="479"/>
      <c r="D164" s="475"/>
      <c r="E164" s="475"/>
      <c r="F164" s="475"/>
      <c r="G164" s="475"/>
      <c r="H164" s="479"/>
      <c r="I164" s="475"/>
      <c r="J164" s="475"/>
      <c r="K164" s="475"/>
      <c r="L164" s="475"/>
      <c r="M164" s="479"/>
      <c r="N164" s="475"/>
      <c r="O164" s="475"/>
      <c r="P164" s="475"/>
      <c r="Q164" s="475"/>
      <c r="R164" s="479"/>
      <c r="S164" s="475"/>
      <c r="T164" s="475"/>
      <c r="U164" s="475"/>
      <c r="V164" s="475"/>
      <c r="W164" s="479"/>
      <c r="X164" s="475"/>
      <c r="Y164" s="475"/>
      <c r="Z164" s="475"/>
      <c r="AA164" s="475"/>
      <c r="AB164" s="479"/>
      <c r="AC164" s="475"/>
      <c r="AD164" s="475"/>
      <c r="AE164" s="475"/>
      <c r="AF164" s="475"/>
      <c r="AG164" s="479"/>
      <c r="AH164" s="475"/>
      <c r="AI164" s="475"/>
      <c r="AJ164" s="475"/>
      <c r="AK164" s="475"/>
      <c r="AL164" s="479"/>
      <c r="AM164" s="475"/>
      <c r="AN164" s="475"/>
      <c r="AO164" s="475"/>
      <c r="AP164" s="475"/>
      <c r="AQ164" s="479"/>
      <c r="AR164" s="475"/>
      <c r="AS164" s="475"/>
      <c r="AT164" s="475"/>
      <c r="AU164" s="475"/>
      <c r="AV164" s="479"/>
      <c r="AW164" s="475"/>
      <c r="AX164" s="475"/>
      <c r="AY164" s="475"/>
      <c r="AZ164" s="475"/>
    </row>
    <row r="165" spans="3:52">
      <c r="C165" s="479"/>
      <c r="D165" s="475"/>
      <c r="E165" s="475"/>
      <c r="F165" s="475"/>
      <c r="G165" s="475"/>
      <c r="H165" s="479"/>
      <c r="I165" s="475"/>
      <c r="J165" s="475"/>
      <c r="K165" s="475"/>
      <c r="L165" s="475"/>
      <c r="M165" s="479"/>
      <c r="N165" s="475"/>
      <c r="O165" s="475"/>
      <c r="P165" s="475"/>
      <c r="Q165" s="475"/>
      <c r="R165" s="479"/>
      <c r="S165" s="475"/>
      <c r="T165" s="475"/>
      <c r="U165" s="475"/>
      <c r="V165" s="475"/>
      <c r="W165" s="479"/>
      <c r="X165" s="475"/>
      <c r="Y165" s="475"/>
      <c r="Z165" s="475"/>
      <c r="AA165" s="475"/>
      <c r="AB165" s="479"/>
      <c r="AC165" s="475"/>
      <c r="AD165" s="475"/>
      <c r="AE165" s="475"/>
      <c r="AF165" s="475"/>
      <c r="AG165" s="479"/>
      <c r="AH165" s="475"/>
      <c r="AI165" s="475"/>
      <c r="AJ165" s="475"/>
      <c r="AK165" s="475"/>
      <c r="AL165" s="479"/>
      <c r="AM165" s="475"/>
      <c r="AN165" s="475"/>
      <c r="AO165" s="475"/>
      <c r="AP165" s="475"/>
      <c r="AQ165" s="479"/>
      <c r="AR165" s="475"/>
      <c r="AS165" s="475"/>
      <c r="AT165" s="475"/>
      <c r="AU165" s="475"/>
      <c r="AV165" s="479"/>
      <c r="AW165" s="475"/>
      <c r="AX165" s="475"/>
      <c r="AY165" s="475"/>
      <c r="AZ165" s="475"/>
    </row>
    <row r="166" spans="3:52">
      <c r="C166" s="479"/>
      <c r="D166" s="475"/>
      <c r="E166" s="475"/>
      <c r="F166" s="475"/>
      <c r="G166" s="475"/>
      <c r="H166" s="479"/>
      <c r="I166" s="475"/>
      <c r="J166" s="475"/>
      <c r="K166" s="475"/>
      <c r="L166" s="475"/>
      <c r="M166" s="479"/>
      <c r="N166" s="475"/>
      <c r="O166" s="475"/>
      <c r="P166" s="475"/>
      <c r="Q166" s="475"/>
      <c r="R166" s="479"/>
      <c r="S166" s="475"/>
      <c r="T166" s="475"/>
      <c r="U166" s="475"/>
      <c r="V166" s="475"/>
      <c r="W166" s="479"/>
      <c r="X166" s="475"/>
      <c r="Y166" s="475"/>
      <c r="Z166" s="475"/>
      <c r="AA166" s="475"/>
      <c r="AB166" s="479"/>
      <c r="AC166" s="475"/>
      <c r="AD166" s="475"/>
      <c r="AE166" s="475"/>
      <c r="AF166" s="475"/>
      <c r="AG166" s="479"/>
      <c r="AH166" s="475"/>
      <c r="AI166" s="475"/>
      <c r="AJ166" s="475"/>
      <c r="AK166" s="475"/>
      <c r="AL166" s="479"/>
      <c r="AM166" s="475"/>
      <c r="AN166" s="475"/>
      <c r="AO166" s="475"/>
      <c r="AP166" s="475"/>
      <c r="AQ166" s="479"/>
      <c r="AR166" s="475"/>
      <c r="AS166" s="475"/>
      <c r="AT166" s="475"/>
      <c r="AU166" s="475"/>
      <c r="AV166" s="479"/>
      <c r="AW166" s="475"/>
      <c r="AX166" s="475"/>
      <c r="AY166" s="475"/>
      <c r="AZ166" s="475"/>
    </row>
    <row r="167" spans="3:52">
      <c r="C167" s="479"/>
      <c r="D167" s="475"/>
      <c r="E167" s="475"/>
      <c r="F167" s="475"/>
      <c r="G167" s="475"/>
      <c r="H167" s="479"/>
      <c r="I167" s="475"/>
      <c r="J167" s="475"/>
      <c r="K167" s="475"/>
      <c r="L167" s="475"/>
      <c r="M167" s="479"/>
      <c r="N167" s="475"/>
      <c r="O167" s="475"/>
      <c r="P167" s="475"/>
      <c r="Q167" s="475"/>
      <c r="R167" s="479"/>
      <c r="S167" s="475"/>
      <c r="T167" s="475"/>
      <c r="U167" s="475"/>
      <c r="V167" s="475"/>
      <c r="W167" s="479"/>
      <c r="X167" s="475"/>
      <c r="Y167" s="475"/>
      <c r="Z167" s="475"/>
      <c r="AA167" s="475"/>
      <c r="AB167" s="479"/>
      <c r="AC167" s="475"/>
      <c r="AD167" s="475"/>
      <c r="AE167" s="475"/>
      <c r="AF167" s="475"/>
      <c r="AG167" s="479"/>
      <c r="AH167" s="475"/>
      <c r="AI167" s="475"/>
      <c r="AJ167" s="475"/>
      <c r="AK167" s="475"/>
      <c r="AL167" s="479"/>
      <c r="AM167" s="475"/>
      <c r="AN167" s="475"/>
      <c r="AO167" s="475"/>
      <c r="AP167" s="475"/>
      <c r="AQ167" s="479"/>
      <c r="AR167" s="475"/>
      <c r="AS167" s="475"/>
      <c r="AT167" s="475"/>
      <c r="AU167" s="475"/>
      <c r="AV167" s="479"/>
      <c r="AW167" s="475"/>
      <c r="AX167" s="475"/>
      <c r="AY167" s="475"/>
      <c r="AZ167" s="475"/>
    </row>
    <row r="169" spans="3:52">
      <c r="C169" s="494"/>
      <c r="D169" s="494"/>
      <c r="E169" s="494"/>
      <c r="F169" s="494"/>
      <c r="G169" s="494"/>
      <c r="H169" s="494"/>
      <c r="I169" s="494"/>
      <c r="J169" s="494"/>
      <c r="K169" s="494"/>
      <c r="L169" s="494"/>
      <c r="M169" s="494"/>
      <c r="N169" s="494"/>
      <c r="O169" s="494"/>
      <c r="P169" s="494"/>
      <c r="Q169" s="494"/>
      <c r="R169" s="494"/>
      <c r="S169" s="494"/>
      <c r="T169" s="494"/>
      <c r="U169" s="494"/>
      <c r="V169" s="494"/>
      <c r="W169" s="494"/>
      <c r="X169" s="494"/>
      <c r="Y169" s="494"/>
      <c r="Z169" s="494"/>
      <c r="AA169" s="494"/>
      <c r="AB169" s="494"/>
      <c r="AC169" s="494"/>
      <c r="AD169" s="494"/>
      <c r="AE169" s="494"/>
      <c r="AF169" s="494"/>
      <c r="AG169" s="494"/>
      <c r="AH169" s="494"/>
      <c r="AI169" s="494"/>
      <c r="AJ169" s="494"/>
      <c r="AK169" s="494"/>
      <c r="AL169" s="494"/>
      <c r="AM169" s="494"/>
      <c r="AN169" s="494"/>
      <c r="AO169" s="494"/>
      <c r="AP169" s="494"/>
      <c r="AQ169" s="494"/>
      <c r="AR169" s="494"/>
      <c r="AS169" s="494"/>
      <c r="AT169" s="494"/>
      <c r="AU169" s="494"/>
      <c r="AV169" s="494"/>
      <c r="AW169" s="494"/>
      <c r="AX169" s="494"/>
      <c r="AY169" s="494"/>
      <c r="AZ169" s="494"/>
    </row>
    <row r="170" spans="3:52">
      <c r="C170" s="490"/>
      <c r="D170" s="490"/>
      <c r="E170" s="490"/>
      <c r="F170" s="490"/>
      <c r="G170" s="490"/>
      <c r="H170" s="490"/>
      <c r="I170" s="490"/>
      <c r="J170" s="490"/>
      <c r="K170" s="490"/>
      <c r="L170" s="490"/>
      <c r="M170" s="490"/>
      <c r="N170" s="490"/>
      <c r="O170" s="490"/>
      <c r="P170" s="490"/>
      <c r="Q170" s="490"/>
      <c r="R170" s="490"/>
      <c r="S170" s="490"/>
      <c r="T170" s="490"/>
      <c r="U170" s="490"/>
      <c r="V170" s="490"/>
      <c r="W170" s="490"/>
      <c r="X170" s="490"/>
      <c r="Y170" s="490"/>
      <c r="Z170" s="490"/>
      <c r="AA170" s="490"/>
      <c r="AB170" s="490"/>
      <c r="AC170" s="490"/>
      <c r="AD170" s="490"/>
      <c r="AE170" s="490"/>
      <c r="AF170" s="490"/>
      <c r="AG170" s="490"/>
      <c r="AH170" s="490"/>
      <c r="AI170" s="490"/>
      <c r="AJ170" s="490"/>
      <c r="AK170" s="490"/>
      <c r="AL170" s="490"/>
      <c r="AM170" s="490"/>
      <c r="AN170" s="490"/>
      <c r="AO170" s="490"/>
      <c r="AP170" s="490"/>
      <c r="AQ170" s="490"/>
      <c r="AR170" s="490"/>
      <c r="AS170" s="490"/>
      <c r="AT170" s="490"/>
      <c r="AU170" s="490"/>
      <c r="AV170" s="490"/>
      <c r="AW170" s="490"/>
      <c r="AX170" s="490"/>
      <c r="AY170" s="490"/>
      <c r="AZ170" s="490"/>
    </row>
    <row r="171" spans="3:52">
      <c r="C171" s="490"/>
      <c r="D171" s="490"/>
      <c r="E171" s="490"/>
      <c r="F171" s="490"/>
      <c r="G171" s="490"/>
      <c r="H171" s="490"/>
      <c r="I171" s="490"/>
      <c r="J171" s="490"/>
      <c r="K171" s="490"/>
      <c r="L171" s="490"/>
      <c r="M171" s="490"/>
      <c r="N171" s="490"/>
      <c r="O171" s="490"/>
      <c r="P171" s="490"/>
      <c r="Q171" s="490"/>
      <c r="R171" s="490"/>
      <c r="S171" s="490"/>
      <c r="T171" s="490"/>
      <c r="U171" s="490"/>
      <c r="V171" s="490"/>
      <c r="W171" s="490"/>
      <c r="X171" s="490"/>
      <c r="Y171" s="490"/>
      <c r="Z171" s="490"/>
      <c r="AA171" s="490"/>
      <c r="AB171" s="490"/>
      <c r="AC171" s="490"/>
      <c r="AD171" s="490"/>
      <c r="AE171" s="490"/>
      <c r="AF171" s="490"/>
      <c r="AG171" s="490"/>
      <c r="AH171" s="490"/>
      <c r="AI171" s="490"/>
      <c r="AJ171" s="490"/>
      <c r="AK171" s="490"/>
      <c r="AL171" s="490"/>
      <c r="AM171" s="490"/>
      <c r="AN171" s="490"/>
      <c r="AO171" s="490"/>
      <c r="AP171" s="490"/>
      <c r="AQ171" s="490"/>
      <c r="AR171" s="490"/>
      <c r="AS171" s="490"/>
      <c r="AT171" s="490"/>
      <c r="AU171" s="490"/>
      <c r="AV171" s="490"/>
      <c r="AW171" s="490"/>
      <c r="AX171" s="490"/>
      <c r="AY171" s="490"/>
      <c r="AZ171" s="490"/>
    </row>
    <row r="173" spans="3:52">
      <c r="C173" s="495"/>
      <c r="D173" s="496"/>
      <c r="E173" s="496"/>
      <c r="F173" s="496"/>
      <c r="G173" s="496"/>
      <c r="H173" s="495"/>
      <c r="I173" s="496"/>
      <c r="J173" s="496"/>
      <c r="K173" s="496"/>
      <c r="L173" s="496"/>
      <c r="M173" s="495"/>
      <c r="N173" s="496"/>
      <c r="O173" s="496"/>
      <c r="P173" s="496"/>
      <c r="Q173" s="496"/>
      <c r="R173" s="495"/>
      <c r="S173" s="496"/>
      <c r="T173" s="496"/>
      <c r="U173" s="496"/>
      <c r="V173" s="496"/>
      <c r="W173" s="495"/>
      <c r="X173" s="496"/>
      <c r="Y173" s="496"/>
      <c r="Z173" s="496"/>
      <c r="AA173" s="496"/>
      <c r="AB173" s="495"/>
      <c r="AC173" s="496"/>
      <c r="AD173" s="496"/>
      <c r="AE173" s="496"/>
      <c r="AF173" s="496"/>
      <c r="AG173" s="495"/>
      <c r="AH173" s="496"/>
      <c r="AI173" s="496"/>
      <c r="AJ173" s="496"/>
      <c r="AK173" s="496"/>
      <c r="AL173" s="495"/>
      <c r="AM173" s="496"/>
      <c r="AN173" s="496"/>
      <c r="AO173" s="496"/>
      <c r="AP173" s="496"/>
      <c r="AQ173" s="495"/>
      <c r="AR173" s="496"/>
      <c r="AS173" s="496"/>
      <c r="AT173" s="496"/>
      <c r="AU173" s="496"/>
      <c r="AV173" s="495"/>
      <c r="AW173" s="496"/>
      <c r="AX173" s="496"/>
      <c r="AY173" s="496"/>
      <c r="AZ173" s="496"/>
    </row>
    <row r="174" spans="3:52">
      <c r="C174" s="497"/>
      <c r="D174" s="498"/>
      <c r="E174" s="498"/>
      <c r="F174" s="498"/>
      <c r="G174" s="498"/>
      <c r="H174" s="497"/>
      <c r="I174" s="498"/>
      <c r="J174" s="498"/>
      <c r="K174" s="498"/>
      <c r="L174" s="498"/>
      <c r="M174" s="497"/>
      <c r="N174" s="498"/>
      <c r="O174" s="498"/>
      <c r="P174" s="498"/>
      <c r="Q174" s="498"/>
      <c r="R174" s="497"/>
      <c r="S174" s="498"/>
      <c r="T174" s="498"/>
      <c r="U174" s="498"/>
      <c r="V174" s="498"/>
      <c r="W174" s="497"/>
      <c r="X174" s="498"/>
      <c r="Y174" s="498"/>
      <c r="Z174" s="498"/>
      <c r="AA174" s="498"/>
      <c r="AB174" s="497"/>
      <c r="AC174" s="498"/>
      <c r="AD174" s="498"/>
      <c r="AE174" s="498"/>
      <c r="AF174" s="498"/>
      <c r="AG174" s="497"/>
      <c r="AH174" s="498"/>
      <c r="AI174" s="498"/>
      <c r="AJ174" s="498"/>
      <c r="AK174" s="498"/>
      <c r="AL174" s="497"/>
      <c r="AM174" s="498"/>
      <c r="AN174" s="498"/>
      <c r="AO174" s="498"/>
      <c r="AP174" s="498"/>
      <c r="AQ174" s="497"/>
      <c r="AR174" s="498"/>
      <c r="AS174" s="498"/>
      <c r="AT174" s="498"/>
      <c r="AU174" s="498"/>
      <c r="AV174" s="497"/>
      <c r="AW174" s="498"/>
      <c r="AX174" s="498"/>
      <c r="AY174" s="498"/>
      <c r="AZ174" s="498"/>
    </row>
    <row r="175" spans="3:52">
      <c r="C175" s="463"/>
      <c r="D175" s="384"/>
      <c r="E175" s="384"/>
      <c r="F175" s="384"/>
      <c r="G175" s="384"/>
      <c r="H175" s="463"/>
      <c r="I175" s="384"/>
      <c r="J175" s="384"/>
      <c r="K175" s="384"/>
      <c r="L175" s="384"/>
      <c r="M175" s="463"/>
      <c r="N175" s="384"/>
      <c r="O175" s="384"/>
      <c r="P175" s="384"/>
      <c r="Q175" s="384"/>
      <c r="R175" s="463"/>
      <c r="S175" s="384"/>
      <c r="T175" s="384"/>
      <c r="U175" s="384"/>
      <c r="V175" s="384"/>
      <c r="W175" s="463"/>
      <c r="X175" s="384"/>
      <c r="Y175" s="384"/>
      <c r="Z175" s="384"/>
      <c r="AA175" s="384"/>
      <c r="AB175" s="463"/>
      <c r="AC175" s="384"/>
      <c r="AD175" s="384"/>
      <c r="AE175" s="384"/>
      <c r="AF175" s="384"/>
      <c r="AG175" s="463"/>
      <c r="AH175" s="384"/>
      <c r="AI175" s="384"/>
      <c r="AJ175" s="384"/>
      <c r="AK175" s="384"/>
      <c r="AL175" s="463"/>
      <c r="AM175" s="384"/>
      <c r="AN175" s="384"/>
      <c r="AO175" s="384"/>
      <c r="AP175" s="384"/>
      <c r="AQ175" s="463"/>
      <c r="AR175" s="384"/>
      <c r="AS175" s="384"/>
      <c r="AT175" s="384"/>
      <c r="AU175" s="384"/>
      <c r="AV175" s="463"/>
      <c r="AW175" s="384"/>
      <c r="AX175" s="384"/>
      <c r="AY175" s="384"/>
      <c r="AZ175" s="384"/>
    </row>
    <row r="176" spans="3:52">
      <c r="C176" s="463"/>
      <c r="D176" s="384"/>
      <c r="E176" s="384"/>
      <c r="F176" s="384"/>
      <c r="G176" s="384"/>
      <c r="H176" s="463"/>
      <c r="I176" s="384"/>
      <c r="J176" s="384"/>
      <c r="K176" s="384"/>
      <c r="L176" s="384"/>
      <c r="M176" s="463"/>
      <c r="N176" s="384"/>
      <c r="O176" s="384"/>
      <c r="P176" s="384"/>
      <c r="Q176" s="384"/>
      <c r="R176" s="463"/>
      <c r="S176" s="384"/>
      <c r="T176" s="384"/>
      <c r="U176" s="384"/>
      <c r="V176" s="384"/>
      <c r="W176" s="463"/>
      <c r="X176" s="384"/>
      <c r="Y176" s="384"/>
      <c r="Z176" s="384"/>
      <c r="AA176" s="384"/>
      <c r="AB176" s="463"/>
      <c r="AC176" s="384"/>
      <c r="AD176" s="384"/>
      <c r="AE176" s="384"/>
      <c r="AF176" s="384"/>
      <c r="AG176" s="463"/>
      <c r="AH176" s="384"/>
      <c r="AI176" s="384"/>
      <c r="AJ176" s="384"/>
      <c r="AK176" s="384"/>
      <c r="AL176" s="463"/>
      <c r="AM176" s="384"/>
      <c r="AN176" s="384"/>
      <c r="AO176" s="384"/>
      <c r="AP176" s="384"/>
      <c r="AQ176" s="463"/>
      <c r="AR176" s="384"/>
      <c r="AS176" s="384"/>
      <c r="AT176" s="384"/>
      <c r="AU176" s="384"/>
      <c r="AV176" s="463"/>
      <c r="AW176" s="384"/>
      <c r="AX176" s="384"/>
      <c r="AY176" s="384"/>
      <c r="AZ176" s="384"/>
    </row>
    <row r="177" spans="3:52">
      <c r="C177" s="463"/>
      <c r="D177" s="384"/>
      <c r="E177" s="384"/>
      <c r="F177" s="384"/>
      <c r="G177" s="384"/>
      <c r="H177" s="463"/>
      <c r="I177" s="384"/>
      <c r="J177" s="384"/>
      <c r="K177" s="384"/>
      <c r="L177" s="384"/>
      <c r="M177" s="463"/>
      <c r="N177" s="384"/>
      <c r="O177" s="384"/>
      <c r="P177" s="384"/>
      <c r="Q177" s="384"/>
      <c r="R177" s="463"/>
      <c r="S177" s="384"/>
      <c r="T177" s="384"/>
      <c r="U177" s="384"/>
      <c r="V177" s="384"/>
      <c r="W177" s="463"/>
      <c r="X177" s="384"/>
      <c r="Y177" s="384"/>
      <c r="Z177" s="384"/>
      <c r="AA177" s="384"/>
      <c r="AB177" s="463"/>
      <c r="AC177" s="384"/>
      <c r="AD177" s="384"/>
      <c r="AE177" s="384"/>
      <c r="AF177" s="384"/>
      <c r="AG177" s="463"/>
      <c r="AH177" s="384"/>
      <c r="AI177" s="384"/>
      <c r="AJ177" s="384"/>
      <c r="AK177" s="384"/>
      <c r="AL177" s="463"/>
      <c r="AM177" s="384"/>
      <c r="AN177" s="384"/>
      <c r="AO177" s="384"/>
      <c r="AP177" s="384"/>
      <c r="AQ177" s="463"/>
      <c r="AR177" s="384"/>
      <c r="AS177" s="384"/>
      <c r="AT177" s="384"/>
      <c r="AU177" s="384"/>
      <c r="AV177" s="463"/>
      <c r="AW177" s="384"/>
      <c r="AX177" s="384"/>
      <c r="AY177" s="384"/>
      <c r="AZ177" s="384"/>
    </row>
    <row r="178" spans="3:52">
      <c r="C178" s="497"/>
      <c r="D178" s="498"/>
      <c r="E178" s="498"/>
      <c r="F178" s="498"/>
      <c r="G178" s="498"/>
      <c r="H178" s="497"/>
      <c r="I178" s="498"/>
      <c r="J178" s="498"/>
      <c r="K178" s="498"/>
      <c r="L178" s="498"/>
      <c r="M178" s="497"/>
      <c r="N178" s="498"/>
      <c r="O178" s="498"/>
      <c r="P178" s="498"/>
      <c r="Q178" s="498"/>
      <c r="R178" s="497"/>
      <c r="S178" s="498"/>
      <c r="T178" s="498"/>
      <c r="U178" s="498"/>
      <c r="V178" s="498"/>
      <c r="W178" s="497"/>
      <c r="X178" s="498"/>
      <c r="Y178" s="498"/>
      <c r="Z178" s="498"/>
      <c r="AA178" s="498"/>
      <c r="AB178" s="497"/>
      <c r="AC178" s="498"/>
      <c r="AD178" s="498"/>
      <c r="AE178" s="498"/>
      <c r="AF178" s="498"/>
      <c r="AG178" s="497"/>
      <c r="AH178" s="498"/>
      <c r="AI178" s="498"/>
      <c r="AJ178" s="498"/>
      <c r="AK178" s="498"/>
      <c r="AL178" s="497"/>
      <c r="AM178" s="498"/>
      <c r="AN178" s="498"/>
      <c r="AO178" s="498"/>
      <c r="AP178" s="498"/>
      <c r="AQ178" s="497"/>
      <c r="AR178" s="498"/>
      <c r="AS178" s="498"/>
      <c r="AT178" s="498"/>
      <c r="AU178" s="498"/>
      <c r="AV178" s="497"/>
      <c r="AW178" s="498"/>
      <c r="AX178" s="498"/>
      <c r="AY178" s="498"/>
      <c r="AZ178" s="498"/>
    </row>
    <row r="179" spans="3:52">
      <c r="C179" s="394"/>
      <c r="D179" s="395"/>
      <c r="E179" s="395"/>
      <c r="F179" s="395"/>
      <c r="G179" s="395"/>
      <c r="H179" s="394"/>
      <c r="I179" s="395"/>
      <c r="J179" s="395"/>
      <c r="K179" s="395"/>
      <c r="L179" s="395"/>
      <c r="M179" s="394"/>
      <c r="N179" s="395"/>
      <c r="O179" s="395"/>
      <c r="P179" s="395"/>
      <c r="Q179" s="395"/>
      <c r="R179" s="394"/>
      <c r="S179" s="395"/>
      <c r="T179" s="395"/>
      <c r="U179" s="395"/>
      <c r="V179" s="395"/>
      <c r="W179" s="394"/>
      <c r="X179" s="395"/>
      <c r="Y179" s="395"/>
      <c r="Z179" s="395"/>
      <c r="AA179" s="395"/>
      <c r="AB179" s="394"/>
      <c r="AC179" s="395"/>
      <c r="AD179" s="395"/>
      <c r="AE179" s="395"/>
      <c r="AF179" s="395"/>
      <c r="AG179" s="394"/>
      <c r="AH179" s="395"/>
      <c r="AI179" s="395"/>
      <c r="AJ179" s="395"/>
      <c r="AK179" s="395"/>
      <c r="AL179" s="394"/>
      <c r="AM179" s="395"/>
      <c r="AN179" s="395"/>
      <c r="AO179" s="395"/>
      <c r="AP179" s="395"/>
      <c r="AQ179" s="394"/>
      <c r="AR179" s="395"/>
      <c r="AS179" s="395"/>
      <c r="AT179" s="395"/>
      <c r="AU179" s="395"/>
      <c r="AV179" s="394"/>
      <c r="AW179" s="395"/>
      <c r="AX179" s="395"/>
      <c r="AY179" s="395"/>
      <c r="AZ179" s="395"/>
    </row>
    <row r="180" spans="3:52">
      <c r="C180" s="394"/>
      <c r="D180" s="395"/>
      <c r="E180" s="395"/>
      <c r="F180" s="395"/>
      <c r="G180" s="395"/>
      <c r="H180" s="394"/>
      <c r="I180" s="395"/>
      <c r="J180" s="395"/>
      <c r="K180" s="395"/>
      <c r="L180" s="395"/>
      <c r="M180" s="394"/>
      <c r="N180" s="395"/>
      <c r="O180" s="395"/>
      <c r="P180" s="395"/>
      <c r="Q180" s="395"/>
      <c r="R180" s="394"/>
      <c r="S180" s="395"/>
      <c r="T180" s="395"/>
      <c r="U180" s="395"/>
      <c r="V180" s="395"/>
      <c r="W180" s="394"/>
      <c r="X180" s="395"/>
      <c r="Y180" s="395"/>
      <c r="Z180" s="395"/>
      <c r="AA180" s="395"/>
      <c r="AB180" s="394"/>
      <c r="AC180" s="395"/>
      <c r="AD180" s="395"/>
      <c r="AE180" s="395"/>
      <c r="AF180" s="395"/>
      <c r="AG180" s="394"/>
      <c r="AH180" s="395"/>
      <c r="AI180" s="395"/>
      <c r="AJ180" s="395"/>
      <c r="AK180" s="395"/>
      <c r="AL180" s="394"/>
      <c r="AM180" s="395"/>
      <c r="AN180" s="395"/>
      <c r="AO180" s="395"/>
      <c r="AP180" s="395"/>
      <c r="AQ180" s="394"/>
      <c r="AR180" s="395"/>
      <c r="AS180" s="395"/>
      <c r="AT180" s="395"/>
      <c r="AU180" s="395"/>
      <c r="AV180" s="394"/>
      <c r="AW180" s="395"/>
      <c r="AX180" s="395"/>
      <c r="AY180" s="395"/>
      <c r="AZ180" s="395"/>
    </row>
    <row r="181" spans="3:52">
      <c r="C181" s="394"/>
      <c r="D181" s="395"/>
      <c r="E181" s="395"/>
      <c r="F181" s="395"/>
      <c r="G181" s="395"/>
      <c r="H181" s="394"/>
      <c r="I181" s="395"/>
      <c r="J181" s="395"/>
      <c r="K181" s="395"/>
      <c r="L181" s="395"/>
      <c r="M181" s="394"/>
      <c r="N181" s="395"/>
      <c r="O181" s="395"/>
      <c r="P181" s="395"/>
      <c r="Q181" s="395"/>
      <c r="R181" s="394"/>
      <c r="S181" s="395"/>
      <c r="T181" s="395"/>
      <c r="U181" s="395"/>
      <c r="V181" s="395"/>
      <c r="W181" s="394"/>
      <c r="X181" s="395"/>
      <c r="Y181" s="395"/>
      <c r="Z181" s="395"/>
      <c r="AA181" s="395"/>
      <c r="AB181" s="394"/>
      <c r="AC181" s="395"/>
      <c r="AD181" s="395"/>
      <c r="AE181" s="395"/>
      <c r="AF181" s="395"/>
      <c r="AG181" s="394"/>
      <c r="AH181" s="395"/>
      <c r="AI181" s="395"/>
      <c r="AJ181" s="395"/>
      <c r="AK181" s="395"/>
      <c r="AL181" s="394"/>
      <c r="AM181" s="395"/>
      <c r="AN181" s="395"/>
      <c r="AO181" s="395"/>
      <c r="AP181" s="395"/>
      <c r="AQ181" s="394"/>
      <c r="AR181" s="395"/>
      <c r="AS181" s="395"/>
      <c r="AT181" s="395"/>
      <c r="AU181" s="395"/>
      <c r="AV181" s="394"/>
      <c r="AW181" s="395"/>
      <c r="AX181" s="395"/>
      <c r="AY181" s="395"/>
      <c r="AZ181" s="395"/>
    </row>
    <row r="182" spans="3:52">
      <c r="C182" s="499"/>
      <c r="D182" s="500"/>
      <c r="E182" s="500"/>
      <c r="F182" s="500"/>
      <c r="G182" s="500"/>
      <c r="H182" s="499"/>
      <c r="I182" s="500"/>
      <c r="J182" s="500"/>
      <c r="K182" s="500"/>
      <c r="L182" s="500"/>
      <c r="M182" s="499"/>
      <c r="N182" s="500"/>
      <c r="O182" s="500"/>
      <c r="P182" s="500"/>
      <c r="Q182" s="500"/>
      <c r="R182" s="499"/>
      <c r="S182" s="500"/>
      <c r="T182" s="500"/>
      <c r="U182" s="500"/>
      <c r="V182" s="500"/>
      <c r="W182" s="499"/>
      <c r="X182" s="500"/>
      <c r="Y182" s="500"/>
      <c r="Z182" s="500"/>
      <c r="AA182" s="500"/>
      <c r="AB182" s="499"/>
      <c r="AC182" s="500"/>
      <c r="AD182" s="500"/>
      <c r="AE182" s="500"/>
      <c r="AF182" s="500"/>
      <c r="AG182" s="499"/>
      <c r="AH182" s="500"/>
      <c r="AI182" s="500"/>
      <c r="AJ182" s="500"/>
      <c r="AK182" s="500"/>
      <c r="AL182" s="499"/>
      <c r="AM182" s="500"/>
      <c r="AN182" s="500"/>
      <c r="AO182" s="500"/>
      <c r="AP182" s="500"/>
      <c r="AQ182" s="499"/>
      <c r="AR182" s="500"/>
      <c r="AS182" s="500"/>
      <c r="AT182" s="500"/>
      <c r="AU182" s="500"/>
      <c r="AV182" s="499"/>
      <c r="AW182" s="500"/>
      <c r="AX182" s="500"/>
      <c r="AY182" s="500"/>
      <c r="AZ182" s="500"/>
    </row>
    <row r="183" spans="3:52">
      <c r="C183" s="394"/>
      <c r="D183" s="395"/>
      <c r="E183" s="395"/>
      <c r="F183" s="395"/>
      <c r="G183" s="395"/>
      <c r="H183" s="394"/>
      <c r="I183" s="395"/>
      <c r="J183" s="395"/>
      <c r="K183" s="395"/>
      <c r="L183" s="395"/>
      <c r="M183" s="394"/>
      <c r="N183" s="395"/>
      <c r="O183" s="395"/>
      <c r="P183" s="395"/>
      <c r="Q183" s="395"/>
      <c r="R183" s="394"/>
      <c r="S183" s="395"/>
      <c r="T183" s="395"/>
      <c r="U183" s="395"/>
      <c r="V183" s="395"/>
      <c r="W183" s="394"/>
      <c r="X183" s="395"/>
      <c r="Y183" s="395"/>
      <c r="Z183" s="395"/>
      <c r="AA183" s="395"/>
      <c r="AB183" s="394"/>
      <c r="AC183" s="395"/>
      <c r="AD183" s="395"/>
      <c r="AE183" s="395"/>
      <c r="AF183" s="395"/>
      <c r="AG183" s="394"/>
      <c r="AH183" s="395"/>
      <c r="AI183" s="395"/>
      <c r="AJ183" s="395"/>
      <c r="AK183" s="395"/>
      <c r="AL183" s="394"/>
      <c r="AM183" s="395"/>
      <c r="AN183" s="395"/>
      <c r="AO183" s="395"/>
      <c r="AP183" s="395"/>
      <c r="AQ183" s="394"/>
      <c r="AR183" s="395"/>
      <c r="AS183" s="395"/>
      <c r="AT183" s="395"/>
      <c r="AU183" s="395"/>
      <c r="AV183" s="394"/>
      <c r="AW183" s="395"/>
      <c r="AX183" s="395"/>
      <c r="AY183" s="395"/>
      <c r="AZ183" s="395"/>
    </row>
    <row r="184" spans="3:52">
      <c r="C184" s="497"/>
      <c r="D184" s="395"/>
      <c r="E184" s="395"/>
      <c r="F184" s="395"/>
      <c r="G184" s="395"/>
      <c r="H184" s="497"/>
      <c r="I184" s="395"/>
      <c r="J184" s="395"/>
      <c r="K184" s="395"/>
      <c r="L184" s="395"/>
      <c r="M184" s="497"/>
      <c r="N184" s="395"/>
      <c r="O184" s="395"/>
      <c r="P184" s="395"/>
      <c r="Q184" s="395"/>
      <c r="R184" s="497"/>
      <c r="S184" s="395"/>
      <c r="T184" s="395"/>
      <c r="U184" s="395"/>
      <c r="V184" s="395"/>
      <c r="W184" s="497"/>
      <c r="X184" s="395"/>
      <c r="Y184" s="395"/>
      <c r="Z184" s="395"/>
      <c r="AA184" s="395"/>
      <c r="AB184" s="497"/>
      <c r="AC184" s="395"/>
      <c r="AD184" s="395"/>
      <c r="AE184" s="395"/>
      <c r="AF184" s="395"/>
      <c r="AG184" s="497"/>
      <c r="AH184" s="395"/>
      <c r="AI184" s="395"/>
      <c r="AJ184" s="395"/>
      <c r="AK184" s="395"/>
      <c r="AL184" s="497"/>
      <c r="AM184" s="395"/>
      <c r="AN184" s="395"/>
      <c r="AO184" s="395"/>
      <c r="AP184" s="395"/>
      <c r="AQ184" s="497"/>
      <c r="AR184" s="395"/>
      <c r="AS184" s="395"/>
      <c r="AT184" s="395"/>
      <c r="AU184" s="395"/>
      <c r="AV184" s="497"/>
      <c r="AW184" s="395"/>
      <c r="AX184" s="395"/>
      <c r="AY184" s="395"/>
      <c r="AZ184" s="395"/>
    </row>
    <row r="185" spans="3:52">
      <c r="C185" s="394"/>
      <c r="D185" s="395"/>
      <c r="E185" s="395"/>
      <c r="F185" s="395"/>
      <c r="G185" s="395"/>
      <c r="H185" s="394"/>
      <c r="I185" s="395"/>
      <c r="J185" s="395"/>
      <c r="K185" s="395"/>
      <c r="L185" s="395"/>
      <c r="M185" s="394"/>
      <c r="N185" s="395"/>
      <c r="O185" s="395"/>
      <c r="P185" s="395"/>
      <c r="Q185" s="395"/>
      <c r="R185" s="394"/>
      <c r="S185" s="395"/>
      <c r="T185" s="395"/>
      <c r="U185" s="395"/>
      <c r="V185" s="395"/>
      <c r="W185" s="394"/>
      <c r="X185" s="395"/>
      <c r="Y185" s="395"/>
      <c r="Z185" s="395"/>
      <c r="AA185" s="395"/>
      <c r="AB185" s="394"/>
      <c r="AC185" s="395"/>
      <c r="AD185" s="395"/>
      <c r="AE185" s="395"/>
      <c r="AF185" s="395"/>
      <c r="AG185" s="394"/>
      <c r="AH185" s="395"/>
      <c r="AI185" s="395"/>
      <c r="AJ185" s="395"/>
      <c r="AK185" s="395"/>
      <c r="AL185" s="394"/>
      <c r="AM185" s="395"/>
      <c r="AN185" s="395"/>
      <c r="AO185" s="395"/>
      <c r="AP185" s="395"/>
      <c r="AQ185" s="394"/>
      <c r="AR185" s="395"/>
      <c r="AS185" s="395"/>
      <c r="AT185" s="395"/>
      <c r="AU185" s="395"/>
      <c r="AV185" s="394"/>
      <c r="AW185" s="395"/>
      <c r="AX185" s="395"/>
      <c r="AY185" s="395"/>
      <c r="AZ185" s="395"/>
    </row>
    <row r="186" spans="3:52">
      <c r="C186" s="394"/>
      <c r="D186" s="501"/>
      <c r="E186" s="501"/>
      <c r="F186" s="501"/>
      <c r="G186" s="501"/>
      <c r="H186" s="394"/>
      <c r="I186" s="501"/>
      <c r="J186" s="501"/>
      <c r="K186" s="501"/>
      <c r="L186" s="501"/>
      <c r="M186" s="394"/>
      <c r="N186" s="501"/>
      <c r="O186" s="501"/>
      <c r="P186" s="501"/>
      <c r="Q186" s="501"/>
      <c r="R186" s="394"/>
      <c r="S186" s="501"/>
      <c r="T186" s="501"/>
      <c r="U186" s="501"/>
      <c r="V186" s="501"/>
      <c r="W186" s="394"/>
      <c r="X186" s="501"/>
      <c r="Y186" s="501"/>
      <c r="Z186" s="501"/>
      <c r="AA186" s="501"/>
      <c r="AB186" s="394"/>
      <c r="AC186" s="501"/>
      <c r="AD186" s="501"/>
      <c r="AE186" s="501"/>
      <c r="AF186" s="501"/>
      <c r="AG186" s="394"/>
      <c r="AH186" s="501"/>
      <c r="AI186" s="501"/>
      <c r="AJ186" s="501"/>
      <c r="AK186" s="501"/>
      <c r="AL186" s="394"/>
      <c r="AM186" s="501"/>
      <c r="AN186" s="501"/>
      <c r="AO186" s="501"/>
      <c r="AP186" s="501"/>
      <c r="AQ186" s="394"/>
      <c r="AR186" s="501"/>
      <c r="AS186" s="501"/>
      <c r="AT186" s="501"/>
      <c r="AU186" s="501"/>
      <c r="AV186" s="394"/>
      <c r="AW186" s="501"/>
      <c r="AX186" s="501"/>
      <c r="AY186" s="501"/>
      <c r="AZ186" s="501"/>
    </row>
    <row r="187" spans="3:52">
      <c r="C187" s="502"/>
      <c r="D187" s="503"/>
      <c r="E187" s="503"/>
      <c r="F187" s="503"/>
      <c r="G187" s="503"/>
      <c r="H187" s="502"/>
      <c r="I187" s="503"/>
      <c r="J187" s="503"/>
      <c r="K187" s="503"/>
      <c r="L187" s="503"/>
      <c r="M187" s="502"/>
      <c r="N187" s="503"/>
      <c r="O187" s="503"/>
      <c r="P187" s="503"/>
      <c r="Q187" s="503"/>
      <c r="R187" s="502"/>
      <c r="S187" s="503"/>
      <c r="T187" s="503"/>
      <c r="U187" s="503"/>
      <c r="V187" s="503"/>
      <c r="W187" s="502"/>
      <c r="X187" s="503"/>
      <c r="Y187" s="503"/>
      <c r="Z187" s="503"/>
      <c r="AA187" s="503"/>
      <c r="AB187" s="502"/>
      <c r="AC187" s="503"/>
      <c r="AD187" s="503"/>
      <c r="AE187" s="503"/>
      <c r="AF187" s="503"/>
      <c r="AG187" s="502"/>
      <c r="AH187" s="503"/>
      <c r="AI187" s="503"/>
      <c r="AJ187" s="503"/>
      <c r="AK187" s="503"/>
      <c r="AL187" s="502"/>
      <c r="AM187" s="503"/>
      <c r="AN187" s="503"/>
      <c r="AO187" s="503"/>
      <c r="AP187" s="503"/>
      <c r="AQ187" s="502"/>
      <c r="AR187" s="503"/>
      <c r="AS187" s="503"/>
      <c r="AT187" s="503"/>
      <c r="AU187" s="503"/>
      <c r="AV187" s="502"/>
      <c r="AW187" s="503"/>
      <c r="AX187" s="503"/>
      <c r="AY187" s="503"/>
      <c r="AZ187" s="503"/>
    </row>
    <row r="190" spans="3:52">
      <c r="C190" s="463"/>
      <c r="D190" s="384"/>
      <c r="E190" s="384"/>
      <c r="F190" s="384"/>
      <c r="G190" s="384"/>
      <c r="H190" s="463"/>
      <c r="I190" s="384"/>
      <c r="J190" s="384"/>
      <c r="K190" s="384"/>
      <c r="L190" s="384"/>
      <c r="M190" s="463"/>
      <c r="N190" s="384"/>
      <c r="O190" s="384"/>
      <c r="P190" s="384"/>
      <c r="Q190" s="384"/>
      <c r="R190" s="463"/>
      <c r="S190" s="384"/>
      <c r="T190" s="384"/>
      <c r="U190" s="384"/>
      <c r="V190" s="384"/>
      <c r="W190" s="463"/>
      <c r="X190" s="384"/>
      <c r="Y190" s="384"/>
      <c r="Z190" s="384"/>
      <c r="AA190" s="384"/>
      <c r="AB190" s="463"/>
      <c r="AC190" s="384"/>
      <c r="AD190" s="384"/>
      <c r="AE190" s="384"/>
      <c r="AF190" s="384"/>
      <c r="AG190" s="463"/>
      <c r="AH190" s="384"/>
      <c r="AI190" s="384"/>
      <c r="AJ190" s="384"/>
      <c r="AK190" s="384"/>
      <c r="AL190" s="463"/>
      <c r="AM190" s="384"/>
      <c r="AN190" s="384"/>
      <c r="AO190" s="384"/>
      <c r="AP190" s="384"/>
      <c r="AQ190" s="463"/>
      <c r="AR190" s="384"/>
      <c r="AS190" s="384"/>
      <c r="AT190" s="384"/>
      <c r="AU190" s="384"/>
      <c r="AV190" s="463"/>
      <c r="AW190" s="384"/>
      <c r="AX190" s="384"/>
      <c r="AY190" s="384"/>
      <c r="AZ190" s="384"/>
    </row>
    <row r="193" spans="3:52">
      <c r="C193" s="504"/>
      <c r="D193" s="505"/>
      <c r="E193" s="505"/>
      <c r="F193" s="505"/>
      <c r="G193" s="505"/>
      <c r="H193" s="504"/>
      <c r="I193" s="505"/>
      <c r="J193" s="505"/>
      <c r="K193" s="505"/>
      <c r="L193" s="505"/>
      <c r="M193" s="504"/>
      <c r="N193" s="505"/>
      <c r="O193" s="505"/>
      <c r="P193" s="505"/>
      <c r="Q193" s="505"/>
      <c r="R193" s="504"/>
      <c r="S193" s="505"/>
      <c r="T193" s="505"/>
      <c r="U193" s="505"/>
      <c r="V193" s="505"/>
      <c r="W193" s="504"/>
      <c r="X193" s="505"/>
      <c r="Y193" s="505"/>
      <c r="Z193" s="505"/>
      <c r="AA193" s="505"/>
      <c r="AB193" s="504"/>
      <c r="AC193" s="505"/>
      <c r="AD193" s="505"/>
      <c r="AE193" s="505"/>
      <c r="AF193" s="505"/>
      <c r="AG193" s="504"/>
      <c r="AH193" s="505"/>
      <c r="AI193" s="505"/>
      <c r="AJ193" s="505"/>
      <c r="AK193" s="505"/>
      <c r="AL193" s="504"/>
      <c r="AM193" s="505"/>
      <c r="AN193" s="505"/>
      <c r="AO193" s="505"/>
      <c r="AP193" s="505"/>
      <c r="AQ193" s="504"/>
      <c r="AR193" s="505"/>
      <c r="AS193" s="505"/>
      <c r="AT193" s="505"/>
      <c r="AU193" s="505"/>
      <c r="AV193" s="504"/>
      <c r="AW193" s="505"/>
      <c r="AX193" s="505"/>
      <c r="AY193" s="505"/>
      <c r="AZ193" s="505"/>
    </row>
    <row r="196" spans="3:52">
      <c r="C196" s="463"/>
      <c r="D196" s="384"/>
      <c r="E196" s="384"/>
      <c r="F196" s="384"/>
      <c r="G196" s="384"/>
      <c r="H196" s="463"/>
      <c r="I196" s="384"/>
      <c r="J196" s="384"/>
      <c r="K196" s="384"/>
      <c r="L196" s="384"/>
      <c r="M196" s="463"/>
      <c r="N196" s="384"/>
      <c r="O196" s="384"/>
      <c r="P196" s="384"/>
      <c r="Q196" s="384"/>
      <c r="R196" s="463"/>
      <c r="S196" s="384"/>
      <c r="T196" s="384"/>
      <c r="U196" s="384"/>
      <c r="V196" s="384"/>
      <c r="W196" s="463"/>
      <c r="X196" s="384"/>
      <c r="Y196" s="384"/>
      <c r="Z196" s="384"/>
      <c r="AA196" s="384"/>
      <c r="AB196" s="463"/>
      <c r="AC196" s="384"/>
      <c r="AD196" s="384"/>
      <c r="AE196" s="384"/>
      <c r="AF196" s="384"/>
      <c r="AG196" s="463"/>
      <c r="AH196" s="384"/>
      <c r="AI196" s="384"/>
      <c r="AJ196" s="384"/>
      <c r="AK196" s="384"/>
      <c r="AL196" s="463"/>
      <c r="AM196" s="384"/>
      <c r="AN196" s="384"/>
      <c r="AO196" s="384"/>
      <c r="AP196" s="384"/>
      <c r="AQ196" s="463"/>
      <c r="AR196" s="384"/>
      <c r="AS196" s="384"/>
      <c r="AT196" s="384"/>
      <c r="AU196" s="384"/>
      <c r="AV196" s="463"/>
      <c r="AW196" s="384"/>
      <c r="AX196" s="384"/>
      <c r="AY196" s="384"/>
      <c r="AZ196" s="384"/>
    </row>
    <row r="197" spans="3:52">
      <c r="C197" s="506"/>
      <c r="D197" s="507"/>
      <c r="E197" s="507"/>
      <c r="F197" s="507"/>
      <c r="G197" s="507"/>
      <c r="H197" s="506"/>
      <c r="I197" s="507"/>
      <c r="J197" s="507"/>
      <c r="K197" s="507"/>
      <c r="L197" s="507"/>
      <c r="M197" s="506"/>
      <c r="N197" s="507"/>
      <c r="O197" s="507"/>
      <c r="P197" s="507"/>
      <c r="Q197" s="507"/>
      <c r="R197" s="506"/>
      <c r="S197" s="507"/>
      <c r="T197" s="507"/>
      <c r="U197" s="507"/>
      <c r="V197" s="507"/>
      <c r="W197" s="506"/>
      <c r="X197" s="507"/>
      <c r="Y197" s="507"/>
      <c r="Z197" s="507"/>
      <c r="AA197" s="507"/>
      <c r="AB197" s="506"/>
      <c r="AC197" s="507"/>
      <c r="AD197" s="507"/>
      <c r="AE197" s="507"/>
      <c r="AF197" s="507"/>
      <c r="AG197" s="506"/>
      <c r="AH197" s="507"/>
      <c r="AI197" s="507"/>
      <c r="AJ197" s="507"/>
      <c r="AK197" s="507"/>
      <c r="AL197" s="506"/>
      <c r="AM197" s="507"/>
      <c r="AN197" s="507"/>
      <c r="AO197" s="507"/>
      <c r="AP197" s="507"/>
      <c r="AQ197" s="506"/>
      <c r="AR197" s="507"/>
      <c r="AS197" s="507"/>
      <c r="AT197" s="507"/>
      <c r="AU197" s="507"/>
      <c r="AV197" s="506"/>
      <c r="AW197" s="507"/>
      <c r="AX197" s="507"/>
      <c r="AY197" s="507"/>
      <c r="AZ197" s="507"/>
    </row>
    <row r="198" spans="3:52">
      <c r="C198" s="502"/>
      <c r="D198" s="384"/>
      <c r="E198" s="384"/>
      <c r="F198" s="384"/>
      <c r="G198" s="384"/>
      <c r="H198" s="502"/>
      <c r="I198" s="384"/>
      <c r="J198" s="384"/>
      <c r="K198" s="384"/>
      <c r="L198" s="384"/>
      <c r="M198" s="502"/>
      <c r="N198" s="384"/>
      <c r="O198" s="384"/>
      <c r="P198" s="384"/>
      <c r="Q198" s="384"/>
      <c r="R198" s="502"/>
      <c r="S198" s="384"/>
      <c r="T198" s="384"/>
      <c r="U198" s="384"/>
      <c r="V198" s="384"/>
      <c r="W198" s="502"/>
      <c r="X198" s="384"/>
      <c r="Y198" s="384"/>
      <c r="Z198" s="384"/>
      <c r="AA198" s="384"/>
      <c r="AB198" s="502"/>
      <c r="AC198" s="384"/>
      <c r="AD198" s="384"/>
      <c r="AE198" s="384"/>
      <c r="AF198" s="384"/>
      <c r="AG198" s="502"/>
      <c r="AH198" s="384"/>
      <c r="AI198" s="384"/>
      <c r="AJ198" s="384"/>
      <c r="AK198" s="384"/>
      <c r="AL198" s="502"/>
      <c r="AM198" s="384"/>
      <c r="AN198" s="384"/>
      <c r="AO198" s="384"/>
      <c r="AP198" s="384"/>
      <c r="AQ198" s="502"/>
      <c r="AR198" s="384"/>
      <c r="AS198" s="384"/>
      <c r="AT198" s="384"/>
      <c r="AU198" s="384"/>
      <c r="AV198" s="502"/>
      <c r="AW198" s="384"/>
      <c r="AX198" s="384"/>
      <c r="AY198" s="384"/>
      <c r="AZ198" s="384"/>
    </row>
    <row r="200" spans="3:52">
      <c r="C200" s="497"/>
      <c r="D200" s="498"/>
      <c r="E200" s="498"/>
      <c r="F200" s="498"/>
      <c r="G200" s="498"/>
      <c r="H200" s="497"/>
      <c r="I200" s="498"/>
      <c r="J200" s="498"/>
      <c r="K200" s="498"/>
      <c r="L200" s="498"/>
      <c r="M200" s="497"/>
      <c r="N200" s="498"/>
      <c r="O200" s="498"/>
      <c r="P200" s="498"/>
      <c r="Q200" s="498"/>
      <c r="R200" s="497"/>
      <c r="S200" s="498"/>
      <c r="T200" s="498"/>
      <c r="U200" s="498"/>
      <c r="V200" s="498"/>
      <c r="W200" s="497"/>
      <c r="X200" s="498"/>
      <c r="Y200" s="498"/>
      <c r="Z200" s="498"/>
      <c r="AA200" s="498"/>
      <c r="AB200" s="497"/>
      <c r="AC200" s="498"/>
      <c r="AD200" s="498"/>
      <c r="AE200" s="498"/>
      <c r="AF200" s="498"/>
      <c r="AG200" s="497"/>
      <c r="AH200" s="498"/>
      <c r="AI200" s="498"/>
      <c r="AJ200" s="498"/>
      <c r="AK200" s="498"/>
      <c r="AL200" s="497"/>
      <c r="AM200" s="498"/>
      <c r="AN200" s="498"/>
      <c r="AO200" s="498"/>
      <c r="AP200" s="498"/>
      <c r="AQ200" s="497"/>
      <c r="AR200" s="498"/>
      <c r="AS200" s="498"/>
      <c r="AT200" s="498"/>
      <c r="AU200" s="498"/>
      <c r="AV200" s="497"/>
      <c r="AW200" s="498"/>
      <c r="AX200" s="498"/>
      <c r="AY200" s="498"/>
      <c r="AZ200" s="498"/>
    </row>
    <row r="201" spans="3:52">
      <c r="C201" s="463"/>
      <c r="D201" s="384"/>
      <c r="E201" s="384"/>
      <c r="F201" s="384"/>
      <c r="G201" s="384"/>
      <c r="H201" s="463"/>
      <c r="I201" s="384"/>
      <c r="J201" s="384"/>
      <c r="K201" s="384"/>
      <c r="L201" s="384"/>
      <c r="M201" s="463"/>
      <c r="N201" s="384"/>
      <c r="O201" s="384"/>
      <c r="P201" s="384"/>
      <c r="Q201" s="384"/>
      <c r="R201" s="463"/>
      <c r="S201" s="384"/>
      <c r="T201" s="384"/>
      <c r="U201" s="384"/>
      <c r="V201" s="384"/>
      <c r="W201" s="463"/>
      <c r="X201" s="384"/>
      <c r="Y201" s="384"/>
      <c r="Z201" s="384"/>
      <c r="AA201" s="384"/>
      <c r="AB201" s="463"/>
      <c r="AC201" s="384"/>
      <c r="AD201" s="384"/>
      <c r="AE201" s="384"/>
      <c r="AF201" s="384"/>
      <c r="AG201" s="463"/>
      <c r="AH201" s="384"/>
      <c r="AI201" s="384"/>
      <c r="AJ201" s="384"/>
      <c r="AK201" s="384"/>
      <c r="AL201" s="463"/>
      <c r="AM201" s="384"/>
      <c r="AN201" s="384"/>
      <c r="AO201" s="384"/>
      <c r="AP201" s="384"/>
      <c r="AQ201" s="463"/>
      <c r="AR201" s="384"/>
      <c r="AS201" s="384"/>
      <c r="AT201" s="384"/>
      <c r="AU201" s="384"/>
      <c r="AV201" s="463"/>
      <c r="AW201" s="384"/>
      <c r="AX201" s="384"/>
      <c r="AY201" s="384"/>
      <c r="AZ201" s="384"/>
    </row>
    <row r="203" spans="3:52">
      <c r="C203" s="508"/>
      <c r="D203" s="501"/>
      <c r="E203" s="501"/>
      <c r="F203" s="501"/>
      <c r="G203" s="501"/>
      <c r="H203" s="508"/>
      <c r="I203" s="501"/>
      <c r="J203" s="501"/>
      <c r="K203" s="501"/>
      <c r="L203" s="501"/>
      <c r="M203" s="508"/>
      <c r="N203" s="501"/>
      <c r="O203" s="501"/>
      <c r="P203" s="501"/>
      <c r="Q203" s="501"/>
      <c r="R203" s="508"/>
      <c r="S203" s="501"/>
      <c r="T203" s="501"/>
      <c r="U203" s="501"/>
      <c r="V203" s="501"/>
      <c r="W203" s="508"/>
      <c r="X203" s="501"/>
      <c r="Y203" s="501"/>
      <c r="Z203" s="501"/>
      <c r="AA203" s="501"/>
      <c r="AB203" s="508"/>
      <c r="AC203" s="501"/>
      <c r="AD203" s="501"/>
      <c r="AE203" s="501"/>
      <c r="AF203" s="501"/>
      <c r="AG203" s="508"/>
      <c r="AH203" s="501"/>
      <c r="AI203" s="501"/>
      <c r="AJ203" s="501"/>
      <c r="AK203" s="501"/>
      <c r="AL203" s="508"/>
      <c r="AM203" s="501"/>
      <c r="AN203" s="501"/>
      <c r="AO203" s="501"/>
      <c r="AP203" s="501"/>
      <c r="AQ203" s="508"/>
      <c r="AR203" s="501"/>
      <c r="AS203" s="501"/>
      <c r="AT203" s="501"/>
      <c r="AU203" s="501"/>
      <c r="AV203" s="508"/>
      <c r="AW203" s="501"/>
      <c r="AX203" s="501"/>
      <c r="AY203" s="501"/>
      <c r="AZ203" s="501"/>
    </row>
    <row r="204" spans="3:52">
      <c r="C204" s="502"/>
      <c r="D204" s="503"/>
      <c r="E204" s="503"/>
      <c r="F204" s="503"/>
      <c r="G204" s="503"/>
      <c r="H204" s="502"/>
      <c r="I204" s="503"/>
      <c r="J204" s="503"/>
      <c r="K204" s="503"/>
      <c r="L204" s="503"/>
      <c r="M204" s="502"/>
      <c r="N204" s="503"/>
      <c r="O204" s="503"/>
      <c r="P204" s="503"/>
      <c r="Q204" s="503"/>
      <c r="R204" s="502"/>
      <c r="S204" s="503"/>
      <c r="T204" s="503"/>
      <c r="U204" s="503"/>
      <c r="V204" s="503"/>
      <c r="W204" s="502"/>
      <c r="X204" s="503"/>
      <c r="Y204" s="503"/>
      <c r="Z204" s="503"/>
      <c r="AA204" s="503"/>
      <c r="AB204" s="502"/>
      <c r="AC204" s="503"/>
      <c r="AD204" s="503"/>
      <c r="AE204" s="503"/>
      <c r="AF204" s="503"/>
      <c r="AG204" s="502"/>
      <c r="AH204" s="503"/>
      <c r="AI204" s="503"/>
      <c r="AJ204" s="503"/>
      <c r="AK204" s="503"/>
      <c r="AL204" s="502"/>
      <c r="AM204" s="503"/>
      <c r="AN204" s="503"/>
      <c r="AO204" s="503"/>
      <c r="AP204" s="503"/>
      <c r="AQ204" s="502"/>
      <c r="AR204" s="503"/>
      <c r="AS204" s="503"/>
      <c r="AT204" s="503"/>
      <c r="AU204" s="503"/>
      <c r="AV204" s="502"/>
      <c r="AW204" s="503"/>
      <c r="AX204" s="503"/>
      <c r="AY204" s="503"/>
      <c r="AZ204" s="503"/>
    </row>
    <row r="206" spans="3:52">
      <c r="C206" s="497"/>
      <c r="D206" s="498"/>
      <c r="E206" s="498"/>
      <c r="F206" s="498"/>
      <c r="G206" s="498"/>
      <c r="H206" s="497"/>
      <c r="I206" s="498"/>
      <c r="J206" s="498"/>
      <c r="K206" s="498"/>
      <c r="L206" s="498"/>
      <c r="M206" s="497"/>
      <c r="N206" s="498"/>
      <c r="O206" s="498"/>
      <c r="P206" s="498"/>
      <c r="Q206" s="498"/>
      <c r="R206" s="497"/>
      <c r="S206" s="498"/>
      <c r="T206" s="498"/>
      <c r="U206" s="498"/>
      <c r="V206" s="498"/>
      <c r="W206" s="497"/>
      <c r="X206" s="498"/>
      <c r="Y206" s="498"/>
      <c r="Z206" s="498"/>
      <c r="AA206" s="498"/>
      <c r="AB206" s="497"/>
      <c r="AC206" s="498"/>
      <c r="AD206" s="498"/>
      <c r="AE206" s="498"/>
      <c r="AF206" s="498"/>
      <c r="AG206" s="497"/>
      <c r="AH206" s="498"/>
      <c r="AI206" s="498"/>
      <c r="AJ206" s="498"/>
      <c r="AK206" s="498"/>
      <c r="AL206" s="497"/>
      <c r="AM206" s="498"/>
      <c r="AN206" s="498"/>
      <c r="AO206" s="498"/>
      <c r="AP206" s="498"/>
      <c r="AQ206" s="497"/>
      <c r="AR206" s="498"/>
      <c r="AS206" s="498"/>
      <c r="AT206" s="498"/>
      <c r="AU206" s="498"/>
      <c r="AV206" s="497"/>
      <c r="AW206" s="498"/>
      <c r="AX206" s="498"/>
      <c r="AY206" s="498"/>
      <c r="AZ206" s="498"/>
    </row>
    <row r="207" spans="3:52">
      <c r="C207" s="463"/>
      <c r="D207" s="384"/>
      <c r="E207" s="384"/>
      <c r="F207" s="384"/>
      <c r="G207" s="384"/>
      <c r="H207" s="463"/>
      <c r="I207" s="384"/>
      <c r="J207" s="384"/>
      <c r="K207" s="384"/>
      <c r="L207" s="384"/>
      <c r="M207" s="463"/>
      <c r="N207" s="384"/>
      <c r="O207" s="384"/>
      <c r="P207" s="384"/>
      <c r="Q207" s="384"/>
      <c r="R207" s="463"/>
      <c r="S207" s="384"/>
      <c r="T207" s="384"/>
      <c r="U207" s="384"/>
      <c r="V207" s="384"/>
      <c r="W207" s="463"/>
      <c r="X207" s="384"/>
      <c r="Y207" s="384"/>
      <c r="Z207" s="384"/>
      <c r="AA207" s="384"/>
      <c r="AB207" s="463"/>
      <c r="AC207" s="384"/>
      <c r="AD207" s="384"/>
      <c r="AE207" s="384"/>
      <c r="AF207" s="384"/>
      <c r="AG207" s="463"/>
      <c r="AH207" s="384"/>
      <c r="AI207" s="384"/>
      <c r="AJ207" s="384"/>
      <c r="AK207" s="384"/>
      <c r="AL207" s="463"/>
      <c r="AM207" s="384"/>
      <c r="AN207" s="384"/>
      <c r="AO207" s="384"/>
      <c r="AP207" s="384"/>
      <c r="AQ207" s="463"/>
      <c r="AR207" s="384"/>
      <c r="AS207" s="384"/>
      <c r="AT207" s="384"/>
      <c r="AU207" s="384"/>
      <c r="AV207" s="463"/>
      <c r="AW207" s="384"/>
      <c r="AX207" s="384"/>
      <c r="AY207" s="384"/>
      <c r="AZ207" s="384"/>
    </row>
    <row r="209" spans="3:52">
      <c r="C209" s="463"/>
      <c r="D209" s="384"/>
      <c r="E209" s="384"/>
      <c r="F209" s="384"/>
      <c r="G209" s="384"/>
      <c r="H209" s="463"/>
      <c r="I209" s="384"/>
      <c r="J209" s="384"/>
      <c r="K209" s="384"/>
      <c r="L209" s="384"/>
      <c r="M209" s="463"/>
      <c r="N209" s="384"/>
      <c r="O209" s="384"/>
      <c r="P209" s="384"/>
      <c r="Q209" s="384"/>
      <c r="R209" s="463"/>
      <c r="S209" s="384"/>
      <c r="T209" s="384"/>
      <c r="U209" s="384"/>
      <c r="V209" s="384"/>
      <c r="W209" s="463"/>
      <c r="X209" s="384"/>
      <c r="Y209" s="384"/>
      <c r="Z209" s="384"/>
      <c r="AA209" s="384"/>
      <c r="AB209" s="463"/>
      <c r="AC209" s="384"/>
      <c r="AD209" s="384"/>
      <c r="AE209" s="384"/>
      <c r="AF209" s="384"/>
      <c r="AG209" s="463"/>
      <c r="AH209" s="384"/>
      <c r="AI209" s="384"/>
      <c r="AJ209" s="384"/>
      <c r="AK209" s="384"/>
      <c r="AL209" s="463"/>
      <c r="AM209" s="384"/>
      <c r="AN209" s="384"/>
      <c r="AO209" s="384"/>
      <c r="AP209" s="384"/>
      <c r="AQ209" s="463"/>
      <c r="AR209" s="384"/>
      <c r="AS209" s="384"/>
      <c r="AT209" s="384"/>
      <c r="AU209" s="384"/>
      <c r="AV209" s="463"/>
      <c r="AW209" s="384"/>
      <c r="AX209" s="384"/>
      <c r="AY209" s="384"/>
      <c r="AZ209" s="384"/>
    </row>
    <row r="212" spans="3:52">
      <c r="C212" s="509"/>
      <c r="D212" s="510"/>
      <c r="E212" s="510"/>
      <c r="F212" s="510"/>
      <c r="G212" s="510"/>
      <c r="H212" s="509"/>
      <c r="I212" s="510"/>
      <c r="J212" s="510"/>
      <c r="K212" s="510"/>
      <c r="L212" s="510"/>
      <c r="M212" s="509"/>
      <c r="N212" s="510"/>
      <c r="O212" s="510"/>
      <c r="P212" s="510"/>
      <c r="Q212" s="510"/>
      <c r="R212" s="509"/>
      <c r="S212" s="510"/>
      <c r="T212" s="510"/>
      <c r="U212" s="510"/>
      <c r="V212" s="510"/>
      <c r="W212" s="509"/>
      <c r="X212" s="510"/>
      <c r="Y212" s="510"/>
      <c r="Z212" s="510"/>
      <c r="AA212" s="510"/>
      <c r="AB212" s="509"/>
      <c r="AC212" s="510"/>
      <c r="AD212" s="510"/>
      <c r="AE212" s="510"/>
      <c r="AF212" s="510"/>
      <c r="AG212" s="509"/>
      <c r="AH212" s="510"/>
      <c r="AI212" s="510"/>
      <c r="AJ212" s="510"/>
      <c r="AK212" s="510"/>
      <c r="AL212" s="509"/>
      <c r="AM212" s="510"/>
      <c r="AN212" s="510"/>
      <c r="AO212" s="510"/>
      <c r="AP212" s="510"/>
      <c r="AQ212" s="509"/>
      <c r="AR212" s="510"/>
      <c r="AS212" s="510"/>
      <c r="AT212" s="510"/>
      <c r="AU212" s="510"/>
      <c r="AV212" s="509"/>
      <c r="AW212" s="510"/>
      <c r="AX212" s="510"/>
      <c r="AY212" s="510"/>
      <c r="AZ212" s="510"/>
    </row>
    <row r="213" spans="3:52">
      <c r="C213" s="463"/>
      <c r="D213" s="384"/>
      <c r="E213" s="384"/>
      <c r="F213" s="384"/>
      <c r="G213" s="384"/>
      <c r="H213" s="463"/>
      <c r="I213" s="384"/>
      <c r="J213" s="384"/>
      <c r="K213" s="384"/>
      <c r="L213" s="384"/>
      <c r="M213" s="463"/>
      <c r="N213" s="384"/>
      <c r="O213" s="384"/>
      <c r="P213" s="384"/>
      <c r="Q213" s="384"/>
      <c r="R213" s="463"/>
      <c r="S213" s="384"/>
      <c r="T213" s="384"/>
      <c r="U213" s="384"/>
      <c r="V213" s="384"/>
      <c r="W213" s="463"/>
      <c r="X213" s="384"/>
      <c r="Y213" s="384"/>
      <c r="Z213" s="384"/>
      <c r="AA213" s="384"/>
      <c r="AB213" s="463"/>
      <c r="AC213" s="384"/>
      <c r="AD213" s="384"/>
      <c r="AE213" s="384"/>
      <c r="AF213" s="384"/>
      <c r="AG213" s="463"/>
      <c r="AH213" s="384"/>
      <c r="AI213" s="384"/>
      <c r="AJ213" s="384"/>
      <c r="AK213" s="384"/>
      <c r="AL213" s="463"/>
      <c r="AM213" s="384"/>
      <c r="AN213" s="384"/>
      <c r="AO213" s="384"/>
      <c r="AP213" s="384"/>
      <c r="AQ213" s="463"/>
      <c r="AR213" s="384"/>
      <c r="AS213" s="384"/>
      <c r="AT213" s="384"/>
      <c r="AU213" s="384"/>
      <c r="AV213" s="463"/>
      <c r="AW213" s="384"/>
      <c r="AX213" s="384"/>
      <c r="AY213" s="384"/>
      <c r="AZ213" s="384"/>
    </row>
    <row r="216" spans="3:52">
      <c r="C216" s="497"/>
      <c r="D216" s="498"/>
      <c r="E216" s="498"/>
      <c r="F216" s="498"/>
      <c r="G216" s="498"/>
      <c r="H216" s="497"/>
      <c r="I216" s="498"/>
      <c r="J216" s="498"/>
      <c r="K216" s="498"/>
      <c r="L216" s="498"/>
      <c r="M216" s="497"/>
      <c r="N216" s="498"/>
      <c r="O216" s="498"/>
      <c r="P216" s="498"/>
      <c r="Q216" s="498"/>
      <c r="R216" s="497"/>
      <c r="S216" s="498"/>
      <c r="T216" s="498"/>
      <c r="U216" s="498"/>
      <c r="V216" s="498"/>
      <c r="W216" s="497"/>
      <c r="X216" s="498"/>
      <c r="Y216" s="498"/>
      <c r="Z216" s="498"/>
      <c r="AA216" s="498"/>
      <c r="AB216" s="497"/>
      <c r="AC216" s="498"/>
      <c r="AD216" s="498"/>
      <c r="AE216" s="498"/>
      <c r="AF216" s="498"/>
      <c r="AG216" s="497"/>
      <c r="AH216" s="498"/>
      <c r="AI216" s="498"/>
      <c r="AJ216" s="498"/>
      <c r="AK216" s="498"/>
      <c r="AL216" s="497"/>
      <c r="AM216" s="498"/>
      <c r="AN216" s="498"/>
      <c r="AO216" s="498"/>
      <c r="AP216" s="498"/>
      <c r="AQ216" s="497"/>
      <c r="AR216" s="498"/>
      <c r="AS216" s="498"/>
      <c r="AT216" s="498"/>
      <c r="AU216" s="498"/>
      <c r="AV216" s="497"/>
      <c r="AW216" s="498"/>
      <c r="AX216" s="498"/>
      <c r="AY216" s="498"/>
      <c r="AZ216" s="498"/>
    </row>
    <row r="217" spans="3:52">
      <c r="C217" s="394"/>
      <c r="D217" s="395"/>
      <c r="E217" s="395"/>
      <c r="F217" s="395"/>
      <c r="G217" s="395"/>
      <c r="H217" s="394"/>
      <c r="I217" s="395"/>
      <c r="J217" s="395"/>
      <c r="K217" s="395"/>
      <c r="L217" s="395"/>
      <c r="M217" s="394"/>
      <c r="N217" s="395"/>
      <c r="O217" s="395"/>
      <c r="P217" s="395"/>
      <c r="Q217" s="395"/>
      <c r="R217" s="394"/>
      <c r="S217" s="395"/>
      <c r="T217" s="395"/>
      <c r="U217" s="395"/>
      <c r="V217" s="395"/>
      <c r="W217" s="394"/>
      <c r="X217" s="395"/>
      <c r="Y217" s="395"/>
      <c r="Z217" s="395"/>
      <c r="AA217" s="395"/>
      <c r="AB217" s="394"/>
      <c r="AC217" s="395"/>
      <c r="AD217" s="395"/>
      <c r="AE217" s="395"/>
      <c r="AF217" s="395"/>
      <c r="AG217" s="394"/>
      <c r="AH217" s="395"/>
      <c r="AI217" s="395"/>
      <c r="AJ217" s="395"/>
      <c r="AK217" s="395"/>
      <c r="AL217" s="394"/>
      <c r="AM217" s="395"/>
      <c r="AN217" s="395"/>
      <c r="AO217" s="395"/>
      <c r="AP217" s="395"/>
      <c r="AQ217" s="394"/>
      <c r="AR217" s="395"/>
      <c r="AS217" s="395"/>
      <c r="AT217" s="395"/>
      <c r="AU217" s="395"/>
      <c r="AV217" s="394"/>
      <c r="AW217" s="395"/>
      <c r="AX217" s="395"/>
      <c r="AY217" s="395"/>
      <c r="AZ217" s="395"/>
    </row>
    <row r="218" spans="3:52">
      <c r="C218" s="394"/>
      <c r="D218" s="395"/>
      <c r="E218" s="395"/>
      <c r="F218" s="395"/>
      <c r="G218" s="395"/>
      <c r="H218" s="394"/>
      <c r="I218" s="395"/>
      <c r="J218" s="395"/>
      <c r="K218" s="395"/>
      <c r="L218" s="395"/>
      <c r="M218" s="394"/>
      <c r="N218" s="395"/>
      <c r="O218" s="395"/>
      <c r="P218" s="395"/>
      <c r="Q218" s="395"/>
      <c r="R218" s="394"/>
      <c r="S218" s="395"/>
      <c r="T218" s="395"/>
      <c r="U218" s="395"/>
      <c r="V218" s="395"/>
      <c r="W218" s="394"/>
      <c r="X218" s="395"/>
      <c r="Y218" s="395"/>
      <c r="Z218" s="395"/>
      <c r="AA218" s="395"/>
      <c r="AB218" s="394"/>
      <c r="AC218" s="395"/>
      <c r="AD218" s="395"/>
      <c r="AE218" s="395"/>
      <c r="AF218" s="395"/>
      <c r="AG218" s="394"/>
      <c r="AH218" s="395"/>
      <c r="AI218" s="395"/>
      <c r="AJ218" s="395"/>
      <c r="AK218" s="395"/>
      <c r="AL218" s="394"/>
      <c r="AM218" s="395"/>
      <c r="AN218" s="395"/>
      <c r="AO218" s="395"/>
      <c r="AP218" s="395"/>
      <c r="AQ218" s="394"/>
      <c r="AR218" s="395"/>
      <c r="AS218" s="395"/>
      <c r="AT218" s="395"/>
      <c r="AU218" s="395"/>
      <c r="AV218" s="394"/>
      <c r="AW218" s="395"/>
      <c r="AX218" s="395"/>
      <c r="AY218" s="395"/>
      <c r="AZ218" s="395"/>
    </row>
    <row r="219" spans="3:52">
      <c r="C219" s="508"/>
      <c r="D219" s="501"/>
      <c r="E219" s="501"/>
      <c r="F219" s="501"/>
      <c r="G219" s="501"/>
      <c r="H219" s="508"/>
      <c r="I219" s="501"/>
      <c r="J219" s="501"/>
      <c r="K219" s="501"/>
      <c r="L219" s="501"/>
      <c r="M219" s="508"/>
      <c r="N219" s="501"/>
      <c r="O219" s="501"/>
      <c r="P219" s="501"/>
      <c r="Q219" s="501"/>
      <c r="R219" s="508"/>
      <c r="S219" s="501"/>
      <c r="T219" s="501"/>
      <c r="U219" s="501"/>
      <c r="V219" s="501"/>
      <c r="W219" s="508"/>
      <c r="X219" s="501"/>
      <c r="Y219" s="501"/>
      <c r="Z219" s="501"/>
      <c r="AA219" s="501"/>
      <c r="AB219" s="508"/>
      <c r="AC219" s="501"/>
      <c r="AD219" s="501"/>
      <c r="AE219" s="501"/>
      <c r="AF219" s="501"/>
      <c r="AG219" s="508"/>
      <c r="AH219" s="501"/>
      <c r="AI219" s="501"/>
      <c r="AJ219" s="501"/>
      <c r="AK219" s="501"/>
      <c r="AL219" s="508"/>
      <c r="AM219" s="501"/>
      <c r="AN219" s="501"/>
      <c r="AO219" s="501"/>
      <c r="AP219" s="501"/>
      <c r="AQ219" s="508"/>
      <c r="AR219" s="501"/>
      <c r="AS219" s="501"/>
      <c r="AT219" s="501"/>
      <c r="AU219" s="501"/>
      <c r="AV219" s="508"/>
      <c r="AW219" s="501"/>
      <c r="AX219" s="501"/>
      <c r="AY219" s="501"/>
      <c r="AZ219" s="501"/>
    </row>
    <row r="220" spans="3:52">
      <c r="C220" s="502"/>
      <c r="D220" s="503"/>
      <c r="E220" s="503"/>
      <c r="F220" s="503"/>
      <c r="G220" s="503"/>
      <c r="H220" s="502"/>
      <c r="I220" s="503"/>
      <c r="J220" s="503"/>
      <c r="K220" s="503"/>
      <c r="L220" s="503"/>
      <c r="M220" s="502"/>
      <c r="N220" s="503"/>
      <c r="O220" s="503"/>
      <c r="P220" s="503"/>
      <c r="Q220" s="503"/>
      <c r="R220" s="502"/>
      <c r="S220" s="503"/>
      <c r="T220" s="503"/>
      <c r="U220" s="503"/>
      <c r="V220" s="503"/>
      <c r="W220" s="502"/>
      <c r="X220" s="503"/>
      <c r="Y220" s="503"/>
      <c r="Z220" s="503"/>
      <c r="AA220" s="503"/>
      <c r="AB220" s="502"/>
      <c r="AC220" s="503"/>
      <c r="AD220" s="503"/>
      <c r="AE220" s="503"/>
      <c r="AF220" s="503"/>
      <c r="AG220" s="502"/>
      <c r="AH220" s="503"/>
      <c r="AI220" s="503"/>
      <c r="AJ220" s="503"/>
      <c r="AK220" s="503"/>
      <c r="AL220" s="502"/>
      <c r="AM220" s="503"/>
      <c r="AN220" s="503"/>
      <c r="AO220" s="503"/>
      <c r="AP220" s="503"/>
      <c r="AQ220" s="502"/>
      <c r="AR220" s="503"/>
      <c r="AS220" s="503"/>
      <c r="AT220" s="503"/>
      <c r="AU220" s="503"/>
      <c r="AV220" s="502"/>
      <c r="AW220" s="503"/>
      <c r="AX220" s="503"/>
      <c r="AY220" s="503"/>
      <c r="AZ220" s="503"/>
    </row>
    <row r="221" spans="3:52">
      <c r="C221" s="394"/>
      <c r="D221" s="395"/>
      <c r="E221" s="395"/>
      <c r="F221" s="395"/>
      <c r="G221" s="395"/>
      <c r="H221" s="394"/>
      <c r="I221" s="395"/>
      <c r="J221" s="395"/>
      <c r="K221" s="395"/>
      <c r="L221" s="395"/>
      <c r="M221" s="394"/>
      <c r="N221" s="395"/>
      <c r="O221" s="395"/>
      <c r="P221" s="395"/>
      <c r="Q221" s="395"/>
      <c r="R221" s="394"/>
      <c r="S221" s="395"/>
      <c r="T221" s="395"/>
      <c r="U221" s="395"/>
      <c r="V221" s="395"/>
      <c r="W221" s="394"/>
      <c r="X221" s="395"/>
      <c r="Y221" s="395"/>
      <c r="Z221" s="395"/>
      <c r="AA221" s="395"/>
      <c r="AB221" s="394"/>
      <c r="AC221" s="395"/>
      <c r="AD221" s="395"/>
      <c r="AE221" s="395"/>
      <c r="AF221" s="395"/>
      <c r="AG221" s="394"/>
      <c r="AH221" s="395"/>
      <c r="AI221" s="395"/>
      <c r="AJ221" s="395"/>
      <c r="AK221" s="395"/>
      <c r="AL221" s="394"/>
      <c r="AM221" s="395"/>
      <c r="AN221" s="395"/>
      <c r="AO221" s="395"/>
      <c r="AP221" s="395"/>
      <c r="AQ221" s="394"/>
      <c r="AR221" s="395"/>
      <c r="AS221" s="395"/>
      <c r="AT221" s="395"/>
      <c r="AU221" s="395"/>
      <c r="AV221" s="394"/>
      <c r="AW221" s="395"/>
      <c r="AX221" s="395"/>
      <c r="AY221" s="395"/>
      <c r="AZ221" s="395"/>
    </row>
    <row r="222" spans="3:52">
      <c r="C222" s="509"/>
      <c r="D222" s="510"/>
      <c r="E222" s="510"/>
      <c r="F222" s="510"/>
      <c r="G222" s="510"/>
      <c r="H222" s="509"/>
      <c r="I222" s="510"/>
      <c r="J222" s="510"/>
      <c r="K222" s="510"/>
      <c r="L222" s="510"/>
      <c r="M222" s="509"/>
      <c r="N222" s="510"/>
      <c r="O222" s="510"/>
      <c r="P222" s="510"/>
      <c r="Q222" s="510"/>
      <c r="R222" s="509"/>
      <c r="S222" s="510"/>
      <c r="T222" s="510"/>
      <c r="U222" s="510"/>
      <c r="V222" s="510"/>
      <c r="W222" s="509"/>
      <c r="X222" s="510"/>
      <c r="Y222" s="510"/>
      <c r="Z222" s="510"/>
      <c r="AA222" s="510"/>
      <c r="AB222" s="509"/>
      <c r="AC222" s="510"/>
      <c r="AD222" s="510"/>
      <c r="AE222" s="510"/>
      <c r="AF222" s="510"/>
      <c r="AG222" s="509"/>
      <c r="AH222" s="510"/>
      <c r="AI222" s="510"/>
      <c r="AJ222" s="510"/>
      <c r="AK222" s="510"/>
      <c r="AL222" s="509"/>
      <c r="AM222" s="510"/>
      <c r="AN222" s="510"/>
      <c r="AO222" s="510"/>
      <c r="AP222" s="510"/>
      <c r="AQ222" s="509"/>
      <c r="AR222" s="510"/>
      <c r="AS222" s="510"/>
      <c r="AT222" s="510"/>
      <c r="AU222" s="510"/>
      <c r="AV222" s="509"/>
      <c r="AW222" s="510"/>
      <c r="AX222" s="510"/>
      <c r="AY222" s="510"/>
      <c r="AZ222" s="510"/>
    </row>
    <row r="223" spans="3:52">
      <c r="C223" s="463"/>
      <c r="D223" s="384"/>
      <c r="E223" s="384"/>
      <c r="F223" s="384"/>
      <c r="G223" s="384"/>
      <c r="H223" s="463"/>
      <c r="I223" s="384"/>
      <c r="J223" s="384"/>
      <c r="K223" s="384"/>
      <c r="L223" s="384"/>
      <c r="M223" s="463"/>
      <c r="N223" s="384"/>
      <c r="O223" s="384"/>
      <c r="P223" s="384"/>
      <c r="Q223" s="384"/>
      <c r="R223" s="463"/>
      <c r="S223" s="384"/>
      <c r="T223" s="384"/>
      <c r="U223" s="384"/>
      <c r="V223" s="384"/>
      <c r="W223" s="463"/>
      <c r="X223" s="384"/>
      <c r="Y223" s="384"/>
      <c r="Z223" s="384"/>
      <c r="AA223" s="384"/>
      <c r="AB223" s="463"/>
      <c r="AC223" s="384"/>
      <c r="AD223" s="384"/>
      <c r="AE223" s="384"/>
      <c r="AF223" s="384"/>
      <c r="AG223" s="463"/>
      <c r="AH223" s="384"/>
      <c r="AI223" s="384"/>
      <c r="AJ223" s="384"/>
      <c r="AK223" s="384"/>
      <c r="AL223" s="463"/>
      <c r="AM223" s="384"/>
      <c r="AN223" s="384"/>
      <c r="AO223" s="384"/>
      <c r="AP223" s="384"/>
      <c r="AQ223" s="463"/>
      <c r="AR223" s="384"/>
      <c r="AS223" s="384"/>
      <c r="AT223" s="384"/>
      <c r="AU223" s="384"/>
      <c r="AV223" s="463"/>
      <c r="AW223" s="384"/>
      <c r="AX223" s="384"/>
      <c r="AY223" s="384"/>
      <c r="AZ223" s="384"/>
    </row>
    <row r="229" spans="3:52">
      <c r="C229" s="511"/>
      <c r="D229" s="512"/>
      <c r="E229" s="512"/>
      <c r="F229" s="512"/>
      <c r="G229" s="512"/>
      <c r="H229" s="511"/>
      <c r="I229" s="512"/>
      <c r="J229" s="512"/>
      <c r="K229" s="512"/>
      <c r="L229" s="512"/>
      <c r="M229" s="511"/>
      <c r="N229" s="512"/>
      <c r="O229" s="512"/>
      <c r="P229" s="512"/>
      <c r="Q229" s="512"/>
      <c r="R229" s="511"/>
      <c r="S229" s="512"/>
      <c r="T229" s="512"/>
      <c r="U229" s="512"/>
      <c r="V229" s="512"/>
      <c r="W229" s="511"/>
      <c r="X229" s="512"/>
      <c r="Y229" s="512"/>
      <c r="Z229" s="512"/>
      <c r="AA229" s="512"/>
      <c r="AB229" s="511"/>
      <c r="AC229" s="512"/>
      <c r="AD229" s="512"/>
      <c r="AE229" s="512"/>
      <c r="AF229" s="512"/>
      <c r="AG229" s="511"/>
      <c r="AH229" s="512"/>
      <c r="AI229" s="512"/>
      <c r="AJ229" s="512"/>
      <c r="AK229" s="512"/>
      <c r="AL229" s="511"/>
      <c r="AM229" s="512"/>
      <c r="AN229" s="512"/>
      <c r="AO229" s="512"/>
      <c r="AP229" s="512"/>
      <c r="AQ229" s="511"/>
      <c r="AR229" s="512"/>
      <c r="AS229" s="512"/>
      <c r="AT229" s="512"/>
      <c r="AU229" s="512"/>
      <c r="AV229" s="511"/>
      <c r="AW229" s="512"/>
      <c r="AX229" s="512"/>
      <c r="AY229" s="512"/>
      <c r="AZ229" s="512"/>
    </row>
    <row r="230" spans="3:52">
      <c r="C230" s="513"/>
      <c r="D230" s="514"/>
      <c r="E230" s="514"/>
      <c r="F230" s="514"/>
      <c r="G230" s="514"/>
      <c r="H230" s="513"/>
      <c r="I230" s="514"/>
      <c r="J230" s="514"/>
      <c r="K230" s="514"/>
      <c r="L230" s="514"/>
      <c r="M230" s="513"/>
      <c r="N230" s="514"/>
      <c r="O230" s="514"/>
      <c r="P230" s="514"/>
      <c r="Q230" s="514"/>
      <c r="R230" s="513"/>
      <c r="S230" s="514"/>
      <c r="T230" s="514"/>
      <c r="U230" s="514"/>
      <c r="V230" s="514"/>
      <c r="W230" s="513"/>
      <c r="X230" s="514"/>
      <c r="Y230" s="514"/>
      <c r="Z230" s="514"/>
      <c r="AA230" s="514"/>
      <c r="AB230" s="513"/>
      <c r="AC230" s="514"/>
      <c r="AD230" s="514"/>
      <c r="AE230" s="514"/>
      <c r="AF230" s="514"/>
      <c r="AG230" s="513"/>
      <c r="AH230" s="514"/>
      <c r="AI230" s="514"/>
      <c r="AJ230" s="514"/>
      <c r="AK230" s="514"/>
      <c r="AL230" s="513"/>
      <c r="AM230" s="514"/>
      <c r="AN230" s="514"/>
      <c r="AO230" s="514"/>
      <c r="AP230" s="514"/>
      <c r="AQ230" s="513"/>
      <c r="AR230" s="514"/>
      <c r="AS230" s="514"/>
      <c r="AT230" s="514"/>
      <c r="AU230" s="514"/>
      <c r="AV230" s="513"/>
      <c r="AW230" s="514"/>
      <c r="AX230" s="514"/>
      <c r="AY230" s="514"/>
      <c r="AZ230" s="514"/>
    </row>
    <row r="231" spans="3:52">
      <c r="C231" s="502"/>
      <c r="D231" s="503"/>
      <c r="E231" s="503"/>
      <c r="F231" s="503"/>
      <c r="G231" s="503"/>
      <c r="H231" s="502"/>
      <c r="I231" s="503"/>
      <c r="J231" s="503"/>
      <c r="K231" s="503"/>
      <c r="L231" s="503"/>
      <c r="M231" s="502"/>
      <c r="N231" s="503"/>
      <c r="O231" s="503"/>
      <c r="P231" s="503"/>
      <c r="Q231" s="503"/>
      <c r="R231" s="502"/>
      <c r="S231" s="503"/>
      <c r="T231" s="503"/>
      <c r="U231" s="503"/>
      <c r="V231" s="503"/>
      <c r="W231" s="502"/>
      <c r="X231" s="503"/>
      <c r="Y231" s="503"/>
      <c r="Z231" s="503"/>
      <c r="AA231" s="503"/>
      <c r="AB231" s="502"/>
      <c r="AC231" s="503"/>
      <c r="AD231" s="503"/>
      <c r="AE231" s="503"/>
      <c r="AF231" s="503"/>
      <c r="AG231" s="502"/>
      <c r="AH231" s="503"/>
      <c r="AI231" s="503"/>
      <c r="AJ231" s="503"/>
      <c r="AK231" s="503"/>
      <c r="AL231" s="502"/>
      <c r="AM231" s="503"/>
      <c r="AN231" s="503"/>
      <c r="AO231" s="503"/>
      <c r="AP231" s="503"/>
      <c r="AQ231" s="502"/>
      <c r="AR231" s="503"/>
      <c r="AS231" s="503"/>
      <c r="AT231" s="503"/>
      <c r="AU231" s="503"/>
      <c r="AV231" s="502"/>
      <c r="AW231" s="503"/>
      <c r="AX231" s="503"/>
      <c r="AY231" s="503"/>
      <c r="AZ231" s="503"/>
    </row>
    <row r="233" spans="3:52">
      <c r="C233" s="497"/>
      <c r="D233" s="498"/>
      <c r="E233" s="498"/>
      <c r="F233" s="498"/>
      <c r="G233" s="498"/>
      <c r="H233" s="497"/>
      <c r="I233" s="498"/>
      <c r="J233" s="498"/>
      <c r="K233" s="498"/>
      <c r="L233" s="498"/>
      <c r="M233" s="497"/>
      <c r="N233" s="498"/>
      <c r="O233" s="498"/>
      <c r="P233" s="498"/>
      <c r="Q233" s="498"/>
      <c r="R233" s="497"/>
      <c r="S233" s="498"/>
      <c r="T233" s="498"/>
      <c r="U233" s="498"/>
      <c r="V233" s="498"/>
      <c r="W233" s="497"/>
      <c r="X233" s="498"/>
      <c r="Y233" s="498"/>
      <c r="Z233" s="498"/>
      <c r="AA233" s="498"/>
      <c r="AB233" s="497"/>
      <c r="AC233" s="498"/>
      <c r="AD233" s="498"/>
      <c r="AE233" s="498"/>
      <c r="AF233" s="498"/>
      <c r="AG233" s="497"/>
      <c r="AH233" s="498"/>
      <c r="AI233" s="498"/>
      <c r="AJ233" s="498"/>
      <c r="AK233" s="498"/>
      <c r="AL233" s="497"/>
      <c r="AM233" s="498"/>
      <c r="AN233" s="498"/>
      <c r="AO233" s="498"/>
      <c r="AP233" s="498"/>
      <c r="AQ233" s="497"/>
      <c r="AR233" s="498"/>
      <c r="AS233" s="498"/>
      <c r="AT233" s="498"/>
      <c r="AU233" s="498"/>
      <c r="AV233" s="497"/>
      <c r="AW233" s="498"/>
      <c r="AX233" s="498"/>
      <c r="AY233" s="498"/>
      <c r="AZ233" s="498"/>
    </row>
    <row r="234" spans="3:52">
      <c r="C234" s="463"/>
      <c r="D234" s="384"/>
      <c r="E234" s="384"/>
      <c r="F234" s="384"/>
      <c r="G234" s="384"/>
      <c r="H234" s="463"/>
      <c r="I234" s="384"/>
      <c r="J234" s="384"/>
      <c r="K234" s="384"/>
      <c r="L234" s="384"/>
      <c r="M234" s="463"/>
      <c r="N234" s="384"/>
      <c r="O234" s="384"/>
      <c r="P234" s="384"/>
      <c r="Q234" s="384"/>
      <c r="R234" s="463"/>
      <c r="S234" s="384"/>
      <c r="T234" s="384"/>
      <c r="U234" s="384"/>
      <c r="V234" s="384"/>
      <c r="W234" s="463"/>
      <c r="X234" s="384"/>
      <c r="Y234" s="384"/>
      <c r="Z234" s="384"/>
      <c r="AA234" s="384"/>
      <c r="AB234" s="463"/>
      <c r="AC234" s="384"/>
      <c r="AD234" s="384"/>
      <c r="AE234" s="384"/>
      <c r="AF234" s="384"/>
      <c r="AG234" s="463"/>
      <c r="AH234" s="384"/>
      <c r="AI234" s="384"/>
      <c r="AJ234" s="384"/>
      <c r="AK234" s="384"/>
      <c r="AL234" s="463"/>
      <c r="AM234" s="384"/>
      <c r="AN234" s="384"/>
      <c r="AO234" s="384"/>
      <c r="AP234" s="384"/>
      <c r="AQ234" s="463"/>
      <c r="AR234" s="384"/>
      <c r="AS234" s="384"/>
      <c r="AT234" s="384"/>
      <c r="AU234" s="384"/>
      <c r="AV234" s="463"/>
      <c r="AW234" s="384"/>
      <c r="AX234" s="384"/>
      <c r="AY234" s="384"/>
      <c r="AZ234" s="384"/>
    </row>
    <row r="236" spans="3:52">
      <c r="C236" s="508"/>
      <c r="D236" s="501"/>
      <c r="E236" s="501"/>
      <c r="F236" s="501"/>
      <c r="G236" s="501"/>
      <c r="H236" s="508"/>
      <c r="I236" s="501"/>
      <c r="J236" s="501"/>
      <c r="K236" s="501"/>
      <c r="L236" s="501"/>
      <c r="M236" s="508"/>
      <c r="N236" s="501"/>
      <c r="O236" s="501"/>
      <c r="P236" s="501"/>
      <c r="Q236" s="501"/>
      <c r="R236" s="508"/>
      <c r="S236" s="501"/>
      <c r="T236" s="501"/>
      <c r="U236" s="501"/>
      <c r="V236" s="501"/>
      <c r="W236" s="508"/>
      <c r="X236" s="501"/>
      <c r="Y236" s="501"/>
      <c r="Z236" s="501"/>
      <c r="AA236" s="501"/>
      <c r="AB236" s="508"/>
      <c r="AC236" s="501"/>
      <c r="AD236" s="501"/>
      <c r="AE236" s="501"/>
      <c r="AF236" s="501"/>
      <c r="AG236" s="508"/>
      <c r="AH236" s="501"/>
      <c r="AI236" s="501"/>
      <c r="AJ236" s="501"/>
      <c r="AK236" s="501"/>
      <c r="AL236" s="508"/>
      <c r="AM236" s="501"/>
      <c r="AN236" s="501"/>
      <c r="AO236" s="501"/>
      <c r="AP236" s="501"/>
      <c r="AQ236" s="508"/>
      <c r="AR236" s="501"/>
      <c r="AS236" s="501"/>
      <c r="AT236" s="501"/>
      <c r="AU236" s="501"/>
      <c r="AV236" s="508"/>
      <c r="AW236" s="501"/>
      <c r="AX236" s="501"/>
      <c r="AY236" s="501"/>
      <c r="AZ236" s="501"/>
    </row>
    <row r="237" spans="3:52">
      <c r="C237" s="502"/>
      <c r="D237" s="503"/>
      <c r="E237" s="503"/>
      <c r="F237" s="503"/>
      <c r="G237" s="503"/>
      <c r="H237" s="502"/>
      <c r="I237" s="503"/>
      <c r="J237" s="503"/>
      <c r="K237" s="503"/>
      <c r="L237" s="503"/>
      <c r="M237" s="502"/>
      <c r="N237" s="503"/>
      <c r="O237" s="503"/>
      <c r="P237" s="503"/>
      <c r="Q237" s="503"/>
      <c r="R237" s="502"/>
      <c r="S237" s="503"/>
      <c r="T237" s="503"/>
      <c r="U237" s="503"/>
      <c r="V237" s="503"/>
      <c r="W237" s="502"/>
      <c r="X237" s="503"/>
      <c r="Y237" s="503"/>
      <c r="Z237" s="503"/>
      <c r="AA237" s="503"/>
      <c r="AB237" s="502"/>
      <c r="AC237" s="503"/>
      <c r="AD237" s="503"/>
      <c r="AE237" s="503"/>
      <c r="AF237" s="503"/>
      <c r="AG237" s="502"/>
      <c r="AH237" s="503"/>
      <c r="AI237" s="503"/>
      <c r="AJ237" s="503"/>
      <c r="AK237" s="503"/>
      <c r="AL237" s="502"/>
      <c r="AM237" s="503"/>
      <c r="AN237" s="503"/>
      <c r="AO237" s="503"/>
      <c r="AP237" s="503"/>
      <c r="AQ237" s="502"/>
      <c r="AR237" s="503"/>
      <c r="AS237" s="503"/>
      <c r="AT237" s="503"/>
      <c r="AU237" s="503"/>
      <c r="AV237" s="502"/>
      <c r="AW237" s="503"/>
      <c r="AX237" s="503"/>
      <c r="AY237" s="503"/>
      <c r="AZ237" s="503"/>
    </row>
    <row r="239" spans="3:52">
      <c r="C239" s="497"/>
      <c r="D239" s="498"/>
      <c r="E239" s="498"/>
      <c r="F239" s="498"/>
      <c r="G239" s="498"/>
      <c r="H239" s="497"/>
      <c r="I239" s="498"/>
      <c r="J239" s="498"/>
      <c r="K239" s="498"/>
      <c r="L239" s="498"/>
      <c r="M239" s="497"/>
      <c r="N239" s="498"/>
      <c r="O239" s="498"/>
      <c r="P239" s="498"/>
      <c r="Q239" s="498"/>
      <c r="R239" s="497"/>
      <c r="S239" s="498"/>
      <c r="T239" s="498"/>
      <c r="U239" s="498"/>
      <c r="V239" s="498"/>
      <c r="W239" s="497"/>
      <c r="X239" s="498"/>
      <c r="Y239" s="498"/>
      <c r="Z239" s="498"/>
      <c r="AA239" s="498"/>
      <c r="AB239" s="497"/>
      <c r="AC239" s="498"/>
      <c r="AD239" s="498"/>
      <c r="AE239" s="498"/>
      <c r="AF239" s="498"/>
      <c r="AG239" s="497"/>
      <c r="AH239" s="498"/>
      <c r="AI239" s="498"/>
      <c r="AJ239" s="498"/>
      <c r="AK239" s="498"/>
      <c r="AL239" s="497"/>
      <c r="AM239" s="498"/>
      <c r="AN239" s="498"/>
      <c r="AO239" s="498"/>
      <c r="AP239" s="498"/>
      <c r="AQ239" s="497"/>
      <c r="AR239" s="498"/>
      <c r="AS239" s="498"/>
      <c r="AT239" s="498"/>
      <c r="AU239" s="498"/>
      <c r="AV239" s="497"/>
      <c r="AW239" s="498"/>
      <c r="AX239" s="498"/>
      <c r="AY239" s="498"/>
      <c r="AZ239" s="498"/>
    </row>
    <row r="240" spans="3:52">
      <c r="C240" s="463"/>
      <c r="D240" s="384"/>
      <c r="E240" s="384"/>
      <c r="F240" s="384"/>
      <c r="G240" s="384"/>
      <c r="H240" s="463"/>
      <c r="I240" s="384"/>
      <c r="J240" s="384"/>
      <c r="K240" s="384"/>
      <c r="L240" s="384"/>
      <c r="M240" s="463"/>
      <c r="N240" s="384"/>
      <c r="O240" s="384"/>
      <c r="P240" s="384"/>
      <c r="Q240" s="384"/>
      <c r="R240" s="463"/>
      <c r="S240" s="384"/>
      <c r="T240" s="384"/>
      <c r="U240" s="384"/>
      <c r="V240" s="384"/>
      <c r="W240" s="463"/>
      <c r="X240" s="384"/>
      <c r="Y240" s="384"/>
      <c r="Z240" s="384"/>
      <c r="AA240" s="384"/>
      <c r="AB240" s="463"/>
      <c r="AC240" s="384"/>
      <c r="AD240" s="384"/>
      <c r="AE240" s="384"/>
      <c r="AF240" s="384"/>
      <c r="AG240" s="463"/>
      <c r="AH240" s="384"/>
      <c r="AI240" s="384"/>
      <c r="AJ240" s="384"/>
      <c r="AK240" s="384"/>
      <c r="AL240" s="463"/>
      <c r="AM240" s="384"/>
      <c r="AN240" s="384"/>
      <c r="AO240" s="384"/>
      <c r="AP240" s="384"/>
      <c r="AQ240" s="463"/>
      <c r="AR240" s="384"/>
      <c r="AS240" s="384"/>
      <c r="AT240" s="384"/>
      <c r="AU240" s="384"/>
      <c r="AV240" s="463"/>
      <c r="AW240" s="384"/>
      <c r="AX240" s="384"/>
      <c r="AY240" s="384"/>
      <c r="AZ240" s="384"/>
    </row>
    <row r="244" spans="3:52">
      <c r="C244" s="504"/>
      <c r="D244" s="505"/>
      <c r="E244" s="505"/>
      <c r="F244" s="505"/>
      <c r="G244" s="505"/>
      <c r="H244" s="504"/>
      <c r="I244" s="505"/>
      <c r="J244" s="505"/>
      <c r="K244" s="505"/>
      <c r="L244" s="505"/>
      <c r="M244" s="504"/>
      <c r="N244" s="505"/>
      <c r="O244" s="505"/>
      <c r="P244" s="505"/>
      <c r="Q244" s="505"/>
      <c r="R244" s="504"/>
      <c r="S244" s="505"/>
      <c r="T244" s="505"/>
      <c r="U244" s="505"/>
      <c r="V244" s="505"/>
      <c r="W244" s="504"/>
      <c r="X244" s="505"/>
      <c r="Y244" s="505"/>
      <c r="Z244" s="505"/>
      <c r="AA244" s="505"/>
      <c r="AB244" s="504"/>
      <c r="AC244" s="505"/>
      <c r="AD244" s="505"/>
      <c r="AE244" s="505"/>
      <c r="AF244" s="505"/>
      <c r="AG244" s="504"/>
      <c r="AH244" s="505"/>
      <c r="AI244" s="505"/>
      <c r="AJ244" s="505"/>
      <c r="AK244" s="505"/>
      <c r="AL244" s="504"/>
      <c r="AM244" s="505"/>
      <c r="AN244" s="505"/>
      <c r="AO244" s="505"/>
      <c r="AP244" s="505"/>
      <c r="AQ244" s="504"/>
      <c r="AR244" s="505"/>
      <c r="AS244" s="505"/>
      <c r="AT244" s="505"/>
      <c r="AU244" s="505"/>
      <c r="AV244" s="504"/>
      <c r="AW244" s="505"/>
      <c r="AX244" s="505"/>
      <c r="AY244" s="505"/>
      <c r="AZ244" s="505"/>
    </row>
    <row r="245" spans="3:52">
      <c r="C245" s="509"/>
      <c r="D245" s="510"/>
      <c r="E245" s="510"/>
      <c r="F245" s="510"/>
      <c r="G245" s="510"/>
      <c r="H245" s="509"/>
      <c r="I245" s="510"/>
      <c r="J245" s="510"/>
      <c r="K245" s="510"/>
      <c r="L245" s="510"/>
      <c r="M245" s="509"/>
      <c r="N245" s="510"/>
      <c r="O245" s="510"/>
      <c r="P245" s="510"/>
      <c r="Q245" s="510"/>
      <c r="R245" s="509"/>
      <c r="S245" s="510"/>
      <c r="T245" s="510"/>
      <c r="U245" s="510"/>
      <c r="V245" s="510"/>
      <c r="W245" s="509"/>
      <c r="X245" s="510"/>
      <c r="Y245" s="510"/>
      <c r="Z245" s="510"/>
      <c r="AA245" s="510"/>
      <c r="AB245" s="509"/>
      <c r="AC245" s="510"/>
      <c r="AD245" s="510"/>
      <c r="AE245" s="510"/>
      <c r="AF245" s="510"/>
      <c r="AG245" s="509"/>
      <c r="AH245" s="510"/>
      <c r="AI245" s="510"/>
      <c r="AJ245" s="510"/>
      <c r="AK245" s="510"/>
      <c r="AL245" s="509"/>
      <c r="AM245" s="510"/>
      <c r="AN245" s="510"/>
      <c r="AO245" s="510"/>
      <c r="AP245" s="510"/>
      <c r="AQ245" s="509"/>
      <c r="AR245" s="510"/>
      <c r="AS245" s="510"/>
      <c r="AT245" s="510"/>
      <c r="AU245" s="510"/>
      <c r="AV245" s="509"/>
      <c r="AW245" s="510"/>
      <c r="AX245" s="510"/>
      <c r="AY245" s="510"/>
      <c r="AZ245" s="510"/>
    </row>
    <row r="246" spans="3:52">
      <c r="C246" s="463"/>
      <c r="D246" s="384"/>
      <c r="E246" s="384"/>
      <c r="F246" s="384"/>
      <c r="G246" s="384"/>
      <c r="H246" s="463"/>
      <c r="I246" s="384"/>
      <c r="J246" s="384"/>
      <c r="K246" s="384"/>
      <c r="L246" s="384"/>
      <c r="M246" s="463"/>
      <c r="N246" s="384"/>
      <c r="O246" s="384"/>
      <c r="P246" s="384"/>
      <c r="Q246" s="384"/>
      <c r="R246" s="463"/>
      <c r="S246" s="384"/>
      <c r="T246" s="384"/>
      <c r="U246" s="384"/>
      <c r="V246" s="384"/>
      <c r="W246" s="463"/>
      <c r="X246" s="384"/>
      <c r="Y246" s="384"/>
      <c r="Z246" s="384"/>
      <c r="AA246" s="384"/>
      <c r="AB246" s="463"/>
      <c r="AC246" s="384"/>
      <c r="AD246" s="384"/>
      <c r="AE246" s="384"/>
      <c r="AF246" s="384"/>
      <c r="AG246" s="463"/>
      <c r="AH246" s="384"/>
      <c r="AI246" s="384"/>
      <c r="AJ246" s="384"/>
      <c r="AK246" s="384"/>
      <c r="AL246" s="463"/>
      <c r="AM246" s="384"/>
      <c r="AN246" s="384"/>
      <c r="AO246" s="384"/>
      <c r="AP246" s="384"/>
      <c r="AQ246" s="463"/>
      <c r="AR246" s="384"/>
      <c r="AS246" s="384"/>
      <c r="AT246" s="384"/>
      <c r="AU246" s="384"/>
      <c r="AV246" s="463"/>
      <c r="AW246" s="384"/>
      <c r="AX246" s="384"/>
      <c r="AY246" s="384"/>
      <c r="AZ246" s="384"/>
    </row>
    <row r="249" spans="3:52">
      <c r="C249" s="497"/>
      <c r="D249" s="498"/>
      <c r="E249" s="498"/>
      <c r="F249" s="498"/>
      <c r="G249" s="498"/>
      <c r="H249" s="497"/>
      <c r="I249" s="498"/>
      <c r="J249" s="498"/>
      <c r="K249" s="498"/>
      <c r="L249" s="498"/>
      <c r="M249" s="497"/>
      <c r="N249" s="498"/>
      <c r="O249" s="498"/>
      <c r="P249" s="498"/>
      <c r="Q249" s="498"/>
      <c r="R249" s="497"/>
      <c r="S249" s="498"/>
      <c r="T249" s="498"/>
      <c r="U249" s="498"/>
      <c r="V249" s="498"/>
      <c r="W249" s="497"/>
      <c r="X249" s="498"/>
      <c r="Y249" s="498"/>
      <c r="Z249" s="498"/>
      <c r="AA249" s="498"/>
      <c r="AB249" s="497"/>
      <c r="AC249" s="498"/>
      <c r="AD249" s="498"/>
      <c r="AE249" s="498"/>
      <c r="AF249" s="498"/>
      <c r="AG249" s="497"/>
      <c r="AH249" s="498"/>
      <c r="AI249" s="498"/>
      <c r="AJ249" s="498"/>
      <c r="AK249" s="498"/>
      <c r="AL249" s="497"/>
      <c r="AM249" s="498"/>
      <c r="AN249" s="498"/>
      <c r="AO249" s="498"/>
      <c r="AP249" s="498"/>
      <c r="AQ249" s="497"/>
      <c r="AR249" s="498"/>
      <c r="AS249" s="498"/>
      <c r="AT249" s="498"/>
      <c r="AU249" s="498"/>
      <c r="AV249" s="497"/>
      <c r="AW249" s="498"/>
      <c r="AX249" s="498"/>
      <c r="AY249" s="498"/>
      <c r="AZ249" s="498"/>
    </row>
    <row r="250" spans="3:52">
      <c r="C250" s="394"/>
      <c r="D250" s="395"/>
      <c r="E250" s="395"/>
      <c r="F250" s="395"/>
      <c r="G250" s="395"/>
      <c r="H250" s="394"/>
      <c r="I250" s="395"/>
      <c r="J250" s="395"/>
      <c r="K250" s="395"/>
      <c r="L250" s="395"/>
      <c r="M250" s="394"/>
      <c r="N250" s="395"/>
      <c r="O250" s="395"/>
      <c r="P250" s="395"/>
      <c r="Q250" s="395"/>
      <c r="R250" s="394"/>
      <c r="S250" s="395"/>
      <c r="T250" s="395"/>
      <c r="U250" s="395"/>
      <c r="V250" s="395"/>
      <c r="W250" s="394"/>
      <c r="X250" s="395"/>
      <c r="Y250" s="395"/>
      <c r="Z250" s="395"/>
      <c r="AA250" s="395"/>
      <c r="AB250" s="394"/>
      <c r="AC250" s="395"/>
      <c r="AD250" s="395"/>
      <c r="AE250" s="395"/>
      <c r="AF250" s="395"/>
      <c r="AG250" s="394"/>
      <c r="AH250" s="395"/>
      <c r="AI250" s="395"/>
      <c r="AJ250" s="395"/>
      <c r="AK250" s="395"/>
      <c r="AL250" s="394"/>
      <c r="AM250" s="395"/>
      <c r="AN250" s="395"/>
      <c r="AO250" s="395"/>
      <c r="AP250" s="395"/>
      <c r="AQ250" s="394"/>
      <c r="AR250" s="395"/>
      <c r="AS250" s="395"/>
      <c r="AT250" s="395"/>
      <c r="AU250" s="395"/>
      <c r="AV250" s="394"/>
      <c r="AW250" s="395"/>
      <c r="AX250" s="395"/>
      <c r="AY250" s="395"/>
      <c r="AZ250" s="395"/>
    </row>
    <row r="251" spans="3:52">
      <c r="C251" s="394"/>
      <c r="D251" s="395"/>
      <c r="E251" s="395"/>
      <c r="F251" s="395"/>
      <c r="G251" s="395"/>
      <c r="H251" s="394"/>
      <c r="I251" s="395"/>
      <c r="J251" s="395"/>
      <c r="K251" s="395"/>
      <c r="L251" s="395"/>
      <c r="M251" s="394"/>
      <c r="N251" s="395"/>
      <c r="O251" s="395"/>
      <c r="P251" s="395"/>
      <c r="Q251" s="395"/>
      <c r="R251" s="394"/>
      <c r="S251" s="395"/>
      <c r="T251" s="395"/>
      <c r="U251" s="395"/>
      <c r="V251" s="395"/>
      <c r="W251" s="394"/>
      <c r="X251" s="395"/>
      <c r="Y251" s="395"/>
      <c r="Z251" s="395"/>
      <c r="AA251" s="395"/>
      <c r="AB251" s="394"/>
      <c r="AC251" s="395"/>
      <c r="AD251" s="395"/>
      <c r="AE251" s="395"/>
      <c r="AF251" s="395"/>
      <c r="AG251" s="394"/>
      <c r="AH251" s="395"/>
      <c r="AI251" s="395"/>
      <c r="AJ251" s="395"/>
      <c r="AK251" s="395"/>
      <c r="AL251" s="394"/>
      <c r="AM251" s="395"/>
      <c r="AN251" s="395"/>
      <c r="AO251" s="395"/>
      <c r="AP251" s="395"/>
      <c r="AQ251" s="394"/>
      <c r="AR251" s="395"/>
      <c r="AS251" s="395"/>
      <c r="AT251" s="395"/>
      <c r="AU251" s="395"/>
      <c r="AV251" s="394"/>
      <c r="AW251" s="395"/>
      <c r="AX251" s="395"/>
      <c r="AY251" s="395"/>
      <c r="AZ251" s="395"/>
    </row>
    <row r="252" spans="3:52">
      <c r="C252" s="394"/>
      <c r="D252" s="395"/>
      <c r="E252" s="395"/>
      <c r="F252" s="395"/>
      <c r="G252" s="395"/>
      <c r="H252" s="394"/>
      <c r="I252" s="395"/>
      <c r="J252" s="395"/>
      <c r="K252" s="395"/>
      <c r="L252" s="395"/>
      <c r="M252" s="394"/>
      <c r="N252" s="395"/>
      <c r="O252" s="395"/>
      <c r="P252" s="395"/>
      <c r="Q252" s="395"/>
      <c r="R252" s="394"/>
      <c r="S252" s="395"/>
      <c r="T252" s="395"/>
      <c r="U252" s="395"/>
      <c r="V252" s="395"/>
      <c r="W252" s="394"/>
      <c r="X252" s="395"/>
      <c r="Y252" s="395"/>
      <c r="Z252" s="395"/>
      <c r="AA252" s="395"/>
      <c r="AB252" s="394"/>
      <c r="AC252" s="395"/>
      <c r="AD252" s="395"/>
      <c r="AE252" s="395"/>
      <c r="AF252" s="395"/>
      <c r="AG252" s="394"/>
      <c r="AH252" s="395"/>
      <c r="AI252" s="395"/>
      <c r="AJ252" s="395"/>
      <c r="AK252" s="395"/>
      <c r="AL252" s="394"/>
      <c r="AM252" s="395"/>
      <c r="AN252" s="395"/>
      <c r="AO252" s="395"/>
      <c r="AP252" s="395"/>
      <c r="AQ252" s="394"/>
      <c r="AR252" s="395"/>
      <c r="AS252" s="395"/>
      <c r="AT252" s="395"/>
      <c r="AU252" s="395"/>
      <c r="AV252" s="394"/>
      <c r="AW252" s="395"/>
      <c r="AX252" s="395"/>
      <c r="AY252" s="395"/>
      <c r="AZ252" s="395"/>
    </row>
    <row r="253" spans="3:52">
      <c r="C253" s="499"/>
      <c r="D253" s="395"/>
      <c r="E253" s="395"/>
      <c r="F253" s="395"/>
      <c r="G253" s="395"/>
      <c r="H253" s="499"/>
      <c r="I253" s="395"/>
      <c r="J253" s="395"/>
      <c r="K253" s="395"/>
      <c r="L253" s="395"/>
      <c r="M253" s="499"/>
      <c r="N253" s="395"/>
      <c r="O253" s="395"/>
      <c r="P253" s="395"/>
      <c r="Q253" s="395"/>
      <c r="R253" s="499"/>
      <c r="S253" s="395"/>
      <c r="T253" s="395"/>
      <c r="U253" s="395"/>
      <c r="V253" s="395"/>
      <c r="W253" s="499"/>
      <c r="X253" s="395"/>
      <c r="Y253" s="395"/>
      <c r="Z253" s="395"/>
      <c r="AA253" s="395"/>
      <c r="AB253" s="499"/>
      <c r="AC253" s="395"/>
      <c r="AD253" s="395"/>
      <c r="AE253" s="395"/>
      <c r="AF253" s="395"/>
      <c r="AG253" s="499"/>
      <c r="AH253" s="395"/>
      <c r="AI253" s="395"/>
      <c r="AJ253" s="395"/>
      <c r="AK253" s="395"/>
      <c r="AL253" s="499"/>
      <c r="AM253" s="395"/>
      <c r="AN253" s="395"/>
      <c r="AO253" s="395"/>
      <c r="AP253" s="395"/>
      <c r="AQ253" s="499"/>
      <c r="AR253" s="395"/>
      <c r="AS253" s="395"/>
      <c r="AT253" s="395"/>
      <c r="AU253" s="395"/>
      <c r="AV253" s="499"/>
      <c r="AW253" s="395"/>
      <c r="AX253" s="395"/>
      <c r="AY253" s="395"/>
      <c r="AZ253" s="395"/>
    </row>
    <row r="254" spans="3:52">
      <c r="C254" s="394"/>
      <c r="D254" s="395"/>
      <c r="E254" s="395"/>
      <c r="F254" s="395"/>
      <c r="G254" s="395"/>
      <c r="H254" s="394"/>
      <c r="I254" s="395"/>
      <c r="J254" s="395"/>
      <c r="K254" s="395"/>
      <c r="L254" s="395"/>
      <c r="M254" s="394"/>
      <c r="N254" s="395"/>
      <c r="O254" s="395"/>
      <c r="P254" s="395"/>
      <c r="Q254" s="395"/>
      <c r="R254" s="394"/>
      <c r="S254" s="395"/>
      <c r="T254" s="395"/>
      <c r="U254" s="395"/>
      <c r="V254" s="395"/>
      <c r="W254" s="394"/>
      <c r="X254" s="395"/>
      <c r="Y254" s="395"/>
      <c r="Z254" s="395"/>
      <c r="AA254" s="395"/>
      <c r="AB254" s="394"/>
      <c r="AC254" s="395"/>
      <c r="AD254" s="395"/>
      <c r="AE254" s="395"/>
      <c r="AF254" s="395"/>
      <c r="AG254" s="394"/>
      <c r="AH254" s="395"/>
      <c r="AI254" s="395"/>
      <c r="AJ254" s="395"/>
      <c r="AK254" s="395"/>
      <c r="AL254" s="394"/>
      <c r="AM254" s="395"/>
      <c r="AN254" s="395"/>
      <c r="AO254" s="395"/>
      <c r="AP254" s="395"/>
      <c r="AQ254" s="394"/>
      <c r="AR254" s="395"/>
      <c r="AS254" s="395"/>
      <c r="AT254" s="395"/>
      <c r="AU254" s="395"/>
      <c r="AV254" s="394"/>
      <c r="AW254" s="395"/>
      <c r="AX254" s="395"/>
      <c r="AY254" s="395"/>
      <c r="AZ254" s="395"/>
    </row>
    <row r="255" spans="3:52">
      <c r="C255" s="497"/>
      <c r="D255" s="395"/>
      <c r="E255" s="395"/>
      <c r="F255" s="395"/>
      <c r="G255" s="395"/>
      <c r="H255" s="497"/>
      <c r="I255" s="395"/>
      <c r="J255" s="395"/>
      <c r="K255" s="395"/>
      <c r="L255" s="395"/>
      <c r="M255" s="497"/>
      <c r="N255" s="395"/>
      <c r="O255" s="395"/>
      <c r="P255" s="395"/>
      <c r="Q255" s="395"/>
      <c r="R255" s="497"/>
      <c r="S255" s="395"/>
      <c r="T255" s="395"/>
      <c r="U255" s="395"/>
      <c r="V255" s="395"/>
      <c r="W255" s="497"/>
      <c r="X255" s="395"/>
      <c r="Y255" s="395"/>
      <c r="Z255" s="395"/>
      <c r="AA255" s="395"/>
      <c r="AB255" s="497"/>
      <c r="AC255" s="395"/>
      <c r="AD255" s="395"/>
      <c r="AE255" s="395"/>
      <c r="AF255" s="395"/>
      <c r="AG255" s="497"/>
      <c r="AH255" s="395"/>
      <c r="AI255" s="395"/>
      <c r="AJ255" s="395"/>
      <c r="AK255" s="395"/>
      <c r="AL255" s="497"/>
      <c r="AM255" s="395"/>
      <c r="AN255" s="395"/>
      <c r="AO255" s="395"/>
      <c r="AP255" s="395"/>
      <c r="AQ255" s="497"/>
      <c r="AR255" s="395"/>
      <c r="AS255" s="395"/>
      <c r="AT255" s="395"/>
      <c r="AU255" s="395"/>
      <c r="AV255" s="497"/>
      <c r="AW255" s="395"/>
      <c r="AX255" s="395"/>
      <c r="AY255" s="395"/>
      <c r="AZ255" s="395"/>
    </row>
    <row r="256" spans="3:52">
      <c r="C256" s="394"/>
      <c r="D256" s="395"/>
      <c r="E256" s="395"/>
      <c r="F256" s="395"/>
      <c r="G256" s="395"/>
      <c r="H256" s="394"/>
      <c r="I256" s="395"/>
      <c r="J256" s="395"/>
      <c r="K256" s="395"/>
      <c r="L256" s="395"/>
      <c r="M256" s="394"/>
      <c r="N256" s="395"/>
      <c r="O256" s="395"/>
      <c r="P256" s="395"/>
      <c r="Q256" s="395"/>
      <c r="R256" s="394"/>
      <c r="S256" s="395"/>
      <c r="T256" s="395"/>
      <c r="U256" s="395"/>
      <c r="V256" s="395"/>
      <c r="W256" s="394"/>
      <c r="X256" s="395"/>
      <c r="Y256" s="395"/>
      <c r="Z256" s="395"/>
      <c r="AA256" s="395"/>
      <c r="AB256" s="394"/>
      <c r="AC256" s="395"/>
      <c r="AD256" s="395"/>
      <c r="AE256" s="395"/>
      <c r="AF256" s="395"/>
      <c r="AG256" s="394"/>
      <c r="AH256" s="395"/>
      <c r="AI256" s="395"/>
      <c r="AJ256" s="395"/>
      <c r="AK256" s="395"/>
      <c r="AL256" s="394"/>
      <c r="AM256" s="395"/>
      <c r="AN256" s="395"/>
      <c r="AO256" s="395"/>
      <c r="AP256" s="395"/>
      <c r="AQ256" s="394"/>
      <c r="AR256" s="395"/>
      <c r="AS256" s="395"/>
      <c r="AT256" s="395"/>
      <c r="AU256" s="395"/>
      <c r="AV256" s="394"/>
      <c r="AW256" s="395"/>
      <c r="AX256" s="395"/>
      <c r="AY256" s="395"/>
      <c r="AZ256" s="395"/>
    </row>
    <row r="257" spans="3:52">
      <c r="C257" s="394"/>
      <c r="D257" s="395"/>
      <c r="E257" s="395"/>
      <c r="F257" s="395"/>
      <c r="G257" s="395"/>
      <c r="H257" s="394"/>
      <c r="I257" s="395"/>
      <c r="J257" s="395"/>
      <c r="K257" s="395"/>
      <c r="L257" s="395"/>
      <c r="M257" s="394"/>
      <c r="N257" s="395"/>
      <c r="O257" s="395"/>
      <c r="P257" s="395"/>
      <c r="Q257" s="395"/>
      <c r="R257" s="394"/>
      <c r="S257" s="395"/>
      <c r="T257" s="395"/>
      <c r="U257" s="395"/>
      <c r="V257" s="395"/>
      <c r="W257" s="394"/>
      <c r="X257" s="395"/>
      <c r="Y257" s="395"/>
      <c r="Z257" s="395"/>
      <c r="AA257" s="395"/>
      <c r="AB257" s="394"/>
      <c r="AC257" s="395"/>
      <c r="AD257" s="395"/>
      <c r="AE257" s="395"/>
      <c r="AF257" s="395"/>
      <c r="AG257" s="394"/>
      <c r="AH257" s="395"/>
      <c r="AI257" s="395"/>
      <c r="AJ257" s="395"/>
      <c r="AK257" s="395"/>
      <c r="AL257" s="394"/>
      <c r="AM257" s="395"/>
      <c r="AN257" s="395"/>
      <c r="AO257" s="395"/>
      <c r="AP257" s="395"/>
      <c r="AQ257" s="394"/>
      <c r="AR257" s="395"/>
      <c r="AS257" s="395"/>
      <c r="AT257" s="395"/>
      <c r="AU257" s="395"/>
      <c r="AV257" s="394"/>
      <c r="AW257" s="395"/>
      <c r="AX257" s="395"/>
      <c r="AY257" s="395"/>
      <c r="AZ257" s="395"/>
    </row>
    <row r="258" spans="3:52">
      <c r="C258" s="513"/>
      <c r="D258" s="514"/>
      <c r="E258" s="514"/>
      <c r="F258" s="514"/>
      <c r="G258" s="514"/>
      <c r="H258" s="513"/>
      <c r="I258" s="514"/>
      <c r="J258" s="514"/>
      <c r="K258" s="514"/>
      <c r="L258" s="514"/>
      <c r="M258" s="513"/>
      <c r="N258" s="514"/>
      <c r="O258" s="514"/>
      <c r="P258" s="514"/>
      <c r="Q258" s="514"/>
      <c r="R258" s="513"/>
      <c r="S258" s="514"/>
      <c r="T258" s="514"/>
      <c r="U258" s="514"/>
      <c r="V258" s="514"/>
      <c r="W258" s="513"/>
      <c r="X258" s="514"/>
      <c r="Y258" s="514"/>
      <c r="Z258" s="514"/>
      <c r="AA258" s="514"/>
      <c r="AB258" s="513"/>
      <c r="AC258" s="514"/>
      <c r="AD258" s="514"/>
      <c r="AE258" s="514"/>
      <c r="AF258" s="514"/>
      <c r="AG258" s="513"/>
      <c r="AH258" s="514"/>
      <c r="AI258" s="514"/>
      <c r="AJ258" s="514"/>
      <c r="AK258" s="514"/>
      <c r="AL258" s="513"/>
      <c r="AM258" s="514"/>
      <c r="AN258" s="514"/>
      <c r="AO258" s="514"/>
      <c r="AP258" s="514"/>
      <c r="AQ258" s="513"/>
      <c r="AR258" s="514"/>
      <c r="AS258" s="514"/>
      <c r="AT258" s="514"/>
      <c r="AU258" s="514"/>
      <c r="AV258" s="513"/>
      <c r="AW258" s="514"/>
      <c r="AX258" s="514"/>
      <c r="AY258" s="514"/>
      <c r="AZ258" s="514"/>
    </row>
    <row r="259" spans="3:52">
      <c r="C259" s="502"/>
      <c r="D259" s="503"/>
      <c r="E259" s="503"/>
      <c r="F259" s="503"/>
      <c r="G259" s="503"/>
      <c r="H259" s="502"/>
      <c r="I259" s="503"/>
      <c r="J259" s="503"/>
      <c r="K259" s="503"/>
      <c r="L259" s="503"/>
      <c r="M259" s="502"/>
      <c r="N259" s="503"/>
      <c r="O259" s="503"/>
      <c r="P259" s="503"/>
      <c r="Q259" s="503"/>
      <c r="R259" s="502"/>
      <c r="S259" s="503"/>
      <c r="T259" s="503"/>
      <c r="U259" s="503"/>
      <c r="V259" s="503"/>
      <c r="W259" s="502"/>
      <c r="X259" s="503"/>
      <c r="Y259" s="503"/>
      <c r="Z259" s="503"/>
      <c r="AA259" s="503"/>
      <c r="AB259" s="502"/>
      <c r="AC259" s="503"/>
      <c r="AD259" s="503"/>
      <c r="AE259" s="503"/>
      <c r="AF259" s="503"/>
      <c r="AG259" s="502"/>
      <c r="AH259" s="503"/>
      <c r="AI259" s="503"/>
      <c r="AJ259" s="503"/>
      <c r="AK259" s="503"/>
      <c r="AL259" s="502"/>
      <c r="AM259" s="503"/>
      <c r="AN259" s="503"/>
      <c r="AO259" s="503"/>
      <c r="AP259" s="503"/>
      <c r="AQ259" s="502"/>
      <c r="AR259" s="503"/>
      <c r="AS259" s="503"/>
      <c r="AT259" s="503"/>
      <c r="AU259" s="503"/>
      <c r="AV259" s="502"/>
      <c r="AW259" s="503"/>
      <c r="AX259" s="503"/>
      <c r="AY259" s="503"/>
      <c r="AZ259" s="503"/>
    </row>
    <row r="260" spans="3:52">
      <c r="C260" s="394"/>
      <c r="D260" s="395"/>
      <c r="E260" s="395"/>
      <c r="F260" s="395"/>
      <c r="G260" s="395"/>
      <c r="H260" s="394"/>
      <c r="I260" s="395"/>
      <c r="J260" s="395"/>
      <c r="K260" s="395"/>
      <c r="L260" s="395"/>
      <c r="M260" s="394"/>
      <c r="N260" s="395"/>
      <c r="O260" s="395"/>
      <c r="P260" s="395"/>
      <c r="Q260" s="395"/>
      <c r="R260" s="394"/>
      <c r="S260" s="395"/>
      <c r="T260" s="395"/>
      <c r="U260" s="395"/>
      <c r="V260" s="395"/>
      <c r="W260" s="394"/>
      <c r="X260" s="395"/>
      <c r="Y260" s="395"/>
      <c r="Z260" s="395"/>
      <c r="AA260" s="395"/>
      <c r="AB260" s="394"/>
      <c r="AC260" s="395"/>
      <c r="AD260" s="395"/>
      <c r="AE260" s="395"/>
      <c r="AF260" s="395"/>
      <c r="AG260" s="394"/>
      <c r="AH260" s="395"/>
      <c r="AI260" s="395"/>
      <c r="AJ260" s="395"/>
      <c r="AK260" s="395"/>
      <c r="AL260" s="394"/>
      <c r="AM260" s="395"/>
      <c r="AN260" s="395"/>
      <c r="AO260" s="395"/>
      <c r="AP260" s="395"/>
      <c r="AQ260" s="394"/>
      <c r="AR260" s="395"/>
      <c r="AS260" s="395"/>
      <c r="AT260" s="395"/>
      <c r="AU260" s="395"/>
      <c r="AV260" s="394"/>
      <c r="AW260" s="395"/>
      <c r="AX260" s="395"/>
      <c r="AY260" s="395"/>
      <c r="AZ260" s="395"/>
    </row>
    <row r="261" spans="3:52">
      <c r="C261" s="463"/>
      <c r="D261" s="384"/>
      <c r="E261" s="384"/>
      <c r="F261" s="384"/>
      <c r="G261" s="384"/>
      <c r="H261" s="463"/>
      <c r="I261" s="384"/>
      <c r="J261" s="384"/>
      <c r="K261" s="384"/>
      <c r="L261" s="384"/>
      <c r="M261" s="463"/>
      <c r="N261" s="384"/>
      <c r="O261" s="384"/>
      <c r="P261" s="384"/>
      <c r="Q261" s="384"/>
      <c r="R261" s="463"/>
      <c r="S261" s="384"/>
      <c r="T261" s="384"/>
      <c r="U261" s="384"/>
      <c r="V261" s="384"/>
      <c r="W261" s="463"/>
      <c r="X261" s="384"/>
      <c r="Y261" s="384"/>
      <c r="Z261" s="384"/>
      <c r="AA261" s="384"/>
      <c r="AB261" s="463"/>
      <c r="AC261" s="384"/>
      <c r="AD261" s="384"/>
      <c r="AE261" s="384"/>
      <c r="AF261" s="384"/>
      <c r="AG261" s="463"/>
      <c r="AH261" s="384"/>
      <c r="AI261" s="384"/>
      <c r="AJ261" s="384"/>
      <c r="AK261" s="384"/>
      <c r="AL261" s="463"/>
      <c r="AM261" s="384"/>
      <c r="AN261" s="384"/>
      <c r="AO261" s="384"/>
      <c r="AP261" s="384"/>
      <c r="AQ261" s="463"/>
      <c r="AR261" s="384"/>
      <c r="AS261" s="384"/>
      <c r="AT261" s="384"/>
      <c r="AU261" s="384"/>
      <c r="AV261" s="463"/>
      <c r="AW261" s="384"/>
      <c r="AX261" s="384"/>
      <c r="AY261" s="384"/>
      <c r="AZ261" s="384"/>
    </row>
    <row r="263" spans="3:52">
      <c r="C263" s="509"/>
      <c r="D263" s="510"/>
      <c r="E263" s="510"/>
      <c r="F263" s="510"/>
      <c r="G263" s="510"/>
      <c r="H263" s="509"/>
      <c r="I263" s="510"/>
      <c r="J263" s="510"/>
      <c r="K263" s="510"/>
      <c r="L263" s="510"/>
      <c r="M263" s="509"/>
      <c r="N263" s="510"/>
      <c r="O263" s="510"/>
      <c r="P263" s="510"/>
      <c r="Q263" s="510"/>
      <c r="R263" s="509"/>
      <c r="S263" s="510"/>
      <c r="T263" s="510"/>
      <c r="U263" s="510"/>
      <c r="V263" s="510"/>
      <c r="W263" s="509"/>
      <c r="X263" s="510"/>
      <c r="Y263" s="510"/>
      <c r="Z263" s="510"/>
      <c r="AA263" s="510"/>
      <c r="AB263" s="509"/>
      <c r="AC263" s="510"/>
      <c r="AD263" s="510"/>
      <c r="AE263" s="510"/>
      <c r="AF263" s="510"/>
      <c r="AG263" s="509"/>
      <c r="AH263" s="510"/>
      <c r="AI263" s="510"/>
      <c r="AJ263" s="510"/>
      <c r="AK263" s="510"/>
      <c r="AL263" s="509"/>
      <c r="AM263" s="510"/>
      <c r="AN263" s="510"/>
      <c r="AO263" s="510"/>
      <c r="AP263" s="510"/>
      <c r="AQ263" s="509"/>
      <c r="AR263" s="510"/>
      <c r="AS263" s="510"/>
      <c r="AT263" s="510"/>
      <c r="AU263" s="510"/>
      <c r="AV263" s="509"/>
      <c r="AW263" s="510"/>
      <c r="AX263" s="510"/>
      <c r="AY263" s="510"/>
      <c r="AZ263" s="510"/>
    </row>
    <row r="264" spans="3:52">
      <c r="C264" s="463"/>
      <c r="D264" s="384"/>
      <c r="E264" s="384"/>
      <c r="F264" s="384"/>
      <c r="G264" s="384"/>
      <c r="H264" s="463"/>
      <c r="I264" s="384"/>
      <c r="J264" s="384"/>
      <c r="K264" s="384"/>
      <c r="L264" s="384"/>
      <c r="M264" s="463"/>
      <c r="N264" s="384"/>
      <c r="O264" s="384"/>
      <c r="P264" s="384"/>
      <c r="Q264" s="384"/>
      <c r="R264" s="463"/>
      <c r="S264" s="384"/>
      <c r="T264" s="384"/>
      <c r="U264" s="384"/>
      <c r="V264" s="384"/>
      <c r="W264" s="463"/>
      <c r="X264" s="384"/>
      <c r="Y264" s="384"/>
      <c r="Z264" s="384"/>
      <c r="AA264" s="384"/>
      <c r="AB264" s="463"/>
      <c r="AC264" s="384"/>
      <c r="AD264" s="384"/>
      <c r="AE264" s="384"/>
      <c r="AF264" s="384"/>
      <c r="AG264" s="463"/>
      <c r="AH264" s="384"/>
      <c r="AI264" s="384"/>
      <c r="AJ264" s="384"/>
      <c r="AK264" s="384"/>
      <c r="AL264" s="463"/>
      <c r="AM264" s="384"/>
      <c r="AN264" s="384"/>
      <c r="AO264" s="384"/>
      <c r="AP264" s="384"/>
      <c r="AQ264" s="463"/>
      <c r="AR264" s="384"/>
      <c r="AS264" s="384"/>
      <c r="AT264" s="384"/>
      <c r="AU264" s="384"/>
      <c r="AV264" s="463"/>
      <c r="AW264" s="384"/>
      <c r="AX264" s="384"/>
      <c r="AY264" s="384"/>
      <c r="AZ264" s="384"/>
    </row>
    <row r="267" spans="3:52">
      <c r="C267" s="504"/>
      <c r="D267" s="505"/>
      <c r="E267" s="505"/>
      <c r="F267" s="505"/>
      <c r="G267" s="505"/>
      <c r="H267" s="504"/>
      <c r="I267" s="505"/>
      <c r="J267" s="505"/>
      <c r="K267" s="505"/>
      <c r="L267" s="505"/>
      <c r="M267" s="504"/>
      <c r="N267" s="505"/>
      <c r="O267" s="505"/>
      <c r="P267" s="505"/>
      <c r="Q267" s="505"/>
      <c r="R267" s="504"/>
      <c r="S267" s="505"/>
      <c r="T267" s="505"/>
      <c r="U267" s="505"/>
      <c r="V267" s="505"/>
      <c r="W267" s="504"/>
      <c r="X267" s="505"/>
      <c r="Y267" s="505"/>
      <c r="Z267" s="505"/>
      <c r="AA267" s="505"/>
      <c r="AB267" s="504"/>
      <c r="AC267" s="505"/>
      <c r="AD267" s="505"/>
      <c r="AE267" s="505"/>
      <c r="AF267" s="505"/>
      <c r="AG267" s="504"/>
      <c r="AH267" s="505"/>
      <c r="AI267" s="505"/>
      <c r="AJ267" s="505"/>
      <c r="AK267" s="505"/>
      <c r="AL267" s="504"/>
      <c r="AM267" s="505"/>
      <c r="AN267" s="505"/>
      <c r="AO267" s="505"/>
      <c r="AP267" s="505"/>
      <c r="AQ267" s="504"/>
      <c r="AR267" s="505"/>
      <c r="AS267" s="505"/>
      <c r="AT267" s="505"/>
      <c r="AU267" s="505"/>
      <c r="AV267" s="504"/>
      <c r="AW267" s="505"/>
      <c r="AX267" s="505"/>
      <c r="AY267" s="505"/>
      <c r="AZ267" s="505"/>
    </row>
    <row r="270" spans="3:52">
      <c r="C270" s="513"/>
      <c r="D270" s="514"/>
      <c r="E270" s="514"/>
      <c r="F270" s="514"/>
      <c r="G270" s="514"/>
      <c r="H270" s="513"/>
      <c r="I270" s="514"/>
      <c r="J270" s="514"/>
      <c r="K270" s="514"/>
      <c r="L270" s="514"/>
      <c r="M270" s="513"/>
      <c r="N270" s="514"/>
      <c r="O270" s="514"/>
      <c r="P270" s="514"/>
      <c r="Q270" s="514"/>
      <c r="R270" s="513"/>
      <c r="S270" s="514"/>
      <c r="T270" s="514"/>
      <c r="U270" s="514"/>
      <c r="V270" s="514"/>
      <c r="W270" s="513"/>
      <c r="X270" s="514"/>
      <c r="Y270" s="514"/>
      <c r="Z270" s="514"/>
      <c r="AA270" s="514"/>
      <c r="AB270" s="513"/>
      <c r="AC270" s="514"/>
      <c r="AD270" s="514"/>
      <c r="AE270" s="514"/>
      <c r="AF270" s="514"/>
      <c r="AG270" s="513"/>
      <c r="AH270" s="514"/>
      <c r="AI270" s="514"/>
      <c r="AJ270" s="514"/>
      <c r="AK270" s="514"/>
      <c r="AL270" s="513"/>
      <c r="AM270" s="514"/>
      <c r="AN270" s="514"/>
      <c r="AO270" s="514"/>
      <c r="AP270" s="514"/>
      <c r="AQ270" s="513"/>
      <c r="AR270" s="514"/>
      <c r="AS270" s="514"/>
      <c r="AT270" s="514"/>
      <c r="AU270" s="514"/>
      <c r="AV270" s="513"/>
      <c r="AW270" s="514"/>
      <c r="AX270" s="514"/>
      <c r="AY270" s="514"/>
      <c r="AZ270" s="514"/>
    </row>
    <row r="271" spans="3:52">
      <c r="C271" s="502"/>
      <c r="D271" s="503"/>
      <c r="E271" s="503"/>
      <c r="F271" s="503"/>
      <c r="G271" s="503"/>
      <c r="H271" s="502"/>
      <c r="I271" s="503"/>
      <c r="J271" s="503"/>
      <c r="K271" s="503"/>
      <c r="L271" s="503"/>
      <c r="M271" s="502"/>
      <c r="N271" s="503"/>
      <c r="O271" s="503"/>
      <c r="P271" s="503"/>
      <c r="Q271" s="503"/>
      <c r="R271" s="502"/>
      <c r="S271" s="503"/>
      <c r="T271" s="503"/>
      <c r="U271" s="503"/>
      <c r="V271" s="503"/>
      <c r="W271" s="502"/>
      <c r="X271" s="503"/>
      <c r="Y271" s="503"/>
      <c r="Z271" s="503"/>
      <c r="AA271" s="503"/>
      <c r="AB271" s="502"/>
      <c r="AC271" s="503"/>
      <c r="AD271" s="503"/>
      <c r="AE271" s="503"/>
      <c r="AF271" s="503"/>
      <c r="AG271" s="502"/>
      <c r="AH271" s="503"/>
      <c r="AI271" s="503"/>
      <c r="AJ271" s="503"/>
      <c r="AK271" s="503"/>
      <c r="AL271" s="502"/>
      <c r="AM271" s="503"/>
      <c r="AN271" s="503"/>
      <c r="AO271" s="503"/>
      <c r="AP271" s="503"/>
      <c r="AQ271" s="502"/>
      <c r="AR271" s="503"/>
      <c r="AS271" s="503"/>
      <c r="AT271" s="503"/>
      <c r="AU271" s="503"/>
      <c r="AV271" s="502"/>
      <c r="AW271" s="503"/>
      <c r="AX271" s="503"/>
      <c r="AY271" s="503"/>
      <c r="AZ271" s="503"/>
    </row>
    <row r="273" spans="3:52">
      <c r="C273" s="463"/>
      <c r="D273" s="384"/>
      <c r="E273" s="384"/>
      <c r="F273" s="384"/>
      <c r="G273" s="384"/>
      <c r="H273" s="463"/>
      <c r="I273" s="384"/>
      <c r="J273" s="384"/>
      <c r="K273" s="384"/>
      <c r="L273" s="384"/>
      <c r="M273" s="463"/>
      <c r="N273" s="384"/>
      <c r="O273" s="384"/>
      <c r="P273" s="384"/>
      <c r="Q273" s="384"/>
      <c r="R273" s="463"/>
      <c r="S273" s="384"/>
      <c r="T273" s="384"/>
      <c r="U273" s="384"/>
      <c r="V273" s="384"/>
      <c r="W273" s="463"/>
      <c r="X273" s="384"/>
      <c r="Y273" s="384"/>
      <c r="Z273" s="384"/>
      <c r="AA273" s="384"/>
      <c r="AB273" s="463"/>
      <c r="AC273" s="384"/>
      <c r="AD273" s="384"/>
      <c r="AE273" s="384"/>
      <c r="AF273" s="384"/>
      <c r="AG273" s="463"/>
      <c r="AH273" s="384"/>
      <c r="AI273" s="384"/>
      <c r="AJ273" s="384"/>
      <c r="AK273" s="384"/>
      <c r="AL273" s="463"/>
      <c r="AM273" s="384"/>
      <c r="AN273" s="384"/>
      <c r="AO273" s="384"/>
      <c r="AP273" s="384"/>
      <c r="AQ273" s="463"/>
      <c r="AR273" s="384"/>
      <c r="AS273" s="384"/>
      <c r="AT273" s="384"/>
      <c r="AU273" s="384"/>
      <c r="AV273" s="463"/>
      <c r="AW273" s="384"/>
      <c r="AX273" s="384"/>
      <c r="AY273" s="384"/>
      <c r="AZ273" s="384"/>
    </row>
    <row r="276" spans="3:52">
      <c r="C276" s="463"/>
      <c r="D276" s="384"/>
      <c r="E276" s="384"/>
      <c r="F276" s="384"/>
      <c r="G276" s="384"/>
      <c r="H276" s="463"/>
      <c r="I276" s="384"/>
      <c r="J276" s="384"/>
      <c r="K276" s="384"/>
      <c r="L276" s="384"/>
      <c r="M276" s="463"/>
      <c r="N276" s="384"/>
      <c r="O276" s="384"/>
      <c r="P276" s="384"/>
      <c r="Q276" s="384"/>
      <c r="R276" s="463"/>
      <c r="S276" s="384"/>
      <c r="T276" s="384"/>
      <c r="U276" s="384"/>
      <c r="V276" s="384"/>
      <c r="W276" s="463"/>
      <c r="X276" s="384"/>
      <c r="Y276" s="384"/>
      <c r="Z276" s="384"/>
      <c r="AA276" s="384"/>
      <c r="AB276" s="463"/>
      <c r="AC276" s="384"/>
      <c r="AD276" s="384"/>
      <c r="AE276" s="384"/>
      <c r="AF276" s="384"/>
      <c r="AG276" s="463"/>
      <c r="AH276" s="384"/>
      <c r="AI276" s="384"/>
      <c r="AJ276" s="384"/>
      <c r="AK276" s="384"/>
      <c r="AL276" s="463"/>
      <c r="AM276" s="384"/>
      <c r="AN276" s="384"/>
      <c r="AO276" s="384"/>
      <c r="AP276" s="384"/>
      <c r="AQ276" s="463"/>
      <c r="AR276" s="384"/>
      <c r="AS276" s="384"/>
      <c r="AT276" s="384"/>
      <c r="AU276" s="384"/>
      <c r="AV276" s="463"/>
      <c r="AW276" s="384"/>
      <c r="AX276" s="384"/>
      <c r="AY276" s="384"/>
      <c r="AZ276" s="384"/>
    </row>
    <row r="278" spans="3:52">
      <c r="C278" s="508"/>
      <c r="D278" s="501"/>
      <c r="E278" s="501"/>
      <c r="F278" s="501"/>
      <c r="G278" s="501"/>
      <c r="H278" s="508"/>
      <c r="I278" s="501"/>
      <c r="J278" s="501"/>
      <c r="K278" s="501"/>
      <c r="L278" s="501"/>
      <c r="M278" s="508"/>
      <c r="N278" s="501"/>
      <c r="O278" s="501"/>
      <c r="P278" s="501"/>
      <c r="Q278" s="501"/>
      <c r="R278" s="508"/>
      <c r="S278" s="501"/>
      <c r="T278" s="501"/>
      <c r="U278" s="501"/>
      <c r="V278" s="501"/>
      <c r="W278" s="508"/>
      <c r="X278" s="501"/>
      <c r="Y278" s="501"/>
      <c r="Z278" s="501"/>
      <c r="AA278" s="501"/>
      <c r="AB278" s="508"/>
      <c r="AC278" s="501"/>
      <c r="AD278" s="501"/>
      <c r="AE278" s="501"/>
      <c r="AF278" s="501"/>
      <c r="AG278" s="508"/>
      <c r="AH278" s="501"/>
      <c r="AI278" s="501"/>
      <c r="AJ278" s="501"/>
      <c r="AK278" s="501"/>
      <c r="AL278" s="508"/>
      <c r="AM278" s="501"/>
      <c r="AN278" s="501"/>
      <c r="AO278" s="501"/>
      <c r="AP278" s="501"/>
      <c r="AQ278" s="508"/>
      <c r="AR278" s="501"/>
      <c r="AS278" s="501"/>
      <c r="AT278" s="501"/>
      <c r="AU278" s="501"/>
      <c r="AV278" s="508"/>
      <c r="AW278" s="501"/>
      <c r="AX278" s="501"/>
      <c r="AY278" s="501"/>
      <c r="AZ278" s="501"/>
    </row>
    <row r="279" spans="3:52">
      <c r="C279" s="502"/>
      <c r="D279" s="503"/>
      <c r="E279" s="503"/>
      <c r="F279" s="503"/>
      <c r="G279" s="503"/>
      <c r="H279" s="502"/>
      <c r="I279" s="503"/>
      <c r="J279" s="503"/>
      <c r="K279" s="503"/>
      <c r="L279" s="503"/>
      <c r="M279" s="502"/>
      <c r="N279" s="503"/>
      <c r="O279" s="503"/>
      <c r="P279" s="503"/>
      <c r="Q279" s="503"/>
      <c r="R279" s="502"/>
      <c r="S279" s="503"/>
      <c r="T279" s="503"/>
      <c r="U279" s="503"/>
      <c r="V279" s="503"/>
      <c r="W279" s="502"/>
      <c r="X279" s="503"/>
      <c r="Y279" s="503"/>
      <c r="Z279" s="503"/>
      <c r="AA279" s="503"/>
      <c r="AB279" s="502"/>
      <c r="AC279" s="503"/>
      <c r="AD279" s="503"/>
      <c r="AE279" s="503"/>
      <c r="AF279" s="503"/>
      <c r="AG279" s="502"/>
      <c r="AH279" s="503"/>
      <c r="AI279" s="503"/>
      <c r="AJ279" s="503"/>
      <c r="AK279" s="503"/>
      <c r="AL279" s="502"/>
      <c r="AM279" s="503"/>
      <c r="AN279" s="503"/>
      <c r="AO279" s="503"/>
      <c r="AP279" s="503"/>
      <c r="AQ279" s="502"/>
      <c r="AR279" s="503"/>
      <c r="AS279" s="503"/>
      <c r="AT279" s="503"/>
      <c r="AU279" s="503"/>
      <c r="AV279" s="502"/>
      <c r="AW279" s="503"/>
      <c r="AX279" s="503"/>
      <c r="AY279" s="503"/>
      <c r="AZ279" s="503"/>
    </row>
    <row r="281" spans="3:52">
      <c r="C281" s="463"/>
      <c r="D281" s="384"/>
      <c r="E281" s="384"/>
      <c r="F281" s="384"/>
      <c r="G281" s="384"/>
      <c r="H281" s="463"/>
      <c r="I281" s="384"/>
      <c r="J281" s="384"/>
      <c r="K281" s="384"/>
      <c r="L281" s="384"/>
      <c r="M281" s="463"/>
      <c r="N281" s="384"/>
      <c r="O281" s="384"/>
      <c r="P281" s="384"/>
      <c r="Q281" s="384"/>
      <c r="R281" s="463"/>
      <c r="S281" s="384"/>
      <c r="T281" s="384"/>
      <c r="U281" s="384"/>
      <c r="V281" s="384"/>
      <c r="W281" s="463"/>
      <c r="X281" s="384"/>
      <c r="Y281" s="384"/>
      <c r="Z281" s="384"/>
      <c r="AA281" s="384"/>
      <c r="AB281" s="463"/>
      <c r="AC281" s="384"/>
      <c r="AD281" s="384"/>
      <c r="AE281" s="384"/>
      <c r="AF281" s="384"/>
      <c r="AG281" s="463"/>
      <c r="AH281" s="384"/>
      <c r="AI281" s="384"/>
      <c r="AJ281" s="384"/>
      <c r="AK281" s="384"/>
      <c r="AL281" s="463"/>
      <c r="AM281" s="384"/>
      <c r="AN281" s="384"/>
      <c r="AO281" s="384"/>
      <c r="AP281" s="384"/>
      <c r="AQ281" s="463"/>
      <c r="AR281" s="384"/>
      <c r="AS281" s="384"/>
      <c r="AT281" s="384"/>
      <c r="AU281" s="384"/>
      <c r="AV281" s="463"/>
      <c r="AW281" s="384"/>
      <c r="AX281" s="384"/>
      <c r="AY281" s="384"/>
      <c r="AZ281" s="384"/>
    </row>
    <row r="283" spans="3:52">
      <c r="C283" s="497"/>
      <c r="D283" s="498"/>
      <c r="E283" s="498"/>
      <c r="F283" s="498"/>
      <c r="G283" s="498"/>
      <c r="H283" s="497"/>
      <c r="I283" s="498"/>
      <c r="J283" s="498"/>
      <c r="K283" s="498"/>
      <c r="L283" s="498"/>
      <c r="M283" s="497"/>
      <c r="N283" s="498"/>
      <c r="O283" s="498"/>
      <c r="P283" s="498"/>
      <c r="Q283" s="498"/>
      <c r="R283" s="497"/>
      <c r="S283" s="498"/>
      <c r="T283" s="498"/>
      <c r="U283" s="498"/>
      <c r="V283" s="498"/>
      <c r="W283" s="497"/>
      <c r="X283" s="498"/>
      <c r="Y283" s="498"/>
      <c r="Z283" s="498"/>
      <c r="AA283" s="498"/>
      <c r="AB283" s="497"/>
      <c r="AC283" s="498"/>
      <c r="AD283" s="498"/>
      <c r="AE283" s="498"/>
      <c r="AF283" s="498"/>
      <c r="AG283" s="497"/>
      <c r="AH283" s="498"/>
      <c r="AI283" s="498"/>
      <c r="AJ283" s="498"/>
      <c r="AK283" s="498"/>
      <c r="AL283" s="497"/>
      <c r="AM283" s="498"/>
      <c r="AN283" s="498"/>
      <c r="AO283" s="498"/>
      <c r="AP283" s="498"/>
      <c r="AQ283" s="497"/>
      <c r="AR283" s="498"/>
      <c r="AS283" s="498"/>
      <c r="AT283" s="498"/>
      <c r="AU283" s="498"/>
      <c r="AV283" s="497"/>
      <c r="AW283" s="498"/>
      <c r="AX283" s="498"/>
      <c r="AY283" s="498"/>
      <c r="AZ283" s="498"/>
    </row>
    <row r="284" spans="3:52">
      <c r="C284" s="463"/>
      <c r="D284" s="384"/>
      <c r="E284" s="384"/>
      <c r="F284" s="384"/>
      <c r="G284" s="384"/>
      <c r="H284" s="463"/>
      <c r="I284" s="384"/>
      <c r="J284" s="384"/>
      <c r="K284" s="384"/>
      <c r="L284" s="384"/>
      <c r="M284" s="463"/>
      <c r="N284" s="384"/>
      <c r="O284" s="384"/>
      <c r="P284" s="384"/>
      <c r="Q284" s="384"/>
      <c r="R284" s="463"/>
      <c r="S284" s="384"/>
      <c r="T284" s="384"/>
      <c r="U284" s="384"/>
      <c r="V284" s="384"/>
      <c r="W284" s="463"/>
      <c r="X284" s="384"/>
      <c r="Y284" s="384"/>
      <c r="Z284" s="384"/>
      <c r="AA284" s="384"/>
      <c r="AB284" s="463"/>
      <c r="AC284" s="384"/>
      <c r="AD284" s="384"/>
      <c r="AE284" s="384"/>
      <c r="AF284" s="384"/>
      <c r="AG284" s="463"/>
      <c r="AH284" s="384"/>
      <c r="AI284" s="384"/>
      <c r="AJ284" s="384"/>
      <c r="AK284" s="384"/>
      <c r="AL284" s="463"/>
      <c r="AM284" s="384"/>
      <c r="AN284" s="384"/>
      <c r="AO284" s="384"/>
      <c r="AP284" s="384"/>
      <c r="AQ284" s="463"/>
      <c r="AR284" s="384"/>
      <c r="AS284" s="384"/>
      <c r="AT284" s="384"/>
      <c r="AU284" s="384"/>
      <c r="AV284" s="463"/>
      <c r="AW284" s="384"/>
      <c r="AX284" s="384"/>
      <c r="AY284" s="384"/>
      <c r="AZ284" s="384"/>
    </row>
    <row r="288" spans="3:52">
      <c r="C288" s="463"/>
      <c r="D288" s="384"/>
      <c r="E288" s="384"/>
      <c r="F288" s="384"/>
      <c r="G288" s="384"/>
      <c r="H288" s="463"/>
      <c r="I288" s="384"/>
      <c r="J288" s="384"/>
      <c r="K288" s="384"/>
      <c r="L288" s="384"/>
      <c r="M288" s="463"/>
      <c r="N288" s="384"/>
      <c r="O288" s="384"/>
      <c r="P288" s="384"/>
      <c r="Q288" s="384"/>
      <c r="R288" s="463"/>
      <c r="S288" s="384"/>
      <c r="T288" s="384"/>
      <c r="U288" s="384"/>
      <c r="V288" s="384"/>
      <c r="W288" s="463"/>
      <c r="X288" s="384"/>
      <c r="Y288" s="384"/>
      <c r="Z288" s="384"/>
      <c r="AA288" s="384"/>
      <c r="AB288" s="463"/>
      <c r="AC288" s="384"/>
      <c r="AD288" s="384"/>
      <c r="AE288" s="384"/>
      <c r="AF288" s="384"/>
      <c r="AG288" s="463"/>
      <c r="AH288" s="384"/>
      <c r="AI288" s="384"/>
      <c r="AJ288" s="384"/>
      <c r="AK288" s="384"/>
      <c r="AL288" s="463"/>
      <c r="AM288" s="384"/>
      <c r="AN288" s="384"/>
      <c r="AO288" s="384"/>
      <c r="AP288" s="384"/>
      <c r="AQ288" s="463"/>
      <c r="AR288" s="384"/>
      <c r="AS288" s="384"/>
      <c r="AT288" s="384"/>
      <c r="AU288" s="384"/>
      <c r="AV288" s="463"/>
      <c r="AW288" s="384"/>
      <c r="AX288" s="384"/>
      <c r="AY288" s="384"/>
      <c r="AZ288" s="384"/>
    </row>
    <row r="289" spans="3:52">
      <c r="C289" s="463"/>
      <c r="D289" s="384"/>
      <c r="E289" s="384"/>
      <c r="F289" s="384"/>
      <c r="G289" s="384"/>
      <c r="H289" s="463"/>
      <c r="I289" s="384"/>
      <c r="J289" s="384"/>
      <c r="K289" s="384"/>
      <c r="L289" s="384"/>
      <c r="M289" s="463"/>
      <c r="N289" s="384"/>
      <c r="O289" s="384"/>
      <c r="P289" s="384"/>
      <c r="Q289" s="384"/>
      <c r="R289" s="463"/>
      <c r="S289" s="384"/>
      <c r="T289" s="384"/>
      <c r="U289" s="384"/>
      <c r="V289" s="384"/>
      <c r="W289" s="463"/>
      <c r="X289" s="384"/>
      <c r="Y289" s="384"/>
      <c r="Z289" s="384"/>
      <c r="AA289" s="384"/>
      <c r="AB289" s="463"/>
      <c r="AC289" s="384"/>
      <c r="AD289" s="384"/>
      <c r="AE289" s="384"/>
      <c r="AF289" s="384"/>
      <c r="AG289" s="463"/>
      <c r="AH289" s="384"/>
      <c r="AI289" s="384"/>
      <c r="AJ289" s="384"/>
      <c r="AK289" s="384"/>
      <c r="AL289" s="463"/>
      <c r="AM289" s="384"/>
      <c r="AN289" s="384"/>
      <c r="AO289" s="384"/>
      <c r="AP289" s="384"/>
      <c r="AQ289" s="463"/>
      <c r="AR289" s="384"/>
      <c r="AS289" s="384"/>
      <c r="AT289" s="384"/>
      <c r="AU289" s="384"/>
      <c r="AV289" s="463"/>
      <c r="AW289" s="384"/>
      <c r="AX289" s="384"/>
      <c r="AY289" s="384"/>
      <c r="AZ289" s="384"/>
    </row>
    <row r="290" spans="3:52">
      <c r="C290" s="504"/>
      <c r="D290" s="505"/>
      <c r="E290" s="505"/>
      <c r="F290" s="505"/>
      <c r="G290" s="505"/>
      <c r="H290" s="504"/>
      <c r="I290" s="505"/>
      <c r="J290" s="505"/>
      <c r="K290" s="505"/>
      <c r="L290" s="505"/>
      <c r="M290" s="504"/>
      <c r="N290" s="505"/>
      <c r="O290" s="505"/>
      <c r="P290" s="505"/>
      <c r="Q290" s="505"/>
      <c r="R290" s="504"/>
      <c r="S290" s="505"/>
      <c r="T290" s="505"/>
      <c r="U290" s="505"/>
      <c r="V290" s="505"/>
      <c r="W290" s="504"/>
      <c r="X290" s="505"/>
      <c r="Y290" s="505"/>
      <c r="Z290" s="505"/>
      <c r="AA290" s="505"/>
      <c r="AB290" s="504"/>
      <c r="AC290" s="505"/>
      <c r="AD290" s="505"/>
      <c r="AE290" s="505"/>
      <c r="AF290" s="505"/>
      <c r="AG290" s="504"/>
      <c r="AH290" s="505"/>
      <c r="AI290" s="505"/>
      <c r="AJ290" s="505"/>
      <c r="AK290" s="505"/>
      <c r="AL290" s="504"/>
      <c r="AM290" s="505"/>
      <c r="AN290" s="505"/>
      <c r="AO290" s="505"/>
      <c r="AP290" s="505"/>
      <c r="AQ290" s="504"/>
      <c r="AR290" s="505"/>
      <c r="AS290" s="505"/>
      <c r="AT290" s="505"/>
      <c r="AU290" s="505"/>
      <c r="AV290" s="504"/>
      <c r="AW290" s="505"/>
      <c r="AX290" s="505"/>
      <c r="AY290" s="505"/>
      <c r="AZ290" s="505"/>
    </row>
    <row r="291" spans="3:52">
      <c r="C291" s="463"/>
      <c r="D291" s="384"/>
      <c r="E291" s="384"/>
      <c r="F291" s="384"/>
      <c r="G291" s="384"/>
      <c r="H291" s="463"/>
      <c r="I291" s="384"/>
      <c r="J291" s="384"/>
      <c r="K291" s="384"/>
      <c r="L291" s="384"/>
      <c r="M291" s="463"/>
      <c r="N291" s="384"/>
      <c r="O291" s="384"/>
      <c r="P291" s="384"/>
      <c r="Q291" s="384"/>
      <c r="R291" s="463"/>
      <c r="S291" s="384"/>
      <c r="T291" s="384"/>
      <c r="U291" s="384"/>
      <c r="V291" s="384"/>
      <c r="W291" s="463"/>
      <c r="X291" s="384"/>
      <c r="Y291" s="384"/>
      <c r="Z291" s="384"/>
      <c r="AA291" s="384"/>
      <c r="AB291" s="463"/>
      <c r="AC291" s="384"/>
      <c r="AD291" s="384"/>
      <c r="AE291" s="384"/>
      <c r="AF291" s="384"/>
      <c r="AG291" s="463"/>
      <c r="AH291" s="384"/>
      <c r="AI291" s="384"/>
      <c r="AJ291" s="384"/>
      <c r="AK291" s="384"/>
      <c r="AL291" s="463"/>
      <c r="AM291" s="384"/>
      <c r="AN291" s="384"/>
      <c r="AO291" s="384"/>
      <c r="AP291" s="384"/>
      <c r="AQ291" s="463"/>
      <c r="AR291" s="384"/>
      <c r="AS291" s="384"/>
      <c r="AT291" s="384"/>
      <c r="AU291" s="384"/>
      <c r="AV291" s="463"/>
      <c r="AW291" s="384"/>
      <c r="AX291" s="384"/>
      <c r="AY291" s="384"/>
      <c r="AZ291" s="384"/>
    </row>
    <row r="292" spans="3:52">
      <c r="C292" s="511"/>
      <c r="D292" s="512"/>
      <c r="E292" s="512"/>
      <c r="F292" s="512"/>
      <c r="G292" s="512"/>
      <c r="H292" s="511"/>
      <c r="I292" s="512"/>
      <c r="J292" s="512"/>
      <c r="K292" s="512"/>
      <c r="L292" s="512"/>
      <c r="M292" s="511"/>
      <c r="N292" s="512"/>
      <c r="O292" s="512"/>
      <c r="P292" s="512"/>
      <c r="Q292" s="512"/>
      <c r="R292" s="511"/>
      <c r="S292" s="512"/>
      <c r="T292" s="512"/>
      <c r="U292" s="512"/>
      <c r="V292" s="512"/>
      <c r="W292" s="511"/>
      <c r="X292" s="512"/>
      <c r="Y292" s="512"/>
      <c r="Z292" s="512"/>
      <c r="AA292" s="512"/>
      <c r="AB292" s="511"/>
      <c r="AC292" s="512"/>
      <c r="AD292" s="512"/>
      <c r="AE292" s="512"/>
      <c r="AF292" s="512"/>
      <c r="AG292" s="511"/>
      <c r="AH292" s="512"/>
      <c r="AI292" s="512"/>
      <c r="AJ292" s="512"/>
      <c r="AK292" s="512"/>
      <c r="AL292" s="511"/>
      <c r="AM292" s="512"/>
      <c r="AN292" s="512"/>
      <c r="AO292" s="512"/>
      <c r="AP292" s="512"/>
      <c r="AQ292" s="511"/>
      <c r="AR292" s="512"/>
      <c r="AS292" s="512"/>
      <c r="AT292" s="512"/>
      <c r="AU292" s="512"/>
      <c r="AV292" s="511"/>
      <c r="AW292" s="512"/>
      <c r="AX292" s="512"/>
      <c r="AY292" s="512"/>
      <c r="AZ292" s="512"/>
    </row>
    <row r="295" spans="3:52">
      <c r="C295" s="504"/>
      <c r="D295" s="505"/>
      <c r="E295" s="505"/>
      <c r="F295" s="505"/>
      <c r="G295" s="505"/>
      <c r="H295" s="504"/>
      <c r="I295" s="505"/>
      <c r="J295" s="505"/>
      <c r="K295" s="505"/>
      <c r="L295" s="505"/>
      <c r="M295" s="504"/>
      <c r="N295" s="505"/>
      <c r="O295" s="505"/>
      <c r="P295" s="505"/>
      <c r="Q295" s="505"/>
      <c r="R295" s="504"/>
      <c r="S295" s="505"/>
      <c r="T295" s="505"/>
      <c r="U295" s="505"/>
      <c r="V295" s="505"/>
      <c r="W295" s="504"/>
      <c r="X295" s="505"/>
      <c r="Y295" s="505"/>
      <c r="Z295" s="505"/>
      <c r="AA295" s="505"/>
      <c r="AB295" s="504"/>
      <c r="AC295" s="505"/>
      <c r="AD295" s="505"/>
      <c r="AE295" s="505"/>
      <c r="AF295" s="505"/>
      <c r="AG295" s="504"/>
      <c r="AH295" s="505"/>
      <c r="AI295" s="505"/>
      <c r="AJ295" s="505"/>
      <c r="AK295" s="505"/>
      <c r="AL295" s="504"/>
      <c r="AM295" s="505"/>
      <c r="AN295" s="505"/>
      <c r="AO295" s="505"/>
      <c r="AP295" s="505"/>
      <c r="AQ295" s="504"/>
      <c r="AR295" s="505"/>
      <c r="AS295" s="505"/>
      <c r="AT295" s="505"/>
      <c r="AU295" s="505"/>
      <c r="AV295" s="504"/>
      <c r="AW295" s="505"/>
      <c r="AX295" s="505"/>
      <c r="AY295" s="505"/>
      <c r="AZ295" s="505"/>
    </row>
    <row r="296" spans="3:52">
      <c r="C296" s="463"/>
      <c r="D296" s="384"/>
      <c r="E296" s="384"/>
      <c r="F296" s="384"/>
      <c r="G296" s="384"/>
      <c r="H296" s="463"/>
      <c r="I296" s="384"/>
      <c r="J296" s="384"/>
      <c r="K296" s="384"/>
      <c r="L296" s="384"/>
      <c r="M296" s="463"/>
      <c r="N296" s="384"/>
      <c r="O296" s="384"/>
      <c r="P296" s="384"/>
      <c r="Q296" s="384"/>
      <c r="R296" s="463"/>
      <c r="S296" s="384"/>
      <c r="T296" s="384"/>
      <c r="U296" s="384"/>
      <c r="V296" s="384"/>
      <c r="W296" s="463"/>
      <c r="X296" s="384"/>
      <c r="Y296" s="384"/>
      <c r="Z296" s="384"/>
      <c r="AA296" s="384"/>
      <c r="AB296" s="463"/>
      <c r="AC296" s="384"/>
      <c r="AD296" s="384"/>
      <c r="AE296" s="384"/>
      <c r="AF296" s="384"/>
      <c r="AG296" s="463"/>
      <c r="AH296" s="384"/>
      <c r="AI296" s="384"/>
      <c r="AJ296" s="384"/>
      <c r="AK296" s="384"/>
      <c r="AL296" s="463"/>
      <c r="AM296" s="384"/>
      <c r="AN296" s="384"/>
      <c r="AO296" s="384"/>
      <c r="AP296" s="384"/>
      <c r="AQ296" s="463"/>
      <c r="AR296" s="384"/>
      <c r="AS296" s="384"/>
      <c r="AT296" s="384"/>
      <c r="AU296" s="384"/>
      <c r="AV296" s="463"/>
      <c r="AW296" s="384"/>
      <c r="AX296" s="384"/>
      <c r="AY296" s="384"/>
      <c r="AZ296" s="384"/>
    </row>
    <row r="297" spans="3:52">
      <c r="C297" s="511"/>
      <c r="D297" s="512"/>
      <c r="E297" s="512"/>
      <c r="F297" s="512"/>
      <c r="G297" s="512"/>
      <c r="H297" s="511"/>
      <c r="I297" s="512"/>
      <c r="J297" s="512"/>
      <c r="K297" s="512"/>
      <c r="L297" s="512"/>
      <c r="M297" s="511"/>
      <c r="N297" s="512"/>
      <c r="O297" s="512"/>
      <c r="P297" s="512"/>
      <c r="Q297" s="512"/>
      <c r="R297" s="511"/>
      <c r="S297" s="512"/>
      <c r="T297" s="512"/>
      <c r="U297" s="512"/>
      <c r="V297" s="512"/>
      <c r="W297" s="511"/>
      <c r="X297" s="512"/>
      <c r="Y297" s="512"/>
      <c r="Z297" s="512"/>
      <c r="AA297" s="512"/>
      <c r="AB297" s="511"/>
      <c r="AC297" s="512"/>
      <c r="AD297" s="512"/>
      <c r="AE297" s="512"/>
      <c r="AF297" s="512"/>
      <c r="AG297" s="511"/>
      <c r="AH297" s="512"/>
      <c r="AI297" s="512"/>
      <c r="AJ297" s="512"/>
      <c r="AK297" s="512"/>
      <c r="AL297" s="511"/>
      <c r="AM297" s="512"/>
      <c r="AN297" s="512"/>
      <c r="AO297" s="512"/>
      <c r="AP297" s="512"/>
      <c r="AQ297" s="511"/>
      <c r="AR297" s="512"/>
      <c r="AS297" s="512"/>
      <c r="AT297" s="512"/>
      <c r="AU297" s="512"/>
      <c r="AV297" s="511"/>
      <c r="AW297" s="512"/>
      <c r="AX297" s="512"/>
      <c r="AY297" s="512"/>
      <c r="AZ297" s="512"/>
    </row>
    <row r="299" spans="3:52">
      <c r="C299" s="515"/>
      <c r="D299" s="516"/>
      <c r="E299" s="516"/>
      <c r="F299" s="516"/>
      <c r="G299" s="516"/>
      <c r="H299" s="515"/>
      <c r="I299" s="516"/>
      <c r="J299" s="516"/>
      <c r="K299" s="516"/>
      <c r="L299" s="516"/>
      <c r="M299" s="515"/>
      <c r="N299" s="516"/>
      <c r="O299" s="516"/>
      <c r="P299" s="516"/>
      <c r="Q299" s="516"/>
      <c r="R299" s="515"/>
      <c r="S299" s="516"/>
      <c r="T299" s="516"/>
      <c r="U299" s="516"/>
      <c r="V299" s="516"/>
      <c r="W299" s="515"/>
      <c r="X299" s="516"/>
      <c r="Y299" s="516"/>
      <c r="Z299" s="516"/>
      <c r="AA299" s="516"/>
      <c r="AB299" s="515"/>
      <c r="AC299" s="516"/>
      <c r="AD299" s="516"/>
      <c r="AE299" s="516"/>
      <c r="AF299" s="516"/>
      <c r="AG299" s="515"/>
      <c r="AH299" s="516"/>
      <c r="AI299" s="516"/>
      <c r="AJ299" s="516"/>
      <c r="AK299" s="516"/>
      <c r="AL299" s="515"/>
      <c r="AM299" s="516"/>
      <c r="AN299" s="516"/>
      <c r="AO299" s="516"/>
      <c r="AP299" s="516"/>
      <c r="AQ299" s="515"/>
      <c r="AR299" s="516"/>
      <c r="AS299" s="516"/>
      <c r="AT299" s="516"/>
      <c r="AU299" s="516"/>
      <c r="AV299" s="515"/>
      <c r="AW299" s="516"/>
      <c r="AX299" s="516"/>
      <c r="AY299" s="516"/>
      <c r="AZ299" s="516"/>
    </row>
    <row r="300" spans="3:52">
      <c r="C300" s="509"/>
      <c r="D300" s="510"/>
      <c r="E300" s="510"/>
      <c r="F300" s="510"/>
      <c r="G300" s="510"/>
      <c r="H300" s="509"/>
      <c r="I300" s="510"/>
      <c r="J300" s="510"/>
      <c r="K300" s="510"/>
      <c r="L300" s="510"/>
      <c r="M300" s="509"/>
      <c r="N300" s="510"/>
      <c r="O300" s="510"/>
      <c r="P300" s="510"/>
      <c r="Q300" s="510"/>
      <c r="R300" s="509"/>
      <c r="S300" s="510"/>
      <c r="T300" s="510"/>
      <c r="U300" s="510"/>
      <c r="V300" s="510"/>
      <c r="W300" s="509"/>
      <c r="X300" s="510"/>
      <c r="Y300" s="510"/>
      <c r="Z300" s="510"/>
      <c r="AA300" s="510"/>
      <c r="AB300" s="509"/>
      <c r="AC300" s="510"/>
      <c r="AD300" s="510"/>
      <c r="AE300" s="510"/>
      <c r="AF300" s="510"/>
      <c r="AG300" s="509"/>
      <c r="AH300" s="510"/>
      <c r="AI300" s="510"/>
      <c r="AJ300" s="510"/>
      <c r="AK300" s="510"/>
      <c r="AL300" s="509"/>
      <c r="AM300" s="510"/>
      <c r="AN300" s="510"/>
      <c r="AO300" s="510"/>
      <c r="AP300" s="510"/>
      <c r="AQ300" s="509"/>
      <c r="AR300" s="510"/>
      <c r="AS300" s="510"/>
      <c r="AT300" s="510"/>
      <c r="AU300" s="510"/>
      <c r="AV300" s="509"/>
      <c r="AW300" s="510"/>
      <c r="AX300" s="510"/>
      <c r="AY300" s="510"/>
      <c r="AZ300" s="510"/>
    </row>
    <row r="301" spans="3:52">
      <c r="C301" s="463"/>
      <c r="D301" s="384"/>
      <c r="E301" s="384"/>
      <c r="F301" s="384"/>
      <c r="G301" s="384"/>
      <c r="H301" s="463"/>
      <c r="I301" s="384"/>
      <c r="J301" s="384"/>
      <c r="K301" s="384"/>
      <c r="L301" s="384"/>
      <c r="M301" s="463"/>
      <c r="N301" s="384"/>
      <c r="O301" s="384"/>
      <c r="P301" s="384"/>
      <c r="Q301" s="384"/>
      <c r="R301" s="463"/>
      <c r="S301" s="384"/>
      <c r="T301" s="384"/>
      <c r="U301" s="384"/>
      <c r="V301" s="384"/>
      <c r="W301" s="463"/>
      <c r="X301" s="384"/>
      <c r="Y301" s="384"/>
      <c r="Z301" s="384"/>
      <c r="AA301" s="384"/>
      <c r="AB301" s="463"/>
      <c r="AC301" s="384"/>
      <c r="AD301" s="384"/>
      <c r="AE301" s="384"/>
      <c r="AF301" s="384"/>
      <c r="AG301" s="463"/>
      <c r="AH301" s="384"/>
      <c r="AI301" s="384"/>
      <c r="AJ301" s="384"/>
      <c r="AK301" s="384"/>
      <c r="AL301" s="463"/>
      <c r="AM301" s="384"/>
      <c r="AN301" s="384"/>
      <c r="AO301" s="384"/>
      <c r="AP301" s="384"/>
      <c r="AQ301" s="463"/>
      <c r="AR301" s="384"/>
      <c r="AS301" s="384"/>
      <c r="AT301" s="384"/>
      <c r="AU301" s="384"/>
      <c r="AV301" s="463"/>
      <c r="AW301" s="384"/>
      <c r="AX301" s="384"/>
      <c r="AY301" s="384"/>
      <c r="AZ301" s="384"/>
    </row>
    <row r="302" spans="3:52">
      <c r="C302" s="511"/>
      <c r="D302" s="512"/>
      <c r="E302" s="512"/>
      <c r="F302" s="512"/>
      <c r="G302" s="512"/>
      <c r="H302" s="511"/>
      <c r="I302" s="512"/>
      <c r="J302" s="512"/>
      <c r="K302" s="512"/>
      <c r="L302" s="512"/>
      <c r="M302" s="511"/>
      <c r="N302" s="512"/>
      <c r="O302" s="512"/>
      <c r="P302" s="512"/>
      <c r="Q302" s="512"/>
      <c r="R302" s="511"/>
      <c r="S302" s="512"/>
      <c r="T302" s="512"/>
      <c r="U302" s="512"/>
      <c r="V302" s="512"/>
      <c r="W302" s="511"/>
      <c r="X302" s="512"/>
      <c r="Y302" s="512"/>
      <c r="Z302" s="512"/>
      <c r="AA302" s="512"/>
      <c r="AB302" s="511"/>
      <c r="AC302" s="512"/>
      <c r="AD302" s="512"/>
      <c r="AE302" s="512"/>
      <c r="AF302" s="512"/>
      <c r="AG302" s="511"/>
      <c r="AH302" s="512"/>
      <c r="AI302" s="512"/>
      <c r="AJ302" s="512"/>
      <c r="AK302" s="512"/>
      <c r="AL302" s="511"/>
      <c r="AM302" s="512"/>
      <c r="AN302" s="512"/>
      <c r="AO302" s="512"/>
      <c r="AP302" s="512"/>
      <c r="AQ302" s="511"/>
      <c r="AR302" s="512"/>
      <c r="AS302" s="512"/>
      <c r="AT302" s="512"/>
      <c r="AU302" s="512"/>
      <c r="AV302" s="511"/>
      <c r="AW302" s="512"/>
      <c r="AX302" s="512"/>
      <c r="AY302" s="512"/>
      <c r="AZ302" s="512"/>
    </row>
    <row r="304" spans="3:52">
      <c r="C304" s="517"/>
      <c r="D304" s="518"/>
      <c r="E304" s="518"/>
      <c r="F304" s="518"/>
      <c r="G304" s="518"/>
      <c r="H304" s="517"/>
      <c r="I304" s="518"/>
      <c r="J304" s="518"/>
      <c r="K304" s="518"/>
      <c r="L304" s="518"/>
      <c r="M304" s="517"/>
      <c r="N304" s="518"/>
      <c r="O304" s="518"/>
      <c r="P304" s="518"/>
      <c r="Q304" s="518"/>
      <c r="R304" s="517"/>
      <c r="S304" s="518"/>
      <c r="T304" s="518"/>
      <c r="U304" s="518"/>
      <c r="V304" s="518"/>
      <c r="W304" s="517"/>
      <c r="X304" s="518"/>
      <c r="Y304" s="518"/>
      <c r="Z304" s="518"/>
      <c r="AA304" s="518"/>
      <c r="AB304" s="517"/>
      <c r="AC304" s="518"/>
      <c r="AD304" s="518"/>
      <c r="AE304" s="518"/>
      <c r="AF304" s="518"/>
      <c r="AG304" s="517"/>
      <c r="AH304" s="518"/>
      <c r="AI304" s="518"/>
      <c r="AJ304" s="518"/>
      <c r="AK304" s="518"/>
      <c r="AL304" s="517"/>
      <c r="AM304" s="518"/>
      <c r="AN304" s="518"/>
      <c r="AO304" s="518"/>
      <c r="AP304" s="518"/>
      <c r="AQ304" s="517"/>
      <c r="AR304" s="518"/>
      <c r="AS304" s="518"/>
      <c r="AT304" s="518"/>
      <c r="AU304" s="518"/>
      <c r="AV304" s="517"/>
      <c r="AW304" s="518"/>
      <c r="AX304" s="518"/>
      <c r="AY304" s="518"/>
      <c r="AZ304" s="518"/>
    </row>
    <row r="305" spans="3:52">
      <c r="C305" s="519"/>
      <c r="D305" s="520"/>
      <c r="E305" s="520"/>
      <c r="F305" s="520"/>
      <c r="G305" s="520"/>
      <c r="H305" s="519"/>
      <c r="I305" s="520"/>
      <c r="J305" s="520"/>
      <c r="K305" s="520"/>
      <c r="L305" s="520"/>
      <c r="M305" s="519"/>
      <c r="N305" s="520"/>
      <c r="O305" s="520"/>
      <c r="P305" s="520"/>
      <c r="Q305" s="520"/>
      <c r="R305" s="519"/>
      <c r="S305" s="520"/>
      <c r="T305" s="520"/>
      <c r="U305" s="520"/>
      <c r="V305" s="520"/>
      <c r="W305" s="519"/>
      <c r="X305" s="520"/>
      <c r="Y305" s="520"/>
      <c r="Z305" s="520"/>
      <c r="AA305" s="520"/>
      <c r="AB305" s="519"/>
      <c r="AC305" s="520"/>
      <c r="AD305" s="520"/>
      <c r="AE305" s="520"/>
      <c r="AF305" s="520"/>
      <c r="AG305" s="519"/>
      <c r="AH305" s="520"/>
      <c r="AI305" s="520"/>
      <c r="AJ305" s="520"/>
      <c r="AK305" s="520"/>
      <c r="AL305" s="519"/>
      <c r="AM305" s="520"/>
      <c r="AN305" s="520"/>
      <c r="AO305" s="520"/>
      <c r="AP305" s="520"/>
      <c r="AQ305" s="519"/>
      <c r="AR305" s="520"/>
      <c r="AS305" s="520"/>
      <c r="AT305" s="520"/>
      <c r="AU305" s="520"/>
      <c r="AV305" s="519"/>
      <c r="AW305" s="520"/>
      <c r="AX305" s="520"/>
      <c r="AY305" s="520"/>
      <c r="AZ305" s="520"/>
    </row>
    <row r="306" spans="3:52">
      <c r="C306" s="463"/>
      <c r="D306" s="384"/>
      <c r="E306" s="384"/>
      <c r="F306" s="384"/>
      <c r="G306" s="384"/>
      <c r="H306" s="463"/>
      <c r="I306" s="384"/>
      <c r="J306" s="384"/>
      <c r="K306" s="384"/>
      <c r="L306" s="384"/>
      <c r="M306" s="463"/>
      <c r="N306" s="384"/>
      <c r="O306" s="384"/>
      <c r="P306" s="384"/>
      <c r="Q306" s="384"/>
      <c r="R306" s="463"/>
      <c r="S306" s="384"/>
      <c r="T306" s="384"/>
      <c r="U306" s="384"/>
      <c r="V306" s="384"/>
      <c r="W306" s="463"/>
      <c r="X306" s="384"/>
      <c r="Y306" s="384"/>
      <c r="Z306" s="384"/>
      <c r="AA306" s="384"/>
      <c r="AB306" s="463"/>
      <c r="AC306" s="384"/>
      <c r="AD306" s="384"/>
      <c r="AE306" s="384"/>
      <c r="AF306" s="384"/>
      <c r="AG306" s="463"/>
      <c r="AH306" s="384"/>
      <c r="AI306" s="384"/>
      <c r="AJ306" s="384"/>
      <c r="AK306" s="384"/>
      <c r="AL306" s="463"/>
      <c r="AM306" s="384"/>
      <c r="AN306" s="384"/>
      <c r="AO306" s="384"/>
      <c r="AP306" s="384"/>
      <c r="AQ306" s="463"/>
      <c r="AR306" s="384"/>
      <c r="AS306" s="384"/>
      <c r="AT306" s="384"/>
      <c r="AU306" s="384"/>
      <c r="AV306" s="463"/>
      <c r="AW306" s="384"/>
      <c r="AX306" s="384"/>
      <c r="AY306" s="384"/>
      <c r="AZ306" s="384"/>
    </row>
    <row r="307" spans="3:52">
      <c r="C307" s="463"/>
      <c r="D307" s="384"/>
      <c r="E307" s="384"/>
      <c r="F307" s="384"/>
      <c r="G307" s="384"/>
      <c r="H307" s="463"/>
      <c r="I307" s="384"/>
      <c r="J307" s="384"/>
      <c r="K307" s="384"/>
      <c r="L307" s="384"/>
      <c r="M307" s="463"/>
      <c r="N307" s="384"/>
      <c r="O307" s="384"/>
      <c r="P307" s="384"/>
      <c r="Q307" s="384"/>
      <c r="R307" s="463"/>
      <c r="S307" s="384"/>
      <c r="T307" s="384"/>
      <c r="U307" s="384"/>
      <c r="V307" s="384"/>
      <c r="W307" s="463"/>
      <c r="X307" s="384"/>
      <c r="Y307" s="384"/>
      <c r="Z307" s="384"/>
      <c r="AA307" s="384"/>
      <c r="AB307" s="463"/>
      <c r="AC307" s="384"/>
      <c r="AD307" s="384"/>
      <c r="AE307" s="384"/>
      <c r="AF307" s="384"/>
      <c r="AG307" s="463"/>
      <c r="AH307" s="384"/>
      <c r="AI307" s="384"/>
      <c r="AJ307" s="384"/>
      <c r="AK307" s="384"/>
      <c r="AL307" s="463"/>
      <c r="AM307" s="384"/>
      <c r="AN307" s="384"/>
      <c r="AO307" s="384"/>
      <c r="AP307" s="384"/>
      <c r="AQ307" s="463"/>
      <c r="AR307" s="384"/>
      <c r="AS307" s="384"/>
      <c r="AT307" s="384"/>
      <c r="AU307" s="384"/>
      <c r="AV307" s="463"/>
      <c r="AW307" s="384"/>
      <c r="AX307" s="384"/>
      <c r="AY307" s="384"/>
      <c r="AZ307" s="384"/>
    </row>
    <row r="308" spans="3:52">
      <c r="C308" s="463"/>
      <c r="D308" s="384"/>
      <c r="E308" s="384"/>
      <c r="F308" s="384"/>
      <c r="G308" s="384"/>
      <c r="H308" s="463"/>
      <c r="I308" s="384"/>
      <c r="J308" s="384"/>
      <c r="K308" s="384"/>
      <c r="L308" s="384"/>
      <c r="M308" s="463"/>
      <c r="N308" s="384"/>
      <c r="O308" s="384"/>
      <c r="P308" s="384"/>
      <c r="Q308" s="384"/>
      <c r="R308" s="463"/>
      <c r="S308" s="384"/>
      <c r="T308" s="384"/>
      <c r="U308" s="384"/>
      <c r="V308" s="384"/>
      <c r="W308" s="463"/>
      <c r="X308" s="384"/>
      <c r="Y308" s="384"/>
      <c r="Z308" s="384"/>
      <c r="AA308" s="384"/>
      <c r="AB308" s="463"/>
      <c r="AC308" s="384"/>
      <c r="AD308" s="384"/>
      <c r="AE308" s="384"/>
      <c r="AF308" s="384"/>
      <c r="AG308" s="463"/>
      <c r="AH308" s="384"/>
      <c r="AI308" s="384"/>
      <c r="AJ308" s="384"/>
      <c r="AK308" s="384"/>
      <c r="AL308" s="463"/>
      <c r="AM308" s="384"/>
      <c r="AN308" s="384"/>
      <c r="AO308" s="384"/>
      <c r="AP308" s="384"/>
      <c r="AQ308" s="463"/>
      <c r="AR308" s="384"/>
      <c r="AS308" s="384"/>
      <c r="AT308" s="384"/>
      <c r="AU308" s="384"/>
      <c r="AV308" s="463"/>
      <c r="AW308" s="384"/>
      <c r="AX308" s="384"/>
      <c r="AY308" s="384"/>
      <c r="AZ308" s="384"/>
    </row>
    <row r="309" spans="3:52">
      <c r="C309" s="463"/>
      <c r="D309" s="384"/>
      <c r="E309" s="384"/>
      <c r="F309" s="384"/>
      <c r="G309" s="384"/>
      <c r="H309" s="463"/>
      <c r="I309" s="384"/>
      <c r="J309" s="384"/>
      <c r="K309" s="384"/>
      <c r="L309" s="384"/>
      <c r="M309" s="463"/>
      <c r="N309" s="384"/>
      <c r="O309" s="384"/>
      <c r="P309" s="384"/>
      <c r="Q309" s="384"/>
      <c r="R309" s="463"/>
      <c r="S309" s="384"/>
      <c r="T309" s="384"/>
      <c r="U309" s="384"/>
      <c r="V309" s="384"/>
      <c r="W309" s="463"/>
      <c r="X309" s="384"/>
      <c r="Y309" s="384"/>
      <c r="Z309" s="384"/>
      <c r="AA309" s="384"/>
      <c r="AB309" s="463"/>
      <c r="AC309" s="384"/>
      <c r="AD309" s="384"/>
      <c r="AE309" s="384"/>
      <c r="AF309" s="384"/>
      <c r="AG309" s="463"/>
      <c r="AH309" s="384"/>
      <c r="AI309" s="384"/>
      <c r="AJ309" s="384"/>
      <c r="AK309" s="384"/>
      <c r="AL309" s="463"/>
      <c r="AM309" s="384"/>
      <c r="AN309" s="384"/>
      <c r="AO309" s="384"/>
      <c r="AP309" s="384"/>
      <c r="AQ309" s="463"/>
      <c r="AR309" s="384"/>
      <c r="AS309" s="384"/>
      <c r="AT309" s="384"/>
      <c r="AU309" s="384"/>
      <c r="AV309" s="463"/>
      <c r="AW309" s="384"/>
      <c r="AX309" s="384"/>
      <c r="AY309" s="384"/>
      <c r="AZ309" s="384"/>
    </row>
    <row r="310" spans="3:52">
      <c r="C310" s="521"/>
      <c r="D310" s="522"/>
      <c r="E310" s="522"/>
      <c r="F310" s="522"/>
      <c r="G310" s="522"/>
      <c r="H310" s="521"/>
      <c r="I310" s="522"/>
      <c r="J310" s="522"/>
      <c r="K310" s="522"/>
      <c r="L310" s="522"/>
      <c r="M310" s="521"/>
      <c r="N310" s="522"/>
      <c r="O310" s="522"/>
      <c r="P310" s="522"/>
      <c r="Q310" s="522"/>
      <c r="R310" s="521"/>
      <c r="S310" s="522"/>
      <c r="T310" s="522"/>
      <c r="U310" s="522"/>
      <c r="V310" s="522"/>
      <c r="W310" s="521"/>
      <c r="X310" s="522"/>
      <c r="Y310" s="522"/>
      <c r="Z310" s="522"/>
      <c r="AA310" s="522"/>
      <c r="AB310" s="521"/>
      <c r="AC310" s="522"/>
      <c r="AD310" s="522"/>
      <c r="AE310" s="522"/>
      <c r="AF310" s="522"/>
      <c r="AG310" s="521"/>
      <c r="AH310" s="522"/>
      <c r="AI310" s="522"/>
      <c r="AJ310" s="522"/>
      <c r="AK310" s="522"/>
      <c r="AL310" s="521"/>
      <c r="AM310" s="522"/>
      <c r="AN310" s="522"/>
      <c r="AO310" s="522"/>
      <c r="AP310" s="522"/>
      <c r="AQ310" s="521"/>
      <c r="AR310" s="522"/>
      <c r="AS310" s="522"/>
      <c r="AT310" s="522"/>
      <c r="AU310" s="522"/>
      <c r="AV310" s="521"/>
      <c r="AW310" s="522"/>
      <c r="AX310" s="522"/>
      <c r="AY310" s="522"/>
      <c r="AZ310" s="522"/>
    </row>
    <row r="311" spans="3:52">
      <c r="C311" s="523"/>
      <c r="H311" s="523"/>
      <c r="M311" s="523"/>
      <c r="R311" s="523"/>
      <c r="W311" s="523"/>
      <c r="AB311" s="523"/>
      <c r="AG311" s="523"/>
      <c r="AL311" s="523"/>
      <c r="AQ311" s="523"/>
      <c r="AV311" s="523"/>
    </row>
    <row r="312" spans="3:52">
      <c r="C312" s="523"/>
      <c r="H312" s="523"/>
      <c r="M312" s="523"/>
      <c r="R312" s="523"/>
      <c r="W312" s="523"/>
      <c r="AB312" s="523"/>
      <c r="AG312" s="523"/>
      <c r="AL312" s="523"/>
      <c r="AQ312" s="523"/>
      <c r="AV312" s="523"/>
    </row>
    <row r="313" spans="3:52">
      <c r="C313" s="524"/>
      <c r="D313" s="384"/>
      <c r="E313" s="384"/>
      <c r="F313" s="384"/>
      <c r="G313" s="384"/>
      <c r="H313" s="524"/>
      <c r="I313" s="384"/>
      <c r="J313" s="384"/>
      <c r="K313" s="384"/>
      <c r="L313" s="384"/>
      <c r="M313" s="524"/>
      <c r="N313" s="384"/>
      <c r="O313" s="384"/>
      <c r="P313" s="384"/>
      <c r="Q313" s="384"/>
      <c r="R313" s="524"/>
      <c r="S313" s="384"/>
      <c r="T313" s="384"/>
      <c r="U313" s="384"/>
      <c r="V313" s="384"/>
      <c r="W313" s="524"/>
      <c r="X313" s="384"/>
      <c r="Y313" s="384"/>
      <c r="Z313" s="384"/>
      <c r="AA313" s="384"/>
      <c r="AB313" s="524"/>
      <c r="AC313" s="384"/>
      <c r="AD313" s="384"/>
      <c r="AE313" s="384"/>
      <c r="AF313" s="384"/>
      <c r="AG313" s="524"/>
      <c r="AH313" s="384"/>
      <c r="AI313" s="384"/>
      <c r="AJ313" s="384"/>
      <c r="AK313" s="384"/>
      <c r="AL313" s="524"/>
      <c r="AM313" s="384"/>
      <c r="AN313" s="384"/>
      <c r="AO313" s="384"/>
      <c r="AP313" s="384"/>
      <c r="AQ313" s="524"/>
      <c r="AR313" s="384"/>
      <c r="AS313" s="384"/>
      <c r="AT313" s="384"/>
      <c r="AU313" s="384"/>
      <c r="AV313" s="524"/>
      <c r="AW313" s="384"/>
      <c r="AX313" s="384"/>
      <c r="AY313" s="384"/>
      <c r="AZ313" s="384"/>
    </row>
    <row r="315" spans="3:52">
      <c r="C315" s="525"/>
      <c r="D315" s="522"/>
      <c r="E315" s="522"/>
      <c r="F315" s="522"/>
      <c r="G315" s="522"/>
      <c r="H315" s="525"/>
      <c r="I315" s="522"/>
      <c r="J315" s="522"/>
      <c r="K315" s="522"/>
      <c r="L315" s="522"/>
      <c r="M315" s="525"/>
      <c r="N315" s="522"/>
      <c r="O315" s="522"/>
      <c r="P315" s="522"/>
      <c r="Q315" s="522"/>
      <c r="R315" s="525"/>
      <c r="S315" s="522"/>
      <c r="T315" s="522"/>
      <c r="U315" s="522"/>
      <c r="V315" s="522"/>
      <c r="W315" s="525"/>
      <c r="X315" s="522"/>
      <c r="Y315" s="522"/>
      <c r="Z315" s="522"/>
      <c r="AA315" s="522"/>
      <c r="AB315" s="525"/>
      <c r="AC315" s="522"/>
      <c r="AD315" s="522"/>
      <c r="AE315" s="522"/>
      <c r="AF315" s="522"/>
      <c r="AG315" s="525"/>
      <c r="AH315" s="522"/>
      <c r="AI315" s="522"/>
      <c r="AJ315" s="522"/>
      <c r="AK315" s="522"/>
      <c r="AL315" s="525"/>
      <c r="AM315" s="522"/>
      <c r="AN315" s="522"/>
      <c r="AO315" s="522"/>
      <c r="AP315" s="522"/>
      <c r="AQ315" s="525"/>
      <c r="AR315" s="522"/>
      <c r="AS315" s="522"/>
      <c r="AT315" s="522"/>
      <c r="AU315" s="522"/>
      <c r="AV315" s="525"/>
      <c r="AW315" s="522"/>
      <c r="AX315" s="522"/>
      <c r="AY315" s="522"/>
      <c r="AZ315" s="522"/>
    </row>
    <row r="320" spans="3:52">
      <c r="C320" s="525"/>
      <c r="D320" s="522"/>
      <c r="E320" s="522"/>
      <c r="F320" s="522"/>
      <c r="G320" s="522"/>
      <c r="H320" s="525"/>
      <c r="I320" s="522"/>
      <c r="J320" s="522"/>
      <c r="K320" s="522"/>
      <c r="L320" s="522"/>
      <c r="M320" s="525"/>
      <c r="N320" s="522"/>
      <c r="O320" s="522"/>
      <c r="P320" s="522"/>
      <c r="Q320" s="522"/>
      <c r="R320" s="525"/>
      <c r="S320" s="522"/>
      <c r="T320" s="522"/>
      <c r="U320" s="522"/>
      <c r="V320" s="522"/>
      <c r="W320" s="525"/>
      <c r="X320" s="522"/>
      <c r="Y320" s="522"/>
      <c r="Z320" s="522"/>
      <c r="AA320" s="522"/>
      <c r="AB320" s="525"/>
      <c r="AC320" s="522"/>
      <c r="AD320" s="522"/>
      <c r="AE320" s="522"/>
      <c r="AF320" s="522"/>
      <c r="AG320" s="525"/>
      <c r="AH320" s="522"/>
      <c r="AI320" s="522"/>
      <c r="AJ320" s="522"/>
      <c r="AK320" s="522"/>
      <c r="AL320" s="525"/>
      <c r="AM320" s="522"/>
      <c r="AN320" s="522"/>
      <c r="AO320" s="522"/>
      <c r="AP320" s="522"/>
      <c r="AQ320" s="525"/>
      <c r="AR320" s="522"/>
      <c r="AS320" s="522"/>
      <c r="AT320" s="522"/>
      <c r="AU320" s="522"/>
      <c r="AV320" s="525"/>
      <c r="AW320" s="522"/>
      <c r="AX320" s="522"/>
      <c r="AY320" s="522"/>
      <c r="AZ320" s="522"/>
    </row>
    <row r="321" spans="3:52">
      <c r="C321" s="463"/>
      <c r="D321" s="384"/>
      <c r="E321" s="384"/>
      <c r="F321" s="384"/>
      <c r="G321" s="384"/>
      <c r="H321" s="463"/>
      <c r="I321" s="384"/>
      <c r="J321" s="384"/>
      <c r="K321" s="384"/>
      <c r="L321" s="384"/>
      <c r="M321" s="463"/>
      <c r="N321" s="384"/>
      <c r="O321" s="384"/>
      <c r="P321" s="384"/>
      <c r="Q321" s="384"/>
      <c r="R321" s="463"/>
      <c r="S321" s="384"/>
      <c r="T321" s="384"/>
      <c r="U321" s="384"/>
      <c r="V321" s="384"/>
      <c r="W321" s="463"/>
      <c r="X321" s="384"/>
      <c r="Y321" s="384"/>
      <c r="Z321" s="384"/>
      <c r="AA321" s="384"/>
      <c r="AB321" s="463"/>
      <c r="AC321" s="384"/>
      <c r="AD321" s="384"/>
      <c r="AE321" s="384"/>
      <c r="AF321" s="384"/>
      <c r="AG321" s="463"/>
      <c r="AH321" s="384"/>
      <c r="AI321" s="384"/>
      <c r="AJ321" s="384"/>
      <c r="AK321" s="384"/>
      <c r="AL321" s="463"/>
      <c r="AM321" s="384"/>
      <c r="AN321" s="384"/>
      <c r="AO321" s="384"/>
      <c r="AP321" s="384"/>
      <c r="AQ321" s="463"/>
      <c r="AR321" s="384"/>
      <c r="AS321" s="384"/>
      <c r="AT321" s="384"/>
      <c r="AU321" s="384"/>
      <c r="AV321" s="463"/>
      <c r="AW321" s="384"/>
      <c r="AX321" s="384"/>
      <c r="AY321" s="384"/>
      <c r="AZ321" s="384"/>
    </row>
    <row r="322" spans="3:52">
      <c r="C322" s="463"/>
      <c r="D322" s="384"/>
      <c r="E322" s="384"/>
      <c r="F322" s="384"/>
      <c r="G322" s="384"/>
      <c r="H322" s="463"/>
      <c r="I322" s="384"/>
      <c r="J322" s="384"/>
      <c r="K322" s="384"/>
      <c r="L322" s="384"/>
      <c r="M322" s="463"/>
      <c r="N322" s="384"/>
      <c r="O322" s="384"/>
      <c r="P322" s="384"/>
      <c r="Q322" s="384"/>
      <c r="R322" s="463"/>
      <c r="S322" s="384"/>
      <c r="T322" s="384"/>
      <c r="U322" s="384"/>
      <c r="V322" s="384"/>
      <c r="W322" s="463"/>
      <c r="X322" s="384"/>
      <c r="Y322" s="384"/>
      <c r="Z322" s="384"/>
      <c r="AA322" s="384"/>
      <c r="AB322" s="463"/>
      <c r="AC322" s="384"/>
      <c r="AD322" s="384"/>
      <c r="AE322" s="384"/>
      <c r="AF322" s="384"/>
      <c r="AG322" s="463"/>
      <c r="AH322" s="384"/>
      <c r="AI322" s="384"/>
      <c r="AJ322" s="384"/>
      <c r="AK322" s="384"/>
      <c r="AL322" s="463"/>
      <c r="AM322" s="384"/>
      <c r="AN322" s="384"/>
      <c r="AO322" s="384"/>
      <c r="AP322" s="384"/>
      <c r="AQ322" s="463"/>
      <c r="AR322" s="384"/>
      <c r="AS322" s="384"/>
      <c r="AT322" s="384"/>
      <c r="AU322" s="384"/>
      <c r="AV322" s="463"/>
      <c r="AW322" s="384"/>
      <c r="AX322" s="384"/>
      <c r="AY322" s="384"/>
      <c r="AZ322" s="384"/>
    </row>
    <row r="323" spans="3:52">
      <c r="C323" s="463"/>
      <c r="D323" s="384"/>
      <c r="E323" s="384"/>
      <c r="F323" s="384"/>
      <c r="G323" s="384"/>
      <c r="H323" s="463"/>
      <c r="I323" s="384"/>
      <c r="J323" s="384"/>
      <c r="K323" s="384"/>
      <c r="L323" s="384"/>
      <c r="M323" s="463"/>
      <c r="N323" s="384"/>
      <c r="O323" s="384"/>
      <c r="P323" s="384"/>
      <c r="Q323" s="384"/>
      <c r="R323" s="463"/>
      <c r="S323" s="384"/>
      <c r="T323" s="384"/>
      <c r="U323" s="384"/>
      <c r="V323" s="384"/>
      <c r="W323" s="463"/>
      <c r="X323" s="384"/>
      <c r="Y323" s="384"/>
      <c r="Z323" s="384"/>
      <c r="AA323" s="384"/>
      <c r="AB323" s="463"/>
      <c r="AC323" s="384"/>
      <c r="AD323" s="384"/>
      <c r="AE323" s="384"/>
      <c r="AF323" s="384"/>
      <c r="AG323" s="463"/>
      <c r="AH323" s="384"/>
      <c r="AI323" s="384"/>
      <c r="AJ323" s="384"/>
      <c r="AK323" s="384"/>
      <c r="AL323" s="463"/>
      <c r="AM323" s="384"/>
      <c r="AN323" s="384"/>
      <c r="AO323" s="384"/>
      <c r="AP323" s="384"/>
      <c r="AQ323" s="463"/>
      <c r="AR323" s="384"/>
      <c r="AS323" s="384"/>
      <c r="AT323" s="384"/>
      <c r="AU323" s="384"/>
      <c r="AV323" s="463"/>
      <c r="AW323" s="384"/>
      <c r="AX323" s="384"/>
      <c r="AY323" s="384"/>
      <c r="AZ323" s="384"/>
    </row>
    <row r="325" spans="3:52">
      <c r="C325" s="526"/>
      <c r="D325" s="527"/>
      <c r="E325" s="527"/>
      <c r="F325" s="527"/>
      <c r="G325" s="527"/>
      <c r="H325" s="526"/>
      <c r="I325" s="527"/>
      <c r="J325" s="527"/>
      <c r="K325" s="527"/>
      <c r="L325" s="527"/>
      <c r="M325" s="526"/>
      <c r="N325" s="527"/>
      <c r="O325" s="527"/>
      <c r="P325" s="527"/>
      <c r="Q325" s="527"/>
      <c r="R325" s="526"/>
      <c r="S325" s="527"/>
      <c r="T325" s="527"/>
      <c r="U325" s="527"/>
      <c r="V325" s="527"/>
      <c r="W325" s="526"/>
      <c r="X325" s="527"/>
      <c r="Y325" s="527"/>
      <c r="Z325" s="527"/>
      <c r="AA325" s="527"/>
      <c r="AB325" s="526"/>
      <c r="AC325" s="527"/>
      <c r="AD325" s="527"/>
      <c r="AE325" s="527"/>
      <c r="AF325" s="527"/>
      <c r="AG325" s="526"/>
      <c r="AH325" s="527"/>
      <c r="AI325" s="527"/>
      <c r="AJ325" s="527"/>
      <c r="AK325" s="527"/>
      <c r="AL325" s="526"/>
      <c r="AM325" s="527"/>
      <c r="AN325" s="527"/>
      <c r="AO325" s="527"/>
      <c r="AP325" s="527"/>
      <c r="AQ325" s="526"/>
      <c r="AR325" s="527"/>
      <c r="AS325" s="527"/>
      <c r="AT325" s="527"/>
      <c r="AU325" s="527"/>
      <c r="AV325" s="526"/>
      <c r="AW325" s="527"/>
      <c r="AX325" s="527"/>
      <c r="AY325" s="527"/>
      <c r="AZ325" s="527"/>
    </row>
    <row r="326" spans="3:52">
      <c r="C326" s="524"/>
      <c r="D326" s="384"/>
      <c r="E326" s="384"/>
      <c r="F326" s="384"/>
      <c r="G326" s="384"/>
      <c r="H326" s="524"/>
      <c r="I326" s="384"/>
      <c r="J326" s="384"/>
      <c r="K326" s="384"/>
      <c r="L326" s="384"/>
      <c r="M326" s="524"/>
      <c r="N326" s="384"/>
      <c r="O326" s="384"/>
      <c r="P326" s="384"/>
      <c r="Q326" s="384"/>
      <c r="R326" s="524"/>
      <c r="S326" s="384"/>
      <c r="T326" s="384"/>
      <c r="U326" s="384"/>
      <c r="V326" s="384"/>
      <c r="W326" s="524"/>
      <c r="X326" s="384"/>
      <c r="Y326" s="384"/>
      <c r="Z326" s="384"/>
      <c r="AA326" s="384"/>
      <c r="AB326" s="524"/>
      <c r="AC326" s="384"/>
      <c r="AD326" s="384"/>
      <c r="AE326" s="384"/>
      <c r="AF326" s="384"/>
      <c r="AG326" s="524"/>
      <c r="AH326" s="384"/>
      <c r="AI326" s="384"/>
      <c r="AJ326" s="384"/>
      <c r="AK326" s="384"/>
      <c r="AL326" s="524"/>
      <c r="AM326" s="384"/>
      <c r="AN326" s="384"/>
      <c r="AO326" s="384"/>
      <c r="AP326" s="384"/>
      <c r="AQ326" s="524"/>
      <c r="AR326" s="384"/>
      <c r="AS326" s="384"/>
      <c r="AT326" s="384"/>
      <c r="AU326" s="384"/>
      <c r="AV326" s="524"/>
      <c r="AW326" s="384"/>
      <c r="AX326" s="384"/>
      <c r="AY326" s="384"/>
      <c r="AZ326" s="384"/>
    </row>
    <row r="327" spans="3:52">
      <c r="C327" s="524"/>
      <c r="D327" s="384"/>
      <c r="E327" s="384"/>
      <c r="F327" s="384"/>
      <c r="G327" s="384"/>
      <c r="H327" s="524"/>
      <c r="I327" s="384"/>
      <c r="J327" s="384"/>
      <c r="K327" s="384"/>
      <c r="L327" s="384"/>
      <c r="M327" s="524"/>
      <c r="N327" s="384"/>
      <c r="O327" s="384"/>
      <c r="P327" s="384"/>
      <c r="Q327" s="384"/>
      <c r="R327" s="524"/>
      <c r="S327" s="384"/>
      <c r="T327" s="384"/>
      <c r="U327" s="384"/>
      <c r="V327" s="384"/>
      <c r="W327" s="524"/>
      <c r="X327" s="384"/>
      <c r="Y327" s="384"/>
      <c r="Z327" s="384"/>
      <c r="AA327" s="384"/>
      <c r="AB327" s="524"/>
      <c r="AC327" s="384"/>
      <c r="AD327" s="384"/>
      <c r="AE327" s="384"/>
      <c r="AF327" s="384"/>
      <c r="AG327" s="524"/>
      <c r="AH327" s="384"/>
      <c r="AI327" s="384"/>
      <c r="AJ327" s="384"/>
      <c r="AK327" s="384"/>
      <c r="AL327" s="524"/>
      <c r="AM327" s="384"/>
      <c r="AN327" s="384"/>
      <c r="AO327" s="384"/>
      <c r="AP327" s="384"/>
      <c r="AQ327" s="524"/>
      <c r="AR327" s="384"/>
      <c r="AS327" s="384"/>
      <c r="AT327" s="384"/>
      <c r="AU327" s="384"/>
      <c r="AV327" s="524"/>
      <c r="AW327" s="384"/>
      <c r="AX327" s="384"/>
      <c r="AY327" s="384"/>
      <c r="AZ327" s="384"/>
    </row>
    <row r="328" spans="3:52">
      <c r="C328" s="524"/>
      <c r="D328" s="384"/>
      <c r="E328" s="384"/>
      <c r="F328" s="384"/>
      <c r="G328" s="384"/>
      <c r="H328" s="524"/>
      <c r="I328" s="384"/>
      <c r="J328" s="384"/>
      <c r="K328" s="384"/>
      <c r="L328" s="384"/>
      <c r="M328" s="524"/>
      <c r="N328" s="384"/>
      <c r="O328" s="384"/>
      <c r="P328" s="384"/>
      <c r="Q328" s="384"/>
      <c r="R328" s="524"/>
      <c r="S328" s="384"/>
      <c r="T328" s="384"/>
      <c r="U328" s="384"/>
      <c r="V328" s="384"/>
      <c r="W328" s="524"/>
      <c r="X328" s="384"/>
      <c r="Y328" s="384"/>
      <c r="Z328" s="384"/>
      <c r="AA328" s="384"/>
      <c r="AB328" s="524"/>
      <c r="AC328" s="384"/>
      <c r="AD328" s="384"/>
      <c r="AE328" s="384"/>
      <c r="AF328" s="384"/>
      <c r="AG328" s="524"/>
      <c r="AH328" s="384"/>
      <c r="AI328" s="384"/>
      <c r="AJ328" s="384"/>
      <c r="AK328" s="384"/>
      <c r="AL328" s="524"/>
      <c r="AM328" s="384"/>
      <c r="AN328" s="384"/>
      <c r="AO328" s="384"/>
      <c r="AP328" s="384"/>
      <c r="AQ328" s="524"/>
      <c r="AR328" s="384"/>
      <c r="AS328" s="384"/>
      <c r="AT328" s="384"/>
      <c r="AU328" s="384"/>
      <c r="AV328" s="524"/>
      <c r="AW328" s="384"/>
      <c r="AX328" s="384"/>
      <c r="AY328" s="384"/>
      <c r="AZ328" s="384"/>
    </row>
    <row r="330" spans="3:52">
      <c r="C330" s="528"/>
      <c r="D330" s="498"/>
      <c r="E330" s="498"/>
      <c r="F330" s="498"/>
      <c r="G330" s="498"/>
      <c r="H330" s="528"/>
      <c r="I330" s="498"/>
      <c r="J330" s="498"/>
      <c r="K330" s="498"/>
      <c r="L330" s="498"/>
      <c r="M330" s="528"/>
      <c r="N330" s="498"/>
      <c r="O330" s="498"/>
      <c r="P330" s="498"/>
      <c r="Q330" s="498"/>
      <c r="R330" s="528"/>
      <c r="S330" s="498"/>
      <c r="T330" s="498"/>
      <c r="U330" s="498"/>
      <c r="V330" s="498"/>
      <c r="W330" s="528"/>
      <c r="X330" s="498"/>
      <c r="Y330" s="498"/>
      <c r="Z330" s="498"/>
      <c r="AA330" s="498"/>
      <c r="AB330" s="528"/>
      <c r="AC330" s="498"/>
      <c r="AD330" s="498"/>
      <c r="AE330" s="498"/>
      <c r="AF330" s="498"/>
      <c r="AG330" s="528"/>
      <c r="AH330" s="498"/>
      <c r="AI330" s="498"/>
      <c r="AJ330" s="498"/>
      <c r="AK330" s="498"/>
      <c r="AL330" s="528"/>
      <c r="AM330" s="498"/>
      <c r="AN330" s="498"/>
      <c r="AO330" s="498"/>
      <c r="AP330" s="498"/>
      <c r="AQ330" s="528"/>
      <c r="AR330" s="498"/>
      <c r="AS330" s="498"/>
      <c r="AT330" s="498"/>
      <c r="AU330" s="498"/>
      <c r="AV330" s="528"/>
      <c r="AW330" s="498"/>
      <c r="AX330" s="498"/>
      <c r="AY330" s="498"/>
      <c r="AZ330" s="498"/>
    </row>
    <row r="331" spans="3:52">
      <c r="C331" s="529"/>
      <c r="H331" s="529"/>
      <c r="M331" s="529"/>
      <c r="R331" s="529"/>
      <c r="W331" s="529"/>
      <c r="AB331" s="529"/>
      <c r="AG331" s="529"/>
      <c r="AL331" s="529"/>
      <c r="AQ331" s="529"/>
      <c r="AV331" s="529"/>
    </row>
    <row r="332" spans="3:52">
      <c r="C332" s="529"/>
      <c r="H332" s="529"/>
      <c r="M332" s="529"/>
      <c r="R332" s="529"/>
      <c r="W332" s="529"/>
      <c r="AB332" s="529"/>
      <c r="AG332" s="529"/>
      <c r="AL332" s="529"/>
      <c r="AQ332" s="529"/>
      <c r="AV332" s="529"/>
    </row>
    <row r="334" spans="3:52">
      <c r="C334" s="530"/>
      <c r="D334" s="531"/>
      <c r="E334" s="531"/>
      <c r="F334" s="531"/>
      <c r="G334" s="531"/>
      <c r="H334" s="530"/>
      <c r="I334" s="531"/>
      <c r="J334" s="531"/>
      <c r="K334" s="531"/>
      <c r="L334" s="531"/>
      <c r="M334" s="530"/>
      <c r="N334" s="531"/>
      <c r="O334" s="531"/>
      <c r="P334" s="531"/>
      <c r="Q334" s="531"/>
      <c r="R334" s="530"/>
      <c r="S334" s="531"/>
      <c r="T334" s="531"/>
      <c r="U334" s="531"/>
      <c r="V334" s="531"/>
      <c r="W334" s="530"/>
      <c r="X334" s="531"/>
      <c r="Y334" s="531"/>
      <c r="Z334" s="531"/>
      <c r="AA334" s="531"/>
      <c r="AB334" s="530"/>
      <c r="AC334" s="531"/>
      <c r="AD334" s="531"/>
      <c r="AE334" s="531"/>
      <c r="AF334" s="531"/>
      <c r="AG334" s="530"/>
      <c r="AH334" s="531"/>
      <c r="AI334" s="531"/>
      <c r="AJ334" s="531"/>
      <c r="AK334" s="531"/>
      <c r="AL334" s="530"/>
      <c r="AM334" s="531"/>
      <c r="AN334" s="531"/>
      <c r="AO334" s="531"/>
      <c r="AP334" s="531"/>
      <c r="AQ334" s="530"/>
      <c r="AR334" s="531"/>
      <c r="AS334" s="531"/>
      <c r="AT334" s="531"/>
      <c r="AU334" s="531"/>
      <c r="AV334" s="530"/>
      <c r="AW334" s="531"/>
      <c r="AX334" s="531"/>
      <c r="AY334" s="531"/>
      <c r="AZ334" s="531"/>
    </row>
    <row r="335" spans="3:52">
      <c r="C335" s="532"/>
      <c r="D335" s="533"/>
      <c r="E335" s="533"/>
      <c r="F335" s="533"/>
      <c r="G335" s="533"/>
      <c r="H335" s="532"/>
      <c r="I335" s="533"/>
      <c r="J335" s="533"/>
      <c r="K335" s="533"/>
      <c r="L335" s="533"/>
      <c r="M335" s="532"/>
      <c r="N335" s="533"/>
      <c r="O335" s="533"/>
      <c r="P335" s="533"/>
      <c r="Q335" s="533"/>
      <c r="R335" s="532"/>
      <c r="S335" s="533"/>
      <c r="T335" s="533"/>
      <c r="U335" s="533"/>
      <c r="V335" s="533"/>
      <c r="W335" s="532"/>
      <c r="X335" s="533"/>
      <c r="Y335" s="533"/>
      <c r="Z335" s="533"/>
      <c r="AA335" s="533"/>
      <c r="AB335" s="532"/>
      <c r="AC335" s="533"/>
      <c r="AD335" s="533"/>
      <c r="AE335" s="533"/>
      <c r="AF335" s="533"/>
      <c r="AG335" s="532"/>
      <c r="AH335" s="533"/>
      <c r="AI335" s="533"/>
      <c r="AJ335" s="533"/>
      <c r="AK335" s="533"/>
      <c r="AL335" s="532"/>
      <c r="AM335" s="533"/>
      <c r="AN335" s="533"/>
      <c r="AO335" s="533"/>
      <c r="AP335" s="533"/>
      <c r="AQ335" s="532"/>
      <c r="AR335" s="533"/>
      <c r="AS335" s="533"/>
      <c r="AT335" s="533"/>
      <c r="AU335" s="533"/>
      <c r="AV335" s="532"/>
      <c r="AW335" s="533"/>
      <c r="AX335" s="533"/>
      <c r="AY335" s="533"/>
      <c r="AZ335" s="533"/>
    </row>
    <row r="342" spans="3:52">
      <c r="C342" s="463"/>
      <c r="D342" s="384"/>
      <c r="E342" s="384"/>
      <c r="F342" s="384"/>
      <c r="G342" s="384"/>
      <c r="H342" s="463"/>
      <c r="I342" s="384"/>
      <c r="J342" s="384"/>
      <c r="K342" s="384"/>
      <c r="L342" s="384"/>
      <c r="M342" s="463"/>
      <c r="N342" s="384"/>
      <c r="O342" s="384"/>
      <c r="P342" s="384"/>
      <c r="Q342" s="384"/>
      <c r="R342" s="463"/>
      <c r="S342" s="384"/>
      <c r="T342" s="384"/>
      <c r="U342" s="384"/>
      <c r="V342" s="384"/>
      <c r="W342" s="463"/>
      <c r="X342" s="384"/>
      <c r="Y342" s="384"/>
      <c r="Z342" s="384"/>
      <c r="AA342" s="384"/>
      <c r="AB342" s="463"/>
      <c r="AC342" s="384"/>
      <c r="AD342" s="384"/>
      <c r="AE342" s="384"/>
      <c r="AF342" s="384"/>
      <c r="AG342" s="463"/>
      <c r="AH342" s="384"/>
      <c r="AI342" s="384"/>
      <c r="AJ342" s="384"/>
      <c r="AK342" s="384"/>
      <c r="AL342" s="463"/>
      <c r="AM342" s="384"/>
      <c r="AN342" s="384"/>
      <c r="AO342" s="384"/>
      <c r="AP342" s="384"/>
      <c r="AQ342" s="463"/>
      <c r="AR342" s="384"/>
      <c r="AS342" s="384"/>
      <c r="AT342" s="384"/>
      <c r="AU342" s="384"/>
      <c r="AV342" s="463"/>
      <c r="AW342" s="384"/>
      <c r="AX342" s="384"/>
      <c r="AY342" s="384"/>
      <c r="AZ342" s="384"/>
    </row>
    <row r="343" spans="3:52">
      <c r="C343" s="463"/>
      <c r="D343" s="384"/>
      <c r="E343" s="384"/>
      <c r="F343" s="384"/>
      <c r="G343" s="384"/>
      <c r="H343" s="463"/>
      <c r="I343" s="384"/>
      <c r="J343" s="384"/>
      <c r="K343" s="384"/>
      <c r="L343" s="384"/>
      <c r="M343" s="463"/>
      <c r="N343" s="384"/>
      <c r="O343" s="384"/>
      <c r="P343" s="384"/>
      <c r="Q343" s="384"/>
      <c r="R343" s="463"/>
      <c r="S343" s="384"/>
      <c r="T343" s="384"/>
      <c r="U343" s="384"/>
      <c r="V343" s="384"/>
      <c r="W343" s="463"/>
      <c r="X343" s="384"/>
      <c r="Y343" s="384"/>
      <c r="Z343" s="384"/>
      <c r="AA343" s="384"/>
      <c r="AB343" s="463"/>
      <c r="AC343" s="384"/>
      <c r="AD343" s="384"/>
      <c r="AE343" s="384"/>
      <c r="AF343" s="384"/>
      <c r="AG343" s="463"/>
      <c r="AH343" s="384"/>
      <c r="AI343" s="384"/>
      <c r="AJ343" s="384"/>
      <c r="AK343" s="384"/>
      <c r="AL343" s="463"/>
      <c r="AM343" s="384"/>
      <c r="AN343" s="384"/>
      <c r="AO343" s="384"/>
      <c r="AP343" s="384"/>
      <c r="AQ343" s="463"/>
      <c r="AR343" s="384"/>
      <c r="AS343" s="384"/>
      <c r="AT343" s="384"/>
      <c r="AU343" s="384"/>
      <c r="AV343" s="463"/>
      <c r="AW343" s="384"/>
      <c r="AX343" s="384"/>
      <c r="AY343" s="384"/>
      <c r="AZ343" s="384"/>
    </row>
    <row r="345" spans="3:52">
      <c r="C345" s="463"/>
      <c r="D345" s="384"/>
      <c r="E345" s="384"/>
      <c r="F345" s="384"/>
      <c r="G345" s="384"/>
      <c r="H345" s="463"/>
      <c r="I345" s="384"/>
      <c r="J345" s="384"/>
      <c r="K345" s="384"/>
      <c r="L345" s="384"/>
      <c r="M345" s="463"/>
      <c r="N345" s="384"/>
      <c r="O345" s="384"/>
      <c r="P345" s="384"/>
      <c r="Q345" s="384"/>
      <c r="R345" s="463"/>
      <c r="S345" s="384"/>
      <c r="T345" s="384"/>
      <c r="U345" s="384"/>
      <c r="V345" s="384"/>
      <c r="W345" s="463"/>
      <c r="X345" s="384"/>
      <c r="Y345" s="384"/>
      <c r="Z345" s="384"/>
      <c r="AA345" s="384"/>
      <c r="AB345" s="463"/>
      <c r="AC345" s="384"/>
      <c r="AD345" s="384"/>
      <c r="AE345" s="384"/>
      <c r="AF345" s="384"/>
      <c r="AG345" s="463"/>
      <c r="AH345" s="384"/>
      <c r="AI345" s="384"/>
      <c r="AJ345" s="384"/>
      <c r="AK345" s="384"/>
      <c r="AL345" s="463"/>
      <c r="AM345" s="384"/>
      <c r="AN345" s="384"/>
      <c r="AO345" s="384"/>
      <c r="AP345" s="384"/>
      <c r="AQ345" s="463"/>
      <c r="AR345" s="384"/>
      <c r="AS345" s="384"/>
      <c r="AT345" s="384"/>
      <c r="AU345" s="384"/>
      <c r="AV345" s="463"/>
      <c r="AW345" s="384"/>
      <c r="AX345" s="384"/>
      <c r="AY345" s="384"/>
      <c r="AZ345" s="384"/>
    </row>
    <row r="346" spans="3:52">
      <c r="C346" s="463"/>
      <c r="D346" s="384"/>
      <c r="E346" s="384"/>
      <c r="F346" s="384"/>
      <c r="G346" s="384"/>
      <c r="H346" s="463"/>
      <c r="I346" s="384"/>
      <c r="J346" s="384"/>
      <c r="K346" s="384"/>
      <c r="L346" s="384"/>
      <c r="M346" s="463"/>
      <c r="N346" s="384"/>
      <c r="O346" s="384"/>
      <c r="P346" s="384"/>
      <c r="Q346" s="384"/>
      <c r="R346" s="463"/>
      <c r="S346" s="384"/>
      <c r="T346" s="384"/>
      <c r="U346" s="384"/>
      <c r="V346" s="384"/>
      <c r="W346" s="463"/>
      <c r="X346" s="384"/>
      <c r="Y346" s="384"/>
      <c r="Z346" s="384"/>
      <c r="AA346" s="384"/>
      <c r="AB346" s="463"/>
      <c r="AC346" s="384"/>
      <c r="AD346" s="384"/>
      <c r="AE346" s="384"/>
      <c r="AF346" s="384"/>
      <c r="AG346" s="463"/>
      <c r="AH346" s="384"/>
      <c r="AI346" s="384"/>
      <c r="AJ346" s="384"/>
      <c r="AK346" s="384"/>
      <c r="AL346" s="463"/>
      <c r="AM346" s="384"/>
      <c r="AN346" s="384"/>
      <c r="AO346" s="384"/>
      <c r="AP346" s="384"/>
      <c r="AQ346" s="463"/>
      <c r="AR346" s="384"/>
      <c r="AS346" s="384"/>
      <c r="AT346" s="384"/>
      <c r="AU346" s="384"/>
      <c r="AV346" s="463"/>
      <c r="AW346" s="384"/>
      <c r="AX346" s="384"/>
      <c r="AY346" s="384"/>
      <c r="AZ346" s="384"/>
    </row>
    <row r="347" spans="3:52">
      <c r="C347" s="534"/>
      <c r="D347" s="535"/>
      <c r="E347" s="535"/>
      <c r="F347" s="535"/>
      <c r="G347" s="535"/>
      <c r="H347" s="534"/>
      <c r="I347" s="535"/>
      <c r="J347" s="535"/>
      <c r="K347" s="535"/>
      <c r="L347" s="535"/>
      <c r="M347" s="534"/>
      <c r="N347" s="535"/>
      <c r="O347" s="535"/>
      <c r="P347" s="535"/>
      <c r="Q347" s="535"/>
      <c r="R347" s="534"/>
      <c r="S347" s="535"/>
      <c r="T347" s="535"/>
      <c r="U347" s="535"/>
      <c r="V347" s="535"/>
      <c r="W347" s="534"/>
      <c r="X347" s="535"/>
      <c r="Y347" s="535"/>
      <c r="Z347" s="535"/>
      <c r="AA347" s="535"/>
      <c r="AB347" s="534"/>
      <c r="AC347" s="535"/>
      <c r="AD347" s="535"/>
      <c r="AE347" s="535"/>
      <c r="AF347" s="535"/>
      <c r="AG347" s="534"/>
      <c r="AH347" s="535"/>
      <c r="AI347" s="535"/>
      <c r="AJ347" s="535"/>
      <c r="AK347" s="535"/>
      <c r="AL347" s="534"/>
      <c r="AM347" s="535"/>
      <c r="AN347" s="535"/>
      <c r="AO347" s="535"/>
      <c r="AP347" s="535"/>
      <c r="AQ347" s="534"/>
      <c r="AR347" s="535"/>
      <c r="AS347" s="535"/>
      <c r="AT347" s="535"/>
      <c r="AU347" s="535"/>
      <c r="AV347" s="534"/>
      <c r="AW347" s="535"/>
      <c r="AX347" s="535"/>
      <c r="AY347" s="535"/>
      <c r="AZ347" s="535"/>
    </row>
    <row r="348" spans="3:52">
      <c r="C348" s="463"/>
      <c r="D348" s="384"/>
      <c r="E348" s="384"/>
      <c r="F348" s="384"/>
      <c r="G348" s="384"/>
      <c r="H348" s="463"/>
      <c r="I348" s="384"/>
      <c r="J348" s="384"/>
      <c r="K348" s="384"/>
      <c r="L348" s="384"/>
      <c r="M348" s="463"/>
      <c r="N348" s="384"/>
      <c r="O348" s="384"/>
      <c r="P348" s="384"/>
      <c r="Q348" s="384"/>
      <c r="R348" s="463"/>
      <c r="S348" s="384"/>
      <c r="T348" s="384"/>
      <c r="U348" s="384"/>
      <c r="V348" s="384"/>
      <c r="W348" s="463"/>
      <c r="X348" s="384"/>
      <c r="Y348" s="384"/>
      <c r="Z348" s="384"/>
      <c r="AA348" s="384"/>
      <c r="AB348" s="463"/>
      <c r="AC348" s="384"/>
      <c r="AD348" s="384"/>
      <c r="AE348" s="384"/>
      <c r="AF348" s="384"/>
      <c r="AG348" s="463"/>
      <c r="AH348" s="384"/>
      <c r="AI348" s="384"/>
      <c r="AJ348" s="384"/>
      <c r="AK348" s="384"/>
      <c r="AL348" s="463"/>
      <c r="AM348" s="384"/>
      <c r="AN348" s="384"/>
      <c r="AO348" s="384"/>
      <c r="AP348" s="384"/>
      <c r="AQ348" s="463"/>
      <c r="AR348" s="384"/>
      <c r="AS348" s="384"/>
      <c r="AT348" s="384"/>
      <c r="AU348" s="384"/>
      <c r="AV348" s="463"/>
      <c r="AW348" s="384"/>
      <c r="AX348" s="384"/>
      <c r="AY348" s="384"/>
      <c r="AZ348" s="384"/>
    </row>
    <row r="351" spans="3:52">
      <c r="C351" s="536"/>
      <c r="D351" s="537"/>
      <c r="E351" s="537"/>
      <c r="F351" s="537"/>
      <c r="G351" s="537"/>
      <c r="H351" s="536"/>
      <c r="I351" s="537"/>
      <c r="J351" s="537"/>
      <c r="K351" s="537"/>
      <c r="L351" s="537"/>
      <c r="M351" s="536"/>
      <c r="N351" s="537"/>
      <c r="O351" s="537"/>
      <c r="P351" s="537"/>
      <c r="Q351" s="537"/>
      <c r="R351" s="536"/>
      <c r="S351" s="537"/>
      <c r="T351" s="537"/>
      <c r="U351" s="537"/>
      <c r="V351" s="537"/>
      <c r="W351" s="536"/>
      <c r="X351" s="537"/>
      <c r="Y351" s="537"/>
      <c r="Z351" s="537"/>
      <c r="AA351" s="537"/>
      <c r="AB351" s="536"/>
      <c r="AC351" s="537"/>
      <c r="AD351" s="537"/>
      <c r="AE351" s="537"/>
      <c r="AF351" s="537"/>
      <c r="AG351" s="536"/>
      <c r="AH351" s="537"/>
      <c r="AI351" s="537"/>
      <c r="AJ351" s="537"/>
      <c r="AK351" s="537"/>
      <c r="AL351" s="536"/>
      <c r="AM351" s="537"/>
      <c r="AN351" s="537"/>
      <c r="AO351" s="537"/>
      <c r="AP351" s="537"/>
      <c r="AQ351" s="536"/>
      <c r="AR351" s="537"/>
      <c r="AS351" s="537"/>
      <c r="AT351" s="537"/>
      <c r="AU351" s="537"/>
      <c r="AV351" s="536"/>
      <c r="AW351" s="537"/>
      <c r="AX351" s="537"/>
      <c r="AY351" s="537"/>
      <c r="AZ351" s="537"/>
    </row>
    <row r="352" spans="3:52">
      <c r="C352" s="463"/>
      <c r="D352" s="384"/>
      <c r="E352" s="384"/>
      <c r="F352" s="384"/>
      <c r="G352" s="384"/>
      <c r="H352" s="463"/>
      <c r="I352" s="384"/>
      <c r="J352" s="384"/>
      <c r="K352" s="384"/>
      <c r="L352" s="384"/>
      <c r="M352" s="463"/>
      <c r="N352" s="384"/>
      <c r="O352" s="384"/>
      <c r="P352" s="384"/>
      <c r="Q352" s="384"/>
      <c r="R352" s="463"/>
      <c r="S352" s="384"/>
      <c r="T352" s="384"/>
      <c r="U352" s="384"/>
      <c r="V352" s="384"/>
      <c r="W352" s="463"/>
      <c r="X352" s="384"/>
      <c r="Y352" s="384"/>
      <c r="Z352" s="384"/>
      <c r="AA352" s="384"/>
      <c r="AB352" s="463"/>
      <c r="AC352" s="384"/>
      <c r="AD352" s="384"/>
      <c r="AE352" s="384"/>
      <c r="AF352" s="384"/>
      <c r="AG352" s="463"/>
      <c r="AH352" s="384"/>
      <c r="AI352" s="384"/>
      <c r="AJ352" s="384"/>
      <c r="AK352" s="384"/>
      <c r="AL352" s="463"/>
      <c r="AM352" s="384"/>
      <c r="AN352" s="384"/>
      <c r="AO352" s="384"/>
      <c r="AP352" s="384"/>
      <c r="AQ352" s="463"/>
      <c r="AR352" s="384"/>
      <c r="AS352" s="384"/>
      <c r="AT352" s="384"/>
      <c r="AU352" s="384"/>
      <c r="AV352" s="463"/>
      <c r="AW352" s="384"/>
      <c r="AX352" s="384"/>
      <c r="AY352" s="384"/>
      <c r="AZ352" s="384"/>
    </row>
    <row r="353" spans="3:52">
      <c r="C353" s="463"/>
      <c r="D353" s="384"/>
      <c r="E353" s="384"/>
      <c r="F353" s="384"/>
      <c r="G353" s="384"/>
      <c r="H353" s="463"/>
      <c r="I353" s="384"/>
      <c r="J353" s="384"/>
      <c r="K353" s="384"/>
      <c r="L353" s="384"/>
      <c r="M353" s="463"/>
      <c r="N353" s="384"/>
      <c r="O353" s="384"/>
      <c r="P353" s="384"/>
      <c r="Q353" s="384"/>
      <c r="R353" s="463"/>
      <c r="S353" s="384"/>
      <c r="T353" s="384"/>
      <c r="U353" s="384"/>
      <c r="V353" s="384"/>
      <c r="W353" s="463"/>
      <c r="X353" s="384"/>
      <c r="Y353" s="384"/>
      <c r="Z353" s="384"/>
      <c r="AA353" s="384"/>
      <c r="AB353" s="463"/>
      <c r="AC353" s="384"/>
      <c r="AD353" s="384"/>
      <c r="AE353" s="384"/>
      <c r="AF353" s="384"/>
      <c r="AG353" s="463"/>
      <c r="AH353" s="384"/>
      <c r="AI353" s="384"/>
      <c r="AJ353" s="384"/>
      <c r="AK353" s="384"/>
      <c r="AL353" s="463"/>
      <c r="AM353" s="384"/>
      <c r="AN353" s="384"/>
      <c r="AO353" s="384"/>
      <c r="AP353" s="384"/>
      <c r="AQ353" s="463"/>
      <c r="AR353" s="384"/>
      <c r="AS353" s="384"/>
      <c r="AT353" s="384"/>
      <c r="AU353" s="384"/>
      <c r="AV353" s="463"/>
      <c r="AW353" s="384"/>
      <c r="AX353" s="384"/>
      <c r="AY353" s="384"/>
      <c r="AZ353" s="384"/>
    </row>
    <row r="354" spans="3:52">
      <c r="C354" s="536"/>
      <c r="D354" s="537"/>
      <c r="E354" s="537"/>
      <c r="F354" s="537"/>
      <c r="G354" s="537"/>
      <c r="H354" s="536"/>
      <c r="I354" s="537"/>
      <c r="J354" s="537"/>
      <c r="K354" s="537"/>
      <c r="L354" s="537"/>
      <c r="M354" s="536"/>
      <c r="N354" s="537"/>
      <c r="O354" s="537"/>
      <c r="P354" s="537"/>
      <c r="Q354" s="537"/>
      <c r="R354" s="536"/>
      <c r="S354" s="537"/>
      <c r="T354" s="537"/>
      <c r="U354" s="537"/>
      <c r="V354" s="537"/>
      <c r="W354" s="536"/>
      <c r="X354" s="537"/>
      <c r="Y354" s="537"/>
      <c r="Z354" s="537"/>
      <c r="AA354" s="537"/>
      <c r="AB354" s="536"/>
      <c r="AC354" s="537"/>
      <c r="AD354" s="537"/>
      <c r="AE354" s="537"/>
      <c r="AF354" s="537"/>
      <c r="AG354" s="536"/>
      <c r="AH354" s="537"/>
      <c r="AI354" s="537"/>
      <c r="AJ354" s="537"/>
      <c r="AK354" s="537"/>
      <c r="AL354" s="536"/>
      <c r="AM354" s="537"/>
      <c r="AN354" s="537"/>
      <c r="AO354" s="537"/>
      <c r="AP354" s="537"/>
      <c r="AQ354" s="536"/>
      <c r="AR354" s="537"/>
      <c r="AS354" s="537"/>
      <c r="AT354" s="537"/>
      <c r="AU354" s="537"/>
      <c r="AV354" s="536"/>
      <c r="AW354" s="537"/>
      <c r="AX354" s="537"/>
      <c r="AY354" s="537"/>
      <c r="AZ354" s="537"/>
    </row>
    <row r="355" spans="3:52">
      <c r="C355" s="463"/>
      <c r="D355" s="384"/>
      <c r="E355" s="384"/>
      <c r="F355" s="384"/>
      <c r="G355" s="384"/>
      <c r="H355" s="463"/>
      <c r="I355" s="384"/>
      <c r="J355" s="384"/>
      <c r="K355" s="384"/>
      <c r="L355" s="384"/>
      <c r="M355" s="463"/>
      <c r="N355" s="384"/>
      <c r="O355" s="384"/>
      <c r="P355" s="384"/>
      <c r="Q355" s="384"/>
      <c r="R355" s="463"/>
      <c r="S355" s="384"/>
      <c r="T355" s="384"/>
      <c r="U355" s="384"/>
      <c r="V355" s="384"/>
      <c r="W355" s="463"/>
      <c r="X355" s="384"/>
      <c r="Y355" s="384"/>
      <c r="Z355" s="384"/>
      <c r="AA355" s="384"/>
      <c r="AB355" s="463"/>
      <c r="AC355" s="384"/>
      <c r="AD355" s="384"/>
      <c r="AE355" s="384"/>
      <c r="AF355" s="384"/>
      <c r="AG355" s="463"/>
      <c r="AH355" s="384"/>
      <c r="AI355" s="384"/>
      <c r="AJ355" s="384"/>
      <c r="AK355" s="384"/>
      <c r="AL355" s="463"/>
      <c r="AM355" s="384"/>
      <c r="AN355" s="384"/>
      <c r="AO355" s="384"/>
      <c r="AP355" s="384"/>
      <c r="AQ355" s="463"/>
      <c r="AR355" s="384"/>
      <c r="AS355" s="384"/>
      <c r="AT355" s="384"/>
      <c r="AU355" s="384"/>
      <c r="AV355" s="463"/>
      <c r="AW355" s="384"/>
      <c r="AX355" s="384"/>
      <c r="AY355" s="384"/>
      <c r="AZ355" s="384"/>
    </row>
    <row r="356" spans="3:52">
      <c r="C356" s="463"/>
      <c r="D356" s="384"/>
      <c r="E356" s="384"/>
      <c r="F356" s="384"/>
      <c r="G356" s="384"/>
      <c r="H356" s="463"/>
      <c r="I356" s="384"/>
      <c r="J356" s="384"/>
      <c r="K356" s="384"/>
      <c r="L356" s="384"/>
      <c r="M356" s="463"/>
      <c r="N356" s="384"/>
      <c r="O356" s="384"/>
      <c r="P356" s="384"/>
      <c r="Q356" s="384"/>
      <c r="R356" s="463"/>
      <c r="S356" s="384"/>
      <c r="T356" s="384"/>
      <c r="U356" s="384"/>
      <c r="V356" s="384"/>
      <c r="W356" s="463"/>
      <c r="X356" s="384"/>
      <c r="Y356" s="384"/>
      <c r="Z356" s="384"/>
      <c r="AA356" s="384"/>
      <c r="AB356" s="463"/>
      <c r="AC356" s="384"/>
      <c r="AD356" s="384"/>
      <c r="AE356" s="384"/>
      <c r="AF356" s="384"/>
      <c r="AG356" s="463"/>
      <c r="AH356" s="384"/>
      <c r="AI356" s="384"/>
      <c r="AJ356" s="384"/>
      <c r="AK356" s="384"/>
      <c r="AL356" s="463"/>
      <c r="AM356" s="384"/>
      <c r="AN356" s="384"/>
      <c r="AO356" s="384"/>
      <c r="AP356" s="384"/>
      <c r="AQ356" s="463"/>
      <c r="AR356" s="384"/>
      <c r="AS356" s="384"/>
      <c r="AT356" s="384"/>
      <c r="AU356" s="384"/>
      <c r="AV356" s="463"/>
      <c r="AW356" s="384"/>
      <c r="AX356" s="384"/>
      <c r="AY356" s="384"/>
      <c r="AZ356" s="384"/>
    </row>
    <row r="358" spans="3:52">
      <c r="C358" s="463"/>
      <c r="D358" s="384"/>
      <c r="E358" s="384"/>
      <c r="F358" s="384"/>
      <c r="G358" s="384"/>
      <c r="H358" s="463"/>
      <c r="I358" s="384"/>
      <c r="J358" s="384"/>
      <c r="K358" s="384"/>
      <c r="L358" s="384"/>
      <c r="M358" s="463"/>
      <c r="N358" s="384"/>
      <c r="O358" s="384"/>
      <c r="P358" s="384"/>
      <c r="Q358" s="384"/>
      <c r="R358" s="463"/>
      <c r="S358" s="384"/>
      <c r="T358" s="384"/>
      <c r="U358" s="384"/>
      <c r="V358" s="384"/>
      <c r="W358" s="463"/>
      <c r="X358" s="384"/>
      <c r="Y358" s="384"/>
      <c r="Z358" s="384"/>
      <c r="AA358" s="384"/>
      <c r="AB358" s="463"/>
      <c r="AC358" s="384"/>
      <c r="AD358" s="384"/>
      <c r="AE358" s="384"/>
      <c r="AF358" s="384"/>
      <c r="AG358" s="463"/>
      <c r="AH358" s="384"/>
      <c r="AI358" s="384"/>
      <c r="AJ358" s="384"/>
      <c r="AK358" s="384"/>
      <c r="AL358" s="463"/>
      <c r="AM358" s="384"/>
      <c r="AN358" s="384"/>
      <c r="AO358" s="384"/>
      <c r="AP358" s="384"/>
      <c r="AQ358" s="463"/>
      <c r="AR358" s="384"/>
      <c r="AS358" s="384"/>
      <c r="AT358" s="384"/>
      <c r="AU358" s="384"/>
      <c r="AV358" s="463"/>
      <c r="AW358" s="384"/>
      <c r="AX358" s="384"/>
      <c r="AY358" s="384"/>
      <c r="AZ358" s="384"/>
    </row>
    <row r="359" spans="3:52">
      <c r="C359" s="463"/>
      <c r="D359" s="384"/>
      <c r="E359" s="384"/>
      <c r="F359" s="384"/>
      <c r="G359" s="384"/>
      <c r="H359" s="463"/>
      <c r="I359" s="384"/>
      <c r="J359" s="384"/>
      <c r="K359" s="384"/>
      <c r="L359" s="384"/>
      <c r="M359" s="463"/>
      <c r="N359" s="384"/>
      <c r="O359" s="384"/>
      <c r="P359" s="384"/>
      <c r="Q359" s="384"/>
      <c r="R359" s="463"/>
      <c r="S359" s="384"/>
      <c r="T359" s="384"/>
      <c r="U359" s="384"/>
      <c r="V359" s="384"/>
      <c r="W359" s="463"/>
      <c r="X359" s="384"/>
      <c r="Y359" s="384"/>
      <c r="Z359" s="384"/>
      <c r="AA359" s="384"/>
      <c r="AB359" s="463"/>
      <c r="AC359" s="384"/>
      <c r="AD359" s="384"/>
      <c r="AE359" s="384"/>
      <c r="AF359" s="384"/>
      <c r="AG359" s="463"/>
      <c r="AH359" s="384"/>
      <c r="AI359" s="384"/>
      <c r="AJ359" s="384"/>
      <c r="AK359" s="384"/>
      <c r="AL359" s="463"/>
      <c r="AM359" s="384"/>
      <c r="AN359" s="384"/>
      <c r="AO359" s="384"/>
      <c r="AP359" s="384"/>
      <c r="AQ359" s="463"/>
      <c r="AR359" s="384"/>
      <c r="AS359" s="384"/>
      <c r="AT359" s="384"/>
      <c r="AU359" s="384"/>
      <c r="AV359" s="463"/>
      <c r="AW359" s="384"/>
      <c r="AX359" s="384"/>
      <c r="AY359" s="384"/>
      <c r="AZ359" s="384"/>
    </row>
    <row r="360" spans="3:52">
      <c r="C360" s="463"/>
      <c r="D360" s="384"/>
      <c r="E360" s="384"/>
      <c r="F360" s="384"/>
      <c r="G360" s="384"/>
      <c r="H360" s="463"/>
      <c r="I360" s="384"/>
      <c r="J360" s="384"/>
      <c r="K360" s="384"/>
      <c r="L360" s="384"/>
      <c r="M360" s="463"/>
      <c r="N360" s="384"/>
      <c r="O360" s="384"/>
      <c r="P360" s="384"/>
      <c r="Q360" s="384"/>
      <c r="R360" s="463"/>
      <c r="S360" s="384"/>
      <c r="T360" s="384"/>
      <c r="U360" s="384"/>
      <c r="V360" s="384"/>
      <c r="W360" s="463"/>
      <c r="X360" s="384"/>
      <c r="Y360" s="384"/>
      <c r="Z360" s="384"/>
      <c r="AA360" s="384"/>
      <c r="AB360" s="463"/>
      <c r="AC360" s="384"/>
      <c r="AD360" s="384"/>
      <c r="AE360" s="384"/>
      <c r="AF360" s="384"/>
      <c r="AG360" s="463"/>
      <c r="AH360" s="384"/>
      <c r="AI360" s="384"/>
      <c r="AJ360" s="384"/>
      <c r="AK360" s="384"/>
      <c r="AL360" s="463"/>
      <c r="AM360" s="384"/>
      <c r="AN360" s="384"/>
      <c r="AO360" s="384"/>
      <c r="AP360" s="384"/>
      <c r="AQ360" s="463"/>
      <c r="AR360" s="384"/>
      <c r="AS360" s="384"/>
      <c r="AT360" s="384"/>
      <c r="AU360" s="384"/>
      <c r="AV360" s="463"/>
      <c r="AW360" s="384"/>
      <c r="AX360" s="384"/>
      <c r="AY360" s="384"/>
      <c r="AZ360" s="384"/>
    </row>
    <row r="364" spans="3:52">
      <c r="C364" s="463"/>
      <c r="D364" s="384"/>
      <c r="E364" s="384"/>
      <c r="F364" s="384"/>
      <c r="G364" s="384"/>
      <c r="H364" s="463"/>
      <c r="I364" s="384"/>
      <c r="J364" s="384"/>
      <c r="K364" s="384"/>
      <c r="L364" s="384"/>
      <c r="M364" s="463"/>
      <c r="N364" s="384"/>
      <c r="O364" s="384"/>
      <c r="P364" s="384"/>
      <c r="Q364" s="384"/>
      <c r="R364" s="463"/>
      <c r="S364" s="384"/>
      <c r="T364" s="384"/>
      <c r="U364" s="384"/>
      <c r="V364" s="384"/>
      <c r="W364" s="463"/>
      <c r="X364" s="384"/>
      <c r="Y364" s="384"/>
      <c r="Z364" s="384"/>
      <c r="AA364" s="384"/>
      <c r="AB364" s="463"/>
      <c r="AC364" s="384"/>
      <c r="AD364" s="384"/>
      <c r="AE364" s="384"/>
      <c r="AF364" s="384"/>
      <c r="AG364" s="463"/>
      <c r="AH364" s="384"/>
      <c r="AI364" s="384"/>
      <c r="AJ364" s="384"/>
      <c r="AK364" s="384"/>
      <c r="AL364" s="463"/>
      <c r="AM364" s="384"/>
      <c r="AN364" s="384"/>
      <c r="AO364" s="384"/>
      <c r="AP364" s="384"/>
      <c r="AQ364" s="463"/>
      <c r="AR364" s="384"/>
      <c r="AS364" s="384"/>
      <c r="AT364" s="384"/>
      <c r="AU364" s="384"/>
      <c r="AV364" s="463"/>
      <c r="AW364" s="384"/>
      <c r="AX364" s="384"/>
      <c r="AY364" s="384"/>
      <c r="AZ364" s="384"/>
    </row>
    <row r="365" spans="3:52">
      <c r="C365" s="463"/>
      <c r="D365" s="384"/>
      <c r="E365" s="384"/>
      <c r="F365" s="384"/>
      <c r="G365" s="384"/>
      <c r="H365" s="463"/>
      <c r="I365" s="384"/>
      <c r="J365" s="384"/>
      <c r="K365" s="384"/>
      <c r="L365" s="384"/>
      <c r="M365" s="463"/>
      <c r="N365" s="384"/>
      <c r="O365" s="384"/>
      <c r="P365" s="384"/>
      <c r="Q365" s="384"/>
      <c r="R365" s="463"/>
      <c r="S365" s="384"/>
      <c r="T365" s="384"/>
      <c r="U365" s="384"/>
      <c r="V365" s="384"/>
      <c r="W365" s="463"/>
      <c r="X365" s="384"/>
      <c r="Y365" s="384"/>
      <c r="Z365" s="384"/>
      <c r="AA365" s="384"/>
      <c r="AB365" s="463"/>
      <c r="AC365" s="384"/>
      <c r="AD365" s="384"/>
      <c r="AE365" s="384"/>
      <c r="AF365" s="384"/>
      <c r="AG365" s="463"/>
      <c r="AH365" s="384"/>
      <c r="AI365" s="384"/>
      <c r="AJ365" s="384"/>
      <c r="AK365" s="384"/>
      <c r="AL365" s="463"/>
      <c r="AM365" s="384"/>
      <c r="AN365" s="384"/>
      <c r="AO365" s="384"/>
      <c r="AP365" s="384"/>
      <c r="AQ365" s="463"/>
      <c r="AR365" s="384"/>
      <c r="AS365" s="384"/>
      <c r="AT365" s="384"/>
      <c r="AU365" s="384"/>
      <c r="AV365" s="463"/>
      <c r="AW365" s="384"/>
      <c r="AX365" s="384"/>
      <c r="AY365" s="384"/>
      <c r="AZ365" s="384"/>
    </row>
    <row r="366" spans="3:52">
      <c r="C366" s="463"/>
      <c r="D366" s="384"/>
      <c r="E366" s="384"/>
      <c r="F366" s="384"/>
      <c r="G366" s="384"/>
      <c r="H366" s="463"/>
      <c r="I366" s="384"/>
      <c r="J366" s="384"/>
      <c r="K366" s="384"/>
      <c r="L366" s="384"/>
      <c r="M366" s="463"/>
      <c r="N366" s="384"/>
      <c r="O366" s="384"/>
      <c r="P366" s="384"/>
      <c r="Q366" s="384"/>
      <c r="R366" s="463"/>
      <c r="S366" s="384"/>
      <c r="T366" s="384"/>
      <c r="U366" s="384"/>
      <c r="V366" s="384"/>
      <c r="W366" s="463"/>
      <c r="X366" s="384"/>
      <c r="Y366" s="384"/>
      <c r="Z366" s="384"/>
      <c r="AA366" s="384"/>
      <c r="AB366" s="463"/>
      <c r="AC366" s="384"/>
      <c r="AD366" s="384"/>
      <c r="AE366" s="384"/>
      <c r="AF366" s="384"/>
      <c r="AG366" s="463"/>
      <c r="AH366" s="384"/>
      <c r="AI366" s="384"/>
      <c r="AJ366" s="384"/>
      <c r="AK366" s="384"/>
      <c r="AL366" s="463"/>
      <c r="AM366" s="384"/>
      <c r="AN366" s="384"/>
      <c r="AO366" s="384"/>
      <c r="AP366" s="384"/>
      <c r="AQ366" s="463"/>
      <c r="AR366" s="384"/>
      <c r="AS366" s="384"/>
      <c r="AT366" s="384"/>
      <c r="AU366" s="384"/>
      <c r="AV366" s="463"/>
      <c r="AW366" s="384"/>
      <c r="AX366" s="384"/>
      <c r="AY366" s="384"/>
      <c r="AZ366" s="384"/>
    </row>
    <row r="367" spans="3:52">
      <c r="C367" s="463"/>
      <c r="D367" s="384"/>
      <c r="E367" s="384"/>
      <c r="F367" s="384"/>
      <c r="G367" s="384"/>
      <c r="H367" s="463"/>
      <c r="I367" s="384"/>
      <c r="J367" s="384"/>
      <c r="K367" s="384"/>
      <c r="L367" s="384"/>
      <c r="M367" s="463"/>
      <c r="N367" s="384"/>
      <c r="O367" s="384"/>
      <c r="P367" s="384"/>
      <c r="Q367" s="384"/>
      <c r="R367" s="463"/>
      <c r="S367" s="384"/>
      <c r="T367" s="384"/>
      <c r="U367" s="384"/>
      <c r="V367" s="384"/>
      <c r="W367" s="463"/>
      <c r="X367" s="384"/>
      <c r="Y367" s="384"/>
      <c r="Z367" s="384"/>
      <c r="AA367" s="384"/>
      <c r="AB367" s="463"/>
      <c r="AC367" s="384"/>
      <c r="AD367" s="384"/>
      <c r="AE367" s="384"/>
      <c r="AF367" s="384"/>
      <c r="AG367" s="463"/>
      <c r="AH367" s="384"/>
      <c r="AI367" s="384"/>
      <c r="AJ367" s="384"/>
      <c r="AK367" s="384"/>
      <c r="AL367" s="463"/>
      <c r="AM367" s="384"/>
      <c r="AN367" s="384"/>
      <c r="AO367" s="384"/>
      <c r="AP367" s="384"/>
      <c r="AQ367" s="463"/>
      <c r="AR367" s="384"/>
      <c r="AS367" s="384"/>
      <c r="AT367" s="384"/>
      <c r="AU367" s="384"/>
      <c r="AV367" s="463"/>
      <c r="AW367" s="384"/>
      <c r="AX367" s="384"/>
      <c r="AY367" s="384"/>
      <c r="AZ367" s="384"/>
    </row>
    <row r="370" spans="3:52">
      <c r="C370" s="490"/>
      <c r="D370" s="490"/>
      <c r="E370" s="490"/>
      <c r="F370" s="490"/>
      <c r="G370" s="490"/>
      <c r="H370" s="490"/>
      <c r="I370" s="490"/>
      <c r="J370" s="490"/>
      <c r="K370" s="490"/>
      <c r="L370" s="490"/>
      <c r="M370" s="490"/>
      <c r="N370" s="490"/>
      <c r="O370" s="490"/>
      <c r="P370" s="490"/>
      <c r="Q370" s="490"/>
      <c r="R370" s="490"/>
      <c r="S370" s="490"/>
      <c r="T370" s="490"/>
      <c r="U370" s="490"/>
      <c r="V370" s="490"/>
      <c r="W370" s="490"/>
      <c r="X370" s="490"/>
      <c r="Y370" s="490"/>
      <c r="Z370" s="490"/>
      <c r="AA370" s="490"/>
      <c r="AB370" s="490"/>
      <c r="AC370" s="490"/>
      <c r="AD370" s="490"/>
      <c r="AE370" s="490"/>
      <c r="AF370" s="490"/>
      <c r="AG370" s="490"/>
      <c r="AH370" s="490"/>
      <c r="AI370" s="490"/>
      <c r="AJ370" s="490"/>
      <c r="AK370" s="490"/>
      <c r="AL370" s="490"/>
      <c r="AM370" s="490"/>
      <c r="AN370" s="490"/>
      <c r="AO370" s="490"/>
      <c r="AP370" s="490"/>
      <c r="AQ370" s="490"/>
      <c r="AR370" s="490"/>
      <c r="AS370" s="490"/>
      <c r="AT370" s="490"/>
      <c r="AU370" s="490"/>
      <c r="AV370" s="490"/>
      <c r="AW370" s="490"/>
      <c r="AX370" s="490"/>
      <c r="AY370" s="490"/>
      <c r="AZ370" s="490"/>
    </row>
    <row r="371" spans="3:52">
      <c r="C371" s="490"/>
      <c r="D371" s="490"/>
      <c r="E371" s="490"/>
      <c r="F371" s="490"/>
      <c r="G371" s="490"/>
      <c r="H371" s="490"/>
      <c r="I371" s="490"/>
      <c r="J371" s="490"/>
      <c r="K371" s="490"/>
      <c r="L371" s="490"/>
      <c r="M371" s="490"/>
      <c r="N371" s="490"/>
      <c r="O371" s="490"/>
      <c r="P371" s="490"/>
      <c r="Q371" s="490"/>
      <c r="R371" s="490"/>
      <c r="S371" s="490"/>
      <c r="T371" s="490"/>
      <c r="U371" s="490"/>
      <c r="V371" s="490"/>
      <c r="W371" s="490"/>
      <c r="X371" s="490"/>
      <c r="Y371" s="490"/>
      <c r="Z371" s="490"/>
      <c r="AA371" s="490"/>
      <c r="AB371" s="490"/>
      <c r="AC371" s="490"/>
      <c r="AD371" s="490"/>
      <c r="AE371" s="490"/>
      <c r="AF371" s="490"/>
      <c r="AG371" s="490"/>
      <c r="AH371" s="490"/>
      <c r="AI371" s="490"/>
      <c r="AJ371" s="490"/>
      <c r="AK371" s="490"/>
      <c r="AL371" s="490"/>
      <c r="AM371" s="490"/>
      <c r="AN371" s="490"/>
      <c r="AO371" s="490"/>
      <c r="AP371" s="490"/>
      <c r="AQ371" s="490"/>
      <c r="AR371" s="490"/>
      <c r="AS371" s="490"/>
      <c r="AT371" s="490"/>
      <c r="AU371" s="490"/>
      <c r="AV371" s="490"/>
      <c r="AW371" s="490"/>
      <c r="AX371" s="490"/>
      <c r="AY371" s="490"/>
      <c r="AZ371" s="490"/>
    </row>
    <row r="372" spans="3:52">
      <c r="C372" s="490"/>
      <c r="D372" s="490"/>
      <c r="E372" s="490"/>
      <c r="F372" s="490"/>
      <c r="G372" s="490"/>
      <c r="H372" s="490"/>
      <c r="I372" s="490"/>
      <c r="J372" s="490"/>
      <c r="K372" s="490"/>
      <c r="L372" s="490"/>
      <c r="M372" s="490"/>
      <c r="N372" s="490"/>
      <c r="O372" s="490"/>
      <c r="P372" s="490"/>
      <c r="Q372" s="490"/>
      <c r="R372" s="490"/>
      <c r="S372" s="490"/>
      <c r="T372" s="490"/>
      <c r="U372" s="490"/>
      <c r="V372" s="490"/>
      <c r="W372" s="490"/>
      <c r="X372" s="490"/>
      <c r="Y372" s="490"/>
      <c r="Z372" s="490"/>
      <c r="AA372" s="490"/>
      <c r="AB372" s="490"/>
      <c r="AC372" s="490"/>
      <c r="AD372" s="490"/>
      <c r="AE372" s="490"/>
      <c r="AF372" s="490"/>
      <c r="AG372" s="490"/>
      <c r="AH372" s="490"/>
      <c r="AI372" s="490"/>
      <c r="AJ372" s="490"/>
      <c r="AK372" s="490"/>
      <c r="AL372" s="490"/>
      <c r="AM372" s="490"/>
      <c r="AN372" s="490"/>
      <c r="AO372" s="490"/>
      <c r="AP372" s="490"/>
      <c r="AQ372" s="490"/>
      <c r="AR372" s="490"/>
      <c r="AS372" s="490"/>
      <c r="AT372" s="490"/>
      <c r="AU372" s="490"/>
      <c r="AV372" s="490"/>
      <c r="AW372" s="490"/>
      <c r="AX372" s="490"/>
      <c r="AY372" s="490"/>
      <c r="AZ372" s="490"/>
    </row>
    <row r="373" spans="3:52">
      <c r="C373" s="394"/>
      <c r="D373" s="394"/>
      <c r="E373" s="394"/>
      <c r="F373" s="394"/>
      <c r="G373" s="394"/>
      <c r="H373" s="394"/>
      <c r="I373" s="394"/>
      <c r="J373" s="394"/>
      <c r="K373" s="394"/>
      <c r="L373" s="394"/>
      <c r="M373" s="394"/>
      <c r="N373" s="394"/>
      <c r="O373" s="394"/>
      <c r="P373" s="394"/>
      <c r="Q373" s="394"/>
      <c r="R373" s="394"/>
      <c r="S373" s="394"/>
      <c r="T373" s="394"/>
      <c r="U373" s="394"/>
      <c r="V373" s="394"/>
      <c r="W373" s="394"/>
      <c r="X373" s="394"/>
      <c r="Y373" s="394"/>
      <c r="Z373" s="394"/>
      <c r="AA373" s="394"/>
      <c r="AB373" s="394"/>
      <c r="AC373" s="394"/>
      <c r="AD373" s="394"/>
      <c r="AE373" s="394"/>
      <c r="AF373" s="394"/>
      <c r="AG373" s="394"/>
      <c r="AH373" s="394"/>
      <c r="AI373" s="394"/>
      <c r="AJ373" s="394"/>
      <c r="AK373" s="394"/>
      <c r="AL373" s="394"/>
      <c r="AM373" s="394"/>
      <c r="AN373" s="394"/>
      <c r="AO373" s="394"/>
      <c r="AP373" s="394"/>
      <c r="AQ373" s="394"/>
      <c r="AR373" s="394"/>
      <c r="AS373" s="394"/>
      <c r="AT373" s="394"/>
      <c r="AU373" s="394"/>
      <c r="AV373" s="394"/>
      <c r="AW373" s="394"/>
      <c r="AX373" s="394"/>
      <c r="AY373" s="394"/>
      <c r="AZ373" s="394"/>
    </row>
    <row r="374" spans="3:52">
      <c r="C374" s="538"/>
      <c r="D374" s="538"/>
      <c r="E374" s="538"/>
      <c r="F374" s="538"/>
      <c r="G374" s="538"/>
      <c r="H374" s="538"/>
      <c r="I374" s="538"/>
      <c r="J374" s="538"/>
      <c r="K374" s="538"/>
      <c r="L374" s="538"/>
      <c r="M374" s="538"/>
      <c r="N374" s="538"/>
      <c r="O374" s="538"/>
      <c r="P374" s="538"/>
      <c r="Q374" s="538"/>
      <c r="R374" s="538"/>
      <c r="S374" s="538"/>
      <c r="T374" s="538"/>
      <c r="U374" s="538"/>
      <c r="V374" s="538"/>
      <c r="W374" s="538"/>
      <c r="X374" s="538"/>
      <c r="Y374" s="538"/>
      <c r="Z374" s="538"/>
      <c r="AA374" s="538"/>
      <c r="AB374" s="538"/>
      <c r="AC374" s="538"/>
      <c r="AD374" s="538"/>
      <c r="AE374" s="538"/>
      <c r="AF374" s="538"/>
      <c r="AG374" s="538"/>
      <c r="AH374" s="538"/>
      <c r="AI374" s="538"/>
      <c r="AJ374" s="538"/>
      <c r="AK374" s="538"/>
      <c r="AL374" s="538"/>
      <c r="AM374" s="538"/>
      <c r="AN374" s="538"/>
      <c r="AO374" s="538"/>
      <c r="AP374" s="538"/>
      <c r="AQ374" s="538"/>
      <c r="AR374" s="538"/>
      <c r="AS374" s="538"/>
      <c r="AT374" s="538"/>
      <c r="AU374" s="538"/>
      <c r="AV374" s="538"/>
      <c r="AW374" s="538"/>
      <c r="AX374" s="538"/>
      <c r="AY374" s="538"/>
      <c r="AZ374" s="538"/>
    </row>
    <row r="375" spans="3:52">
      <c r="C375" s="490"/>
      <c r="D375" s="490"/>
      <c r="E375" s="490"/>
      <c r="F375" s="490"/>
      <c r="G375" s="490"/>
      <c r="H375" s="490"/>
      <c r="I375" s="490"/>
      <c r="J375" s="490"/>
      <c r="K375" s="490"/>
      <c r="L375" s="490"/>
      <c r="M375" s="490"/>
      <c r="N375" s="490"/>
      <c r="O375" s="490"/>
      <c r="P375" s="490"/>
      <c r="Q375" s="490"/>
      <c r="R375" s="490"/>
      <c r="S375" s="490"/>
      <c r="T375" s="490"/>
      <c r="U375" s="490"/>
      <c r="V375" s="490"/>
      <c r="W375" s="490"/>
      <c r="X375" s="490"/>
      <c r="Y375" s="490"/>
      <c r="Z375" s="490"/>
      <c r="AA375" s="490"/>
      <c r="AB375" s="490"/>
      <c r="AC375" s="490"/>
      <c r="AD375" s="490"/>
      <c r="AE375" s="490"/>
      <c r="AF375" s="490"/>
      <c r="AG375" s="490"/>
      <c r="AH375" s="490"/>
      <c r="AI375" s="490"/>
      <c r="AJ375" s="490"/>
      <c r="AK375" s="490"/>
      <c r="AL375" s="490"/>
      <c r="AM375" s="490"/>
      <c r="AN375" s="490"/>
      <c r="AO375" s="490"/>
      <c r="AP375" s="490"/>
      <c r="AQ375" s="490"/>
      <c r="AR375" s="490"/>
      <c r="AS375" s="490"/>
      <c r="AT375" s="490"/>
      <c r="AU375" s="490"/>
      <c r="AV375" s="490"/>
      <c r="AW375" s="490"/>
      <c r="AX375" s="490"/>
      <c r="AY375" s="490"/>
      <c r="AZ375" s="490"/>
    </row>
    <row r="376" spans="3:52">
      <c r="C376" s="490"/>
      <c r="D376" s="490"/>
      <c r="E376" s="490"/>
      <c r="F376" s="490"/>
      <c r="G376" s="490"/>
      <c r="H376" s="490"/>
      <c r="I376" s="490"/>
      <c r="J376" s="490"/>
      <c r="K376" s="490"/>
      <c r="L376" s="490"/>
      <c r="M376" s="490"/>
      <c r="N376" s="490"/>
      <c r="O376" s="490"/>
      <c r="P376" s="490"/>
      <c r="Q376" s="490"/>
      <c r="R376" s="490"/>
      <c r="S376" s="490"/>
      <c r="T376" s="490"/>
      <c r="U376" s="490"/>
      <c r="V376" s="490"/>
      <c r="W376" s="490"/>
      <c r="X376" s="490"/>
      <c r="Y376" s="490"/>
      <c r="Z376" s="490"/>
      <c r="AA376" s="490"/>
      <c r="AB376" s="490"/>
      <c r="AC376" s="490"/>
      <c r="AD376" s="490"/>
      <c r="AE376" s="490"/>
      <c r="AF376" s="490"/>
      <c r="AG376" s="490"/>
      <c r="AH376" s="490"/>
      <c r="AI376" s="490"/>
      <c r="AJ376" s="490"/>
      <c r="AK376" s="490"/>
      <c r="AL376" s="490"/>
      <c r="AM376" s="490"/>
      <c r="AN376" s="490"/>
      <c r="AO376" s="490"/>
      <c r="AP376" s="490"/>
      <c r="AQ376" s="490"/>
      <c r="AR376" s="490"/>
      <c r="AS376" s="490"/>
      <c r="AT376" s="490"/>
      <c r="AU376" s="490"/>
      <c r="AV376" s="490"/>
      <c r="AW376" s="490"/>
      <c r="AX376" s="490"/>
      <c r="AY376" s="490"/>
      <c r="AZ376" s="490"/>
    </row>
    <row r="377" spans="3:52">
      <c r="C377" s="394"/>
      <c r="D377" s="394"/>
      <c r="E377" s="394"/>
      <c r="F377" s="394"/>
      <c r="G377" s="394"/>
      <c r="H377" s="394"/>
      <c r="I377" s="394"/>
      <c r="J377" s="394"/>
      <c r="K377" s="394"/>
      <c r="L377" s="394"/>
      <c r="M377" s="394"/>
      <c r="N377" s="394"/>
      <c r="O377" s="394"/>
      <c r="P377" s="394"/>
      <c r="Q377" s="394"/>
      <c r="R377" s="394"/>
      <c r="S377" s="394"/>
      <c r="T377" s="394"/>
      <c r="U377" s="394"/>
      <c r="V377" s="394"/>
      <c r="W377" s="394"/>
      <c r="X377" s="394"/>
      <c r="Y377" s="394"/>
      <c r="Z377" s="394"/>
      <c r="AA377" s="394"/>
      <c r="AB377" s="394"/>
      <c r="AC377" s="394"/>
      <c r="AD377" s="394"/>
      <c r="AE377" s="394"/>
      <c r="AF377" s="394"/>
      <c r="AG377" s="394"/>
      <c r="AH377" s="394"/>
      <c r="AI377" s="394"/>
      <c r="AJ377" s="394"/>
      <c r="AK377" s="394"/>
      <c r="AL377" s="394"/>
      <c r="AM377" s="394"/>
      <c r="AN377" s="394"/>
      <c r="AO377" s="394"/>
      <c r="AP377" s="394"/>
      <c r="AQ377" s="394"/>
      <c r="AR377" s="394"/>
      <c r="AS377" s="394"/>
      <c r="AT377" s="394"/>
      <c r="AU377" s="394"/>
      <c r="AV377" s="394"/>
      <c r="AW377" s="394"/>
      <c r="AX377" s="394"/>
      <c r="AY377" s="394"/>
      <c r="AZ377" s="394"/>
    </row>
    <row r="378" spans="3:52">
      <c r="C378" s="394"/>
      <c r="D378" s="394"/>
      <c r="E378" s="394"/>
      <c r="F378" s="394"/>
      <c r="G378" s="394"/>
      <c r="H378" s="394"/>
      <c r="I378" s="394"/>
      <c r="J378" s="394"/>
      <c r="K378" s="394"/>
      <c r="L378" s="394"/>
      <c r="M378" s="394"/>
      <c r="N378" s="394"/>
      <c r="O378" s="394"/>
      <c r="P378" s="394"/>
      <c r="Q378" s="394"/>
      <c r="R378" s="394"/>
      <c r="S378" s="394"/>
      <c r="T378" s="394"/>
      <c r="U378" s="394"/>
      <c r="V378" s="394"/>
      <c r="W378" s="394"/>
      <c r="X378" s="394"/>
      <c r="Y378" s="394"/>
      <c r="Z378" s="394"/>
      <c r="AA378" s="394"/>
      <c r="AB378" s="394"/>
      <c r="AC378" s="394"/>
      <c r="AD378" s="394"/>
      <c r="AE378" s="394"/>
      <c r="AF378" s="394"/>
      <c r="AG378" s="394"/>
      <c r="AH378" s="394"/>
      <c r="AI378" s="394"/>
      <c r="AJ378" s="394"/>
      <c r="AK378" s="394"/>
      <c r="AL378" s="394"/>
      <c r="AM378" s="394"/>
      <c r="AN378" s="394"/>
      <c r="AO378" s="394"/>
      <c r="AP378" s="394"/>
      <c r="AQ378" s="394"/>
      <c r="AR378" s="394"/>
      <c r="AS378" s="394"/>
      <c r="AT378" s="394"/>
      <c r="AU378" s="394"/>
      <c r="AV378" s="394"/>
      <c r="AW378" s="394"/>
      <c r="AX378" s="394"/>
      <c r="AY378" s="394"/>
      <c r="AZ378" s="394"/>
    </row>
    <row r="379" spans="3:52">
      <c r="C379" s="490"/>
      <c r="D379" s="490"/>
      <c r="E379" s="490"/>
      <c r="F379" s="490"/>
      <c r="G379" s="490"/>
      <c r="H379" s="490"/>
      <c r="I379" s="490"/>
      <c r="J379" s="490"/>
      <c r="K379" s="490"/>
      <c r="L379" s="490"/>
      <c r="M379" s="490"/>
      <c r="N379" s="490"/>
      <c r="O379" s="490"/>
      <c r="P379" s="490"/>
      <c r="Q379" s="490"/>
      <c r="R379" s="490"/>
      <c r="S379" s="490"/>
      <c r="T379" s="490"/>
      <c r="U379" s="490"/>
      <c r="V379" s="490"/>
      <c r="W379" s="490"/>
      <c r="X379" s="490"/>
      <c r="Y379" s="490"/>
      <c r="Z379" s="490"/>
      <c r="AA379" s="490"/>
      <c r="AB379" s="490"/>
      <c r="AC379" s="490"/>
      <c r="AD379" s="490"/>
      <c r="AE379" s="490"/>
      <c r="AF379" s="490"/>
      <c r="AG379" s="490"/>
      <c r="AH379" s="490"/>
      <c r="AI379" s="490"/>
      <c r="AJ379" s="490"/>
      <c r="AK379" s="490"/>
      <c r="AL379" s="490"/>
      <c r="AM379" s="490"/>
      <c r="AN379" s="490"/>
      <c r="AO379" s="490"/>
      <c r="AP379" s="490"/>
      <c r="AQ379" s="490"/>
      <c r="AR379" s="490"/>
      <c r="AS379" s="490"/>
      <c r="AT379" s="490"/>
      <c r="AU379" s="490"/>
      <c r="AV379" s="490"/>
      <c r="AW379" s="490"/>
      <c r="AX379" s="490"/>
      <c r="AY379" s="490"/>
      <c r="AZ379" s="490"/>
    </row>
    <row r="380" spans="3:52">
      <c r="C380" s="539"/>
      <c r="D380" s="539"/>
      <c r="E380" s="539"/>
      <c r="F380" s="539"/>
      <c r="G380" s="539"/>
      <c r="H380" s="539"/>
      <c r="I380" s="539"/>
      <c r="J380" s="539"/>
      <c r="K380" s="539"/>
      <c r="L380" s="539"/>
      <c r="M380" s="539"/>
      <c r="N380" s="539"/>
      <c r="O380" s="539"/>
      <c r="P380" s="539"/>
      <c r="Q380" s="539"/>
      <c r="R380" s="539"/>
      <c r="S380" s="539"/>
      <c r="T380" s="539"/>
      <c r="U380" s="539"/>
      <c r="V380" s="539"/>
      <c r="W380" s="539"/>
      <c r="X380" s="539"/>
      <c r="Y380" s="539"/>
      <c r="Z380" s="539"/>
      <c r="AA380" s="539"/>
      <c r="AB380" s="539"/>
      <c r="AC380" s="539"/>
      <c r="AD380" s="539"/>
      <c r="AE380" s="539"/>
      <c r="AF380" s="539"/>
      <c r="AG380" s="539"/>
      <c r="AH380" s="539"/>
      <c r="AI380" s="539"/>
      <c r="AJ380" s="539"/>
      <c r="AK380" s="539"/>
      <c r="AL380" s="539"/>
      <c r="AM380" s="539"/>
      <c r="AN380" s="539"/>
      <c r="AO380" s="539"/>
      <c r="AP380" s="539"/>
      <c r="AQ380" s="539"/>
      <c r="AR380" s="539"/>
      <c r="AS380" s="539"/>
      <c r="AT380" s="539"/>
      <c r="AU380" s="539"/>
      <c r="AV380" s="539"/>
      <c r="AW380" s="539"/>
      <c r="AX380" s="539"/>
      <c r="AY380" s="539"/>
      <c r="AZ380" s="539"/>
    </row>
    <row r="381" spans="3:52">
      <c r="C381" s="394"/>
      <c r="D381" s="394"/>
      <c r="E381" s="394"/>
      <c r="F381" s="394"/>
      <c r="G381" s="394"/>
      <c r="H381" s="394"/>
      <c r="I381" s="394"/>
      <c r="J381" s="394"/>
      <c r="K381" s="394"/>
      <c r="L381" s="394"/>
      <c r="M381" s="394"/>
      <c r="N381" s="394"/>
      <c r="O381" s="394"/>
      <c r="P381" s="394"/>
      <c r="Q381" s="394"/>
      <c r="R381" s="394"/>
      <c r="S381" s="394"/>
      <c r="T381" s="394"/>
      <c r="U381" s="394"/>
      <c r="V381" s="394"/>
      <c r="W381" s="394"/>
      <c r="X381" s="394"/>
      <c r="Y381" s="394"/>
      <c r="Z381" s="394"/>
      <c r="AA381" s="394"/>
      <c r="AB381" s="394"/>
      <c r="AC381" s="394"/>
      <c r="AD381" s="394"/>
      <c r="AE381" s="394"/>
      <c r="AF381" s="394"/>
      <c r="AG381" s="394"/>
      <c r="AH381" s="394"/>
      <c r="AI381" s="394"/>
      <c r="AJ381" s="394"/>
      <c r="AK381" s="394"/>
      <c r="AL381" s="394"/>
      <c r="AM381" s="394"/>
      <c r="AN381" s="394"/>
      <c r="AO381" s="394"/>
      <c r="AP381" s="394"/>
      <c r="AQ381" s="394"/>
      <c r="AR381" s="394"/>
      <c r="AS381" s="394"/>
      <c r="AT381" s="394"/>
      <c r="AU381" s="394"/>
      <c r="AV381" s="394"/>
      <c r="AW381" s="394"/>
      <c r="AX381" s="394"/>
      <c r="AY381" s="394"/>
      <c r="AZ381" s="394"/>
    </row>
    <row r="382" spans="3:52">
      <c r="C382" s="394"/>
      <c r="D382" s="394"/>
      <c r="E382" s="394"/>
      <c r="F382" s="394"/>
      <c r="G382" s="394"/>
      <c r="H382" s="394"/>
      <c r="I382" s="394"/>
      <c r="J382" s="394"/>
      <c r="K382" s="394"/>
      <c r="L382" s="394"/>
      <c r="M382" s="394"/>
      <c r="N382" s="394"/>
      <c r="O382" s="394"/>
      <c r="P382" s="394"/>
      <c r="Q382" s="394"/>
      <c r="R382" s="394"/>
      <c r="S382" s="394"/>
      <c r="T382" s="394"/>
      <c r="U382" s="394"/>
      <c r="V382" s="394"/>
      <c r="W382" s="394"/>
      <c r="X382" s="394"/>
      <c r="Y382" s="394"/>
      <c r="Z382" s="394"/>
      <c r="AA382" s="394"/>
      <c r="AB382" s="394"/>
      <c r="AC382" s="394"/>
      <c r="AD382" s="394"/>
      <c r="AE382" s="394"/>
      <c r="AF382" s="394"/>
      <c r="AG382" s="394"/>
      <c r="AH382" s="394"/>
      <c r="AI382" s="394"/>
      <c r="AJ382" s="394"/>
      <c r="AK382" s="394"/>
      <c r="AL382" s="394"/>
      <c r="AM382" s="394"/>
      <c r="AN382" s="394"/>
      <c r="AO382" s="394"/>
      <c r="AP382" s="394"/>
      <c r="AQ382" s="394"/>
      <c r="AR382" s="394"/>
      <c r="AS382" s="394"/>
      <c r="AT382" s="394"/>
      <c r="AU382" s="394"/>
      <c r="AV382" s="394"/>
      <c r="AW382" s="394"/>
      <c r="AX382" s="394"/>
      <c r="AY382" s="394"/>
      <c r="AZ382" s="394"/>
    </row>
    <row r="383" spans="3:52">
      <c r="C383" s="540"/>
      <c r="D383" s="540"/>
      <c r="E383" s="540"/>
      <c r="F383" s="540"/>
      <c r="G383" s="540"/>
      <c r="H383" s="540"/>
      <c r="I383" s="540"/>
      <c r="J383" s="540"/>
      <c r="K383" s="540"/>
      <c r="L383" s="540"/>
      <c r="M383" s="540"/>
      <c r="N383" s="540"/>
      <c r="O383" s="540"/>
      <c r="P383" s="540"/>
      <c r="Q383" s="540"/>
      <c r="R383" s="540"/>
      <c r="S383" s="540"/>
      <c r="T383" s="540"/>
      <c r="U383" s="540"/>
      <c r="V383" s="540"/>
      <c r="W383" s="540"/>
      <c r="X383" s="540"/>
      <c r="Y383" s="540"/>
      <c r="Z383" s="540"/>
      <c r="AA383" s="540"/>
      <c r="AB383" s="540"/>
      <c r="AC383" s="540"/>
      <c r="AD383" s="540"/>
      <c r="AE383" s="540"/>
      <c r="AF383" s="540"/>
      <c r="AG383" s="540"/>
      <c r="AH383" s="540"/>
      <c r="AI383" s="540"/>
      <c r="AJ383" s="540"/>
      <c r="AK383" s="540"/>
      <c r="AL383" s="540"/>
      <c r="AM383" s="540"/>
      <c r="AN383" s="540"/>
      <c r="AO383" s="540"/>
      <c r="AP383" s="540"/>
      <c r="AQ383" s="540"/>
      <c r="AR383" s="540"/>
      <c r="AS383" s="540"/>
      <c r="AT383" s="540"/>
      <c r="AU383" s="540"/>
      <c r="AV383" s="540"/>
      <c r="AW383" s="540"/>
      <c r="AX383" s="540"/>
      <c r="AY383" s="540"/>
      <c r="AZ383" s="540"/>
    </row>
    <row r="384" spans="3:52">
      <c r="C384" s="490"/>
      <c r="D384" s="490"/>
      <c r="E384" s="490"/>
      <c r="F384" s="490"/>
      <c r="G384" s="490"/>
      <c r="H384" s="490"/>
      <c r="I384" s="490"/>
      <c r="J384" s="490"/>
      <c r="K384" s="490"/>
      <c r="L384" s="490"/>
      <c r="M384" s="490"/>
      <c r="N384" s="490"/>
      <c r="O384" s="490"/>
      <c r="P384" s="490"/>
      <c r="Q384" s="490"/>
      <c r="R384" s="490"/>
      <c r="S384" s="490"/>
      <c r="T384" s="490"/>
      <c r="U384" s="490"/>
      <c r="V384" s="490"/>
      <c r="W384" s="490"/>
      <c r="X384" s="490"/>
      <c r="Y384" s="490"/>
      <c r="Z384" s="490"/>
      <c r="AA384" s="490"/>
      <c r="AB384" s="490"/>
      <c r="AC384" s="490"/>
      <c r="AD384" s="490"/>
      <c r="AE384" s="490"/>
      <c r="AF384" s="490"/>
      <c r="AG384" s="490"/>
      <c r="AH384" s="490"/>
      <c r="AI384" s="490"/>
      <c r="AJ384" s="490"/>
      <c r="AK384" s="490"/>
      <c r="AL384" s="490"/>
      <c r="AM384" s="490"/>
      <c r="AN384" s="490"/>
      <c r="AO384" s="490"/>
      <c r="AP384" s="490"/>
      <c r="AQ384" s="490"/>
      <c r="AR384" s="490"/>
      <c r="AS384" s="490"/>
      <c r="AT384" s="490"/>
      <c r="AU384" s="490"/>
      <c r="AV384" s="490"/>
      <c r="AW384" s="490"/>
      <c r="AX384" s="490"/>
      <c r="AY384" s="490"/>
      <c r="AZ384" s="490"/>
    </row>
    <row r="385" spans="3:52">
      <c r="C385" s="490"/>
      <c r="D385" s="490"/>
      <c r="E385" s="490"/>
      <c r="F385" s="490"/>
      <c r="G385" s="490"/>
      <c r="H385" s="490"/>
      <c r="I385" s="490"/>
      <c r="J385" s="490"/>
      <c r="K385" s="490"/>
      <c r="L385" s="490"/>
      <c r="M385" s="490"/>
      <c r="N385" s="490"/>
      <c r="O385" s="490"/>
      <c r="P385" s="490"/>
      <c r="Q385" s="490"/>
      <c r="R385" s="490"/>
      <c r="S385" s="490"/>
      <c r="T385" s="490"/>
      <c r="U385" s="490"/>
      <c r="V385" s="490"/>
      <c r="W385" s="490"/>
      <c r="X385" s="490"/>
      <c r="Y385" s="490"/>
      <c r="Z385" s="490"/>
      <c r="AA385" s="490"/>
      <c r="AB385" s="490"/>
      <c r="AC385" s="490"/>
      <c r="AD385" s="490"/>
      <c r="AE385" s="490"/>
      <c r="AF385" s="490"/>
      <c r="AG385" s="490"/>
      <c r="AH385" s="490"/>
      <c r="AI385" s="490"/>
      <c r="AJ385" s="490"/>
      <c r="AK385" s="490"/>
      <c r="AL385" s="490"/>
      <c r="AM385" s="490"/>
      <c r="AN385" s="490"/>
      <c r="AO385" s="490"/>
      <c r="AP385" s="490"/>
      <c r="AQ385" s="490"/>
      <c r="AR385" s="490"/>
      <c r="AS385" s="490"/>
      <c r="AT385" s="490"/>
      <c r="AU385" s="490"/>
      <c r="AV385" s="490"/>
      <c r="AW385" s="490"/>
      <c r="AX385" s="490"/>
      <c r="AY385" s="490"/>
      <c r="AZ385" s="490"/>
    </row>
    <row r="386" spans="3:52">
      <c r="C386" s="541"/>
      <c r="D386" s="541"/>
      <c r="E386" s="541"/>
      <c r="F386" s="541"/>
      <c r="G386" s="541"/>
      <c r="H386" s="541"/>
      <c r="I386" s="541"/>
      <c r="J386" s="541"/>
      <c r="K386" s="541"/>
      <c r="L386" s="541"/>
      <c r="M386" s="541"/>
      <c r="N386" s="541"/>
      <c r="O386" s="541"/>
      <c r="P386" s="541"/>
      <c r="Q386" s="541"/>
      <c r="R386" s="541"/>
      <c r="S386" s="541"/>
      <c r="T386" s="541"/>
      <c r="U386" s="541"/>
      <c r="V386" s="541"/>
      <c r="W386" s="541"/>
      <c r="X386" s="541"/>
      <c r="Y386" s="541"/>
      <c r="Z386" s="541"/>
      <c r="AA386" s="541"/>
      <c r="AB386" s="541"/>
      <c r="AC386" s="541"/>
      <c r="AD386" s="541"/>
      <c r="AE386" s="541"/>
      <c r="AF386" s="541"/>
      <c r="AG386" s="541"/>
      <c r="AH386" s="541"/>
      <c r="AI386" s="541"/>
      <c r="AJ386" s="541"/>
      <c r="AK386" s="541"/>
      <c r="AL386" s="541"/>
      <c r="AM386" s="541"/>
      <c r="AN386" s="541"/>
      <c r="AO386" s="541"/>
      <c r="AP386" s="541"/>
      <c r="AQ386" s="541"/>
      <c r="AR386" s="541"/>
      <c r="AS386" s="541"/>
      <c r="AT386" s="541"/>
      <c r="AU386" s="541"/>
      <c r="AV386" s="541"/>
      <c r="AW386" s="541"/>
      <c r="AX386" s="541"/>
      <c r="AY386" s="541"/>
      <c r="AZ386" s="541"/>
    </row>
    <row r="387" spans="3:52">
      <c r="C387" s="394"/>
      <c r="D387" s="394"/>
      <c r="E387" s="394"/>
      <c r="F387" s="394"/>
      <c r="G387" s="394"/>
      <c r="H387" s="394"/>
      <c r="I387" s="394"/>
      <c r="J387" s="394"/>
      <c r="K387" s="394"/>
      <c r="L387" s="394"/>
      <c r="M387" s="394"/>
      <c r="N387" s="394"/>
      <c r="O387" s="394"/>
      <c r="P387" s="394"/>
      <c r="Q387" s="394"/>
      <c r="R387" s="394"/>
      <c r="S387" s="394"/>
      <c r="T387" s="394"/>
      <c r="U387" s="394"/>
      <c r="V387" s="394"/>
      <c r="W387" s="394"/>
      <c r="X387" s="394"/>
      <c r="Y387" s="394"/>
      <c r="Z387" s="394"/>
      <c r="AA387" s="394"/>
      <c r="AB387" s="394"/>
      <c r="AC387" s="394"/>
      <c r="AD387" s="394"/>
      <c r="AE387" s="394"/>
      <c r="AF387" s="394"/>
      <c r="AG387" s="394"/>
      <c r="AH387" s="394"/>
      <c r="AI387" s="394"/>
      <c r="AJ387" s="394"/>
      <c r="AK387" s="394"/>
      <c r="AL387" s="394"/>
      <c r="AM387" s="394"/>
      <c r="AN387" s="394"/>
      <c r="AO387" s="394"/>
      <c r="AP387" s="394"/>
      <c r="AQ387" s="394"/>
      <c r="AR387" s="394"/>
      <c r="AS387" s="394"/>
      <c r="AT387" s="394"/>
      <c r="AU387" s="394"/>
      <c r="AV387" s="394"/>
      <c r="AW387" s="394"/>
      <c r="AX387" s="394"/>
      <c r="AY387" s="394"/>
      <c r="AZ387" s="394"/>
    </row>
    <row r="388" spans="3:52">
      <c r="C388" s="542"/>
      <c r="D388" s="542"/>
      <c r="E388" s="542"/>
      <c r="F388" s="542"/>
      <c r="G388" s="542"/>
      <c r="H388" s="542"/>
      <c r="I388" s="542"/>
      <c r="J388" s="542"/>
      <c r="K388" s="542"/>
      <c r="L388" s="542"/>
      <c r="M388" s="542"/>
      <c r="N388" s="542"/>
      <c r="O388" s="542"/>
      <c r="P388" s="542"/>
      <c r="Q388" s="542"/>
      <c r="R388" s="542"/>
      <c r="S388" s="542"/>
      <c r="T388" s="542"/>
      <c r="U388" s="542"/>
      <c r="V388" s="542"/>
      <c r="W388" s="542"/>
      <c r="X388" s="542"/>
      <c r="Y388" s="542"/>
      <c r="Z388" s="542"/>
      <c r="AA388" s="542"/>
      <c r="AB388" s="542"/>
      <c r="AC388" s="542"/>
      <c r="AD388" s="542"/>
      <c r="AE388" s="542"/>
      <c r="AF388" s="542"/>
      <c r="AG388" s="542"/>
      <c r="AH388" s="542"/>
      <c r="AI388" s="542"/>
      <c r="AJ388" s="542"/>
      <c r="AK388" s="542"/>
      <c r="AL388" s="542"/>
      <c r="AM388" s="542"/>
      <c r="AN388" s="542"/>
      <c r="AO388" s="542"/>
      <c r="AP388" s="542"/>
      <c r="AQ388" s="542"/>
      <c r="AR388" s="542"/>
      <c r="AS388" s="542"/>
      <c r="AT388" s="542"/>
      <c r="AU388" s="542"/>
      <c r="AV388" s="542"/>
      <c r="AW388" s="542"/>
      <c r="AX388" s="542"/>
      <c r="AY388" s="542"/>
      <c r="AZ388" s="542"/>
    </row>
    <row r="389" spans="3:52">
      <c r="C389" s="543"/>
      <c r="D389" s="543"/>
      <c r="E389" s="543"/>
      <c r="F389" s="543"/>
      <c r="G389" s="543"/>
      <c r="H389" s="543"/>
      <c r="I389" s="543"/>
      <c r="J389" s="543"/>
      <c r="K389" s="543"/>
      <c r="L389" s="543"/>
      <c r="M389" s="543"/>
      <c r="N389" s="543"/>
      <c r="O389" s="543"/>
      <c r="P389" s="543"/>
      <c r="Q389" s="543"/>
      <c r="R389" s="543"/>
      <c r="S389" s="543"/>
      <c r="T389" s="543"/>
      <c r="U389" s="543"/>
      <c r="V389" s="543"/>
      <c r="W389" s="543"/>
      <c r="X389" s="543"/>
      <c r="Y389" s="543"/>
      <c r="Z389" s="543"/>
      <c r="AA389" s="543"/>
      <c r="AB389" s="543"/>
      <c r="AC389" s="543"/>
      <c r="AD389" s="543"/>
      <c r="AE389" s="543"/>
      <c r="AF389" s="543"/>
      <c r="AG389" s="543"/>
      <c r="AH389" s="543"/>
      <c r="AI389" s="543"/>
      <c r="AJ389" s="543"/>
      <c r="AK389" s="543"/>
      <c r="AL389" s="543"/>
      <c r="AM389" s="543"/>
      <c r="AN389" s="543"/>
      <c r="AO389" s="543"/>
      <c r="AP389" s="543"/>
      <c r="AQ389" s="543"/>
      <c r="AR389" s="543"/>
      <c r="AS389" s="543"/>
      <c r="AT389" s="543"/>
      <c r="AU389" s="543"/>
      <c r="AV389" s="543"/>
      <c r="AW389" s="543"/>
      <c r="AX389" s="543"/>
      <c r="AY389" s="543"/>
      <c r="AZ389" s="543"/>
    </row>
    <row r="390" spans="3:52">
      <c r="C390" s="543"/>
      <c r="D390" s="543"/>
      <c r="E390" s="543"/>
      <c r="F390" s="543"/>
      <c r="G390" s="543"/>
      <c r="H390" s="543"/>
      <c r="I390" s="543"/>
      <c r="J390" s="543"/>
      <c r="K390" s="543"/>
      <c r="L390" s="543"/>
      <c r="M390" s="543"/>
      <c r="N390" s="543"/>
      <c r="O390" s="543"/>
      <c r="P390" s="543"/>
      <c r="Q390" s="543"/>
      <c r="R390" s="543"/>
      <c r="S390" s="543"/>
      <c r="T390" s="543"/>
      <c r="U390" s="543"/>
      <c r="V390" s="543"/>
      <c r="W390" s="543"/>
      <c r="X390" s="543"/>
      <c r="Y390" s="543"/>
      <c r="Z390" s="543"/>
      <c r="AA390" s="543"/>
      <c r="AB390" s="543"/>
      <c r="AC390" s="543"/>
      <c r="AD390" s="543"/>
      <c r="AE390" s="543"/>
      <c r="AF390" s="543"/>
      <c r="AG390" s="543"/>
      <c r="AH390" s="543"/>
      <c r="AI390" s="543"/>
      <c r="AJ390" s="543"/>
      <c r="AK390" s="543"/>
      <c r="AL390" s="543"/>
      <c r="AM390" s="543"/>
      <c r="AN390" s="543"/>
      <c r="AO390" s="543"/>
      <c r="AP390" s="543"/>
      <c r="AQ390" s="543"/>
      <c r="AR390" s="543"/>
      <c r="AS390" s="543"/>
      <c r="AT390" s="543"/>
      <c r="AU390" s="543"/>
      <c r="AV390" s="543"/>
      <c r="AW390" s="543"/>
      <c r="AX390" s="543"/>
      <c r="AY390" s="543"/>
      <c r="AZ390" s="543"/>
    </row>
    <row r="391" spans="3:52">
      <c r="C391" s="543"/>
      <c r="D391" s="543"/>
      <c r="E391" s="543"/>
      <c r="F391" s="543"/>
      <c r="G391" s="543"/>
      <c r="H391" s="543"/>
      <c r="I391" s="543"/>
      <c r="J391" s="543"/>
      <c r="K391" s="543"/>
      <c r="L391" s="543"/>
      <c r="M391" s="543"/>
      <c r="N391" s="543"/>
      <c r="O391" s="543"/>
      <c r="P391" s="543"/>
      <c r="Q391" s="543"/>
      <c r="R391" s="543"/>
      <c r="S391" s="543"/>
      <c r="T391" s="543"/>
      <c r="U391" s="543"/>
      <c r="V391" s="543"/>
      <c r="W391" s="543"/>
      <c r="X391" s="543"/>
      <c r="Y391" s="543"/>
      <c r="Z391" s="543"/>
      <c r="AA391" s="543"/>
      <c r="AB391" s="543"/>
      <c r="AC391" s="543"/>
      <c r="AD391" s="543"/>
      <c r="AE391" s="543"/>
      <c r="AF391" s="543"/>
      <c r="AG391" s="543"/>
      <c r="AH391" s="543"/>
      <c r="AI391" s="543"/>
      <c r="AJ391" s="543"/>
      <c r="AK391" s="543"/>
      <c r="AL391" s="543"/>
      <c r="AM391" s="543"/>
      <c r="AN391" s="543"/>
      <c r="AO391" s="543"/>
      <c r="AP391" s="543"/>
      <c r="AQ391" s="543"/>
      <c r="AR391" s="543"/>
      <c r="AS391" s="543"/>
      <c r="AT391" s="543"/>
      <c r="AU391" s="543"/>
      <c r="AV391" s="543"/>
      <c r="AW391" s="543"/>
      <c r="AX391" s="543"/>
      <c r="AY391" s="543"/>
      <c r="AZ391" s="543"/>
    </row>
    <row r="392" spans="3:52">
      <c r="C392" s="544"/>
      <c r="D392" s="545"/>
      <c r="E392" s="545"/>
      <c r="F392" s="545"/>
      <c r="G392" s="545"/>
      <c r="H392" s="544"/>
      <c r="I392" s="545"/>
      <c r="J392" s="545"/>
      <c r="K392" s="545"/>
      <c r="L392" s="545"/>
      <c r="M392" s="544"/>
      <c r="N392" s="545"/>
      <c r="O392" s="545"/>
      <c r="P392" s="545"/>
      <c r="Q392" s="545"/>
      <c r="R392" s="544"/>
      <c r="S392" s="545"/>
      <c r="T392" s="545"/>
      <c r="U392" s="545"/>
      <c r="V392" s="545"/>
      <c r="W392" s="544"/>
      <c r="X392" s="545"/>
      <c r="Y392" s="545"/>
      <c r="Z392" s="545"/>
      <c r="AA392" s="545"/>
      <c r="AB392" s="544"/>
      <c r="AC392" s="545"/>
      <c r="AD392" s="545"/>
      <c r="AE392" s="545"/>
      <c r="AF392" s="545"/>
      <c r="AG392" s="544"/>
      <c r="AH392" s="545"/>
      <c r="AI392" s="545"/>
      <c r="AJ392" s="545"/>
      <c r="AK392" s="545"/>
      <c r="AL392" s="544"/>
      <c r="AM392" s="545"/>
      <c r="AN392" s="545"/>
      <c r="AO392" s="545"/>
      <c r="AP392" s="545"/>
      <c r="AQ392" s="544"/>
      <c r="AR392" s="545"/>
      <c r="AS392" s="545"/>
      <c r="AT392" s="545"/>
      <c r="AU392" s="545"/>
      <c r="AV392" s="544"/>
      <c r="AW392" s="545"/>
      <c r="AX392" s="545"/>
      <c r="AY392" s="545"/>
      <c r="AZ392" s="545"/>
    </row>
    <row r="393" spans="3:52">
      <c r="C393" s="544"/>
      <c r="D393" s="545"/>
      <c r="E393" s="545"/>
      <c r="F393" s="545"/>
      <c r="G393" s="545"/>
      <c r="H393" s="544"/>
      <c r="I393" s="545"/>
      <c r="J393" s="545"/>
      <c r="K393" s="545"/>
      <c r="L393" s="545"/>
      <c r="M393" s="544"/>
      <c r="N393" s="545"/>
      <c r="O393" s="545"/>
      <c r="P393" s="545"/>
      <c r="Q393" s="545"/>
      <c r="R393" s="544"/>
      <c r="S393" s="545"/>
      <c r="T393" s="545"/>
      <c r="U393" s="545"/>
      <c r="V393" s="545"/>
      <c r="W393" s="544"/>
      <c r="X393" s="545"/>
      <c r="Y393" s="545"/>
      <c r="Z393" s="545"/>
      <c r="AA393" s="545"/>
      <c r="AB393" s="544"/>
      <c r="AC393" s="545"/>
      <c r="AD393" s="545"/>
      <c r="AE393" s="545"/>
      <c r="AF393" s="545"/>
      <c r="AG393" s="544"/>
      <c r="AH393" s="545"/>
      <c r="AI393" s="545"/>
      <c r="AJ393" s="545"/>
      <c r="AK393" s="545"/>
      <c r="AL393" s="544"/>
      <c r="AM393" s="545"/>
      <c r="AN393" s="545"/>
      <c r="AO393" s="545"/>
      <c r="AP393" s="545"/>
      <c r="AQ393" s="544"/>
      <c r="AR393" s="545"/>
      <c r="AS393" s="545"/>
      <c r="AT393" s="545"/>
      <c r="AU393" s="545"/>
      <c r="AV393" s="544"/>
      <c r="AW393" s="545"/>
      <c r="AX393" s="545"/>
      <c r="AY393" s="545"/>
      <c r="AZ393" s="545"/>
    </row>
    <row r="394" spans="3:52">
      <c r="C394" s="490"/>
      <c r="D394" s="490"/>
      <c r="E394" s="490"/>
      <c r="F394" s="490"/>
      <c r="G394" s="490"/>
      <c r="H394" s="490"/>
      <c r="I394" s="490"/>
      <c r="J394" s="490"/>
      <c r="K394" s="490"/>
      <c r="L394" s="490"/>
      <c r="M394" s="490"/>
      <c r="N394" s="490"/>
      <c r="O394" s="490"/>
      <c r="P394" s="490"/>
      <c r="Q394" s="490"/>
      <c r="R394" s="490"/>
      <c r="S394" s="490"/>
      <c r="T394" s="490"/>
      <c r="U394" s="490"/>
      <c r="V394" s="490"/>
      <c r="W394" s="490"/>
      <c r="X394" s="490"/>
      <c r="Y394" s="490"/>
      <c r="Z394" s="490"/>
      <c r="AA394" s="490"/>
      <c r="AB394" s="490"/>
      <c r="AC394" s="490"/>
      <c r="AD394" s="490"/>
      <c r="AE394" s="490"/>
      <c r="AF394" s="490"/>
      <c r="AG394" s="490"/>
      <c r="AH394" s="490"/>
      <c r="AI394" s="490"/>
      <c r="AJ394" s="490"/>
      <c r="AK394" s="490"/>
      <c r="AL394" s="490"/>
      <c r="AM394" s="490"/>
      <c r="AN394" s="490"/>
      <c r="AO394" s="490"/>
      <c r="AP394" s="490"/>
      <c r="AQ394" s="490"/>
      <c r="AR394" s="490"/>
      <c r="AS394" s="490"/>
      <c r="AT394" s="490"/>
      <c r="AU394" s="490"/>
      <c r="AV394" s="490"/>
      <c r="AW394" s="490"/>
      <c r="AX394" s="490"/>
      <c r="AY394" s="490"/>
      <c r="AZ394" s="490"/>
    </row>
    <row r="395" spans="3:52">
      <c r="C395" s="488"/>
      <c r="D395" s="488"/>
      <c r="E395" s="488"/>
      <c r="F395" s="488"/>
      <c r="G395" s="488"/>
      <c r="H395" s="488"/>
      <c r="I395" s="488"/>
      <c r="J395" s="488"/>
      <c r="K395" s="488"/>
      <c r="L395" s="488"/>
      <c r="M395" s="488"/>
      <c r="N395" s="488"/>
      <c r="O395" s="488"/>
      <c r="P395" s="488"/>
      <c r="Q395" s="488"/>
      <c r="R395" s="488"/>
      <c r="S395" s="488"/>
      <c r="T395" s="488"/>
      <c r="U395" s="488"/>
      <c r="V395" s="488"/>
      <c r="W395" s="488"/>
      <c r="X395" s="488"/>
      <c r="Y395" s="488"/>
      <c r="Z395" s="488"/>
      <c r="AA395" s="488"/>
      <c r="AB395" s="488"/>
      <c r="AC395" s="488"/>
      <c r="AD395" s="488"/>
      <c r="AE395" s="488"/>
      <c r="AF395" s="488"/>
      <c r="AG395" s="488"/>
      <c r="AH395" s="488"/>
      <c r="AI395" s="488"/>
      <c r="AJ395" s="488"/>
      <c r="AK395" s="488"/>
      <c r="AL395" s="488"/>
      <c r="AM395" s="488"/>
      <c r="AN395" s="488"/>
      <c r="AO395" s="488"/>
      <c r="AP395" s="488"/>
      <c r="AQ395" s="488"/>
      <c r="AR395" s="488"/>
      <c r="AS395" s="488"/>
      <c r="AT395" s="488"/>
      <c r="AU395" s="488"/>
      <c r="AV395" s="488"/>
      <c r="AW395" s="488"/>
      <c r="AX395" s="488"/>
      <c r="AY395" s="488"/>
      <c r="AZ395" s="488"/>
    </row>
    <row r="396" spans="3:52">
      <c r="C396" s="486"/>
      <c r="D396" s="486"/>
      <c r="E396" s="486"/>
      <c r="F396" s="486"/>
      <c r="G396" s="486"/>
      <c r="H396" s="486"/>
      <c r="I396" s="486"/>
      <c r="J396" s="486"/>
      <c r="K396" s="486"/>
      <c r="L396" s="486"/>
      <c r="M396" s="486"/>
      <c r="N396" s="486"/>
      <c r="O396" s="486"/>
      <c r="P396" s="486"/>
      <c r="Q396" s="486"/>
      <c r="R396" s="486"/>
      <c r="S396" s="486"/>
      <c r="T396" s="486"/>
      <c r="U396" s="486"/>
      <c r="V396" s="486"/>
      <c r="W396" s="486"/>
      <c r="X396" s="486"/>
      <c r="Y396" s="486"/>
      <c r="Z396" s="486"/>
      <c r="AA396" s="486"/>
      <c r="AB396" s="486"/>
      <c r="AC396" s="486"/>
      <c r="AD396" s="486"/>
      <c r="AE396" s="486"/>
      <c r="AF396" s="486"/>
      <c r="AG396" s="486"/>
      <c r="AH396" s="486"/>
      <c r="AI396" s="486"/>
      <c r="AJ396" s="486"/>
      <c r="AK396" s="486"/>
      <c r="AL396" s="486"/>
      <c r="AM396" s="486"/>
      <c r="AN396" s="486"/>
      <c r="AO396" s="486"/>
      <c r="AP396" s="486"/>
      <c r="AQ396" s="486"/>
      <c r="AR396" s="486"/>
      <c r="AS396" s="486"/>
      <c r="AT396" s="486"/>
      <c r="AU396" s="486"/>
      <c r="AV396" s="486"/>
      <c r="AW396" s="486"/>
      <c r="AX396" s="486"/>
      <c r="AY396" s="486"/>
      <c r="AZ396" s="486"/>
    </row>
    <row r="397" spans="3:52">
      <c r="C397" s="490"/>
      <c r="D397" s="490"/>
      <c r="E397" s="490"/>
      <c r="F397" s="490"/>
      <c r="G397" s="490"/>
      <c r="H397" s="490"/>
      <c r="I397" s="490"/>
      <c r="J397" s="490"/>
      <c r="K397" s="490"/>
      <c r="L397" s="490"/>
      <c r="M397" s="490"/>
      <c r="N397" s="490"/>
      <c r="O397" s="490"/>
      <c r="P397" s="490"/>
      <c r="Q397" s="490"/>
      <c r="R397" s="490"/>
      <c r="S397" s="490"/>
      <c r="T397" s="490"/>
      <c r="U397" s="490"/>
      <c r="V397" s="490"/>
      <c r="W397" s="490"/>
      <c r="X397" s="490"/>
      <c r="Y397" s="490"/>
      <c r="Z397" s="490"/>
      <c r="AA397" s="490"/>
      <c r="AB397" s="490"/>
      <c r="AC397" s="490"/>
      <c r="AD397" s="490"/>
      <c r="AE397" s="490"/>
      <c r="AF397" s="490"/>
      <c r="AG397" s="490"/>
      <c r="AH397" s="490"/>
      <c r="AI397" s="490"/>
      <c r="AJ397" s="490"/>
      <c r="AK397" s="490"/>
      <c r="AL397" s="490"/>
      <c r="AM397" s="490"/>
      <c r="AN397" s="490"/>
      <c r="AO397" s="490"/>
      <c r="AP397" s="490"/>
      <c r="AQ397" s="490"/>
      <c r="AR397" s="490"/>
      <c r="AS397" s="490"/>
      <c r="AT397" s="490"/>
      <c r="AU397" s="490"/>
      <c r="AV397" s="490"/>
      <c r="AW397" s="490"/>
      <c r="AX397" s="490"/>
      <c r="AY397" s="490"/>
      <c r="AZ397" s="490"/>
    </row>
    <row r="398" spans="3:52">
      <c r="C398" s="394"/>
      <c r="D398" s="394"/>
      <c r="E398" s="394"/>
      <c r="F398" s="394"/>
      <c r="G398" s="394"/>
      <c r="H398" s="394"/>
      <c r="I398" s="394"/>
      <c r="J398" s="394"/>
      <c r="K398" s="394"/>
      <c r="L398" s="394"/>
      <c r="M398" s="394"/>
      <c r="N398" s="394"/>
      <c r="O398" s="394"/>
      <c r="P398" s="394"/>
      <c r="Q398" s="394"/>
      <c r="R398" s="394"/>
      <c r="S398" s="394"/>
      <c r="T398" s="394"/>
      <c r="U398" s="394"/>
      <c r="V398" s="394"/>
      <c r="W398" s="394"/>
      <c r="X398" s="394"/>
      <c r="Y398" s="394"/>
      <c r="Z398" s="394"/>
      <c r="AA398" s="394"/>
      <c r="AB398" s="394"/>
      <c r="AC398" s="394"/>
      <c r="AD398" s="394"/>
      <c r="AE398" s="394"/>
      <c r="AF398" s="394"/>
      <c r="AG398" s="394"/>
      <c r="AH398" s="394"/>
      <c r="AI398" s="394"/>
      <c r="AJ398" s="394"/>
      <c r="AK398" s="394"/>
      <c r="AL398" s="394"/>
      <c r="AM398" s="394"/>
      <c r="AN398" s="394"/>
      <c r="AO398" s="394"/>
      <c r="AP398" s="394"/>
      <c r="AQ398" s="394"/>
      <c r="AR398" s="394"/>
      <c r="AS398" s="394"/>
      <c r="AT398" s="394"/>
      <c r="AU398" s="394"/>
      <c r="AV398" s="394"/>
      <c r="AW398" s="394"/>
      <c r="AX398" s="394"/>
      <c r="AY398" s="394"/>
      <c r="AZ398" s="394"/>
    </row>
    <row r="399" spans="3:52">
      <c r="C399" s="490"/>
      <c r="D399" s="490"/>
      <c r="E399" s="490"/>
      <c r="F399" s="490"/>
      <c r="G399" s="490"/>
      <c r="H399" s="490"/>
      <c r="I399" s="490"/>
      <c r="J399" s="490"/>
      <c r="K399" s="490"/>
      <c r="L399" s="490"/>
      <c r="M399" s="490"/>
      <c r="N399" s="490"/>
      <c r="O399" s="490"/>
      <c r="P399" s="490"/>
      <c r="Q399" s="490"/>
      <c r="R399" s="490"/>
      <c r="S399" s="490"/>
      <c r="T399" s="490"/>
      <c r="U399" s="490"/>
      <c r="V399" s="490"/>
      <c r="W399" s="490"/>
      <c r="X399" s="490"/>
      <c r="Y399" s="490"/>
      <c r="Z399" s="490"/>
      <c r="AA399" s="490"/>
      <c r="AB399" s="490"/>
      <c r="AC399" s="490"/>
      <c r="AD399" s="490"/>
      <c r="AE399" s="490"/>
      <c r="AF399" s="490"/>
      <c r="AG399" s="490"/>
      <c r="AH399" s="490"/>
      <c r="AI399" s="490"/>
      <c r="AJ399" s="490"/>
      <c r="AK399" s="490"/>
      <c r="AL399" s="490"/>
      <c r="AM399" s="490"/>
      <c r="AN399" s="490"/>
      <c r="AO399" s="490"/>
      <c r="AP399" s="490"/>
      <c r="AQ399" s="490"/>
      <c r="AR399" s="490"/>
      <c r="AS399" s="490"/>
      <c r="AT399" s="490"/>
      <c r="AU399" s="490"/>
      <c r="AV399" s="490"/>
      <c r="AW399" s="490"/>
      <c r="AX399" s="490"/>
      <c r="AY399" s="490"/>
      <c r="AZ399" s="490"/>
    </row>
    <row r="400" spans="3:52">
      <c r="C400" s="490"/>
      <c r="D400" s="490"/>
      <c r="E400" s="490"/>
      <c r="F400" s="490"/>
      <c r="G400" s="490"/>
      <c r="H400" s="490"/>
      <c r="I400" s="490"/>
      <c r="J400" s="490"/>
      <c r="K400" s="490"/>
      <c r="L400" s="490"/>
      <c r="M400" s="490"/>
      <c r="N400" s="490"/>
      <c r="O400" s="490"/>
      <c r="P400" s="490"/>
      <c r="Q400" s="490"/>
      <c r="R400" s="490"/>
      <c r="S400" s="490"/>
      <c r="T400" s="490"/>
      <c r="U400" s="490"/>
      <c r="V400" s="490"/>
      <c r="W400" s="490"/>
      <c r="X400" s="490"/>
      <c r="Y400" s="490"/>
      <c r="Z400" s="490"/>
      <c r="AA400" s="490"/>
      <c r="AB400" s="490"/>
      <c r="AC400" s="490"/>
      <c r="AD400" s="490"/>
      <c r="AE400" s="490"/>
      <c r="AF400" s="490"/>
      <c r="AG400" s="490"/>
      <c r="AH400" s="490"/>
      <c r="AI400" s="490"/>
      <c r="AJ400" s="490"/>
      <c r="AK400" s="490"/>
      <c r="AL400" s="490"/>
      <c r="AM400" s="490"/>
      <c r="AN400" s="490"/>
      <c r="AO400" s="490"/>
      <c r="AP400" s="490"/>
      <c r="AQ400" s="490"/>
      <c r="AR400" s="490"/>
      <c r="AS400" s="490"/>
      <c r="AT400" s="490"/>
      <c r="AU400" s="490"/>
      <c r="AV400" s="490"/>
      <c r="AW400" s="490"/>
      <c r="AX400" s="490"/>
      <c r="AY400" s="490"/>
      <c r="AZ400" s="490"/>
    </row>
    <row r="401" spans="3:52">
      <c r="C401" s="490"/>
      <c r="D401" s="490"/>
      <c r="E401" s="490"/>
      <c r="F401" s="490"/>
      <c r="G401" s="490"/>
      <c r="H401" s="490"/>
      <c r="I401" s="490"/>
      <c r="J401" s="490"/>
      <c r="K401" s="490"/>
      <c r="L401" s="490"/>
      <c r="M401" s="490"/>
      <c r="N401" s="490"/>
      <c r="O401" s="490"/>
      <c r="P401" s="490"/>
      <c r="Q401" s="490"/>
      <c r="R401" s="490"/>
      <c r="S401" s="490"/>
      <c r="T401" s="490"/>
      <c r="U401" s="490"/>
      <c r="V401" s="490"/>
      <c r="W401" s="490"/>
      <c r="X401" s="490"/>
      <c r="Y401" s="490"/>
      <c r="Z401" s="490"/>
      <c r="AA401" s="490"/>
      <c r="AB401" s="490"/>
      <c r="AC401" s="490"/>
      <c r="AD401" s="490"/>
      <c r="AE401" s="490"/>
      <c r="AF401" s="490"/>
      <c r="AG401" s="490"/>
      <c r="AH401" s="490"/>
      <c r="AI401" s="490"/>
      <c r="AJ401" s="490"/>
      <c r="AK401" s="490"/>
      <c r="AL401" s="490"/>
      <c r="AM401" s="490"/>
      <c r="AN401" s="490"/>
      <c r="AO401" s="490"/>
      <c r="AP401" s="490"/>
      <c r="AQ401" s="490"/>
      <c r="AR401" s="490"/>
      <c r="AS401" s="490"/>
      <c r="AT401" s="490"/>
      <c r="AU401" s="490"/>
      <c r="AV401" s="490"/>
      <c r="AW401" s="490"/>
      <c r="AX401" s="490"/>
      <c r="AY401" s="490"/>
      <c r="AZ401" s="490"/>
    </row>
    <row r="402" spans="3:52">
      <c r="C402" s="490"/>
      <c r="D402" s="490"/>
      <c r="E402" s="490"/>
      <c r="F402" s="490"/>
      <c r="G402" s="490"/>
      <c r="H402" s="490"/>
      <c r="I402" s="490"/>
      <c r="J402" s="490"/>
      <c r="K402" s="490"/>
      <c r="L402" s="490"/>
      <c r="M402" s="490"/>
      <c r="N402" s="490"/>
      <c r="O402" s="490"/>
      <c r="P402" s="490"/>
      <c r="Q402" s="490"/>
      <c r="R402" s="490"/>
      <c r="S402" s="490"/>
      <c r="T402" s="490"/>
      <c r="U402" s="490"/>
      <c r="V402" s="490"/>
      <c r="W402" s="490"/>
      <c r="X402" s="490"/>
      <c r="Y402" s="490"/>
      <c r="Z402" s="490"/>
      <c r="AA402" s="490"/>
      <c r="AB402" s="490"/>
      <c r="AC402" s="490"/>
      <c r="AD402" s="490"/>
      <c r="AE402" s="490"/>
      <c r="AF402" s="490"/>
      <c r="AG402" s="490"/>
      <c r="AH402" s="490"/>
      <c r="AI402" s="490"/>
      <c r="AJ402" s="490"/>
      <c r="AK402" s="490"/>
      <c r="AL402" s="490"/>
      <c r="AM402" s="490"/>
      <c r="AN402" s="490"/>
      <c r="AO402" s="490"/>
      <c r="AP402" s="490"/>
      <c r="AQ402" s="490"/>
      <c r="AR402" s="490"/>
      <c r="AS402" s="490"/>
      <c r="AT402" s="490"/>
      <c r="AU402" s="490"/>
      <c r="AV402" s="490"/>
      <c r="AW402" s="490"/>
      <c r="AX402" s="490"/>
      <c r="AY402" s="490"/>
      <c r="AZ402" s="490"/>
    </row>
    <row r="403" spans="3:52">
      <c r="C403" s="490"/>
      <c r="D403" s="490"/>
      <c r="E403" s="490"/>
      <c r="F403" s="490"/>
      <c r="G403" s="490"/>
      <c r="H403" s="490"/>
      <c r="I403" s="490"/>
      <c r="J403" s="490"/>
      <c r="K403" s="490"/>
      <c r="L403" s="490"/>
      <c r="M403" s="490"/>
      <c r="N403" s="490"/>
      <c r="O403" s="490"/>
      <c r="P403" s="490"/>
      <c r="Q403" s="490"/>
      <c r="R403" s="490"/>
      <c r="S403" s="490"/>
      <c r="T403" s="490"/>
      <c r="U403" s="490"/>
      <c r="V403" s="490"/>
      <c r="W403" s="490"/>
      <c r="X403" s="490"/>
      <c r="Y403" s="490"/>
      <c r="Z403" s="490"/>
      <c r="AA403" s="490"/>
      <c r="AB403" s="490"/>
      <c r="AC403" s="490"/>
      <c r="AD403" s="490"/>
      <c r="AE403" s="490"/>
      <c r="AF403" s="490"/>
      <c r="AG403" s="490"/>
      <c r="AH403" s="490"/>
      <c r="AI403" s="490"/>
      <c r="AJ403" s="490"/>
      <c r="AK403" s="490"/>
      <c r="AL403" s="490"/>
      <c r="AM403" s="490"/>
      <c r="AN403" s="490"/>
      <c r="AO403" s="490"/>
      <c r="AP403" s="490"/>
      <c r="AQ403" s="490"/>
      <c r="AR403" s="490"/>
      <c r="AS403" s="490"/>
      <c r="AT403" s="490"/>
      <c r="AU403" s="490"/>
      <c r="AV403" s="490"/>
      <c r="AW403" s="490"/>
      <c r="AX403" s="490"/>
      <c r="AY403" s="490"/>
      <c r="AZ403" s="490"/>
    </row>
    <row r="404" spans="3:52">
      <c r="C404" s="490"/>
      <c r="D404" s="490"/>
      <c r="E404" s="490"/>
      <c r="F404" s="490"/>
      <c r="G404" s="490"/>
      <c r="H404" s="490"/>
      <c r="I404" s="490"/>
      <c r="J404" s="490"/>
      <c r="K404" s="490"/>
      <c r="L404" s="490"/>
      <c r="M404" s="490"/>
      <c r="N404" s="490"/>
      <c r="O404" s="490"/>
      <c r="P404" s="490"/>
      <c r="Q404" s="490"/>
      <c r="R404" s="490"/>
      <c r="S404" s="490"/>
      <c r="T404" s="490"/>
      <c r="U404" s="490"/>
      <c r="V404" s="490"/>
      <c r="W404" s="490"/>
      <c r="X404" s="490"/>
      <c r="Y404" s="490"/>
      <c r="Z404" s="490"/>
      <c r="AA404" s="490"/>
      <c r="AB404" s="490"/>
      <c r="AC404" s="490"/>
      <c r="AD404" s="490"/>
      <c r="AE404" s="490"/>
      <c r="AF404" s="490"/>
      <c r="AG404" s="490"/>
      <c r="AH404" s="490"/>
      <c r="AI404" s="490"/>
      <c r="AJ404" s="490"/>
      <c r="AK404" s="490"/>
      <c r="AL404" s="490"/>
      <c r="AM404" s="490"/>
      <c r="AN404" s="490"/>
      <c r="AO404" s="490"/>
      <c r="AP404" s="490"/>
      <c r="AQ404" s="490"/>
      <c r="AR404" s="490"/>
      <c r="AS404" s="490"/>
      <c r="AT404" s="490"/>
      <c r="AU404" s="490"/>
      <c r="AV404" s="490"/>
      <c r="AW404" s="490"/>
      <c r="AX404" s="490"/>
      <c r="AY404" s="490"/>
      <c r="AZ404" s="490"/>
    </row>
    <row r="405" spans="3:52"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46"/>
      <c r="P405" s="546"/>
      <c r="Q405" s="546"/>
      <c r="R405" s="546"/>
      <c r="S405" s="546"/>
      <c r="T405" s="546"/>
      <c r="U405" s="546"/>
      <c r="V405" s="546"/>
      <c r="W405" s="546"/>
      <c r="X405" s="546"/>
      <c r="Y405" s="546"/>
      <c r="Z405" s="546"/>
      <c r="AA405" s="546"/>
      <c r="AB405" s="546"/>
      <c r="AC405" s="546"/>
      <c r="AD405" s="546"/>
      <c r="AE405" s="546"/>
      <c r="AF405" s="546"/>
      <c r="AG405" s="546"/>
      <c r="AH405" s="546"/>
      <c r="AI405" s="546"/>
      <c r="AJ405" s="546"/>
      <c r="AK405" s="546"/>
      <c r="AL405" s="546"/>
      <c r="AM405" s="546"/>
      <c r="AN405" s="546"/>
      <c r="AO405" s="546"/>
      <c r="AP405" s="546"/>
      <c r="AQ405" s="546"/>
      <c r="AR405" s="546"/>
      <c r="AS405" s="546"/>
      <c r="AT405" s="546"/>
      <c r="AU405" s="546"/>
      <c r="AV405" s="546"/>
      <c r="AW405" s="546"/>
      <c r="AX405" s="546"/>
      <c r="AY405" s="546"/>
      <c r="AZ405" s="546"/>
    </row>
    <row r="406" spans="3:52">
      <c r="C406" s="394"/>
      <c r="D406" s="394"/>
      <c r="E406" s="394"/>
      <c r="F406" s="394"/>
      <c r="G406" s="394"/>
      <c r="H406" s="394"/>
      <c r="I406" s="394"/>
      <c r="J406" s="394"/>
      <c r="K406" s="394"/>
      <c r="L406" s="394"/>
      <c r="M406" s="394"/>
      <c r="N406" s="394"/>
      <c r="O406" s="394"/>
      <c r="P406" s="394"/>
      <c r="Q406" s="394"/>
      <c r="R406" s="394"/>
      <c r="S406" s="394"/>
      <c r="T406" s="394"/>
      <c r="U406" s="394"/>
      <c r="V406" s="394"/>
      <c r="W406" s="394"/>
      <c r="X406" s="394"/>
      <c r="Y406" s="394"/>
      <c r="Z406" s="394"/>
      <c r="AA406" s="394"/>
      <c r="AB406" s="394"/>
      <c r="AC406" s="394"/>
      <c r="AD406" s="394"/>
      <c r="AE406" s="394"/>
      <c r="AF406" s="394"/>
      <c r="AG406" s="394"/>
      <c r="AH406" s="394"/>
      <c r="AI406" s="394"/>
      <c r="AJ406" s="394"/>
      <c r="AK406" s="394"/>
      <c r="AL406" s="394"/>
      <c r="AM406" s="394"/>
      <c r="AN406" s="394"/>
      <c r="AO406" s="394"/>
      <c r="AP406" s="394"/>
      <c r="AQ406" s="394"/>
      <c r="AR406" s="394"/>
      <c r="AS406" s="394"/>
      <c r="AT406" s="394"/>
      <c r="AU406" s="394"/>
      <c r="AV406" s="394"/>
      <c r="AW406" s="394"/>
      <c r="AX406" s="394"/>
      <c r="AY406" s="394"/>
      <c r="AZ406" s="394"/>
    </row>
    <row r="407" spans="3:52">
      <c r="C407" s="394"/>
      <c r="D407" s="394"/>
      <c r="E407" s="394"/>
      <c r="F407" s="394"/>
      <c r="G407" s="394"/>
      <c r="H407" s="394"/>
      <c r="I407" s="394"/>
      <c r="J407" s="394"/>
      <c r="K407" s="394"/>
      <c r="L407" s="394"/>
      <c r="M407" s="394"/>
      <c r="N407" s="394"/>
      <c r="O407" s="394"/>
      <c r="P407" s="394"/>
      <c r="Q407" s="394"/>
      <c r="R407" s="394"/>
      <c r="S407" s="394"/>
      <c r="T407" s="394"/>
      <c r="U407" s="394"/>
      <c r="V407" s="394"/>
      <c r="W407" s="394"/>
      <c r="X407" s="394"/>
      <c r="Y407" s="394"/>
      <c r="Z407" s="394"/>
      <c r="AA407" s="394"/>
      <c r="AB407" s="394"/>
      <c r="AC407" s="394"/>
      <c r="AD407" s="394"/>
      <c r="AE407" s="394"/>
      <c r="AF407" s="394"/>
      <c r="AG407" s="394"/>
      <c r="AH407" s="394"/>
      <c r="AI407" s="394"/>
      <c r="AJ407" s="394"/>
      <c r="AK407" s="394"/>
      <c r="AL407" s="394"/>
      <c r="AM407" s="394"/>
      <c r="AN407" s="394"/>
      <c r="AO407" s="394"/>
      <c r="AP407" s="394"/>
      <c r="AQ407" s="394"/>
      <c r="AR407" s="394"/>
      <c r="AS407" s="394"/>
      <c r="AT407" s="394"/>
      <c r="AU407" s="394"/>
      <c r="AV407" s="394"/>
      <c r="AW407" s="394"/>
      <c r="AX407" s="394"/>
      <c r="AY407" s="394"/>
      <c r="AZ407" s="394"/>
    </row>
    <row r="408" spans="3:52">
      <c r="C408" s="546"/>
      <c r="D408" s="546"/>
      <c r="E408" s="546"/>
      <c r="F408" s="546"/>
      <c r="G408" s="546"/>
      <c r="H408" s="546"/>
      <c r="I408" s="546"/>
      <c r="J408" s="546"/>
      <c r="K408" s="546"/>
      <c r="L408" s="546"/>
      <c r="M408" s="546"/>
      <c r="N408" s="546"/>
      <c r="O408" s="546"/>
      <c r="P408" s="546"/>
      <c r="Q408" s="546"/>
      <c r="R408" s="546"/>
      <c r="S408" s="546"/>
      <c r="T408" s="546"/>
      <c r="U408" s="546"/>
      <c r="V408" s="546"/>
      <c r="W408" s="546"/>
      <c r="X408" s="546"/>
      <c r="Y408" s="546"/>
      <c r="Z408" s="546"/>
      <c r="AA408" s="546"/>
      <c r="AB408" s="546"/>
      <c r="AC408" s="546"/>
      <c r="AD408" s="546"/>
      <c r="AE408" s="546"/>
      <c r="AF408" s="546"/>
      <c r="AG408" s="546"/>
      <c r="AH408" s="546"/>
      <c r="AI408" s="546"/>
      <c r="AJ408" s="546"/>
      <c r="AK408" s="546"/>
      <c r="AL408" s="546"/>
      <c r="AM408" s="546"/>
      <c r="AN408" s="546"/>
      <c r="AO408" s="546"/>
      <c r="AP408" s="546"/>
      <c r="AQ408" s="546"/>
      <c r="AR408" s="546"/>
      <c r="AS408" s="546"/>
      <c r="AT408" s="546"/>
      <c r="AU408" s="546"/>
      <c r="AV408" s="546"/>
      <c r="AW408" s="546"/>
      <c r="AX408" s="546"/>
      <c r="AY408" s="546"/>
      <c r="AZ408" s="546"/>
    </row>
    <row r="409" spans="3:52">
      <c r="C409" s="546"/>
      <c r="D409" s="546"/>
      <c r="E409" s="546"/>
      <c r="F409" s="546"/>
      <c r="G409" s="546"/>
      <c r="H409" s="546"/>
      <c r="I409" s="546"/>
      <c r="J409" s="546"/>
      <c r="K409" s="546"/>
      <c r="L409" s="546"/>
      <c r="M409" s="546"/>
      <c r="N409" s="546"/>
      <c r="O409" s="546"/>
      <c r="P409" s="546"/>
      <c r="Q409" s="546"/>
      <c r="R409" s="546"/>
      <c r="S409" s="546"/>
      <c r="T409" s="546"/>
      <c r="U409" s="546"/>
      <c r="V409" s="546"/>
      <c r="W409" s="546"/>
      <c r="X409" s="546"/>
      <c r="Y409" s="546"/>
      <c r="Z409" s="546"/>
      <c r="AA409" s="546"/>
      <c r="AB409" s="546"/>
      <c r="AC409" s="546"/>
      <c r="AD409" s="546"/>
      <c r="AE409" s="546"/>
      <c r="AF409" s="546"/>
      <c r="AG409" s="546"/>
      <c r="AH409" s="546"/>
      <c r="AI409" s="546"/>
      <c r="AJ409" s="546"/>
      <c r="AK409" s="546"/>
      <c r="AL409" s="546"/>
      <c r="AM409" s="546"/>
      <c r="AN409" s="546"/>
      <c r="AO409" s="546"/>
      <c r="AP409" s="546"/>
      <c r="AQ409" s="546"/>
      <c r="AR409" s="546"/>
      <c r="AS409" s="546"/>
      <c r="AT409" s="546"/>
      <c r="AU409" s="546"/>
      <c r="AV409" s="546"/>
      <c r="AW409" s="546"/>
      <c r="AX409" s="546"/>
      <c r="AY409" s="546"/>
      <c r="AZ409" s="546"/>
    </row>
    <row r="410" spans="3:52">
      <c r="C410" s="490"/>
      <c r="D410" s="490"/>
      <c r="E410" s="490"/>
      <c r="F410" s="490"/>
      <c r="G410" s="490"/>
      <c r="H410" s="490"/>
      <c r="I410" s="490"/>
      <c r="J410" s="490"/>
      <c r="K410" s="490"/>
      <c r="L410" s="490"/>
      <c r="M410" s="490"/>
      <c r="N410" s="490"/>
      <c r="O410" s="490"/>
      <c r="P410" s="490"/>
      <c r="Q410" s="490"/>
      <c r="R410" s="490"/>
      <c r="S410" s="490"/>
      <c r="T410" s="490"/>
      <c r="U410" s="490"/>
      <c r="V410" s="490"/>
      <c r="W410" s="490"/>
      <c r="X410" s="490"/>
      <c r="Y410" s="490"/>
      <c r="Z410" s="490"/>
      <c r="AA410" s="490"/>
      <c r="AB410" s="490"/>
      <c r="AC410" s="490"/>
      <c r="AD410" s="490"/>
      <c r="AE410" s="490"/>
      <c r="AF410" s="490"/>
      <c r="AG410" s="490"/>
      <c r="AH410" s="490"/>
      <c r="AI410" s="490"/>
      <c r="AJ410" s="490"/>
      <c r="AK410" s="490"/>
      <c r="AL410" s="490"/>
      <c r="AM410" s="490"/>
      <c r="AN410" s="490"/>
      <c r="AO410" s="490"/>
      <c r="AP410" s="490"/>
      <c r="AQ410" s="490"/>
      <c r="AR410" s="490"/>
      <c r="AS410" s="490"/>
      <c r="AT410" s="490"/>
      <c r="AU410" s="490"/>
      <c r="AV410" s="490"/>
      <c r="AW410" s="490"/>
      <c r="AX410" s="490"/>
      <c r="AY410" s="490"/>
      <c r="AZ410" s="490"/>
    </row>
    <row r="411" spans="3:52">
      <c r="C411" s="490"/>
      <c r="D411" s="490"/>
      <c r="E411" s="490"/>
      <c r="F411" s="490"/>
      <c r="G411" s="490"/>
      <c r="H411" s="490"/>
      <c r="I411" s="490"/>
      <c r="J411" s="490"/>
      <c r="K411" s="490"/>
      <c r="L411" s="490"/>
      <c r="M411" s="490"/>
      <c r="N411" s="490"/>
      <c r="O411" s="490"/>
      <c r="P411" s="490"/>
      <c r="Q411" s="490"/>
      <c r="R411" s="490"/>
      <c r="S411" s="490"/>
      <c r="T411" s="490"/>
      <c r="U411" s="490"/>
      <c r="V411" s="490"/>
      <c r="W411" s="490"/>
      <c r="X411" s="490"/>
      <c r="Y411" s="490"/>
      <c r="Z411" s="490"/>
      <c r="AA411" s="490"/>
      <c r="AB411" s="490"/>
      <c r="AC411" s="490"/>
      <c r="AD411" s="490"/>
      <c r="AE411" s="490"/>
      <c r="AF411" s="490"/>
      <c r="AG411" s="490"/>
      <c r="AH411" s="490"/>
      <c r="AI411" s="490"/>
      <c r="AJ411" s="490"/>
      <c r="AK411" s="490"/>
      <c r="AL411" s="490"/>
      <c r="AM411" s="490"/>
      <c r="AN411" s="490"/>
      <c r="AO411" s="490"/>
      <c r="AP411" s="490"/>
      <c r="AQ411" s="490"/>
      <c r="AR411" s="490"/>
      <c r="AS411" s="490"/>
      <c r="AT411" s="490"/>
      <c r="AU411" s="490"/>
      <c r="AV411" s="490"/>
      <c r="AW411" s="490"/>
      <c r="AX411" s="490"/>
      <c r="AY411" s="490"/>
      <c r="AZ411" s="490"/>
    </row>
    <row r="412" spans="3:52">
      <c r="C412" s="490"/>
      <c r="D412" s="490"/>
      <c r="E412" s="490"/>
      <c r="F412" s="490"/>
      <c r="G412" s="490"/>
      <c r="H412" s="490"/>
      <c r="I412" s="490"/>
      <c r="J412" s="490"/>
      <c r="K412" s="490"/>
      <c r="L412" s="490"/>
      <c r="M412" s="490"/>
      <c r="N412" s="490"/>
      <c r="O412" s="490"/>
      <c r="P412" s="490"/>
      <c r="Q412" s="490"/>
      <c r="R412" s="490"/>
      <c r="S412" s="490"/>
      <c r="T412" s="490"/>
      <c r="U412" s="490"/>
      <c r="V412" s="490"/>
      <c r="W412" s="490"/>
      <c r="X412" s="490"/>
      <c r="Y412" s="490"/>
      <c r="Z412" s="490"/>
      <c r="AA412" s="490"/>
      <c r="AB412" s="490"/>
      <c r="AC412" s="490"/>
      <c r="AD412" s="490"/>
      <c r="AE412" s="490"/>
      <c r="AF412" s="490"/>
      <c r="AG412" s="490"/>
      <c r="AH412" s="490"/>
      <c r="AI412" s="490"/>
      <c r="AJ412" s="490"/>
      <c r="AK412" s="490"/>
      <c r="AL412" s="490"/>
      <c r="AM412" s="490"/>
      <c r="AN412" s="490"/>
      <c r="AO412" s="490"/>
      <c r="AP412" s="490"/>
      <c r="AQ412" s="490"/>
      <c r="AR412" s="490"/>
      <c r="AS412" s="490"/>
      <c r="AT412" s="490"/>
      <c r="AU412" s="490"/>
      <c r="AV412" s="490"/>
      <c r="AW412" s="490"/>
      <c r="AX412" s="490"/>
      <c r="AY412" s="490"/>
      <c r="AZ412" s="490"/>
    </row>
    <row r="413" spans="3:52">
      <c r="C413" s="394"/>
      <c r="D413" s="394"/>
      <c r="E413" s="394"/>
      <c r="F413" s="394"/>
      <c r="G413" s="394"/>
      <c r="H413" s="394"/>
      <c r="I413" s="394"/>
      <c r="J413" s="394"/>
      <c r="K413" s="394"/>
      <c r="L413" s="394"/>
      <c r="M413" s="394"/>
      <c r="N413" s="394"/>
      <c r="O413" s="394"/>
      <c r="P413" s="394"/>
      <c r="Q413" s="394"/>
      <c r="R413" s="394"/>
      <c r="S413" s="394"/>
      <c r="T413" s="394"/>
      <c r="U413" s="394"/>
      <c r="V413" s="394"/>
      <c r="W413" s="394"/>
      <c r="X413" s="394"/>
      <c r="Y413" s="394"/>
      <c r="Z413" s="394"/>
      <c r="AA413" s="394"/>
      <c r="AB413" s="394"/>
      <c r="AC413" s="394"/>
      <c r="AD413" s="394"/>
      <c r="AE413" s="394"/>
      <c r="AF413" s="394"/>
      <c r="AG413" s="394"/>
      <c r="AH413" s="394"/>
      <c r="AI413" s="394"/>
      <c r="AJ413" s="394"/>
      <c r="AK413" s="394"/>
      <c r="AL413" s="394"/>
      <c r="AM413" s="394"/>
      <c r="AN413" s="394"/>
      <c r="AO413" s="394"/>
      <c r="AP413" s="394"/>
      <c r="AQ413" s="394"/>
      <c r="AR413" s="394"/>
      <c r="AS413" s="394"/>
      <c r="AT413" s="394"/>
      <c r="AU413" s="394"/>
      <c r="AV413" s="394"/>
      <c r="AW413" s="394"/>
      <c r="AX413" s="394"/>
      <c r="AY413" s="394"/>
      <c r="AZ413" s="394"/>
    </row>
    <row r="414" spans="3:52">
      <c r="C414" s="547"/>
      <c r="D414" s="394"/>
      <c r="E414" s="394"/>
      <c r="F414" s="394"/>
      <c r="G414" s="394"/>
      <c r="H414" s="547"/>
      <c r="I414" s="394"/>
      <c r="J414" s="394"/>
      <c r="K414" s="394"/>
      <c r="L414" s="394"/>
      <c r="M414" s="547"/>
      <c r="N414" s="394"/>
      <c r="O414" s="394"/>
      <c r="P414" s="394"/>
      <c r="Q414" s="394"/>
      <c r="R414" s="547"/>
      <c r="S414" s="394"/>
      <c r="T414" s="394"/>
      <c r="U414" s="394"/>
      <c r="V414" s="394"/>
      <c r="W414" s="547"/>
      <c r="X414" s="394"/>
      <c r="Y414" s="394"/>
      <c r="Z414" s="394"/>
      <c r="AA414" s="394"/>
      <c r="AB414" s="547"/>
      <c r="AC414" s="394"/>
      <c r="AD414" s="394"/>
      <c r="AE414" s="394"/>
      <c r="AF414" s="394"/>
      <c r="AG414" s="547"/>
      <c r="AH414" s="394"/>
      <c r="AI414" s="394"/>
      <c r="AJ414" s="394"/>
      <c r="AK414" s="394"/>
      <c r="AL414" s="547"/>
      <c r="AM414" s="394"/>
      <c r="AN414" s="394"/>
      <c r="AO414" s="394"/>
      <c r="AP414" s="394"/>
      <c r="AQ414" s="547"/>
      <c r="AR414" s="394"/>
      <c r="AS414" s="394"/>
      <c r="AT414" s="394"/>
      <c r="AU414" s="394"/>
      <c r="AV414" s="547"/>
      <c r="AW414" s="394"/>
      <c r="AX414" s="394"/>
      <c r="AY414" s="394"/>
      <c r="AZ414" s="394"/>
    </row>
    <row r="415" spans="3:52">
      <c r="C415" s="394"/>
      <c r="D415" s="394"/>
      <c r="E415" s="394"/>
      <c r="F415" s="394"/>
      <c r="G415" s="394"/>
      <c r="H415" s="394"/>
      <c r="I415" s="394"/>
      <c r="J415" s="394"/>
      <c r="K415" s="394"/>
      <c r="L415" s="394"/>
      <c r="M415" s="394"/>
      <c r="N415" s="394"/>
      <c r="O415" s="394"/>
      <c r="P415" s="394"/>
      <c r="Q415" s="394"/>
      <c r="R415" s="394"/>
      <c r="S415" s="394"/>
      <c r="T415" s="394"/>
      <c r="U415" s="394"/>
      <c r="V415" s="394"/>
      <c r="W415" s="394"/>
      <c r="X415" s="394"/>
      <c r="Y415" s="394"/>
      <c r="Z415" s="394"/>
      <c r="AA415" s="394"/>
      <c r="AB415" s="394"/>
      <c r="AC415" s="394"/>
      <c r="AD415" s="394"/>
      <c r="AE415" s="394"/>
      <c r="AF415" s="394"/>
      <c r="AG415" s="394"/>
      <c r="AH415" s="394"/>
      <c r="AI415" s="394"/>
      <c r="AJ415" s="394"/>
      <c r="AK415" s="394"/>
      <c r="AL415" s="394"/>
      <c r="AM415" s="394"/>
      <c r="AN415" s="394"/>
      <c r="AO415" s="394"/>
      <c r="AP415" s="394"/>
      <c r="AQ415" s="394"/>
      <c r="AR415" s="394"/>
      <c r="AS415" s="394"/>
      <c r="AT415" s="394"/>
      <c r="AU415" s="394"/>
      <c r="AV415" s="394"/>
      <c r="AW415" s="394"/>
      <c r="AX415" s="394"/>
      <c r="AY415" s="394"/>
      <c r="AZ415" s="394"/>
    </row>
    <row r="416" spans="3:52">
      <c r="C416" s="548"/>
      <c r="D416" s="543"/>
      <c r="E416" s="543"/>
      <c r="F416" s="543"/>
      <c r="G416" s="543"/>
      <c r="H416" s="548"/>
      <c r="I416" s="543"/>
      <c r="J416" s="543"/>
      <c r="K416" s="543"/>
      <c r="L416" s="543"/>
      <c r="M416" s="548"/>
      <c r="N416" s="543"/>
      <c r="O416" s="543"/>
      <c r="P416" s="543"/>
      <c r="Q416" s="543"/>
      <c r="R416" s="548"/>
      <c r="S416" s="543"/>
      <c r="T416" s="543"/>
      <c r="U416" s="543"/>
      <c r="V416" s="543"/>
      <c r="W416" s="548"/>
      <c r="X416" s="543"/>
      <c r="Y416" s="543"/>
      <c r="Z416" s="543"/>
      <c r="AA416" s="543"/>
      <c r="AB416" s="548"/>
      <c r="AC416" s="543"/>
      <c r="AD416" s="543"/>
      <c r="AE416" s="543"/>
      <c r="AF416" s="543"/>
      <c r="AG416" s="548"/>
      <c r="AH416" s="543"/>
      <c r="AI416" s="543"/>
      <c r="AJ416" s="543"/>
      <c r="AK416" s="543"/>
      <c r="AL416" s="548"/>
      <c r="AM416" s="543"/>
      <c r="AN416" s="543"/>
      <c r="AO416" s="543"/>
      <c r="AP416" s="543"/>
      <c r="AQ416" s="548"/>
      <c r="AR416" s="543"/>
      <c r="AS416" s="543"/>
      <c r="AT416" s="543"/>
      <c r="AU416" s="543"/>
      <c r="AV416" s="548"/>
      <c r="AW416" s="543"/>
      <c r="AX416" s="543"/>
      <c r="AY416" s="543"/>
      <c r="AZ416" s="543"/>
    </row>
    <row r="417" spans="3:52">
      <c r="C417" s="547"/>
      <c r="D417" s="394"/>
      <c r="E417" s="394"/>
      <c r="F417" s="394"/>
      <c r="G417" s="394"/>
      <c r="H417" s="547"/>
      <c r="I417" s="394"/>
      <c r="J417" s="394"/>
      <c r="K417" s="394"/>
      <c r="L417" s="394"/>
      <c r="M417" s="547"/>
      <c r="N417" s="394"/>
      <c r="O417" s="394"/>
      <c r="P417" s="394"/>
      <c r="Q417" s="394"/>
      <c r="R417" s="547"/>
      <c r="S417" s="394"/>
      <c r="T417" s="394"/>
      <c r="U417" s="394"/>
      <c r="V417" s="394"/>
      <c r="W417" s="547"/>
      <c r="X417" s="394"/>
      <c r="Y417" s="394"/>
      <c r="Z417" s="394"/>
      <c r="AA417" s="394"/>
      <c r="AB417" s="547"/>
      <c r="AC417" s="394"/>
      <c r="AD417" s="394"/>
      <c r="AE417" s="394"/>
      <c r="AF417" s="394"/>
      <c r="AG417" s="547"/>
      <c r="AH417" s="394"/>
      <c r="AI417" s="394"/>
      <c r="AJ417" s="394"/>
      <c r="AK417" s="394"/>
      <c r="AL417" s="547"/>
      <c r="AM417" s="394"/>
      <c r="AN417" s="394"/>
      <c r="AO417" s="394"/>
      <c r="AP417" s="394"/>
      <c r="AQ417" s="547"/>
      <c r="AR417" s="394"/>
      <c r="AS417" s="394"/>
      <c r="AT417" s="394"/>
      <c r="AU417" s="394"/>
      <c r="AV417" s="547"/>
      <c r="AW417" s="394"/>
      <c r="AX417" s="394"/>
      <c r="AY417" s="394"/>
      <c r="AZ417" s="394"/>
    </row>
    <row r="418" spans="3:52">
      <c r="C418" s="547"/>
      <c r="D418" s="394"/>
      <c r="E418" s="394"/>
      <c r="F418" s="394"/>
      <c r="G418" s="394"/>
      <c r="H418" s="547"/>
      <c r="I418" s="394"/>
      <c r="J418" s="394"/>
      <c r="K418" s="394"/>
      <c r="L418" s="394"/>
      <c r="M418" s="547"/>
      <c r="N418" s="394"/>
      <c r="O418" s="394"/>
      <c r="P418" s="394"/>
      <c r="Q418" s="394"/>
      <c r="R418" s="547"/>
      <c r="S418" s="394"/>
      <c r="T418" s="394"/>
      <c r="U418" s="394"/>
      <c r="V418" s="394"/>
      <c r="W418" s="547"/>
      <c r="X418" s="394"/>
      <c r="Y418" s="394"/>
      <c r="Z418" s="394"/>
      <c r="AA418" s="394"/>
      <c r="AB418" s="547"/>
      <c r="AC418" s="394"/>
      <c r="AD418" s="394"/>
      <c r="AE418" s="394"/>
      <c r="AF418" s="394"/>
      <c r="AG418" s="547"/>
      <c r="AH418" s="394"/>
      <c r="AI418" s="394"/>
      <c r="AJ418" s="394"/>
      <c r="AK418" s="394"/>
      <c r="AL418" s="547"/>
      <c r="AM418" s="394"/>
      <c r="AN418" s="394"/>
      <c r="AO418" s="394"/>
      <c r="AP418" s="394"/>
      <c r="AQ418" s="547"/>
      <c r="AR418" s="394"/>
      <c r="AS418" s="394"/>
      <c r="AT418" s="394"/>
      <c r="AU418" s="394"/>
      <c r="AV418" s="547"/>
      <c r="AW418" s="394"/>
      <c r="AX418" s="394"/>
      <c r="AY418" s="394"/>
      <c r="AZ418" s="394"/>
    </row>
    <row r="419" spans="3:52">
      <c r="C419" s="394"/>
      <c r="D419" s="394"/>
      <c r="E419" s="394"/>
      <c r="F419" s="394"/>
      <c r="G419" s="394"/>
      <c r="H419" s="394"/>
      <c r="I419" s="394"/>
      <c r="J419" s="394"/>
      <c r="K419" s="394"/>
      <c r="L419" s="394"/>
      <c r="M419" s="394"/>
      <c r="N419" s="394"/>
      <c r="O419" s="394"/>
      <c r="P419" s="394"/>
      <c r="Q419" s="394"/>
      <c r="R419" s="394"/>
      <c r="S419" s="394"/>
      <c r="T419" s="394"/>
      <c r="U419" s="394"/>
      <c r="V419" s="394"/>
      <c r="W419" s="394"/>
      <c r="X419" s="394"/>
      <c r="Y419" s="394"/>
      <c r="Z419" s="394"/>
      <c r="AA419" s="394"/>
      <c r="AB419" s="394"/>
      <c r="AC419" s="394"/>
      <c r="AD419" s="394"/>
      <c r="AE419" s="394"/>
      <c r="AF419" s="394"/>
      <c r="AG419" s="394"/>
      <c r="AH419" s="394"/>
      <c r="AI419" s="394"/>
      <c r="AJ419" s="394"/>
      <c r="AK419" s="394"/>
      <c r="AL419" s="394"/>
      <c r="AM419" s="394"/>
      <c r="AN419" s="394"/>
      <c r="AO419" s="394"/>
      <c r="AP419" s="394"/>
      <c r="AQ419" s="394"/>
      <c r="AR419" s="394"/>
      <c r="AS419" s="394"/>
      <c r="AT419" s="394"/>
      <c r="AU419" s="394"/>
      <c r="AV419" s="394"/>
      <c r="AW419" s="394"/>
      <c r="AX419" s="394"/>
      <c r="AY419" s="394"/>
      <c r="AZ419" s="394"/>
    </row>
    <row r="420" spans="3:52">
      <c r="C420" s="394"/>
      <c r="D420" s="394"/>
      <c r="E420" s="394"/>
      <c r="F420" s="394"/>
      <c r="G420" s="394"/>
      <c r="H420" s="394"/>
      <c r="I420" s="394"/>
      <c r="J420" s="394"/>
      <c r="K420" s="394"/>
      <c r="L420" s="394"/>
      <c r="M420" s="394"/>
      <c r="N420" s="394"/>
      <c r="O420" s="394"/>
      <c r="P420" s="394"/>
      <c r="Q420" s="394"/>
      <c r="R420" s="394"/>
      <c r="S420" s="394"/>
      <c r="T420" s="394"/>
      <c r="U420" s="394"/>
      <c r="V420" s="394"/>
      <c r="W420" s="394"/>
      <c r="X420" s="394"/>
      <c r="Y420" s="394"/>
      <c r="Z420" s="394"/>
      <c r="AA420" s="394"/>
      <c r="AB420" s="394"/>
      <c r="AC420" s="394"/>
      <c r="AD420" s="394"/>
      <c r="AE420" s="394"/>
      <c r="AF420" s="394"/>
      <c r="AG420" s="394"/>
      <c r="AH420" s="394"/>
      <c r="AI420" s="394"/>
      <c r="AJ420" s="394"/>
      <c r="AK420" s="394"/>
      <c r="AL420" s="394"/>
      <c r="AM420" s="394"/>
      <c r="AN420" s="394"/>
      <c r="AO420" s="394"/>
      <c r="AP420" s="394"/>
      <c r="AQ420" s="394"/>
      <c r="AR420" s="394"/>
      <c r="AS420" s="394"/>
      <c r="AT420" s="394"/>
      <c r="AU420" s="394"/>
      <c r="AV420" s="394"/>
      <c r="AW420" s="394"/>
      <c r="AX420" s="394"/>
      <c r="AY420" s="394"/>
      <c r="AZ420" s="394"/>
    </row>
    <row r="421" spans="3:52">
      <c r="C421" s="394"/>
      <c r="D421" s="394"/>
      <c r="E421" s="394"/>
      <c r="F421" s="394"/>
      <c r="G421" s="394"/>
      <c r="H421" s="394"/>
      <c r="I421" s="394"/>
      <c r="J421" s="394"/>
      <c r="K421" s="394"/>
      <c r="L421" s="394"/>
      <c r="M421" s="394"/>
      <c r="N421" s="394"/>
      <c r="O421" s="394"/>
      <c r="P421" s="394"/>
      <c r="Q421" s="394"/>
      <c r="R421" s="394"/>
      <c r="S421" s="394"/>
      <c r="T421" s="394"/>
      <c r="U421" s="394"/>
      <c r="V421" s="394"/>
      <c r="W421" s="394"/>
      <c r="X421" s="394"/>
      <c r="Y421" s="394"/>
      <c r="Z421" s="394"/>
      <c r="AA421" s="394"/>
      <c r="AB421" s="394"/>
      <c r="AC421" s="394"/>
      <c r="AD421" s="394"/>
      <c r="AE421" s="394"/>
      <c r="AF421" s="394"/>
      <c r="AG421" s="394"/>
      <c r="AH421" s="394"/>
      <c r="AI421" s="394"/>
      <c r="AJ421" s="394"/>
      <c r="AK421" s="394"/>
      <c r="AL421" s="394"/>
      <c r="AM421" s="394"/>
      <c r="AN421" s="394"/>
      <c r="AO421" s="394"/>
      <c r="AP421" s="394"/>
      <c r="AQ421" s="394"/>
      <c r="AR421" s="394"/>
      <c r="AS421" s="394"/>
      <c r="AT421" s="394"/>
      <c r="AU421" s="394"/>
      <c r="AV421" s="394"/>
      <c r="AW421" s="394"/>
      <c r="AX421" s="394"/>
      <c r="AY421" s="394"/>
      <c r="AZ421" s="394"/>
    </row>
    <row r="422" spans="3:52">
      <c r="C422" s="490"/>
      <c r="D422" s="394"/>
      <c r="E422" s="394"/>
      <c r="F422" s="394"/>
      <c r="G422" s="394"/>
      <c r="H422" s="490"/>
      <c r="I422" s="394"/>
      <c r="J422" s="394"/>
      <c r="K422" s="394"/>
      <c r="L422" s="394"/>
      <c r="M422" s="490"/>
      <c r="N422" s="394"/>
      <c r="O422" s="394"/>
      <c r="P422" s="394"/>
      <c r="Q422" s="394"/>
      <c r="R422" s="490"/>
      <c r="S422" s="394"/>
      <c r="T422" s="394"/>
      <c r="U422" s="394"/>
      <c r="V422" s="394"/>
      <c r="W422" s="490"/>
      <c r="X422" s="394"/>
      <c r="Y422" s="394"/>
      <c r="Z422" s="394"/>
      <c r="AA422" s="394"/>
      <c r="AB422" s="490"/>
      <c r="AC422" s="394"/>
      <c r="AD422" s="394"/>
      <c r="AE422" s="394"/>
      <c r="AF422" s="394"/>
      <c r="AG422" s="490"/>
      <c r="AH422" s="394"/>
      <c r="AI422" s="394"/>
      <c r="AJ422" s="394"/>
      <c r="AK422" s="394"/>
      <c r="AL422" s="490"/>
      <c r="AM422" s="394"/>
      <c r="AN422" s="394"/>
      <c r="AO422" s="394"/>
      <c r="AP422" s="394"/>
      <c r="AQ422" s="490"/>
      <c r="AR422" s="394"/>
      <c r="AS422" s="394"/>
      <c r="AT422" s="394"/>
      <c r="AU422" s="394"/>
      <c r="AV422" s="490"/>
      <c r="AW422" s="394"/>
      <c r="AX422" s="394"/>
      <c r="AY422" s="394"/>
      <c r="AZ422" s="394"/>
    </row>
    <row r="423" spans="3:52">
      <c r="C423" s="547"/>
      <c r="D423" s="394"/>
      <c r="E423" s="394"/>
      <c r="F423" s="394"/>
      <c r="G423" s="394"/>
      <c r="H423" s="547"/>
      <c r="I423" s="394"/>
      <c r="J423" s="394"/>
      <c r="K423" s="394"/>
      <c r="L423" s="394"/>
      <c r="M423" s="547"/>
      <c r="N423" s="394"/>
      <c r="O423" s="394"/>
      <c r="P423" s="394"/>
      <c r="Q423" s="394"/>
      <c r="R423" s="547"/>
      <c r="S423" s="394"/>
      <c r="T423" s="394"/>
      <c r="U423" s="394"/>
      <c r="V423" s="394"/>
      <c r="W423" s="547"/>
      <c r="X423" s="394"/>
      <c r="Y423" s="394"/>
      <c r="Z423" s="394"/>
      <c r="AA423" s="394"/>
      <c r="AB423" s="547"/>
      <c r="AC423" s="394"/>
      <c r="AD423" s="394"/>
      <c r="AE423" s="394"/>
      <c r="AF423" s="394"/>
      <c r="AG423" s="547"/>
      <c r="AH423" s="394"/>
      <c r="AI423" s="394"/>
      <c r="AJ423" s="394"/>
      <c r="AK423" s="394"/>
      <c r="AL423" s="547"/>
      <c r="AM423" s="394"/>
      <c r="AN423" s="394"/>
      <c r="AO423" s="394"/>
      <c r="AP423" s="394"/>
      <c r="AQ423" s="547"/>
      <c r="AR423" s="394"/>
      <c r="AS423" s="394"/>
      <c r="AT423" s="394"/>
      <c r="AU423" s="394"/>
      <c r="AV423" s="547"/>
      <c r="AW423" s="394"/>
      <c r="AX423" s="394"/>
      <c r="AY423" s="394"/>
      <c r="AZ423" s="394"/>
    </row>
    <row r="424" spans="3:52">
      <c r="C424" s="547"/>
      <c r="D424" s="394"/>
      <c r="E424" s="394"/>
      <c r="F424" s="394"/>
      <c r="G424" s="394"/>
      <c r="H424" s="547"/>
      <c r="I424" s="394"/>
      <c r="J424" s="394"/>
      <c r="K424" s="394"/>
      <c r="L424" s="394"/>
      <c r="M424" s="547"/>
      <c r="N424" s="394"/>
      <c r="O424" s="394"/>
      <c r="P424" s="394"/>
      <c r="Q424" s="394"/>
      <c r="R424" s="547"/>
      <c r="S424" s="394"/>
      <c r="T424" s="394"/>
      <c r="U424" s="394"/>
      <c r="V424" s="394"/>
      <c r="W424" s="547"/>
      <c r="X424" s="394"/>
      <c r="Y424" s="394"/>
      <c r="Z424" s="394"/>
      <c r="AA424" s="394"/>
      <c r="AB424" s="547"/>
      <c r="AC424" s="394"/>
      <c r="AD424" s="394"/>
      <c r="AE424" s="394"/>
      <c r="AF424" s="394"/>
      <c r="AG424" s="547"/>
      <c r="AH424" s="394"/>
      <c r="AI424" s="394"/>
      <c r="AJ424" s="394"/>
      <c r="AK424" s="394"/>
      <c r="AL424" s="547"/>
      <c r="AM424" s="394"/>
      <c r="AN424" s="394"/>
      <c r="AO424" s="394"/>
      <c r="AP424" s="394"/>
      <c r="AQ424" s="547"/>
      <c r="AR424" s="394"/>
      <c r="AS424" s="394"/>
      <c r="AT424" s="394"/>
      <c r="AU424" s="394"/>
      <c r="AV424" s="547"/>
      <c r="AW424" s="394"/>
      <c r="AX424" s="394"/>
      <c r="AY424" s="394"/>
      <c r="AZ424" s="394"/>
    </row>
    <row r="425" spans="3:52">
      <c r="C425" s="394"/>
      <c r="D425" s="394"/>
      <c r="E425" s="394"/>
      <c r="F425" s="394"/>
      <c r="G425" s="394"/>
      <c r="H425" s="394"/>
      <c r="I425" s="394"/>
      <c r="J425" s="394"/>
      <c r="K425" s="394"/>
      <c r="L425" s="394"/>
      <c r="M425" s="394"/>
      <c r="N425" s="394"/>
      <c r="O425" s="394"/>
      <c r="P425" s="394"/>
      <c r="Q425" s="394"/>
      <c r="R425" s="394"/>
      <c r="S425" s="394"/>
      <c r="T425" s="394"/>
      <c r="U425" s="394"/>
      <c r="V425" s="394"/>
      <c r="W425" s="394"/>
      <c r="X425" s="394"/>
      <c r="Y425" s="394"/>
      <c r="Z425" s="394"/>
      <c r="AA425" s="394"/>
      <c r="AB425" s="394"/>
      <c r="AC425" s="394"/>
      <c r="AD425" s="394"/>
      <c r="AE425" s="394"/>
      <c r="AF425" s="394"/>
      <c r="AG425" s="394"/>
      <c r="AH425" s="394"/>
      <c r="AI425" s="394"/>
      <c r="AJ425" s="394"/>
      <c r="AK425" s="394"/>
      <c r="AL425" s="394"/>
      <c r="AM425" s="394"/>
      <c r="AN425" s="394"/>
      <c r="AO425" s="394"/>
      <c r="AP425" s="394"/>
      <c r="AQ425" s="394"/>
      <c r="AR425" s="394"/>
      <c r="AS425" s="394"/>
      <c r="AT425" s="394"/>
      <c r="AU425" s="394"/>
      <c r="AV425" s="394"/>
      <c r="AW425" s="394"/>
      <c r="AX425" s="394"/>
      <c r="AY425" s="394"/>
      <c r="AZ425" s="394"/>
    </row>
    <row r="426" spans="3:52">
      <c r="C426" s="543"/>
      <c r="D426" s="543"/>
      <c r="E426" s="543"/>
      <c r="F426" s="543"/>
      <c r="G426" s="543"/>
      <c r="H426" s="543"/>
      <c r="I426" s="543"/>
      <c r="J426" s="543"/>
      <c r="K426" s="543"/>
      <c r="L426" s="543"/>
      <c r="M426" s="543"/>
      <c r="N426" s="543"/>
      <c r="O426" s="543"/>
      <c r="P426" s="543"/>
      <c r="Q426" s="543"/>
      <c r="R426" s="543"/>
      <c r="S426" s="543"/>
      <c r="T426" s="543"/>
      <c r="U426" s="543"/>
      <c r="V426" s="543"/>
      <c r="W426" s="543"/>
      <c r="X426" s="543"/>
      <c r="Y426" s="543"/>
      <c r="Z426" s="543"/>
      <c r="AA426" s="543"/>
      <c r="AB426" s="543"/>
      <c r="AC426" s="543"/>
      <c r="AD426" s="543"/>
      <c r="AE426" s="543"/>
      <c r="AF426" s="543"/>
      <c r="AG426" s="543"/>
      <c r="AH426" s="543"/>
      <c r="AI426" s="543"/>
      <c r="AJ426" s="543"/>
      <c r="AK426" s="543"/>
      <c r="AL426" s="543"/>
      <c r="AM426" s="543"/>
      <c r="AN426" s="543"/>
      <c r="AO426" s="543"/>
      <c r="AP426" s="543"/>
      <c r="AQ426" s="543"/>
      <c r="AR426" s="543"/>
      <c r="AS426" s="543"/>
      <c r="AT426" s="543"/>
      <c r="AU426" s="543"/>
      <c r="AV426" s="543"/>
      <c r="AW426" s="543"/>
      <c r="AX426" s="543"/>
      <c r="AY426" s="543"/>
      <c r="AZ426" s="543"/>
    </row>
    <row r="427" spans="3:52">
      <c r="C427" s="547"/>
      <c r="D427" s="394"/>
      <c r="E427" s="394"/>
      <c r="F427" s="394"/>
      <c r="G427" s="394"/>
      <c r="H427" s="547"/>
      <c r="I427" s="394"/>
      <c r="J427" s="394"/>
      <c r="K427" s="394"/>
      <c r="L427" s="394"/>
      <c r="M427" s="547"/>
      <c r="N427" s="394"/>
      <c r="O427" s="394"/>
      <c r="P427" s="394"/>
      <c r="Q427" s="394"/>
      <c r="R427" s="547"/>
      <c r="S427" s="394"/>
      <c r="T427" s="394"/>
      <c r="U427" s="394"/>
      <c r="V427" s="394"/>
      <c r="W427" s="547"/>
      <c r="X427" s="394"/>
      <c r="Y427" s="394"/>
      <c r="Z427" s="394"/>
      <c r="AA427" s="394"/>
      <c r="AB427" s="547"/>
      <c r="AC427" s="394"/>
      <c r="AD427" s="394"/>
      <c r="AE427" s="394"/>
      <c r="AF427" s="394"/>
      <c r="AG427" s="547"/>
      <c r="AH427" s="394"/>
      <c r="AI427" s="394"/>
      <c r="AJ427" s="394"/>
      <c r="AK427" s="394"/>
      <c r="AL427" s="547"/>
      <c r="AM427" s="394"/>
      <c r="AN427" s="394"/>
      <c r="AO427" s="394"/>
      <c r="AP427" s="394"/>
      <c r="AQ427" s="547"/>
      <c r="AR427" s="394"/>
      <c r="AS427" s="394"/>
      <c r="AT427" s="394"/>
      <c r="AU427" s="394"/>
      <c r="AV427" s="547"/>
      <c r="AW427" s="394"/>
      <c r="AX427" s="394"/>
      <c r="AY427" s="394"/>
      <c r="AZ427" s="394"/>
    </row>
    <row r="428" spans="3:52">
      <c r="C428" s="547"/>
      <c r="D428" s="394"/>
      <c r="E428" s="394"/>
      <c r="F428" s="394"/>
      <c r="G428" s="394"/>
      <c r="H428" s="547"/>
      <c r="I428" s="394"/>
      <c r="J428" s="394"/>
      <c r="K428" s="394"/>
      <c r="L428" s="394"/>
      <c r="M428" s="547"/>
      <c r="N428" s="394"/>
      <c r="O428" s="394"/>
      <c r="P428" s="394"/>
      <c r="Q428" s="394"/>
      <c r="R428" s="547"/>
      <c r="S428" s="394"/>
      <c r="T428" s="394"/>
      <c r="U428" s="394"/>
      <c r="V428" s="394"/>
      <c r="W428" s="547"/>
      <c r="X428" s="394"/>
      <c r="Y428" s="394"/>
      <c r="Z428" s="394"/>
      <c r="AA428" s="394"/>
      <c r="AB428" s="547"/>
      <c r="AC428" s="394"/>
      <c r="AD428" s="394"/>
      <c r="AE428" s="394"/>
      <c r="AF428" s="394"/>
      <c r="AG428" s="547"/>
      <c r="AH428" s="394"/>
      <c r="AI428" s="394"/>
      <c r="AJ428" s="394"/>
      <c r="AK428" s="394"/>
      <c r="AL428" s="547"/>
      <c r="AM428" s="394"/>
      <c r="AN428" s="394"/>
      <c r="AO428" s="394"/>
      <c r="AP428" s="394"/>
      <c r="AQ428" s="547"/>
      <c r="AR428" s="394"/>
      <c r="AS428" s="394"/>
      <c r="AT428" s="394"/>
      <c r="AU428" s="394"/>
      <c r="AV428" s="547"/>
      <c r="AW428" s="394"/>
      <c r="AX428" s="394"/>
      <c r="AY428" s="394"/>
      <c r="AZ428" s="394"/>
    </row>
    <row r="429" spans="3:52">
      <c r="C429" s="546"/>
      <c r="D429" s="546"/>
      <c r="E429" s="546"/>
      <c r="F429" s="546"/>
      <c r="G429" s="546"/>
      <c r="H429" s="546"/>
      <c r="I429" s="546"/>
      <c r="J429" s="546"/>
      <c r="K429" s="546"/>
      <c r="L429" s="546"/>
      <c r="M429" s="546"/>
      <c r="N429" s="546"/>
      <c r="O429" s="546"/>
      <c r="P429" s="546"/>
      <c r="Q429" s="546"/>
      <c r="R429" s="546"/>
      <c r="S429" s="546"/>
      <c r="T429" s="546"/>
      <c r="U429" s="546"/>
      <c r="V429" s="546"/>
      <c r="W429" s="546"/>
      <c r="X429" s="546"/>
      <c r="Y429" s="546"/>
      <c r="Z429" s="546"/>
      <c r="AA429" s="546"/>
      <c r="AB429" s="546"/>
      <c r="AC429" s="546"/>
      <c r="AD429" s="546"/>
      <c r="AE429" s="546"/>
      <c r="AF429" s="546"/>
      <c r="AG429" s="546"/>
      <c r="AH429" s="546"/>
      <c r="AI429" s="546"/>
      <c r="AJ429" s="546"/>
      <c r="AK429" s="546"/>
      <c r="AL429" s="546"/>
      <c r="AM429" s="546"/>
      <c r="AN429" s="546"/>
      <c r="AO429" s="546"/>
      <c r="AP429" s="546"/>
      <c r="AQ429" s="546"/>
      <c r="AR429" s="546"/>
      <c r="AS429" s="546"/>
      <c r="AT429" s="546"/>
      <c r="AU429" s="546"/>
      <c r="AV429" s="546"/>
      <c r="AW429" s="546"/>
      <c r="AX429" s="546"/>
      <c r="AY429" s="546"/>
      <c r="AZ429" s="546"/>
    </row>
    <row r="430" spans="3:52">
      <c r="C430" s="541"/>
      <c r="D430" s="541"/>
      <c r="E430" s="541"/>
      <c r="F430" s="541"/>
      <c r="G430" s="541"/>
      <c r="H430" s="541"/>
      <c r="I430" s="541"/>
      <c r="J430" s="541"/>
      <c r="K430" s="541"/>
      <c r="L430" s="541"/>
      <c r="M430" s="541"/>
      <c r="N430" s="541"/>
      <c r="O430" s="541"/>
      <c r="P430" s="541"/>
      <c r="Q430" s="541"/>
      <c r="R430" s="541"/>
      <c r="S430" s="541"/>
      <c r="T430" s="541"/>
      <c r="U430" s="541"/>
      <c r="V430" s="541"/>
      <c r="W430" s="541"/>
      <c r="X430" s="541"/>
      <c r="Y430" s="541"/>
      <c r="Z430" s="541"/>
      <c r="AA430" s="541"/>
      <c r="AB430" s="541"/>
      <c r="AC430" s="541"/>
      <c r="AD430" s="541"/>
      <c r="AE430" s="541"/>
      <c r="AF430" s="541"/>
      <c r="AG430" s="541"/>
      <c r="AH430" s="541"/>
      <c r="AI430" s="541"/>
      <c r="AJ430" s="541"/>
      <c r="AK430" s="541"/>
      <c r="AL430" s="541"/>
      <c r="AM430" s="541"/>
      <c r="AN430" s="541"/>
      <c r="AO430" s="541"/>
      <c r="AP430" s="541"/>
      <c r="AQ430" s="541"/>
      <c r="AR430" s="541"/>
      <c r="AS430" s="541"/>
      <c r="AT430" s="541"/>
      <c r="AU430" s="541"/>
      <c r="AV430" s="541"/>
      <c r="AW430" s="541"/>
      <c r="AX430" s="541"/>
      <c r="AY430" s="541"/>
      <c r="AZ430" s="541"/>
    </row>
    <row r="431" spans="3:52">
      <c r="C431" s="394"/>
      <c r="D431" s="394"/>
      <c r="E431" s="394"/>
      <c r="F431" s="394"/>
      <c r="G431" s="394"/>
      <c r="H431" s="394"/>
      <c r="I431" s="394"/>
      <c r="J431" s="394"/>
      <c r="K431" s="394"/>
      <c r="L431" s="394"/>
      <c r="M431" s="394"/>
      <c r="N431" s="394"/>
      <c r="O431" s="394"/>
      <c r="P431" s="394"/>
      <c r="Q431" s="394"/>
      <c r="R431" s="394"/>
      <c r="S431" s="394"/>
      <c r="T431" s="394"/>
      <c r="U431" s="394"/>
      <c r="V431" s="394"/>
      <c r="W431" s="394"/>
      <c r="X431" s="394"/>
      <c r="Y431" s="394"/>
      <c r="Z431" s="394"/>
      <c r="AA431" s="394"/>
      <c r="AB431" s="394"/>
      <c r="AC431" s="394"/>
      <c r="AD431" s="394"/>
      <c r="AE431" s="394"/>
      <c r="AF431" s="394"/>
      <c r="AG431" s="394"/>
      <c r="AH431" s="394"/>
      <c r="AI431" s="394"/>
      <c r="AJ431" s="394"/>
      <c r="AK431" s="394"/>
      <c r="AL431" s="394"/>
      <c r="AM431" s="394"/>
      <c r="AN431" s="394"/>
      <c r="AO431" s="394"/>
      <c r="AP431" s="394"/>
      <c r="AQ431" s="394"/>
      <c r="AR431" s="394"/>
      <c r="AS431" s="394"/>
      <c r="AT431" s="394"/>
      <c r="AU431" s="394"/>
      <c r="AV431" s="394"/>
      <c r="AW431" s="394"/>
      <c r="AX431" s="394"/>
      <c r="AY431" s="394"/>
      <c r="AZ431" s="394"/>
    </row>
    <row r="432" spans="3:52">
      <c r="C432" s="490"/>
      <c r="D432" s="490"/>
      <c r="E432" s="490"/>
      <c r="F432" s="490"/>
      <c r="G432" s="490"/>
      <c r="H432" s="490"/>
      <c r="I432" s="490"/>
      <c r="J432" s="490"/>
      <c r="K432" s="490"/>
      <c r="L432" s="490"/>
      <c r="M432" s="490"/>
      <c r="N432" s="490"/>
      <c r="O432" s="490"/>
      <c r="P432" s="490"/>
      <c r="Q432" s="490"/>
      <c r="R432" s="490"/>
      <c r="S432" s="490"/>
      <c r="T432" s="490"/>
      <c r="U432" s="490"/>
      <c r="V432" s="490"/>
      <c r="W432" s="490"/>
      <c r="X432" s="490"/>
      <c r="Y432" s="490"/>
      <c r="Z432" s="490"/>
      <c r="AA432" s="490"/>
      <c r="AB432" s="490"/>
      <c r="AC432" s="490"/>
      <c r="AD432" s="490"/>
      <c r="AE432" s="490"/>
      <c r="AF432" s="490"/>
      <c r="AG432" s="490"/>
      <c r="AH432" s="490"/>
      <c r="AI432" s="490"/>
      <c r="AJ432" s="490"/>
      <c r="AK432" s="490"/>
      <c r="AL432" s="490"/>
      <c r="AM432" s="490"/>
      <c r="AN432" s="490"/>
      <c r="AO432" s="490"/>
      <c r="AP432" s="490"/>
      <c r="AQ432" s="490"/>
      <c r="AR432" s="490"/>
      <c r="AS432" s="490"/>
      <c r="AT432" s="490"/>
      <c r="AU432" s="490"/>
      <c r="AV432" s="490"/>
      <c r="AW432" s="490"/>
      <c r="AX432" s="490"/>
      <c r="AY432" s="490"/>
      <c r="AZ432" s="490"/>
    </row>
    <row r="433" spans="3:52">
      <c r="C433" s="543"/>
      <c r="D433" s="543"/>
      <c r="E433" s="543"/>
      <c r="F433" s="543"/>
      <c r="G433" s="543"/>
      <c r="H433" s="543"/>
      <c r="I433" s="543"/>
      <c r="J433" s="543"/>
      <c r="K433" s="543"/>
      <c r="L433" s="543"/>
      <c r="M433" s="543"/>
      <c r="N433" s="543"/>
      <c r="O433" s="543"/>
      <c r="P433" s="543"/>
      <c r="Q433" s="543"/>
      <c r="R433" s="543"/>
      <c r="S433" s="543"/>
      <c r="T433" s="543"/>
      <c r="U433" s="543"/>
      <c r="V433" s="543"/>
      <c r="W433" s="543"/>
      <c r="X433" s="543"/>
      <c r="Y433" s="543"/>
      <c r="Z433" s="543"/>
      <c r="AA433" s="543"/>
      <c r="AB433" s="543"/>
      <c r="AC433" s="543"/>
      <c r="AD433" s="543"/>
      <c r="AE433" s="543"/>
      <c r="AF433" s="543"/>
      <c r="AG433" s="543"/>
      <c r="AH433" s="543"/>
      <c r="AI433" s="543"/>
      <c r="AJ433" s="543"/>
      <c r="AK433" s="543"/>
      <c r="AL433" s="543"/>
      <c r="AM433" s="543"/>
      <c r="AN433" s="543"/>
      <c r="AO433" s="543"/>
      <c r="AP433" s="543"/>
      <c r="AQ433" s="543"/>
      <c r="AR433" s="543"/>
      <c r="AS433" s="543"/>
      <c r="AT433" s="543"/>
      <c r="AU433" s="543"/>
      <c r="AV433" s="543"/>
      <c r="AW433" s="543"/>
      <c r="AX433" s="543"/>
      <c r="AY433" s="543"/>
      <c r="AZ433" s="543"/>
    </row>
    <row r="434" spans="3:52">
      <c r="C434" s="543"/>
      <c r="D434" s="543"/>
      <c r="E434" s="543"/>
      <c r="F434" s="543"/>
      <c r="G434" s="543"/>
      <c r="H434" s="543"/>
      <c r="I434" s="543"/>
      <c r="J434" s="543"/>
      <c r="K434" s="543"/>
      <c r="L434" s="543"/>
      <c r="M434" s="543"/>
      <c r="N434" s="543"/>
      <c r="O434" s="543"/>
      <c r="P434" s="543"/>
      <c r="Q434" s="543"/>
      <c r="R434" s="543"/>
      <c r="S434" s="543"/>
      <c r="T434" s="543"/>
      <c r="U434" s="543"/>
      <c r="V434" s="543"/>
      <c r="W434" s="543"/>
      <c r="X434" s="543"/>
      <c r="Y434" s="543"/>
      <c r="Z434" s="543"/>
      <c r="AA434" s="543"/>
      <c r="AB434" s="543"/>
      <c r="AC434" s="543"/>
      <c r="AD434" s="543"/>
      <c r="AE434" s="543"/>
      <c r="AF434" s="543"/>
      <c r="AG434" s="543"/>
      <c r="AH434" s="543"/>
      <c r="AI434" s="543"/>
      <c r="AJ434" s="543"/>
      <c r="AK434" s="543"/>
      <c r="AL434" s="543"/>
      <c r="AM434" s="543"/>
      <c r="AN434" s="543"/>
      <c r="AO434" s="543"/>
      <c r="AP434" s="543"/>
      <c r="AQ434" s="543"/>
      <c r="AR434" s="543"/>
      <c r="AS434" s="543"/>
      <c r="AT434" s="543"/>
      <c r="AU434" s="543"/>
      <c r="AV434" s="543"/>
      <c r="AW434" s="543"/>
      <c r="AX434" s="543"/>
      <c r="AY434" s="543"/>
      <c r="AZ434" s="543"/>
    </row>
    <row r="435" spans="3:52">
      <c r="C435" s="546"/>
      <c r="D435" s="546"/>
      <c r="E435" s="546"/>
      <c r="F435" s="546"/>
      <c r="G435" s="546"/>
      <c r="H435" s="546"/>
      <c r="I435" s="546"/>
      <c r="J435" s="546"/>
      <c r="K435" s="546"/>
      <c r="L435" s="546"/>
      <c r="M435" s="546"/>
      <c r="N435" s="546"/>
      <c r="O435" s="546"/>
      <c r="P435" s="546"/>
      <c r="Q435" s="546"/>
      <c r="R435" s="546"/>
      <c r="S435" s="546"/>
      <c r="T435" s="546"/>
      <c r="U435" s="546"/>
      <c r="V435" s="546"/>
      <c r="W435" s="546"/>
      <c r="X435" s="546"/>
      <c r="Y435" s="546"/>
      <c r="Z435" s="546"/>
      <c r="AA435" s="546"/>
      <c r="AB435" s="546"/>
      <c r="AC435" s="546"/>
      <c r="AD435" s="546"/>
      <c r="AE435" s="546"/>
      <c r="AF435" s="546"/>
      <c r="AG435" s="546"/>
      <c r="AH435" s="546"/>
      <c r="AI435" s="546"/>
      <c r="AJ435" s="546"/>
      <c r="AK435" s="546"/>
      <c r="AL435" s="546"/>
      <c r="AM435" s="546"/>
      <c r="AN435" s="546"/>
      <c r="AO435" s="546"/>
      <c r="AP435" s="546"/>
      <c r="AQ435" s="546"/>
      <c r="AR435" s="546"/>
      <c r="AS435" s="546"/>
      <c r="AT435" s="546"/>
      <c r="AU435" s="546"/>
      <c r="AV435" s="546"/>
      <c r="AW435" s="546"/>
      <c r="AX435" s="546"/>
      <c r="AY435" s="546"/>
      <c r="AZ435" s="546"/>
    </row>
    <row r="436" spans="3:52">
      <c r="C436" s="544"/>
      <c r="D436" s="545"/>
      <c r="E436" s="545"/>
      <c r="F436" s="545"/>
      <c r="G436" s="545"/>
      <c r="H436" s="544"/>
      <c r="I436" s="545"/>
      <c r="J436" s="545"/>
      <c r="K436" s="545"/>
      <c r="L436" s="545"/>
      <c r="M436" s="544"/>
      <c r="N436" s="545"/>
      <c r="O436" s="545"/>
      <c r="P436" s="545"/>
      <c r="Q436" s="545"/>
      <c r="R436" s="544"/>
      <c r="S436" s="545"/>
      <c r="T436" s="545"/>
      <c r="U436" s="545"/>
      <c r="V436" s="545"/>
      <c r="W436" s="544"/>
      <c r="X436" s="545"/>
      <c r="Y436" s="545"/>
      <c r="Z436" s="545"/>
      <c r="AA436" s="545"/>
      <c r="AB436" s="544"/>
      <c r="AC436" s="545"/>
      <c r="AD436" s="545"/>
      <c r="AE436" s="545"/>
      <c r="AF436" s="545"/>
      <c r="AG436" s="544"/>
      <c r="AH436" s="545"/>
      <c r="AI436" s="545"/>
      <c r="AJ436" s="545"/>
      <c r="AK436" s="545"/>
      <c r="AL436" s="544"/>
      <c r="AM436" s="545"/>
      <c r="AN436" s="545"/>
      <c r="AO436" s="545"/>
      <c r="AP436" s="545"/>
      <c r="AQ436" s="544"/>
      <c r="AR436" s="545"/>
      <c r="AS436" s="545"/>
      <c r="AT436" s="545"/>
      <c r="AU436" s="545"/>
      <c r="AV436" s="544"/>
      <c r="AW436" s="545"/>
      <c r="AX436" s="545"/>
      <c r="AY436" s="545"/>
      <c r="AZ436" s="545"/>
    </row>
    <row r="437" spans="3:52">
      <c r="C437" s="544"/>
      <c r="D437" s="545"/>
      <c r="E437" s="545"/>
      <c r="F437" s="545"/>
      <c r="G437" s="545"/>
      <c r="H437" s="544"/>
      <c r="I437" s="545"/>
      <c r="J437" s="545"/>
      <c r="K437" s="545"/>
      <c r="L437" s="545"/>
      <c r="M437" s="544"/>
      <c r="N437" s="545"/>
      <c r="O437" s="545"/>
      <c r="P437" s="545"/>
      <c r="Q437" s="545"/>
      <c r="R437" s="544"/>
      <c r="S437" s="545"/>
      <c r="T437" s="545"/>
      <c r="U437" s="545"/>
      <c r="V437" s="545"/>
      <c r="W437" s="544"/>
      <c r="X437" s="545"/>
      <c r="Y437" s="545"/>
      <c r="Z437" s="545"/>
      <c r="AA437" s="545"/>
      <c r="AB437" s="544"/>
      <c r="AC437" s="545"/>
      <c r="AD437" s="545"/>
      <c r="AE437" s="545"/>
      <c r="AF437" s="545"/>
      <c r="AG437" s="544"/>
      <c r="AH437" s="545"/>
      <c r="AI437" s="545"/>
      <c r="AJ437" s="545"/>
      <c r="AK437" s="545"/>
      <c r="AL437" s="544"/>
      <c r="AM437" s="545"/>
      <c r="AN437" s="545"/>
      <c r="AO437" s="545"/>
      <c r="AP437" s="545"/>
      <c r="AQ437" s="544"/>
      <c r="AR437" s="545"/>
      <c r="AS437" s="545"/>
      <c r="AT437" s="545"/>
      <c r="AU437" s="545"/>
      <c r="AV437" s="544"/>
      <c r="AW437" s="545"/>
      <c r="AX437" s="545"/>
      <c r="AY437" s="545"/>
      <c r="AZ437" s="545"/>
    </row>
    <row r="438" spans="3:52">
      <c r="C438" s="544"/>
      <c r="D438" s="545"/>
      <c r="E438" s="545"/>
      <c r="F438" s="545"/>
      <c r="G438" s="545"/>
      <c r="H438" s="544"/>
      <c r="I438" s="545"/>
      <c r="J438" s="545"/>
      <c r="K438" s="545"/>
      <c r="L438" s="545"/>
      <c r="M438" s="544"/>
      <c r="N438" s="545"/>
      <c r="O438" s="545"/>
      <c r="P438" s="545"/>
      <c r="Q438" s="545"/>
      <c r="R438" s="544"/>
      <c r="S438" s="545"/>
      <c r="T438" s="545"/>
      <c r="U438" s="545"/>
      <c r="V438" s="545"/>
      <c r="W438" s="544"/>
      <c r="X438" s="545"/>
      <c r="Y438" s="545"/>
      <c r="Z438" s="545"/>
      <c r="AA438" s="545"/>
      <c r="AB438" s="544"/>
      <c r="AC438" s="545"/>
      <c r="AD438" s="545"/>
      <c r="AE438" s="545"/>
      <c r="AF438" s="545"/>
      <c r="AG438" s="544"/>
      <c r="AH438" s="545"/>
      <c r="AI438" s="545"/>
      <c r="AJ438" s="545"/>
      <c r="AK438" s="545"/>
      <c r="AL438" s="544"/>
      <c r="AM438" s="545"/>
      <c r="AN438" s="545"/>
      <c r="AO438" s="545"/>
      <c r="AP438" s="545"/>
      <c r="AQ438" s="544"/>
      <c r="AR438" s="545"/>
      <c r="AS438" s="545"/>
      <c r="AT438" s="545"/>
      <c r="AU438" s="545"/>
      <c r="AV438" s="544"/>
      <c r="AW438" s="545"/>
      <c r="AX438" s="545"/>
      <c r="AY438" s="545"/>
      <c r="AZ438" s="545"/>
    </row>
    <row r="439" spans="3:52">
      <c r="C439" s="490"/>
      <c r="D439" s="490"/>
      <c r="E439" s="490"/>
      <c r="F439" s="490"/>
      <c r="G439" s="490"/>
      <c r="H439" s="490"/>
      <c r="I439" s="490"/>
      <c r="J439" s="490"/>
      <c r="K439" s="490"/>
      <c r="L439" s="490"/>
      <c r="M439" s="490"/>
      <c r="N439" s="490"/>
      <c r="O439" s="490"/>
      <c r="P439" s="490"/>
      <c r="Q439" s="490"/>
      <c r="R439" s="490"/>
      <c r="S439" s="490"/>
      <c r="T439" s="490"/>
      <c r="U439" s="490"/>
      <c r="V439" s="490"/>
      <c r="W439" s="490"/>
      <c r="X439" s="490"/>
      <c r="Y439" s="490"/>
      <c r="Z439" s="490"/>
      <c r="AA439" s="490"/>
      <c r="AB439" s="490"/>
      <c r="AC439" s="490"/>
      <c r="AD439" s="490"/>
      <c r="AE439" s="490"/>
      <c r="AF439" s="490"/>
      <c r="AG439" s="490"/>
      <c r="AH439" s="490"/>
      <c r="AI439" s="490"/>
      <c r="AJ439" s="490"/>
      <c r="AK439" s="490"/>
      <c r="AL439" s="490"/>
      <c r="AM439" s="490"/>
      <c r="AN439" s="490"/>
      <c r="AO439" s="490"/>
      <c r="AP439" s="490"/>
      <c r="AQ439" s="490"/>
      <c r="AR439" s="490"/>
      <c r="AS439" s="490"/>
      <c r="AT439" s="490"/>
      <c r="AU439" s="490"/>
      <c r="AV439" s="490"/>
      <c r="AW439" s="490"/>
      <c r="AX439" s="490"/>
      <c r="AY439" s="490"/>
      <c r="AZ439" s="490"/>
    </row>
    <row r="440" spans="3:52">
      <c r="C440" s="549"/>
      <c r="D440" s="549"/>
      <c r="E440" s="549"/>
      <c r="F440" s="549"/>
      <c r="G440" s="549"/>
      <c r="H440" s="549"/>
      <c r="I440" s="549"/>
      <c r="J440" s="549"/>
      <c r="K440" s="549"/>
      <c r="L440" s="549"/>
      <c r="M440" s="549"/>
      <c r="N440" s="549"/>
      <c r="O440" s="549"/>
      <c r="P440" s="549"/>
      <c r="Q440" s="549"/>
      <c r="R440" s="549"/>
      <c r="S440" s="549"/>
      <c r="T440" s="549"/>
      <c r="U440" s="549"/>
      <c r="V440" s="549"/>
      <c r="W440" s="549"/>
      <c r="X440" s="549"/>
      <c r="Y440" s="549"/>
      <c r="Z440" s="549"/>
      <c r="AA440" s="549"/>
      <c r="AB440" s="549"/>
      <c r="AC440" s="549"/>
      <c r="AD440" s="549"/>
      <c r="AE440" s="549"/>
      <c r="AF440" s="549"/>
      <c r="AG440" s="549"/>
      <c r="AH440" s="549"/>
      <c r="AI440" s="549"/>
      <c r="AJ440" s="549"/>
      <c r="AK440" s="549"/>
      <c r="AL440" s="549"/>
      <c r="AM440" s="549"/>
      <c r="AN440" s="549"/>
      <c r="AO440" s="549"/>
      <c r="AP440" s="549"/>
      <c r="AQ440" s="549"/>
      <c r="AR440" s="549"/>
      <c r="AS440" s="549"/>
      <c r="AT440" s="549"/>
      <c r="AU440" s="549"/>
      <c r="AV440" s="549"/>
      <c r="AW440" s="549"/>
      <c r="AX440" s="549"/>
      <c r="AY440" s="549"/>
      <c r="AZ440" s="549"/>
    </row>
    <row r="441" spans="3:52">
      <c r="C441" s="490"/>
      <c r="D441" s="490"/>
      <c r="E441" s="490"/>
      <c r="F441" s="490"/>
      <c r="G441" s="490"/>
      <c r="H441" s="490"/>
      <c r="I441" s="490"/>
      <c r="J441" s="490"/>
      <c r="K441" s="490"/>
      <c r="L441" s="490"/>
      <c r="M441" s="490"/>
      <c r="N441" s="490"/>
      <c r="O441" s="490"/>
      <c r="P441" s="490"/>
      <c r="Q441" s="490"/>
      <c r="R441" s="490"/>
      <c r="S441" s="490"/>
      <c r="T441" s="490"/>
      <c r="U441" s="490"/>
      <c r="V441" s="490"/>
      <c r="W441" s="490"/>
      <c r="X441" s="490"/>
      <c r="Y441" s="490"/>
      <c r="Z441" s="490"/>
      <c r="AA441" s="490"/>
      <c r="AB441" s="490"/>
      <c r="AC441" s="490"/>
      <c r="AD441" s="490"/>
      <c r="AE441" s="490"/>
      <c r="AF441" s="490"/>
      <c r="AG441" s="490"/>
      <c r="AH441" s="490"/>
      <c r="AI441" s="490"/>
      <c r="AJ441" s="490"/>
      <c r="AK441" s="490"/>
      <c r="AL441" s="490"/>
      <c r="AM441" s="490"/>
      <c r="AN441" s="490"/>
      <c r="AO441" s="490"/>
      <c r="AP441" s="490"/>
      <c r="AQ441" s="490"/>
      <c r="AR441" s="490"/>
      <c r="AS441" s="490"/>
      <c r="AT441" s="490"/>
      <c r="AU441" s="490"/>
      <c r="AV441" s="490"/>
      <c r="AW441" s="490"/>
      <c r="AX441" s="490"/>
      <c r="AY441" s="490"/>
      <c r="AZ441" s="490"/>
    </row>
    <row r="442" spans="3:52">
      <c r="C442" s="394"/>
      <c r="D442" s="394"/>
      <c r="E442" s="394"/>
      <c r="F442" s="394"/>
      <c r="G442" s="394"/>
      <c r="H442" s="394"/>
      <c r="I442" s="394"/>
      <c r="J442" s="394"/>
      <c r="K442" s="394"/>
      <c r="L442" s="394"/>
      <c r="M442" s="394"/>
      <c r="N442" s="394"/>
      <c r="O442" s="394"/>
      <c r="P442" s="394"/>
      <c r="Q442" s="394"/>
      <c r="R442" s="394"/>
      <c r="S442" s="394"/>
      <c r="T442" s="394"/>
      <c r="U442" s="394"/>
      <c r="V442" s="394"/>
      <c r="W442" s="394"/>
      <c r="X442" s="394"/>
      <c r="Y442" s="394"/>
      <c r="Z442" s="394"/>
      <c r="AA442" s="394"/>
      <c r="AB442" s="394"/>
      <c r="AC442" s="394"/>
      <c r="AD442" s="394"/>
      <c r="AE442" s="394"/>
      <c r="AF442" s="394"/>
      <c r="AG442" s="394"/>
      <c r="AH442" s="394"/>
      <c r="AI442" s="394"/>
      <c r="AJ442" s="394"/>
      <c r="AK442" s="394"/>
      <c r="AL442" s="394"/>
      <c r="AM442" s="394"/>
      <c r="AN442" s="394"/>
      <c r="AO442" s="394"/>
      <c r="AP442" s="394"/>
      <c r="AQ442" s="394"/>
      <c r="AR442" s="394"/>
      <c r="AS442" s="394"/>
      <c r="AT442" s="394"/>
      <c r="AU442" s="394"/>
      <c r="AV442" s="394"/>
      <c r="AW442" s="394"/>
      <c r="AX442" s="394"/>
      <c r="AY442" s="394"/>
      <c r="AZ442" s="394"/>
    </row>
    <row r="443" spans="3:52">
      <c r="C443" s="490"/>
      <c r="D443" s="490"/>
      <c r="E443" s="490"/>
      <c r="F443" s="490"/>
      <c r="G443" s="490"/>
      <c r="H443" s="490"/>
      <c r="I443" s="490"/>
      <c r="J443" s="490"/>
      <c r="K443" s="490"/>
      <c r="L443" s="490"/>
      <c r="M443" s="490"/>
      <c r="N443" s="490"/>
      <c r="O443" s="490"/>
      <c r="P443" s="490"/>
      <c r="Q443" s="490"/>
      <c r="R443" s="490"/>
      <c r="S443" s="490"/>
      <c r="T443" s="490"/>
      <c r="U443" s="490"/>
      <c r="V443" s="490"/>
      <c r="W443" s="490"/>
      <c r="X443" s="490"/>
      <c r="Y443" s="490"/>
      <c r="Z443" s="490"/>
      <c r="AA443" s="490"/>
      <c r="AB443" s="490"/>
      <c r="AC443" s="490"/>
      <c r="AD443" s="490"/>
      <c r="AE443" s="490"/>
      <c r="AF443" s="490"/>
      <c r="AG443" s="490"/>
      <c r="AH443" s="490"/>
      <c r="AI443" s="490"/>
      <c r="AJ443" s="490"/>
      <c r="AK443" s="490"/>
      <c r="AL443" s="490"/>
      <c r="AM443" s="490"/>
      <c r="AN443" s="490"/>
      <c r="AO443" s="490"/>
      <c r="AP443" s="490"/>
      <c r="AQ443" s="490"/>
      <c r="AR443" s="490"/>
      <c r="AS443" s="490"/>
      <c r="AT443" s="490"/>
      <c r="AU443" s="490"/>
      <c r="AV443" s="490"/>
      <c r="AW443" s="490"/>
      <c r="AX443" s="490"/>
      <c r="AY443" s="490"/>
      <c r="AZ443" s="490"/>
    </row>
    <row r="444" spans="3:52">
      <c r="C444" s="490"/>
      <c r="D444" s="490"/>
      <c r="E444" s="490"/>
      <c r="F444" s="490"/>
      <c r="G444" s="490"/>
      <c r="H444" s="490"/>
      <c r="I444" s="490"/>
      <c r="J444" s="490"/>
      <c r="K444" s="490"/>
      <c r="L444" s="490"/>
      <c r="M444" s="490"/>
      <c r="N444" s="490"/>
      <c r="O444" s="490"/>
      <c r="P444" s="490"/>
      <c r="Q444" s="490"/>
      <c r="R444" s="490"/>
      <c r="S444" s="490"/>
      <c r="T444" s="490"/>
      <c r="U444" s="490"/>
      <c r="V444" s="490"/>
      <c r="W444" s="490"/>
      <c r="X444" s="490"/>
      <c r="Y444" s="490"/>
      <c r="Z444" s="490"/>
      <c r="AA444" s="490"/>
      <c r="AB444" s="490"/>
      <c r="AC444" s="490"/>
      <c r="AD444" s="490"/>
      <c r="AE444" s="490"/>
      <c r="AF444" s="490"/>
      <c r="AG444" s="490"/>
      <c r="AH444" s="490"/>
      <c r="AI444" s="490"/>
      <c r="AJ444" s="490"/>
      <c r="AK444" s="490"/>
      <c r="AL444" s="490"/>
      <c r="AM444" s="490"/>
      <c r="AN444" s="490"/>
      <c r="AO444" s="490"/>
      <c r="AP444" s="490"/>
      <c r="AQ444" s="490"/>
      <c r="AR444" s="490"/>
      <c r="AS444" s="490"/>
      <c r="AT444" s="490"/>
      <c r="AU444" s="490"/>
      <c r="AV444" s="490"/>
      <c r="AW444" s="490"/>
      <c r="AX444" s="490"/>
      <c r="AY444" s="490"/>
      <c r="AZ444" s="490"/>
    </row>
    <row r="445" spans="3:52">
      <c r="C445" s="519"/>
      <c r="D445" s="519"/>
      <c r="E445" s="519"/>
      <c r="F445" s="519"/>
      <c r="G445" s="519"/>
      <c r="H445" s="519"/>
      <c r="I445" s="519"/>
      <c r="J445" s="519"/>
      <c r="K445" s="519"/>
      <c r="L445" s="519"/>
      <c r="M445" s="519"/>
      <c r="N445" s="519"/>
      <c r="O445" s="519"/>
      <c r="P445" s="519"/>
      <c r="Q445" s="519"/>
      <c r="R445" s="519"/>
      <c r="S445" s="519"/>
      <c r="T445" s="519"/>
      <c r="U445" s="519"/>
      <c r="V445" s="519"/>
      <c r="W445" s="519"/>
      <c r="X445" s="519"/>
      <c r="Y445" s="519"/>
      <c r="Z445" s="519"/>
      <c r="AA445" s="519"/>
      <c r="AB445" s="519"/>
      <c r="AC445" s="519"/>
      <c r="AD445" s="519"/>
      <c r="AE445" s="519"/>
      <c r="AF445" s="519"/>
      <c r="AG445" s="519"/>
      <c r="AH445" s="519"/>
      <c r="AI445" s="519"/>
      <c r="AJ445" s="519"/>
      <c r="AK445" s="519"/>
      <c r="AL445" s="519"/>
      <c r="AM445" s="519"/>
      <c r="AN445" s="519"/>
      <c r="AO445" s="519"/>
      <c r="AP445" s="519"/>
      <c r="AQ445" s="519"/>
      <c r="AR445" s="519"/>
      <c r="AS445" s="519"/>
      <c r="AT445" s="519"/>
      <c r="AU445" s="519"/>
      <c r="AV445" s="519"/>
      <c r="AW445" s="519"/>
      <c r="AX445" s="519"/>
      <c r="AY445" s="519"/>
      <c r="AZ445" s="519"/>
    </row>
    <row r="446" spans="3:52">
      <c r="C446" s="541"/>
      <c r="D446" s="490"/>
      <c r="E446" s="490"/>
      <c r="F446" s="490"/>
      <c r="G446" s="490"/>
      <c r="H446" s="541"/>
      <c r="I446" s="490"/>
      <c r="J446" s="490"/>
      <c r="K446" s="490"/>
      <c r="L446" s="490"/>
      <c r="M446" s="541"/>
      <c r="N446" s="490"/>
      <c r="O446" s="490"/>
      <c r="P446" s="490"/>
      <c r="Q446" s="490"/>
      <c r="R446" s="541"/>
      <c r="S446" s="490"/>
      <c r="T446" s="490"/>
      <c r="U446" s="490"/>
      <c r="V446" s="490"/>
      <c r="W446" s="541"/>
      <c r="X446" s="490"/>
      <c r="Y446" s="490"/>
      <c r="Z446" s="490"/>
      <c r="AA446" s="490"/>
      <c r="AB446" s="541"/>
      <c r="AC446" s="490"/>
      <c r="AD446" s="490"/>
      <c r="AE446" s="490"/>
      <c r="AF446" s="490"/>
      <c r="AG446" s="541"/>
      <c r="AH446" s="490"/>
      <c r="AI446" s="490"/>
      <c r="AJ446" s="490"/>
      <c r="AK446" s="490"/>
      <c r="AL446" s="541"/>
      <c r="AM446" s="490"/>
      <c r="AN446" s="490"/>
      <c r="AO446" s="490"/>
      <c r="AP446" s="490"/>
      <c r="AQ446" s="541"/>
      <c r="AR446" s="490"/>
      <c r="AS446" s="490"/>
      <c r="AT446" s="490"/>
      <c r="AU446" s="490"/>
      <c r="AV446" s="541"/>
      <c r="AW446" s="490"/>
      <c r="AX446" s="490"/>
      <c r="AY446" s="490"/>
      <c r="AZ446" s="490"/>
    </row>
    <row r="447" spans="3:52">
      <c r="C447" s="541"/>
      <c r="D447" s="490"/>
      <c r="E447" s="490"/>
      <c r="F447" s="490"/>
      <c r="G447" s="490"/>
      <c r="H447" s="541"/>
      <c r="I447" s="490"/>
      <c r="J447" s="490"/>
      <c r="K447" s="490"/>
      <c r="L447" s="490"/>
      <c r="M447" s="541"/>
      <c r="N447" s="490"/>
      <c r="O447" s="490"/>
      <c r="P447" s="490"/>
      <c r="Q447" s="490"/>
      <c r="R447" s="541"/>
      <c r="S447" s="490"/>
      <c r="T447" s="490"/>
      <c r="U447" s="490"/>
      <c r="V447" s="490"/>
      <c r="W447" s="541"/>
      <c r="X447" s="490"/>
      <c r="Y447" s="490"/>
      <c r="Z447" s="490"/>
      <c r="AA447" s="490"/>
      <c r="AB447" s="541"/>
      <c r="AC447" s="490"/>
      <c r="AD447" s="490"/>
      <c r="AE447" s="490"/>
      <c r="AF447" s="490"/>
      <c r="AG447" s="541"/>
      <c r="AH447" s="490"/>
      <c r="AI447" s="490"/>
      <c r="AJ447" s="490"/>
      <c r="AK447" s="490"/>
      <c r="AL447" s="541"/>
      <c r="AM447" s="490"/>
      <c r="AN447" s="490"/>
      <c r="AO447" s="490"/>
      <c r="AP447" s="490"/>
      <c r="AQ447" s="541"/>
      <c r="AR447" s="490"/>
      <c r="AS447" s="490"/>
      <c r="AT447" s="490"/>
      <c r="AU447" s="490"/>
      <c r="AV447" s="541"/>
      <c r="AW447" s="490"/>
      <c r="AX447" s="490"/>
      <c r="AY447" s="490"/>
      <c r="AZ447" s="490"/>
    </row>
    <row r="448" spans="3:52">
      <c r="C448" s="542"/>
      <c r="D448" s="542"/>
      <c r="E448" s="542"/>
      <c r="F448" s="542"/>
      <c r="G448" s="542"/>
      <c r="H448" s="542"/>
      <c r="I448" s="542"/>
      <c r="J448" s="542"/>
      <c r="K448" s="542"/>
      <c r="L448" s="542"/>
      <c r="M448" s="542"/>
      <c r="N448" s="542"/>
      <c r="O448" s="542"/>
      <c r="P448" s="542"/>
      <c r="Q448" s="542"/>
      <c r="R448" s="542"/>
      <c r="S448" s="542"/>
      <c r="T448" s="542"/>
      <c r="U448" s="542"/>
      <c r="V448" s="542"/>
      <c r="W448" s="542"/>
      <c r="X448" s="542"/>
      <c r="Y448" s="542"/>
      <c r="Z448" s="542"/>
      <c r="AA448" s="542"/>
      <c r="AB448" s="542"/>
      <c r="AC448" s="542"/>
      <c r="AD448" s="542"/>
      <c r="AE448" s="542"/>
      <c r="AF448" s="542"/>
      <c r="AG448" s="542"/>
      <c r="AH448" s="542"/>
      <c r="AI448" s="542"/>
      <c r="AJ448" s="542"/>
      <c r="AK448" s="542"/>
      <c r="AL448" s="542"/>
      <c r="AM448" s="542"/>
      <c r="AN448" s="542"/>
      <c r="AO448" s="542"/>
      <c r="AP448" s="542"/>
      <c r="AQ448" s="542"/>
      <c r="AR448" s="542"/>
      <c r="AS448" s="542"/>
      <c r="AT448" s="542"/>
      <c r="AU448" s="542"/>
      <c r="AV448" s="542"/>
      <c r="AW448" s="542"/>
      <c r="AX448" s="542"/>
      <c r="AY448" s="542"/>
      <c r="AZ448" s="542"/>
    </row>
    <row r="449" spans="3:52">
      <c r="C449" s="490"/>
      <c r="D449" s="490"/>
      <c r="E449" s="490"/>
      <c r="F449" s="490"/>
      <c r="G449" s="490"/>
      <c r="H449" s="490"/>
      <c r="I449" s="490"/>
      <c r="J449" s="490"/>
      <c r="K449" s="490"/>
      <c r="L449" s="490"/>
      <c r="M449" s="490"/>
      <c r="N449" s="490"/>
      <c r="O449" s="490"/>
      <c r="P449" s="490"/>
      <c r="Q449" s="490"/>
      <c r="R449" s="490"/>
      <c r="S449" s="490"/>
      <c r="T449" s="490"/>
      <c r="U449" s="490"/>
      <c r="V449" s="490"/>
      <c r="W449" s="490"/>
      <c r="X449" s="490"/>
      <c r="Y449" s="490"/>
      <c r="Z449" s="490"/>
      <c r="AA449" s="490"/>
      <c r="AB449" s="490"/>
      <c r="AC449" s="490"/>
      <c r="AD449" s="490"/>
      <c r="AE449" s="490"/>
      <c r="AF449" s="490"/>
      <c r="AG449" s="490"/>
      <c r="AH449" s="490"/>
      <c r="AI449" s="490"/>
      <c r="AJ449" s="490"/>
      <c r="AK449" s="490"/>
      <c r="AL449" s="490"/>
      <c r="AM449" s="490"/>
      <c r="AN449" s="490"/>
      <c r="AO449" s="490"/>
      <c r="AP449" s="490"/>
      <c r="AQ449" s="490"/>
      <c r="AR449" s="490"/>
      <c r="AS449" s="490"/>
      <c r="AT449" s="490"/>
      <c r="AU449" s="490"/>
      <c r="AV449" s="490"/>
      <c r="AW449" s="490"/>
      <c r="AX449" s="490"/>
      <c r="AY449" s="490"/>
      <c r="AZ449" s="490"/>
    </row>
    <row r="450" spans="3:52">
      <c r="C450" s="541"/>
      <c r="D450" s="490"/>
      <c r="E450" s="490"/>
      <c r="F450" s="490"/>
      <c r="G450" s="490"/>
      <c r="H450" s="541"/>
      <c r="I450" s="490"/>
      <c r="J450" s="490"/>
      <c r="K450" s="490"/>
      <c r="L450" s="490"/>
      <c r="M450" s="541"/>
      <c r="N450" s="490"/>
      <c r="O450" s="490"/>
      <c r="P450" s="490"/>
      <c r="Q450" s="490"/>
      <c r="R450" s="541"/>
      <c r="S450" s="490"/>
      <c r="T450" s="490"/>
      <c r="U450" s="490"/>
      <c r="V450" s="490"/>
      <c r="W450" s="541"/>
      <c r="X450" s="490"/>
      <c r="Y450" s="490"/>
      <c r="Z450" s="490"/>
      <c r="AA450" s="490"/>
      <c r="AB450" s="541"/>
      <c r="AC450" s="490"/>
      <c r="AD450" s="490"/>
      <c r="AE450" s="490"/>
      <c r="AF450" s="490"/>
      <c r="AG450" s="541"/>
      <c r="AH450" s="490"/>
      <c r="AI450" s="490"/>
      <c r="AJ450" s="490"/>
      <c r="AK450" s="490"/>
      <c r="AL450" s="541"/>
      <c r="AM450" s="490"/>
      <c r="AN450" s="490"/>
      <c r="AO450" s="490"/>
      <c r="AP450" s="490"/>
      <c r="AQ450" s="541"/>
      <c r="AR450" s="490"/>
      <c r="AS450" s="490"/>
      <c r="AT450" s="490"/>
      <c r="AU450" s="490"/>
      <c r="AV450" s="541"/>
      <c r="AW450" s="490"/>
      <c r="AX450" s="490"/>
      <c r="AY450" s="490"/>
      <c r="AZ450" s="490"/>
    </row>
    <row r="451" spans="3:52">
      <c r="C451" s="541"/>
      <c r="D451" s="490"/>
      <c r="E451" s="490"/>
      <c r="F451" s="490"/>
      <c r="G451" s="490"/>
      <c r="H451" s="541"/>
      <c r="I451" s="490"/>
      <c r="J451" s="490"/>
      <c r="K451" s="490"/>
      <c r="L451" s="490"/>
      <c r="M451" s="541"/>
      <c r="N451" s="490"/>
      <c r="O451" s="490"/>
      <c r="P451" s="490"/>
      <c r="Q451" s="490"/>
      <c r="R451" s="541"/>
      <c r="S451" s="490"/>
      <c r="T451" s="490"/>
      <c r="U451" s="490"/>
      <c r="V451" s="490"/>
      <c r="W451" s="541"/>
      <c r="X451" s="490"/>
      <c r="Y451" s="490"/>
      <c r="Z451" s="490"/>
      <c r="AA451" s="490"/>
      <c r="AB451" s="541"/>
      <c r="AC451" s="490"/>
      <c r="AD451" s="490"/>
      <c r="AE451" s="490"/>
      <c r="AF451" s="490"/>
      <c r="AG451" s="541"/>
      <c r="AH451" s="490"/>
      <c r="AI451" s="490"/>
      <c r="AJ451" s="490"/>
      <c r="AK451" s="490"/>
      <c r="AL451" s="541"/>
      <c r="AM451" s="490"/>
      <c r="AN451" s="490"/>
      <c r="AO451" s="490"/>
      <c r="AP451" s="490"/>
      <c r="AQ451" s="541"/>
      <c r="AR451" s="490"/>
      <c r="AS451" s="490"/>
      <c r="AT451" s="490"/>
      <c r="AU451" s="490"/>
      <c r="AV451" s="541"/>
      <c r="AW451" s="490"/>
      <c r="AX451" s="490"/>
      <c r="AY451" s="490"/>
      <c r="AZ451" s="490"/>
    </row>
    <row r="452" spans="3:52">
      <c r="C452" s="541"/>
      <c r="D452" s="490"/>
      <c r="E452" s="490"/>
      <c r="F452" s="490"/>
      <c r="G452" s="490"/>
      <c r="H452" s="541"/>
      <c r="I452" s="490"/>
      <c r="J452" s="490"/>
      <c r="K452" s="490"/>
      <c r="L452" s="490"/>
      <c r="M452" s="541"/>
      <c r="N452" s="490"/>
      <c r="O452" s="490"/>
      <c r="P452" s="490"/>
      <c r="Q452" s="490"/>
      <c r="R452" s="541"/>
      <c r="S452" s="490"/>
      <c r="T452" s="490"/>
      <c r="U452" s="490"/>
      <c r="V452" s="490"/>
      <c r="W452" s="541"/>
      <c r="X452" s="490"/>
      <c r="Y452" s="490"/>
      <c r="Z452" s="490"/>
      <c r="AA452" s="490"/>
      <c r="AB452" s="541"/>
      <c r="AC452" s="490"/>
      <c r="AD452" s="490"/>
      <c r="AE452" s="490"/>
      <c r="AF452" s="490"/>
      <c r="AG452" s="541"/>
      <c r="AH452" s="490"/>
      <c r="AI452" s="490"/>
      <c r="AJ452" s="490"/>
      <c r="AK452" s="490"/>
      <c r="AL452" s="541"/>
      <c r="AM452" s="490"/>
      <c r="AN452" s="490"/>
      <c r="AO452" s="490"/>
      <c r="AP452" s="490"/>
      <c r="AQ452" s="541"/>
      <c r="AR452" s="490"/>
      <c r="AS452" s="490"/>
      <c r="AT452" s="490"/>
      <c r="AU452" s="490"/>
      <c r="AV452" s="541"/>
      <c r="AW452" s="490"/>
      <c r="AX452" s="490"/>
      <c r="AY452" s="490"/>
      <c r="AZ452" s="490"/>
    </row>
    <row r="453" spans="3:52">
      <c r="C453" s="541"/>
      <c r="D453" s="490"/>
      <c r="E453" s="490"/>
      <c r="F453" s="490"/>
      <c r="G453" s="490"/>
      <c r="H453" s="541"/>
      <c r="I453" s="490"/>
      <c r="J453" s="490"/>
      <c r="K453" s="490"/>
      <c r="L453" s="490"/>
      <c r="M453" s="541"/>
      <c r="N453" s="490"/>
      <c r="O453" s="490"/>
      <c r="P453" s="490"/>
      <c r="Q453" s="490"/>
      <c r="R453" s="541"/>
      <c r="S453" s="490"/>
      <c r="T453" s="490"/>
      <c r="U453" s="490"/>
      <c r="V453" s="490"/>
      <c r="W453" s="541"/>
      <c r="X453" s="490"/>
      <c r="Y453" s="490"/>
      <c r="Z453" s="490"/>
      <c r="AA453" s="490"/>
      <c r="AB453" s="541"/>
      <c r="AC453" s="490"/>
      <c r="AD453" s="490"/>
      <c r="AE453" s="490"/>
      <c r="AF453" s="490"/>
      <c r="AG453" s="541"/>
      <c r="AH453" s="490"/>
      <c r="AI453" s="490"/>
      <c r="AJ453" s="490"/>
      <c r="AK453" s="490"/>
      <c r="AL453" s="541"/>
      <c r="AM453" s="490"/>
      <c r="AN453" s="490"/>
      <c r="AO453" s="490"/>
      <c r="AP453" s="490"/>
      <c r="AQ453" s="541"/>
      <c r="AR453" s="490"/>
      <c r="AS453" s="490"/>
      <c r="AT453" s="490"/>
      <c r="AU453" s="490"/>
      <c r="AV453" s="541"/>
      <c r="AW453" s="490"/>
      <c r="AX453" s="490"/>
      <c r="AY453" s="490"/>
      <c r="AZ453" s="490"/>
    </row>
    <row r="454" spans="3:52">
      <c r="C454" s="541"/>
      <c r="D454" s="490"/>
      <c r="E454" s="490"/>
      <c r="F454" s="490"/>
      <c r="G454" s="490"/>
      <c r="H454" s="541"/>
      <c r="I454" s="490"/>
      <c r="J454" s="490"/>
      <c r="K454" s="490"/>
      <c r="L454" s="490"/>
      <c r="M454" s="541"/>
      <c r="N454" s="490"/>
      <c r="O454" s="490"/>
      <c r="P454" s="490"/>
      <c r="Q454" s="490"/>
      <c r="R454" s="541"/>
      <c r="S454" s="490"/>
      <c r="T454" s="490"/>
      <c r="U454" s="490"/>
      <c r="V454" s="490"/>
      <c r="W454" s="541"/>
      <c r="X454" s="490"/>
      <c r="Y454" s="490"/>
      <c r="Z454" s="490"/>
      <c r="AA454" s="490"/>
      <c r="AB454" s="541"/>
      <c r="AC454" s="490"/>
      <c r="AD454" s="490"/>
      <c r="AE454" s="490"/>
      <c r="AF454" s="490"/>
      <c r="AG454" s="541"/>
      <c r="AH454" s="490"/>
      <c r="AI454" s="490"/>
      <c r="AJ454" s="490"/>
      <c r="AK454" s="490"/>
      <c r="AL454" s="541"/>
      <c r="AM454" s="490"/>
      <c r="AN454" s="490"/>
      <c r="AO454" s="490"/>
      <c r="AP454" s="490"/>
      <c r="AQ454" s="541"/>
      <c r="AR454" s="490"/>
      <c r="AS454" s="490"/>
      <c r="AT454" s="490"/>
      <c r="AU454" s="490"/>
      <c r="AV454" s="541"/>
      <c r="AW454" s="490"/>
      <c r="AX454" s="490"/>
      <c r="AY454" s="490"/>
      <c r="AZ454" s="490"/>
    </row>
    <row r="455" spans="3:52">
      <c r="C455" s="541"/>
      <c r="D455" s="490"/>
      <c r="E455" s="490"/>
      <c r="F455" s="490"/>
      <c r="G455" s="490"/>
      <c r="H455" s="541"/>
      <c r="I455" s="490"/>
      <c r="J455" s="490"/>
      <c r="K455" s="490"/>
      <c r="L455" s="490"/>
      <c r="M455" s="541"/>
      <c r="N455" s="490"/>
      <c r="O455" s="490"/>
      <c r="P455" s="490"/>
      <c r="Q455" s="490"/>
      <c r="R455" s="541"/>
      <c r="S455" s="490"/>
      <c r="T455" s="490"/>
      <c r="U455" s="490"/>
      <c r="V455" s="490"/>
      <c r="W455" s="541"/>
      <c r="X455" s="490"/>
      <c r="Y455" s="490"/>
      <c r="Z455" s="490"/>
      <c r="AA455" s="490"/>
      <c r="AB455" s="541"/>
      <c r="AC455" s="490"/>
      <c r="AD455" s="490"/>
      <c r="AE455" s="490"/>
      <c r="AF455" s="490"/>
      <c r="AG455" s="541"/>
      <c r="AH455" s="490"/>
      <c r="AI455" s="490"/>
      <c r="AJ455" s="490"/>
      <c r="AK455" s="490"/>
      <c r="AL455" s="541"/>
      <c r="AM455" s="490"/>
      <c r="AN455" s="490"/>
      <c r="AO455" s="490"/>
      <c r="AP455" s="490"/>
      <c r="AQ455" s="541"/>
      <c r="AR455" s="490"/>
      <c r="AS455" s="490"/>
      <c r="AT455" s="490"/>
      <c r="AU455" s="490"/>
      <c r="AV455" s="541"/>
      <c r="AW455" s="490"/>
      <c r="AX455" s="490"/>
      <c r="AY455" s="490"/>
      <c r="AZ455" s="490"/>
    </row>
    <row r="456" spans="3:52">
      <c r="C456" s="490"/>
      <c r="D456" s="490"/>
      <c r="E456" s="490"/>
      <c r="F456" s="490"/>
      <c r="G456" s="490"/>
      <c r="H456" s="490"/>
      <c r="I456" s="490"/>
      <c r="J456" s="490"/>
      <c r="K456" s="490"/>
      <c r="L456" s="490"/>
      <c r="M456" s="490"/>
      <c r="N456" s="490"/>
      <c r="O456" s="490"/>
      <c r="P456" s="490"/>
      <c r="Q456" s="490"/>
      <c r="R456" s="490"/>
      <c r="S456" s="490"/>
      <c r="T456" s="490"/>
      <c r="U456" s="490"/>
      <c r="V456" s="490"/>
      <c r="W456" s="490"/>
      <c r="X456" s="490"/>
      <c r="Y456" s="490"/>
      <c r="Z456" s="490"/>
      <c r="AA456" s="490"/>
      <c r="AB456" s="490"/>
      <c r="AC456" s="490"/>
      <c r="AD456" s="490"/>
      <c r="AE456" s="490"/>
      <c r="AF456" s="490"/>
      <c r="AG456" s="490"/>
      <c r="AH456" s="490"/>
      <c r="AI456" s="490"/>
      <c r="AJ456" s="490"/>
      <c r="AK456" s="490"/>
      <c r="AL456" s="490"/>
      <c r="AM456" s="490"/>
      <c r="AN456" s="490"/>
      <c r="AO456" s="490"/>
      <c r="AP456" s="490"/>
      <c r="AQ456" s="490"/>
      <c r="AR456" s="490"/>
      <c r="AS456" s="490"/>
      <c r="AT456" s="490"/>
      <c r="AU456" s="490"/>
      <c r="AV456" s="490"/>
      <c r="AW456" s="490"/>
      <c r="AX456" s="490"/>
      <c r="AY456" s="490"/>
      <c r="AZ456" s="490"/>
    </row>
    <row r="457" spans="3:52">
      <c r="C457" s="490"/>
      <c r="D457" s="490"/>
      <c r="E457" s="490"/>
      <c r="F457" s="490"/>
      <c r="G457" s="490"/>
      <c r="H457" s="490"/>
      <c r="I457" s="490"/>
      <c r="J457" s="490"/>
      <c r="K457" s="490"/>
      <c r="L457" s="490"/>
      <c r="M457" s="490"/>
      <c r="N457" s="490"/>
      <c r="O457" s="490"/>
      <c r="P457" s="490"/>
      <c r="Q457" s="490"/>
      <c r="R457" s="490"/>
      <c r="S457" s="490"/>
      <c r="T457" s="490"/>
      <c r="U457" s="490"/>
      <c r="V457" s="490"/>
      <c r="W457" s="490"/>
      <c r="X457" s="490"/>
      <c r="Y457" s="490"/>
      <c r="Z457" s="490"/>
      <c r="AA457" s="490"/>
      <c r="AB457" s="490"/>
      <c r="AC457" s="490"/>
      <c r="AD457" s="490"/>
      <c r="AE457" s="490"/>
      <c r="AF457" s="490"/>
      <c r="AG457" s="490"/>
      <c r="AH457" s="490"/>
      <c r="AI457" s="490"/>
      <c r="AJ457" s="490"/>
      <c r="AK457" s="490"/>
      <c r="AL457" s="490"/>
      <c r="AM457" s="490"/>
      <c r="AN457" s="490"/>
      <c r="AO457" s="490"/>
      <c r="AP457" s="490"/>
      <c r="AQ457" s="490"/>
      <c r="AR457" s="490"/>
      <c r="AS457" s="490"/>
      <c r="AT457" s="490"/>
      <c r="AU457" s="490"/>
      <c r="AV457" s="490"/>
      <c r="AW457" s="490"/>
      <c r="AX457" s="490"/>
      <c r="AY457" s="490"/>
      <c r="AZ457" s="490"/>
    </row>
    <row r="458" spans="3:52">
      <c r="C458" s="394"/>
      <c r="D458" s="394"/>
      <c r="E458" s="394"/>
      <c r="F458" s="394"/>
      <c r="G458" s="394"/>
      <c r="H458" s="394"/>
      <c r="I458" s="394"/>
      <c r="J458" s="394"/>
      <c r="K458" s="394"/>
      <c r="L458" s="394"/>
      <c r="M458" s="394"/>
      <c r="N458" s="394"/>
      <c r="O458" s="394"/>
      <c r="P458" s="394"/>
      <c r="Q458" s="394"/>
      <c r="R458" s="394"/>
      <c r="S458" s="394"/>
      <c r="T458" s="394"/>
      <c r="U458" s="394"/>
      <c r="V458" s="394"/>
      <c r="W458" s="394"/>
      <c r="X458" s="394"/>
      <c r="Y458" s="394"/>
      <c r="Z458" s="394"/>
      <c r="AA458" s="394"/>
      <c r="AB458" s="394"/>
      <c r="AC458" s="394"/>
      <c r="AD458" s="394"/>
      <c r="AE458" s="394"/>
      <c r="AF458" s="394"/>
      <c r="AG458" s="394"/>
      <c r="AH458" s="394"/>
      <c r="AI458" s="394"/>
      <c r="AJ458" s="394"/>
      <c r="AK458" s="394"/>
      <c r="AL458" s="394"/>
      <c r="AM458" s="394"/>
      <c r="AN458" s="394"/>
      <c r="AO458" s="394"/>
      <c r="AP458" s="394"/>
      <c r="AQ458" s="394"/>
      <c r="AR458" s="394"/>
      <c r="AS458" s="394"/>
      <c r="AT458" s="394"/>
      <c r="AU458" s="394"/>
      <c r="AV458" s="394"/>
      <c r="AW458" s="394"/>
      <c r="AX458" s="394"/>
      <c r="AY458" s="394"/>
      <c r="AZ458" s="394"/>
    </row>
    <row r="459" spans="3:52">
      <c r="C459" s="470"/>
      <c r="D459" s="470"/>
      <c r="E459" s="470"/>
      <c r="F459" s="470"/>
      <c r="G459" s="470"/>
      <c r="H459" s="470"/>
      <c r="I459" s="470"/>
      <c r="J459" s="470"/>
      <c r="K459" s="470"/>
      <c r="L459" s="470"/>
      <c r="M459" s="470"/>
      <c r="N459" s="470"/>
      <c r="O459" s="470"/>
      <c r="P459" s="470"/>
      <c r="Q459" s="470"/>
      <c r="R459" s="470"/>
      <c r="S459" s="470"/>
      <c r="T459" s="470"/>
      <c r="U459" s="470"/>
      <c r="V459" s="470"/>
      <c r="W459" s="470"/>
      <c r="X459" s="470"/>
      <c r="Y459" s="470"/>
      <c r="Z459" s="470"/>
      <c r="AA459" s="470"/>
      <c r="AB459" s="470"/>
      <c r="AC459" s="470"/>
      <c r="AD459" s="470"/>
      <c r="AE459" s="470"/>
      <c r="AF459" s="470"/>
      <c r="AG459" s="470"/>
      <c r="AH459" s="470"/>
      <c r="AI459" s="470"/>
      <c r="AJ459" s="470"/>
      <c r="AK459" s="470"/>
      <c r="AL459" s="470"/>
      <c r="AM459" s="470"/>
      <c r="AN459" s="470"/>
      <c r="AO459" s="470"/>
      <c r="AP459" s="470"/>
      <c r="AQ459" s="470"/>
      <c r="AR459" s="470"/>
      <c r="AS459" s="470"/>
      <c r="AT459" s="470"/>
      <c r="AU459" s="470"/>
      <c r="AV459" s="470"/>
      <c r="AW459" s="470"/>
      <c r="AX459" s="470"/>
      <c r="AY459" s="470"/>
      <c r="AZ459" s="470"/>
    </row>
    <row r="460" spans="3:52"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  <c r="Z460" s="550"/>
      <c r="AA460" s="550"/>
      <c r="AB460" s="550"/>
      <c r="AC460" s="550"/>
      <c r="AD460" s="550"/>
      <c r="AE460" s="550"/>
      <c r="AF460" s="550"/>
      <c r="AG460" s="550"/>
      <c r="AH460" s="550"/>
      <c r="AI460" s="550"/>
      <c r="AJ460" s="550"/>
      <c r="AK460" s="550"/>
      <c r="AL460" s="550"/>
      <c r="AM460" s="550"/>
      <c r="AN460" s="550"/>
      <c r="AO460" s="550"/>
      <c r="AP460" s="550"/>
      <c r="AQ460" s="550"/>
      <c r="AR460" s="550"/>
      <c r="AS460" s="550"/>
      <c r="AT460" s="550"/>
      <c r="AU460" s="550"/>
      <c r="AV460" s="550"/>
      <c r="AW460" s="550"/>
      <c r="AX460" s="550"/>
      <c r="AY460" s="550"/>
      <c r="AZ460" s="550"/>
    </row>
    <row r="461" spans="3:52">
      <c r="C461" s="550"/>
      <c r="D461" s="550"/>
      <c r="E461" s="550"/>
      <c r="F461" s="550"/>
      <c r="G461" s="550"/>
      <c r="H461" s="550"/>
      <c r="I461" s="550"/>
      <c r="J461" s="550"/>
      <c r="K461" s="550"/>
      <c r="L461" s="550"/>
      <c r="M461" s="550"/>
      <c r="N461" s="550"/>
      <c r="O461" s="550"/>
      <c r="P461" s="550"/>
      <c r="Q461" s="550"/>
      <c r="R461" s="550"/>
      <c r="S461" s="550"/>
      <c r="T461" s="550"/>
      <c r="U461" s="550"/>
      <c r="V461" s="550"/>
      <c r="W461" s="550"/>
      <c r="X461" s="550"/>
      <c r="Y461" s="550"/>
      <c r="Z461" s="550"/>
      <c r="AA461" s="550"/>
      <c r="AB461" s="550"/>
      <c r="AC461" s="550"/>
      <c r="AD461" s="550"/>
      <c r="AE461" s="550"/>
      <c r="AF461" s="550"/>
      <c r="AG461" s="550"/>
      <c r="AH461" s="550"/>
      <c r="AI461" s="550"/>
      <c r="AJ461" s="550"/>
      <c r="AK461" s="550"/>
      <c r="AL461" s="550"/>
      <c r="AM461" s="550"/>
      <c r="AN461" s="550"/>
      <c r="AO461" s="550"/>
      <c r="AP461" s="550"/>
      <c r="AQ461" s="550"/>
      <c r="AR461" s="550"/>
      <c r="AS461" s="550"/>
      <c r="AT461" s="550"/>
      <c r="AU461" s="550"/>
      <c r="AV461" s="550"/>
      <c r="AW461" s="550"/>
      <c r="AX461" s="550"/>
      <c r="AY461" s="550"/>
      <c r="AZ461" s="550"/>
    </row>
    <row r="462" spans="3:52">
      <c r="C462" s="551"/>
      <c r="D462" s="545"/>
      <c r="E462" s="545"/>
      <c r="F462" s="545"/>
      <c r="G462" s="545"/>
      <c r="H462" s="551"/>
      <c r="I462" s="545"/>
      <c r="J462" s="545"/>
      <c r="K462" s="545"/>
      <c r="L462" s="545"/>
      <c r="M462" s="551"/>
      <c r="N462" s="545"/>
      <c r="O462" s="545"/>
      <c r="P462" s="545"/>
      <c r="Q462" s="545"/>
      <c r="R462" s="551"/>
      <c r="S462" s="545"/>
      <c r="T462" s="545"/>
      <c r="U462" s="545"/>
      <c r="V462" s="545"/>
      <c r="W462" s="551"/>
      <c r="X462" s="545"/>
      <c r="Y462" s="545"/>
      <c r="Z462" s="545"/>
      <c r="AA462" s="545"/>
      <c r="AB462" s="551"/>
      <c r="AC462" s="545"/>
      <c r="AD462" s="545"/>
      <c r="AE462" s="545"/>
      <c r="AF462" s="545"/>
      <c r="AG462" s="551"/>
      <c r="AH462" s="545"/>
      <c r="AI462" s="545"/>
      <c r="AJ462" s="545"/>
      <c r="AK462" s="545"/>
      <c r="AL462" s="551"/>
      <c r="AM462" s="545"/>
      <c r="AN462" s="545"/>
      <c r="AO462" s="545"/>
      <c r="AP462" s="545"/>
      <c r="AQ462" s="551"/>
      <c r="AR462" s="545"/>
      <c r="AS462" s="545"/>
      <c r="AT462" s="545"/>
      <c r="AU462" s="545"/>
      <c r="AV462" s="551"/>
      <c r="AW462" s="545"/>
      <c r="AX462" s="545"/>
      <c r="AY462" s="545"/>
      <c r="AZ462" s="545"/>
    </row>
    <row r="463" spans="3:52">
      <c r="C463" s="552"/>
      <c r="D463" s="552"/>
      <c r="E463" s="552"/>
      <c r="F463" s="552"/>
      <c r="G463" s="552"/>
      <c r="H463" s="552"/>
      <c r="I463" s="552"/>
      <c r="J463" s="552"/>
      <c r="K463" s="552"/>
      <c r="L463" s="552"/>
      <c r="M463" s="552"/>
      <c r="N463" s="552"/>
      <c r="O463" s="552"/>
      <c r="P463" s="552"/>
      <c r="Q463" s="552"/>
      <c r="R463" s="552"/>
      <c r="S463" s="552"/>
      <c r="T463" s="552"/>
      <c r="U463" s="552"/>
      <c r="V463" s="552"/>
      <c r="W463" s="552"/>
      <c r="X463" s="552"/>
      <c r="Y463" s="552"/>
      <c r="Z463" s="552"/>
      <c r="AA463" s="552"/>
      <c r="AB463" s="552"/>
      <c r="AC463" s="552"/>
      <c r="AD463" s="552"/>
      <c r="AE463" s="552"/>
      <c r="AF463" s="552"/>
      <c r="AG463" s="552"/>
      <c r="AH463" s="552"/>
      <c r="AI463" s="552"/>
      <c r="AJ463" s="552"/>
      <c r="AK463" s="552"/>
      <c r="AL463" s="552"/>
      <c r="AM463" s="552"/>
      <c r="AN463" s="552"/>
      <c r="AO463" s="552"/>
      <c r="AP463" s="552"/>
      <c r="AQ463" s="552"/>
      <c r="AR463" s="552"/>
      <c r="AS463" s="552"/>
      <c r="AT463" s="552"/>
      <c r="AU463" s="552"/>
      <c r="AV463" s="552"/>
      <c r="AW463" s="552"/>
      <c r="AX463" s="552"/>
      <c r="AY463" s="552"/>
      <c r="AZ463" s="552"/>
    </row>
    <row r="464" spans="3:52">
      <c r="C464" s="541"/>
      <c r="D464" s="490"/>
      <c r="E464" s="490"/>
      <c r="F464" s="490"/>
      <c r="G464" s="490"/>
      <c r="H464" s="541"/>
      <c r="I464" s="490"/>
      <c r="J464" s="490"/>
      <c r="K464" s="490"/>
      <c r="L464" s="490"/>
      <c r="M464" s="541"/>
      <c r="N464" s="490"/>
      <c r="O464" s="490"/>
      <c r="P464" s="490"/>
      <c r="Q464" s="490"/>
      <c r="R464" s="541"/>
      <c r="S464" s="490"/>
      <c r="T464" s="490"/>
      <c r="U464" s="490"/>
      <c r="V464" s="490"/>
      <c r="W464" s="541"/>
      <c r="X464" s="490"/>
      <c r="Y464" s="490"/>
      <c r="Z464" s="490"/>
      <c r="AA464" s="490"/>
      <c r="AB464" s="541"/>
      <c r="AC464" s="490"/>
      <c r="AD464" s="490"/>
      <c r="AE464" s="490"/>
      <c r="AF464" s="490"/>
      <c r="AG464" s="541"/>
      <c r="AH464" s="490"/>
      <c r="AI464" s="490"/>
      <c r="AJ464" s="490"/>
      <c r="AK464" s="490"/>
      <c r="AL464" s="541"/>
      <c r="AM464" s="490"/>
      <c r="AN464" s="490"/>
      <c r="AO464" s="490"/>
      <c r="AP464" s="490"/>
      <c r="AQ464" s="541"/>
      <c r="AR464" s="490"/>
      <c r="AS464" s="490"/>
      <c r="AT464" s="490"/>
      <c r="AU464" s="490"/>
      <c r="AV464" s="541"/>
      <c r="AW464" s="490"/>
      <c r="AX464" s="490"/>
      <c r="AY464" s="490"/>
      <c r="AZ464" s="490"/>
    </row>
    <row r="465" spans="3:52">
      <c r="C465" s="490"/>
      <c r="D465" s="490"/>
      <c r="E465" s="490"/>
      <c r="F465" s="490"/>
      <c r="G465" s="490"/>
      <c r="H465" s="490"/>
      <c r="I465" s="490"/>
      <c r="J465" s="490"/>
      <c r="K465" s="490"/>
      <c r="L465" s="490"/>
      <c r="M465" s="490"/>
      <c r="N465" s="490"/>
      <c r="O465" s="490"/>
      <c r="P465" s="490"/>
      <c r="Q465" s="490"/>
      <c r="R465" s="490"/>
      <c r="S465" s="490"/>
      <c r="T465" s="490"/>
      <c r="U465" s="490"/>
      <c r="V465" s="490"/>
      <c r="W465" s="490"/>
      <c r="X465" s="490"/>
      <c r="Y465" s="490"/>
      <c r="Z465" s="490"/>
      <c r="AA465" s="490"/>
      <c r="AB465" s="490"/>
      <c r="AC465" s="490"/>
      <c r="AD465" s="490"/>
      <c r="AE465" s="490"/>
      <c r="AF465" s="490"/>
      <c r="AG465" s="490"/>
      <c r="AH465" s="490"/>
      <c r="AI465" s="490"/>
      <c r="AJ465" s="490"/>
      <c r="AK465" s="490"/>
      <c r="AL465" s="490"/>
      <c r="AM465" s="490"/>
      <c r="AN465" s="490"/>
      <c r="AO465" s="490"/>
      <c r="AP465" s="490"/>
      <c r="AQ465" s="490"/>
      <c r="AR465" s="490"/>
      <c r="AS465" s="490"/>
      <c r="AT465" s="490"/>
      <c r="AU465" s="490"/>
      <c r="AV465" s="490"/>
      <c r="AW465" s="490"/>
      <c r="AX465" s="490"/>
      <c r="AY465" s="490"/>
      <c r="AZ465" s="490"/>
    </row>
    <row r="466" spans="3:52">
      <c r="C466" s="490"/>
      <c r="D466" s="490"/>
      <c r="E466" s="490"/>
      <c r="F466" s="490"/>
      <c r="G466" s="490"/>
      <c r="H466" s="490"/>
      <c r="I466" s="490"/>
      <c r="J466" s="490"/>
      <c r="K466" s="490"/>
      <c r="L466" s="490"/>
      <c r="M466" s="490"/>
      <c r="N466" s="490"/>
      <c r="O466" s="490"/>
      <c r="P466" s="490"/>
      <c r="Q466" s="490"/>
      <c r="R466" s="490"/>
      <c r="S466" s="490"/>
      <c r="T466" s="490"/>
      <c r="U466" s="490"/>
      <c r="V466" s="490"/>
      <c r="W466" s="490"/>
      <c r="X466" s="490"/>
      <c r="Y466" s="490"/>
      <c r="Z466" s="490"/>
      <c r="AA466" s="490"/>
      <c r="AB466" s="490"/>
      <c r="AC466" s="490"/>
      <c r="AD466" s="490"/>
      <c r="AE466" s="490"/>
      <c r="AF466" s="490"/>
      <c r="AG466" s="490"/>
      <c r="AH466" s="490"/>
      <c r="AI466" s="490"/>
      <c r="AJ466" s="490"/>
      <c r="AK466" s="490"/>
      <c r="AL466" s="490"/>
      <c r="AM466" s="490"/>
      <c r="AN466" s="490"/>
      <c r="AO466" s="490"/>
      <c r="AP466" s="490"/>
      <c r="AQ466" s="490"/>
      <c r="AR466" s="490"/>
      <c r="AS466" s="490"/>
      <c r="AT466" s="490"/>
      <c r="AU466" s="490"/>
      <c r="AV466" s="490"/>
      <c r="AW466" s="490"/>
      <c r="AX466" s="490"/>
      <c r="AY466" s="490"/>
      <c r="AZ466" s="490"/>
    </row>
    <row r="467" spans="3:52">
      <c r="C467" s="490"/>
      <c r="D467" s="490"/>
      <c r="E467" s="490"/>
      <c r="F467" s="490"/>
      <c r="G467" s="490"/>
      <c r="H467" s="490"/>
      <c r="I467" s="490"/>
      <c r="J467" s="490"/>
      <c r="K467" s="490"/>
      <c r="L467" s="490"/>
      <c r="M467" s="490"/>
      <c r="N467" s="490"/>
      <c r="O467" s="490"/>
      <c r="P467" s="490"/>
      <c r="Q467" s="490"/>
      <c r="R467" s="490"/>
      <c r="S467" s="490"/>
      <c r="T467" s="490"/>
      <c r="U467" s="490"/>
      <c r="V467" s="490"/>
      <c r="W467" s="490"/>
      <c r="X467" s="490"/>
      <c r="Y467" s="490"/>
      <c r="Z467" s="490"/>
      <c r="AA467" s="490"/>
      <c r="AB467" s="490"/>
      <c r="AC467" s="490"/>
      <c r="AD467" s="490"/>
      <c r="AE467" s="490"/>
      <c r="AF467" s="490"/>
      <c r="AG467" s="490"/>
      <c r="AH467" s="490"/>
      <c r="AI467" s="490"/>
      <c r="AJ467" s="490"/>
      <c r="AK467" s="490"/>
      <c r="AL467" s="490"/>
      <c r="AM467" s="490"/>
      <c r="AN467" s="490"/>
      <c r="AO467" s="490"/>
      <c r="AP467" s="490"/>
      <c r="AQ467" s="490"/>
      <c r="AR467" s="490"/>
      <c r="AS467" s="490"/>
      <c r="AT467" s="490"/>
      <c r="AU467" s="490"/>
      <c r="AV467" s="490"/>
      <c r="AW467" s="490"/>
      <c r="AX467" s="490"/>
      <c r="AY467" s="490"/>
      <c r="AZ467" s="490"/>
    </row>
    <row r="468" spans="3:52">
      <c r="C468" s="490"/>
      <c r="D468" s="490"/>
      <c r="E468" s="490"/>
      <c r="F468" s="490"/>
      <c r="G468" s="490"/>
      <c r="H468" s="490"/>
      <c r="I468" s="490"/>
      <c r="J468" s="490"/>
      <c r="K468" s="490"/>
      <c r="L468" s="490"/>
      <c r="M468" s="490"/>
      <c r="N468" s="490"/>
      <c r="O468" s="490"/>
      <c r="P468" s="490"/>
      <c r="Q468" s="490"/>
      <c r="R468" s="490"/>
      <c r="S468" s="490"/>
      <c r="T468" s="490"/>
      <c r="U468" s="490"/>
      <c r="V468" s="490"/>
      <c r="W468" s="490"/>
      <c r="X468" s="490"/>
      <c r="Y468" s="490"/>
      <c r="Z468" s="490"/>
      <c r="AA468" s="490"/>
      <c r="AB468" s="490"/>
      <c r="AC468" s="490"/>
      <c r="AD468" s="490"/>
      <c r="AE468" s="490"/>
      <c r="AF468" s="490"/>
      <c r="AG468" s="490"/>
      <c r="AH468" s="490"/>
      <c r="AI468" s="490"/>
      <c r="AJ468" s="490"/>
      <c r="AK468" s="490"/>
      <c r="AL468" s="490"/>
      <c r="AM468" s="490"/>
      <c r="AN468" s="490"/>
      <c r="AO468" s="490"/>
      <c r="AP468" s="490"/>
      <c r="AQ468" s="490"/>
      <c r="AR468" s="490"/>
      <c r="AS468" s="490"/>
      <c r="AT468" s="490"/>
      <c r="AU468" s="490"/>
      <c r="AV468" s="490"/>
      <c r="AW468" s="490"/>
      <c r="AX468" s="490"/>
      <c r="AY468" s="490"/>
      <c r="AZ468" s="490"/>
    </row>
    <row r="469" spans="3:52">
      <c r="C469" s="490"/>
      <c r="D469" s="490"/>
      <c r="E469" s="490"/>
      <c r="F469" s="490"/>
      <c r="G469" s="490"/>
      <c r="H469" s="490"/>
      <c r="I469" s="490"/>
      <c r="J469" s="490"/>
      <c r="K469" s="490"/>
      <c r="L469" s="490"/>
      <c r="M469" s="490"/>
      <c r="N469" s="490"/>
      <c r="O469" s="490"/>
      <c r="P469" s="490"/>
      <c r="Q469" s="490"/>
      <c r="R469" s="490"/>
      <c r="S469" s="490"/>
      <c r="T469" s="490"/>
      <c r="U469" s="490"/>
      <c r="V469" s="490"/>
      <c r="W469" s="490"/>
      <c r="X469" s="490"/>
      <c r="Y469" s="490"/>
      <c r="Z469" s="490"/>
      <c r="AA469" s="490"/>
      <c r="AB469" s="490"/>
      <c r="AC469" s="490"/>
      <c r="AD469" s="490"/>
      <c r="AE469" s="490"/>
      <c r="AF469" s="490"/>
      <c r="AG469" s="490"/>
      <c r="AH469" s="490"/>
      <c r="AI469" s="490"/>
      <c r="AJ469" s="490"/>
      <c r="AK469" s="490"/>
      <c r="AL469" s="490"/>
      <c r="AM469" s="490"/>
      <c r="AN469" s="490"/>
      <c r="AO469" s="490"/>
      <c r="AP469" s="490"/>
      <c r="AQ469" s="490"/>
      <c r="AR469" s="490"/>
      <c r="AS469" s="490"/>
      <c r="AT469" s="490"/>
      <c r="AU469" s="490"/>
      <c r="AV469" s="490"/>
      <c r="AW469" s="490"/>
      <c r="AX469" s="490"/>
      <c r="AY469" s="490"/>
      <c r="AZ469" s="490"/>
    </row>
    <row r="470" spans="3:52">
      <c r="C470" s="541"/>
      <c r="D470" s="490"/>
      <c r="E470" s="490"/>
      <c r="F470" s="490"/>
      <c r="G470" s="490"/>
      <c r="H470" s="541"/>
      <c r="I470" s="490"/>
      <c r="J470" s="490"/>
      <c r="K470" s="490"/>
      <c r="L470" s="490"/>
      <c r="M470" s="541"/>
      <c r="N470" s="490"/>
      <c r="O470" s="490"/>
      <c r="P470" s="490"/>
      <c r="Q470" s="490"/>
      <c r="R470" s="541"/>
      <c r="S470" s="490"/>
      <c r="T470" s="490"/>
      <c r="U470" s="490"/>
      <c r="V470" s="490"/>
      <c r="W470" s="541"/>
      <c r="X470" s="490"/>
      <c r="Y470" s="490"/>
      <c r="Z470" s="490"/>
      <c r="AA470" s="490"/>
      <c r="AB470" s="541"/>
      <c r="AC470" s="490"/>
      <c r="AD470" s="490"/>
      <c r="AE470" s="490"/>
      <c r="AF470" s="490"/>
      <c r="AG470" s="541"/>
      <c r="AH470" s="490"/>
      <c r="AI470" s="490"/>
      <c r="AJ470" s="490"/>
      <c r="AK470" s="490"/>
      <c r="AL470" s="541"/>
      <c r="AM470" s="490"/>
      <c r="AN470" s="490"/>
      <c r="AO470" s="490"/>
      <c r="AP470" s="490"/>
      <c r="AQ470" s="541"/>
      <c r="AR470" s="490"/>
      <c r="AS470" s="490"/>
      <c r="AT470" s="490"/>
      <c r="AU470" s="490"/>
      <c r="AV470" s="541"/>
      <c r="AW470" s="490"/>
      <c r="AX470" s="490"/>
      <c r="AY470" s="490"/>
      <c r="AZ470" s="490"/>
    </row>
    <row r="471" spans="3:52">
      <c r="C471" s="551"/>
      <c r="D471" s="545"/>
      <c r="E471" s="545"/>
      <c r="F471" s="545"/>
      <c r="G471" s="545"/>
      <c r="H471" s="551"/>
      <c r="I471" s="545"/>
      <c r="J471" s="545"/>
      <c r="K471" s="545"/>
      <c r="L471" s="545"/>
      <c r="M471" s="551"/>
      <c r="N471" s="545"/>
      <c r="O471" s="545"/>
      <c r="P471" s="545"/>
      <c r="Q471" s="545"/>
      <c r="R471" s="551"/>
      <c r="S471" s="545"/>
      <c r="T471" s="545"/>
      <c r="U471" s="545"/>
      <c r="V471" s="545"/>
      <c r="W471" s="551"/>
      <c r="X471" s="545"/>
      <c r="Y471" s="545"/>
      <c r="Z471" s="545"/>
      <c r="AA471" s="545"/>
      <c r="AB471" s="551"/>
      <c r="AC471" s="545"/>
      <c r="AD471" s="545"/>
      <c r="AE471" s="545"/>
      <c r="AF471" s="545"/>
      <c r="AG471" s="551"/>
      <c r="AH471" s="545"/>
      <c r="AI471" s="545"/>
      <c r="AJ471" s="545"/>
      <c r="AK471" s="545"/>
      <c r="AL471" s="551"/>
      <c r="AM471" s="545"/>
      <c r="AN471" s="545"/>
      <c r="AO471" s="545"/>
      <c r="AP471" s="545"/>
      <c r="AQ471" s="551"/>
      <c r="AR471" s="545"/>
      <c r="AS471" s="545"/>
      <c r="AT471" s="545"/>
      <c r="AU471" s="545"/>
      <c r="AV471" s="551"/>
      <c r="AW471" s="545"/>
      <c r="AX471" s="545"/>
      <c r="AY471" s="545"/>
      <c r="AZ471" s="545"/>
    </row>
    <row r="472" spans="3:52">
      <c r="C472" s="552"/>
      <c r="D472" s="552"/>
      <c r="E472" s="552"/>
      <c r="F472" s="552"/>
      <c r="G472" s="552"/>
      <c r="H472" s="552"/>
      <c r="I472" s="552"/>
      <c r="J472" s="552"/>
      <c r="K472" s="552"/>
      <c r="L472" s="552"/>
      <c r="M472" s="552"/>
      <c r="N472" s="552"/>
      <c r="O472" s="552"/>
      <c r="P472" s="552"/>
      <c r="Q472" s="552"/>
      <c r="R472" s="552"/>
      <c r="S472" s="552"/>
      <c r="T472" s="552"/>
      <c r="U472" s="552"/>
      <c r="V472" s="552"/>
      <c r="W472" s="552"/>
      <c r="X472" s="552"/>
      <c r="Y472" s="552"/>
      <c r="Z472" s="552"/>
      <c r="AA472" s="552"/>
      <c r="AB472" s="552"/>
      <c r="AC472" s="552"/>
      <c r="AD472" s="552"/>
      <c r="AE472" s="552"/>
      <c r="AF472" s="552"/>
      <c r="AG472" s="552"/>
      <c r="AH472" s="552"/>
      <c r="AI472" s="552"/>
      <c r="AJ472" s="552"/>
      <c r="AK472" s="552"/>
      <c r="AL472" s="552"/>
      <c r="AM472" s="552"/>
      <c r="AN472" s="552"/>
      <c r="AO472" s="552"/>
      <c r="AP472" s="552"/>
      <c r="AQ472" s="552"/>
      <c r="AR472" s="552"/>
      <c r="AS472" s="552"/>
      <c r="AT472" s="552"/>
      <c r="AU472" s="552"/>
      <c r="AV472" s="552"/>
      <c r="AW472" s="552"/>
      <c r="AX472" s="552"/>
      <c r="AY472" s="552"/>
      <c r="AZ472" s="552"/>
    </row>
    <row r="473" spans="3:52">
      <c r="C473" s="552"/>
      <c r="D473" s="552"/>
      <c r="E473" s="552"/>
      <c r="F473" s="552"/>
      <c r="G473" s="552"/>
      <c r="H473" s="552"/>
      <c r="I473" s="552"/>
      <c r="J473" s="552"/>
      <c r="K473" s="552"/>
      <c r="L473" s="552"/>
      <c r="M473" s="552"/>
      <c r="N473" s="552"/>
      <c r="O473" s="552"/>
      <c r="P473" s="552"/>
      <c r="Q473" s="552"/>
      <c r="R473" s="552"/>
      <c r="S473" s="552"/>
      <c r="T473" s="552"/>
      <c r="U473" s="552"/>
      <c r="V473" s="552"/>
      <c r="W473" s="552"/>
      <c r="X473" s="552"/>
      <c r="Y473" s="552"/>
      <c r="Z473" s="552"/>
      <c r="AA473" s="552"/>
      <c r="AB473" s="552"/>
      <c r="AC473" s="552"/>
      <c r="AD473" s="552"/>
      <c r="AE473" s="552"/>
      <c r="AF473" s="552"/>
      <c r="AG473" s="552"/>
      <c r="AH473" s="552"/>
      <c r="AI473" s="552"/>
      <c r="AJ473" s="552"/>
      <c r="AK473" s="552"/>
      <c r="AL473" s="552"/>
      <c r="AM473" s="552"/>
      <c r="AN473" s="552"/>
      <c r="AO473" s="552"/>
      <c r="AP473" s="552"/>
      <c r="AQ473" s="552"/>
      <c r="AR473" s="552"/>
      <c r="AS473" s="552"/>
      <c r="AT473" s="552"/>
      <c r="AU473" s="552"/>
      <c r="AV473" s="552"/>
      <c r="AW473" s="552"/>
      <c r="AX473" s="552"/>
      <c r="AY473" s="552"/>
      <c r="AZ473" s="552"/>
    </row>
    <row r="474" spans="3:52"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53"/>
      <c r="AB474" s="553"/>
      <c r="AC474" s="553"/>
      <c r="AD474" s="553"/>
      <c r="AE474" s="553"/>
      <c r="AF474" s="553"/>
      <c r="AG474" s="553"/>
      <c r="AH474" s="553"/>
      <c r="AI474" s="553"/>
      <c r="AJ474" s="553"/>
      <c r="AK474" s="553"/>
      <c r="AL474" s="553"/>
      <c r="AM474" s="553"/>
      <c r="AN474" s="553"/>
      <c r="AO474" s="553"/>
      <c r="AP474" s="553"/>
      <c r="AQ474" s="553"/>
      <c r="AR474" s="553"/>
      <c r="AS474" s="553"/>
      <c r="AT474" s="553"/>
      <c r="AU474" s="553"/>
      <c r="AV474" s="553"/>
      <c r="AW474" s="553"/>
      <c r="AX474" s="553"/>
      <c r="AY474" s="553"/>
      <c r="AZ474" s="553"/>
    </row>
    <row r="475" spans="3:52">
      <c r="C475" s="553"/>
      <c r="D475" s="553"/>
      <c r="E475" s="553"/>
      <c r="F475" s="553"/>
      <c r="G475" s="553"/>
      <c r="H475" s="553"/>
      <c r="I475" s="553"/>
      <c r="J475" s="553"/>
      <c r="K475" s="553"/>
      <c r="L475" s="553"/>
      <c r="M475" s="553"/>
      <c r="N475" s="553"/>
      <c r="O475" s="553"/>
      <c r="P475" s="553"/>
      <c r="Q475" s="553"/>
      <c r="R475" s="553"/>
      <c r="S475" s="553"/>
      <c r="T475" s="553"/>
      <c r="U475" s="553"/>
      <c r="V475" s="553"/>
      <c r="W475" s="553"/>
      <c r="X475" s="553"/>
      <c r="Y475" s="553"/>
      <c r="Z475" s="553"/>
      <c r="AA475" s="553"/>
      <c r="AB475" s="553"/>
      <c r="AC475" s="553"/>
      <c r="AD475" s="553"/>
      <c r="AE475" s="553"/>
      <c r="AF475" s="553"/>
      <c r="AG475" s="553"/>
      <c r="AH475" s="553"/>
      <c r="AI475" s="553"/>
      <c r="AJ475" s="553"/>
      <c r="AK475" s="553"/>
      <c r="AL475" s="553"/>
      <c r="AM475" s="553"/>
      <c r="AN475" s="553"/>
      <c r="AO475" s="553"/>
      <c r="AP475" s="553"/>
      <c r="AQ475" s="553"/>
      <c r="AR475" s="553"/>
      <c r="AS475" s="553"/>
      <c r="AT475" s="553"/>
      <c r="AU475" s="553"/>
      <c r="AV475" s="553"/>
      <c r="AW475" s="553"/>
      <c r="AX475" s="553"/>
      <c r="AY475" s="553"/>
      <c r="AZ475" s="553"/>
    </row>
    <row r="476" spans="3:52">
      <c r="C476" s="552"/>
      <c r="D476" s="552"/>
      <c r="E476" s="552"/>
      <c r="F476" s="552"/>
      <c r="G476" s="552"/>
      <c r="H476" s="552"/>
      <c r="I476" s="552"/>
      <c r="J476" s="552"/>
      <c r="K476" s="552"/>
      <c r="L476" s="552"/>
      <c r="M476" s="552"/>
      <c r="N476" s="552"/>
      <c r="O476" s="552"/>
      <c r="P476" s="552"/>
      <c r="Q476" s="552"/>
      <c r="R476" s="552"/>
      <c r="S476" s="552"/>
      <c r="T476" s="552"/>
      <c r="U476" s="552"/>
      <c r="V476" s="552"/>
      <c r="W476" s="552"/>
      <c r="X476" s="552"/>
      <c r="Y476" s="552"/>
      <c r="Z476" s="552"/>
      <c r="AA476" s="552"/>
      <c r="AB476" s="552"/>
      <c r="AC476" s="552"/>
      <c r="AD476" s="552"/>
      <c r="AE476" s="552"/>
      <c r="AF476" s="552"/>
      <c r="AG476" s="552"/>
      <c r="AH476" s="552"/>
      <c r="AI476" s="552"/>
      <c r="AJ476" s="552"/>
      <c r="AK476" s="552"/>
      <c r="AL476" s="552"/>
      <c r="AM476" s="552"/>
      <c r="AN476" s="552"/>
      <c r="AO476" s="552"/>
      <c r="AP476" s="552"/>
      <c r="AQ476" s="552"/>
      <c r="AR476" s="552"/>
      <c r="AS476" s="552"/>
      <c r="AT476" s="552"/>
      <c r="AU476" s="552"/>
      <c r="AV476" s="552"/>
      <c r="AW476" s="552"/>
      <c r="AX476" s="552"/>
      <c r="AY476" s="552"/>
      <c r="AZ476" s="552"/>
    </row>
    <row r="477" spans="3:52"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53"/>
      <c r="P477" s="553"/>
      <c r="Q477" s="553"/>
      <c r="R477" s="553"/>
      <c r="S477" s="553"/>
      <c r="T477" s="553"/>
      <c r="U477" s="553"/>
      <c r="V477" s="553"/>
      <c r="W477" s="553"/>
      <c r="X477" s="553"/>
      <c r="Y477" s="553"/>
      <c r="Z477" s="553"/>
      <c r="AA477" s="553"/>
      <c r="AB477" s="553"/>
      <c r="AC477" s="553"/>
      <c r="AD477" s="553"/>
      <c r="AE477" s="553"/>
      <c r="AF477" s="553"/>
      <c r="AG477" s="553"/>
      <c r="AH477" s="553"/>
      <c r="AI477" s="553"/>
      <c r="AJ477" s="553"/>
      <c r="AK477" s="553"/>
      <c r="AL477" s="553"/>
      <c r="AM477" s="553"/>
      <c r="AN477" s="553"/>
      <c r="AO477" s="553"/>
      <c r="AP477" s="553"/>
      <c r="AQ477" s="553"/>
      <c r="AR477" s="553"/>
      <c r="AS477" s="553"/>
      <c r="AT477" s="553"/>
      <c r="AU477" s="553"/>
      <c r="AV477" s="553"/>
      <c r="AW477" s="553"/>
      <c r="AX477" s="553"/>
      <c r="AY477" s="553"/>
      <c r="AZ477" s="553"/>
    </row>
    <row r="478" spans="3:52"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53"/>
      <c r="AB478" s="553"/>
      <c r="AC478" s="553"/>
      <c r="AD478" s="553"/>
      <c r="AE478" s="553"/>
      <c r="AF478" s="553"/>
      <c r="AG478" s="553"/>
      <c r="AH478" s="553"/>
      <c r="AI478" s="553"/>
      <c r="AJ478" s="553"/>
      <c r="AK478" s="553"/>
      <c r="AL478" s="553"/>
      <c r="AM478" s="553"/>
      <c r="AN478" s="553"/>
      <c r="AO478" s="553"/>
      <c r="AP478" s="553"/>
      <c r="AQ478" s="553"/>
      <c r="AR478" s="553"/>
      <c r="AS478" s="553"/>
      <c r="AT478" s="553"/>
      <c r="AU478" s="553"/>
      <c r="AV478" s="553"/>
      <c r="AW478" s="553"/>
      <c r="AX478" s="553"/>
      <c r="AY478" s="553"/>
      <c r="AZ478" s="553"/>
    </row>
    <row r="479" spans="3:52">
      <c r="C479" s="552"/>
      <c r="D479" s="552"/>
      <c r="E479" s="552"/>
      <c r="F479" s="552"/>
      <c r="G479" s="552"/>
      <c r="H479" s="552"/>
      <c r="I479" s="552"/>
      <c r="J479" s="552"/>
      <c r="K479" s="552"/>
      <c r="L479" s="552"/>
      <c r="M479" s="552"/>
      <c r="N479" s="552"/>
      <c r="O479" s="552"/>
      <c r="P479" s="552"/>
      <c r="Q479" s="552"/>
      <c r="R479" s="552"/>
      <c r="S479" s="552"/>
      <c r="T479" s="552"/>
      <c r="U479" s="552"/>
      <c r="V479" s="552"/>
      <c r="W479" s="552"/>
      <c r="X479" s="552"/>
      <c r="Y479" s="552"/>
      <c r="Z479" s="552"/>
      <c r="AA479" s="552"/>
      <c r="AB479" s="552"/>
      <c r="AC479" s="552"/>
      <c r="AD479" s="552"/>
      <c r="AE479" s="552"/>
      <c r="AF479" s="552"/>
      <c r="AG479" s="552"/>
      <c r="AH479" s="552"/>
      <c r="AI479" s="552"/>
      <c r="AJ479" s="552"/>
      <c r="AK479" s="552"/>
      <c r="AL479" s="552"/>
      <c r="AM479" s="552"/>
      <c r="AN479" s="552"/>
      <c r="AO479" s="552"/>
      <c r="AP479" s="552"/>
      <c r="AQ479" s="552"/>
      <c r="AR479" s="552"/>
      <c r="AS479" s="552"/>
      <c r="AT479" s="552"/>
      <c r="AU479" s="552"/>
      <c r="AV479" s="552"/>
      <c r="AW479" s="552"/>
      <c r="AX479" s="552"/>
      <c r="AY479" s="552"/>
      <c r="AZ479" s="552"/>
    </row>
    <row r="480" spans="3:52">
      <c r="C480" s="541"/>
      <c r="D480" s="490"/>
      <c r="E480" s="490"/>
      <c r="F480" s="490"/>
      <c r="G480" s="490"/>
      <c r="H480" s="541"/>
      <c r="I480" s="490"/>
      <c r="J480" s="490"/>
      <c r="K480" s="490"/>
      <c r="L480" s="490"/>
      <c r="M480" s="541"/>
      <c r="N480" s="490"/>
      <c r="O480" s="490"/>
      <c r="P480" s="490"/>
      <c r="Q480" s="490"/>
      <c r="R480" s="541"/>
      <c r="S480" s="490"/>
      <c r="T480" s="490"/>
      <c r="U480" s="490"/>
      <c r="V480" s="490"/>
      <c r="W480" s="541"/>
      <c r="X480" s="490"/>
      <c r="Y480" s="490"/>
      <c r="Z480" s="490"/>
      <c r="AA480" s="490"/>
      <c r="AB480" s="541"/>
      <c r="AC480" s="490"/>
      <c r="AD480" s="490"/>
      <c r="AE480" s="490"/>
      <c r="AF480" s="490"/>
      <c r="AG480" s="541"/>
      <c r="AH480" s="490"/>
      <c r="AI480" s="490"/>
      <c r="AJ480" s="490"/>
      <c r="AK480" s="490"/>
      <c r="AL480" s="541"/>
      <c r="AM480" s="490"/>
      <c r="AN480" s="490"/>
      <c r="AO480" s="490"/>
      <c r="AP480" s="490"/>
      <c r="AQ480" s="541"/>
      <c r="AR480" s="490"/>
      <c r="AS480" s="490"/>
      <c r="AT480" s="490"/>
      <c r="AU480" s="490"/>
      <c r="AV480" s="541"/>
      <c r="AW480" s="490"/>
      <c r="AX480" s="490"/>
      <c r="AY480" s="490"/>
      <c r="AZ480" s="490"/>
    </row>
    <row r="481" spans="3:52">
      <c r="C481" s="519"/>
      <c r="D481" s="519"/>
      <c r="E481" s="519"/>
      <c r="F481" s="519"/>
      <c r="G481" s="519"/>
      <c r="H481" s="519"/>
      <c r="I481" s="519"/>
      <c r="J481" s="519"/>
      <c r="K481" s="519"/>
      <c r="L481" s="519"/>
      <c r="M481" s="519"/>
      <c r="N481" s="519"/>
      <c r="O481" s="519"/>
      <c r="P481" s="519"/>
      <c r="Q481" s="519"/>
      <c r="R481" s="519"/>
      <c r="S481" s="519"/>
      <c r="T481" s="519"/>
      <c r="U481" s="519"/>
      <c r="V481" s="519"/>
      <c r="W481" s="519"/>
      <c r="X481" s="519"/>
      <c r="Y481" s="519"/>
      <c r="Z481" s="519"/>
      <c r="AA481" s="519"/>
      <c r="AB481" s="519"/>
      <c r="AC481" s="519"/>
      <c r="AD481" s="519"/>
      <c r="AE481" s="519"/>
      <c r="AF481" s="519"/>
      <c r="AG481" s="519"/>
      <c r="AH481" s="519"/>
      <c r="AI481" s="519"/>
      <c r="AJ481" s="519"/>
      <c r="AK481" s="519"/>
      <c r="AL481" s="519"/>
      <c r="AM481" s="519"/>
      <c r="AN481" s="519"/>
      <c r="AO481" s="519"/>
      <c r="AP481" s="519"/>
      <c r="AQ481" s="519"/>
      <c r="AR481" s="519"/>
      <c r="AS481" s="519"/>
      <c r="AT481" s="519"/>
      <c r="AU481" s="519"/>
      <c r="AV481" s="519"/>
      <c r="AW481" s="519"/>
      <c r="AX481" s="519"/>
      <c r="AY481" s="519"/>
      <c r="AZ481" s="519"/>
    </row>
    <row r="482" spans="3:52">
      <c r="C482" s="490"/>
      <c r="D482" s="490"/>
      <c r="E482" s="490"/>
      <c r="F482" s="490"/>
      <c r="G482" s="490"/>
      <c r="H482" s="490"/>
      <c r="I482" s="490"/>
      <c r="J482" s="490"/>
      <c r="K482" s="490"/>
      <c r="L482" s="490"/>
      <c r="M482" s="490"/>
      <c r="N482" s="490"/>
      <c r="O482" s="490"/>
      <c r="P482" s="490"/>
      <c r="Q482" s="490"/>
      <c r="R482" s="490"/>
      <c r="S482" s="490"/>
      <c r="T482" s="490"/>
      <c r="U482" s="490"/>
      <c r="V482" s="490"/>
      <c r="W482" s="490"/>
      <c r="X482" s="490"/>
      <c r="Y482" s="490"/>
      <c r="Z482" s="490"/>
      <c r="AA482" s="490"/>
      <c r="AB482" s="490"/>
      <c r="AC482" s="490"/>
      <c r="AD482" s="490"/>
      <c r="AE482" s="490"/>
      <c r="AF482" s="490"/>
      <c r="AG482" s="490"/>
      <c r="AH482" s="490"/>
      <c r="AI482" s="490"/>
      <c r="AJ482" s="490"/>
      <c r="AK482" s="490"/>
      <c r="AL482" s="490"/>
      <c r="AM482" s="490"/>
      <c r="AN482" s="490"/>
      <c r="AO482" s="490"/>
      <c r="AP482" s="490"/>
      <c r="AQ482" s="490"/>
      <c r="AR482" s="490"/>
      <c r="AS482" s="490"/>
      <c r="AT482" s="490"/>
      <c r="AU482" s="490"/>
      <c r="AV482" s="490"/>
      <c r="AW482" s="490"/>
      <c r="AX482" s="490"/>
      <c r="AY482" s="490"/>
      <c r="AZ482" s="490"/>
    </row>
    <row r="483" spans="3:52">
      <c r="C483" s="490"/>
      <c r="D483" s="490"/>
      <c r="E483" s="490"/>
      <c r="F483" s="490"/>
      <c r="G483" s="490"/>
      <c r="H483" s="490"/>
      <c r="I483" s="490"/>
      <c r="J483" s="490"/>
      <c r="K483" s="490"/>
      <c r="L483" s="490"/>
      <c r="M483" s="490"/>
      <c r="N483" s="490"/>
      <c r="O483" s="490"/>
      <c r="P483" s="490"/>
      <c r="Q483" s="490"/>
      <c r="R483" s="490"/>
      <c r="S483" s="490"/>
      <c r="T483" s="490"/>
      <c r="U483" s="490"/>
      <c r="V483" s="490"/>
      <c r="W483" s="490"/>
      <c r="X483" s="490"/>
      <c r="Y483" s="490"/>
      <c r="Z483" s="490"/>
      <c r="AA483" s="490"/>
      <c r="AB483" s="490"/>
      <c r="AC483" s="490"/>
      <c r="AD483" s="490"/>
      <c r="AE483" s="490"/>
      <c r="AF483" s="490"/>
      <c r="AG483" s="490"/>
      <c r="AH483" s="490"/>
      <c r="AI483" s="490"/>
      <c r="AJ483" s="490"/>
      <c r="AK483" s="490"/>
      <c r="AL483" s="490"/>
      <c r="AM483" s="490"/>
      <c r="AN483" s="490"/>
      <c r="AO483" s="490"/>
      <c r="AP483" s="490"/>
      <c r="AQ483" s="490"/>
      <c r="AR483" s="490"/>
      <c r="AS483" s="490"/>
      <c r="AT483" s="490"/>
      <c r="AU483" s="490"/>
      <c r="AV483" s="490"/>
      <c r="AW483" s="490"/>
      <c r="AX483" s="490"/>
      <c r="AY483" s="490"/>
      <c r="AZ483" s="490"/>
    </row>
    <row r="484" spans="3:52">
      <c r="C484" s="490"/>
      <c r="D484" s="490"/>
      <c r="E484" s="490"/>
      <c r="F484" s="490"/>
      <c r="G484" s="490"/>
      <c r="H484" s="490"/>
      <c r="I484" s="490"/>
      <c r="J484" s="490"/>
      <c r="K484" s="490"/>
      <c r="L484" s="490"/>
      <c r="M484" s="490"/>
      <c r="N484" s="490"/>
      <c r="O484" s="490"/>
      <c r="P484" s="490"/>
      <c r="Q484" s="490"/>
      <c r="R484" s="490"/>
      <c r="S484" s="490"/>
      <c r="T484" s="490"/>
      <c r="U484" s="490"/>
      <c r="V484" s="490"/>
      <c r="W484" s="490"/>
      <c r="X484" s="490"/>
      <c r="Y484" s="490"/>
      <c r="Z484" s="490"/>
      <c r="AA484" s="490"/>
      <c r="AB484" s="490"/>
      <c r="AC484" s="490"/>
      <c r="AD484" s="490"/>
      <c r="AE484" s="490"/>
      <c r="AF484" s="490"/>
      <c r="AG484" s="490"/>
      <c r="AH484" s="490"/>
      <c r="AI484" s="490"/>
      <c r="AJ484" s="490"/>
      <c r="AK484" s="490"/>
      <c r="AL484" s="490"/>
      <c r="AM484" s="490"/>
      <c r="AN484" s="490"/>
      <c r="AO484" s="490"/>
      <c r="AP484" s="490"/>
      <c r="AQ484" s="490"/>
      <c r="AR484" s="490"/>
      <c r="AS484" s="490"/>
      <c r="AT484" s="490"/>
      <c r="AU484" s="490"/>
      <c r="AV484" s="490"/>
      <c r="AW484" s="490"/>
      <c r="AX484" s="490"/>
      <c r="AY484" s="490"/>
      <c r="AZ484" s="490"/>
    </row>
    <row r="485" spans="3:52">
      <c r="C485" s="490"/>
      <c r="D485" s="490"/>
      <c r="E485" s="490"/>
      <c r="F485" s="490"/>
      <c r="G485" s="490"/>
      <c r="H485" s="490"/>
      <c r="I485" s="490"/>
      <c r="J485" s="490"/>
      <c r="K485" s="490"/>
      <c r="L485" s="490"/>
      <c r="M485" s="490"/>
      <c r="N485" s="490"/>
      <c r="O485" s="490"/>
      <c r="P485" s="490"/>
      <c r="Q485" s="490"/>
      <c r="R485" s="490"/>
      <c r="S485" s="490"/>
      <c r="T485" s="490"/>
      <c r="U485" s="490"/>
      <c r="V485" s="490"/>
      <c r="W485" s="490"/>
      <c r="X485" s="490"/>
      <c r="Y485" s="490"/>
      <c r="Z485" s="490"/>
      <c r="AA485" s="490"/>
      <c r="AB485" s="490"/>
      <c r="AC485" s="490"/>
      <c r="AD485" s="490"/>
      <c r="AE485" s="490"/>
      <c r="AF485" s="490"/>
      <c r="AG485" s="490"/>
      <c r="AH485" s="490"/>
      <c r="AI485" s="490"/>
      <c r="AJ485" s="490"/>
      <c r="AK485" s="490"/>
      <c r="AL485" s="490"/>
      <c r="AM485" s="490"/>
      <c r="AN485" s="490"/>
      <c r="AO485" s="490"/>
      <c r="AP485" s="490"/>
      <c r="AQ485" s="490"/>
      <c r="AR485" s="490"/>
      <c r="AS485" s="490"/>
      <c r="AT485" s="490"/>
      <c r="AU485" s="490"/>
      <c r="AV485" s="490"/>
      <c r="AW485" s="490"/>
      <c r="AX485" s="490"/>
      <c r="AY485" s="490"/>
      <c r="AZ485" s="490"/>
    </row>
    <row r="486" spans="3:52">
      <c r="C486" s="541"/>
      <c r="D486" s="490"/>
      <c r="E486" s="490"/>
      <c r="F486" s="490"/>
      <c r="G486" s="490"/>
      <c r="H486" s="541"/>
      <c r="I486" s="490"/>
      <c r="J486" s="490"/>
      <c r="K486" s="490"/>
      <c r="L486" s="490"/>
      <c r="M486" s="541"/>
      <c r="N486" s="490"/>
      <c r="O486" s="490"/>
      <c r="P486" s="490"/>
      <c r="Q486" s="490"/>
      <c r="R486" s="541"/>
      <c r="S486" s="490"/>
      <c r="T486" s="490"/>
      <c r="U486" s="490"/>
      <c r="V486" s="490"/>
      <c r="W486" s="541"/>
      <c r="X486" s="490"/>
      <c r="Y486" s="490"/>
      <c r="Z486" s="490"/>
      <c r="AA486" s="490"/>
      <c r="AB486" s="541"/>
      <c r="AC486" s="490"/>
      <c r="AD486" s="490"/>
      <c r="AE486" s="490"/>
      <c r="AF486" s="490"/>
      <c r="AG486" s="541"/>
      <c r="AH486" s="490"/>
      <c r="AI486" s="490"/>
      <c r="AJ486" s="490"/>
      <c r="AK486" s="490"/>
      <c r="AL486" s="541"/>
      <c r="AM486" s="490"/>
      <c r="AN486" s="490"/>
      <c r="AO486" s="490"/>
      <c r="AP486" s="490"/>
      <c r="AQ486" s="541"/>
      <c r="AR486" s="490"/>
      <c r="AS486" s="490"/>
      <c r="AT486" s="490"/>
      <c r="AU486" s="490"/>
      <c r="AV486" s="541"/>
      <c r="AW486" s="490"/>
      <c r="AX486" s="490"/>
      <c r="AY486" s="490"/>
      <c r="AZ486" s="490"/>
    </row>
    <row r="487" spans="3:52">
      <c r="C487" s="541"/>
      <c r="D487" s="490"/>
      <c r="E487" s="490"/>
      <c r="F487" s="490"/>
      <c r="G487" s="490"/>
      <c r="H487" s="541"/>
      <c r="I487" s="490"/>
      <c r="J487" s="490"/>
      <c r="K487" s="490"/>
      <c r="L487" s="490"/>
      <c r="M487" s="541"/>
      <c r="N487" s="490"/>
      <c r="O487" s="490"/>
      <c r="P487" s="490"/>
      <c r="Q487" s="490"/>
      <c r="R487" s="541"/>
      <c r="S487" s="490"/>
      <c r="T487" s="490"/>
      <c r="U487" s="490"/>
      <c r="V487" s="490"/>
      <c r="W487" s="541"/>
      <c r="X487" s="490"/>
      <c r="Y487" s="490"/>
      <c r="Z487" s="490"/>
      <c r="AA487" s="490"/>
      <c r="AB487" s="541"/>
      <c r="AC487" s="490"/>
      <c r="AD487" s="490"/>
      <c r="AE487" s="490"/>
      <c r="AF487" s="490"/>
      <c r="AG487" s="541"/>
      <c r="AH487" s="490"/>
      <c r="AI487" s="490"/>
      <c r="AJ487" s="490"/>
      <c r="AK487" s="490"/>
      <c r="AL487" s="541"/>
      <c r="AM487" s="490"/>
      <c r="AN487" s="490"/>
      <c r="AO487" s="490"/>
      <c r="AP487" s="490"/>
      <c r="AQ487" s="541"/>
      <c r="AR487" s="490"/>
      <c r="AS487" s="490"/>
      <c r="AT487" s="490"/>
      <c r="AU487" s="490"/>
      <c r="AV487" s="541"/>
      <c r="AW487" s="490"/>
      <c r="AX487" s="490"/>
      <c r="AY487" s="490"/>
      <c r="AZ487" s="490"/>
    </row>
    <row r="488" spans="3:52">
      <c r="C488" s="541"/>
      <c r="D488" s="490"/>
      <c r="E488" s="490"/>
      <c r="F488" s="490"/>
      <c r="G488" s="490"/>
      <c r="H488" s="541"/>
      <c r="I488" s="490"/>
      <c r="J488" s="490"/>
      <c r="K488" s="490"/>
      <c r="L488" s="490"/>
      <c r="M488" s="541"/>
      <c r="N488" s="490"/>
      <c r="O488" s="490"/>
      <c r="P488" s="490"/>
      <c r="Q488" s="490"/>
      <c r="R488" s="541"/>
      <c r="S488" s="490"/>
      <c r="T488" s="490"/>
      <c r="U488" s="490"/>
      <c r="V488" s="490"/>
      <c r="W488" s="541"/>
      <c r="X488" s="490"/>
      <c r="Y488" s="490"/>
      <c r="Z488" s="490"/>
      <c r="AA488" s="490"/>
      <c r="AB488" s="541"/>
      <c r="AC488" s="490"/>
      <c r="AD488" s="490"/>
      <c r="AE488" s="490"/>
      <c r="AF488" s="490"/>
      <c r="AG488" s="541"/>
      <c r="AH488" s="490"/>
      <c r="AI488" s="490"/>
      <c r="AJ488" s="490"/>
      <c r="AK488" s="490"/>
      <c r="AL488" s="541"/>
      <c r="AM488" s="490"/>
      <c r="AN488" s="490"/>
      <c r="AO488" s="490"/>
      <c r="AP488" s="490"/>
      <c r="AQ488" s="541"/>
      <c r="AR488" s="490"/>
      <c r="AS488" s="490"/>
      <c r="AT488" s="490"/>
      <c r="AU488" s="490"/>
      <c r="AV488" s="541"/>
      <c r="AW488" s="490"/>
      <c r="AX488" s="490"/>
      <c r="AY488" s="490"/>
      <c r="AZ488" s="490"/>
    </row>
    <row r="489" spans="3:52">
      <c r="C489" s="541"/>
      <c r="D489" s="490"/>
      <c r="E489" s="490"/>
      <c r="F489" s="490"/>
      <c r="G489" s="490"/>
      <c r="H489" s="541"/>
      <c r="I489" s="490"/>
      <c r="J489" s="490"/>
      <c r="K489" s="490"/>
      <c r="L489" s="490"/>
      <c r="M489" s="541"/>
      <c r="N489" s="490"/>
      <c r="O489" s="490"/>
      <c r="P489" s="490"/>
      <c r="Q489" s="490"/>
      <c r="R489" s="541"/>
      <c r="S489" s="490"/>
      <c r="T489" s="490"/>
      <c r="U489" s="490"/>
      <c r="V489" s="490"/>
      <c r="W489" s="541"/>
      <c r="X489" s="490"/>
      <c r="Y489" s="490"/>
      <c r="Z489" s="490"/>
      <c r="AA489" s="490"/>
      <c r="AB489" s="541"/>
      <c r="AC489" s="490"/>
      <c r="AD489" s="490"/>
      <c r="AE489" s="490"/>
      <c r="AF489" s="490"/>
      <c r="AG489" s="541"/>
      <c r="AH489" s="490"/>
      <c r="AI489" s="490"/>
      <c r="AJ489" s="490"/>
      <c r="AK489" s="490"/>
      <c r="AL489" s="541"/>
      <c r="AM489" s="490"/>
      <c r="AN489" s="490"/>
      <c r="AO489" s="490"/>
      <c r="AP489" s="490"/>
      <c r="AQ489" s="541"/>
      <c r="AR489" s="490"/>
      <c r="AS489" s="490"/>
      <c r="AT489" s="490"/>
      <c r="AU489" s="490"/>
      <c r="AV489" s="541"/>
      <c r="AW489" s="490"/>
      <c r="AX489" s="490"/>
      <c r="AY489" s="490"/>
      <c r="AZ489" s="490"/>
    </row>
    <row r="490" spans="3:52">
      <c r="C490" s="541"/>
      <c r="D490" s="490"/>
      <c r="E490" s="490"/>
      <c r="F490" s="490"/>
      <c r="G490" s="490"/>
      <c r="H490" s="541"/>
      <c r="I490" s="490"/>
      <c r="J490" s="490"/>
      <c r="K490" s="490"/>
      <c r="L490" s="490"/>
      <c r="M490" s="541"/>
      <c r="N490" s="490"/>
      <c r="O490" s="490"/>
      <c r="P490" s="490"/>
      <c r="Q490" s="490"/>
      <c r="R490" s="541"/>
      <c r="S490" s="490"/>
      <c r="T490" s="490"/>
      <c r="U490" s="490"/>
      <c r="V490" s="490"/>
      <c r="W490" s="541"/>
      <c r="X490" s="490"/>
      <c r="Y490" s="490"/>
      <c r="Z490" s="490"/>
      <c r="AA490" s="490"/>
      <c r="AB490" s="541"/>
      <c r="AC490" s="490"/>
      <c r="AD490" s="490"/>
      <c r="AE490" s="490"/>
      <c r="AF490" s="490"/>
      <c r="AG490" s="541"/>
      <c r="AH490" s="490"/>
      <c r="AI490" s="490"/>
      <c r="AJ490" s="490"/>
      <c r="AK490" s="490"/>
      <c r="AL490" s="541"/>
      <c r="AM490" s="490"/>
      <c r="AN490" s="490"/>
      <c r="AO490" s="490"/>
      <c r="AP490" s="490"/>
      <c r="AQ490" s="541"/>
      <c r="AR490" s="490"/>
      <c r="AS490" s="490"/>
      <c r="AT490" s="490"/>
      <c r="AU490" s="490"/>
      <c r="AV490" s="541"/>
      <c r="AW490" s="490"/>
      <c r="AX490" s="490"/>
      <c r="AY490" s="490"/>
      <c r="AZ490" s="490"/>
    </row>
    <row r="491" spans="3:52">
      <c r="C491" s="541"/>
      <c r="D491" s="490"/>
      <c r="E491" s="490"/>
      <c r="F491" s="490"/>
      <c r="G491" s="490"/>
      <c r="H491" s="541"/>
      <c r="I491" s="490"/>
      <c r="J491" s="490"/>
      <c r="K491" s="490"/>
      <c r="L491" s="490"/>
      <c r="M491" s="541"/>
      <c r="N491" s="490"/>
      <c r="O491" s="490"/>
      <c r="P491" s="490"/>
      <c r="Q491" s="490"/>
      <c r="R491" s="541"/>
      <c r="S491" s="490"/>
      <c r="T491" s="490"/>
      <c r="U491" s="490"/>
      <c r="V491" s="490"/>
      <c r="W491" s="541"/>
      <c r="X491" s="490"/>
      <c r="Y491" s="490"/>
      <c r="Z491" s="490"/>
      <c r="AA491" s="490"/>
      <c r="AB491" s="541"/>
      <c r="AC491" s="490"/>
      <c r="AD491" s="490"/>
      <c r="AE491" s="490"/>
      <c r="AF491" s="490"/>
      <c r="AG491" s="541"/>
      <c r="AH491" s="490"/>
      <c r="AI491" s="490"/>
      <c r="AJ491" s="490"/>
      <c r="AK491" s="490"/>
      <c r="AL491" s="541"/>
      <c r="AM491" s="490"/>
      <c r="AN491" s="490"/>
      <c r="AO491" s="490"/>
      <c r="AP491" s="490"/>
      <c r="AQ491" s="541"/>
      <c r="AR491" s="490"/>
      <c r="AS491" s="490"/>
      <c r="AT491" s="490"/>
      <c r="AU491" s="490"/>
      <c r="AV491" s="541"/>
      <c r="AW491" s="490"/>
      <c r="AX491" s="490"/>
      <c r="AY491" s="490"/>
      <c r="AZ491" s="490"/>
    </row>
    <row r="492" spans="3:52"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554"/>
      <c r="P492" s="554"/>
      <c r="Q492" s="554"/>
      <c r="R492" s="554"/>
      <c r="S492" s="554"/>
      <c r="T492" s="554"/>
      <c r="U492" s="554"/>
      <c r="V492" s="554"/>
      <c r="W492" s="554"/>
      <c r="X492" s="554"/>
      <c r="Y492" s="554"/>
      <c r="Z492" s="554"/>
      <c r="AA492" s="554"/>
      <c r="AB492" s="554"/>
      <c r="AC492" s="554"/>
      <c r="AD492" s="554"/>
      <c r="AE492" s="554"/>
      <c r="AF492" s="554"/>
      <c r="AG492" s="554"/>
      <c r="AH492" s="554"/>
      <c r="AI492" s="554"/>
      <c r="AJ492" s="554"/>
      <c r="AK492" s="554"/>
      <c r="AL492" s="554"/>
      <c r="AM492" s="554"/>
      <c r="AN492" s="554"/>
      <c r="AO492" s="554"/>
      <c r="AP492" s="554"/>
      <c r="AQ492" s="554"/>
      <c r="AR492" s="554"/>
      <c r="AS492" s="554"/>
      <c r="AT492" s="554"/>
      <c r="AU492" s="554"/>
      <c r="AV492" s="554"/>
      <c r="AW492" s="554"/>
      <c r="AX492" s="554"/>
      <c r="AY492" s="554"/>
      <c r="AZ492" s="554"/>
    </row>
    <row r="493" spans="3:52">
      <c r="C493" s="541"/>
      <c r="D493" s="490"/>
      <c r="E493" s="490"/>
      <c r="F493" s="490"/>
      <c r="G493" s="490"/>
      <c r="H493" s="541"/>
      <c r="I493" s="490"/>
      <c r="J493" s="490"/>
      <c r="K493" s="490"/>
      <c r="L493" s="490"/>
      <c r="M493" s="541"/>
      <c r="N493" s="490"/>
      <c r="O493" s="490"/>
      <c r="P493" s="490"/>
      <c r="Q493" s="490"/>
      <c r="R493" s="541"/>
      <c r="S493" s="490"/>
      <c r="T493" s="490"/>
      <c r="U493" s="490"/>
      <c r="V493" s="490"/>
      <c r="W493" s="541"/>
      <c r="X493" s="490"/>
      <c r="Y493" s="490"/>
      <c r="Z493" s="490"/>
      <c r="AA493" s="490"/>
      <c r="AB493" s="541"/>
      <c r="AC493" s="490"/>
      <c r="AD493" s="490"/>
      <c r="AE493" s="490"/>
      <c r="AF493" s="490"/>
      <c r="AG493" s="541"/>
      <c r="AH493" s="490"/>
      <c r="AI493" s="490"/>
      <c r="AJ493" s="490"/>
      <c r="AK493" s="490"/>
      <c r="AL493" s="541"/>
      <c r="AM493" s="490"/>
      <c r="AN493" s="490"/>
      <c r="AO493" s="490"/>
      <c r="AP493" s="490"/>
      <c r="AQ493" s="541"/>
      <c r="AR493" s="490"/>
      <c r="AS493" s="490"/>
      <c r="AT493" s="490"/>
      <c r="AU493" s="490"/>
      <c r="AV493" s="541"/>
      <c r="AW493" s="490"/>
      <c r="AX493" s="490"/>
      <c r="AY493" s="490"/>
      <c r="AZ493" s="490"/>
    </row>
    <row r="494" spans="3:52">
      <c r="C494" s="541"/>
      <c r="D494" s="490"/>
      <c r="E494" s="490"/>
      <c r="F494" s="490"/>
      <c r="G494" s="490"/>
      <c r="H494" s="541"/>
      <c r="I494" s="490"/>
      <c r="J494" s="490"/>
      <c r="K494" s="490"/>
      <c r="L494" s="490"/>
      <c r="M494" s="541"/>
      <c r="N494" s="490"/>
      <c r="O494" s="490"/>
      <c r="P494" s="490"/>
      <c r="Q494" s="490"/>
      <c r="R494" s="541"/>
      <c r="S494" s="490"/>
      <c r="T494" s="490"/>
      <c r="U494" s="490"/>
      <c r="V494" s="490"/>
      <c r="W494" s="541"/>
      <c r="X494" s="490"/>
      <c r="Y494" s="490"/>
      <c r="Z494" s="490"/>
      <c r="AA494" s="490"/>
      <c r="AB494" s="541"/>
      <c r="AC494" s="490"/>
      <c r="AD494" s="490"/>
      <c r="AE494" s="490"/>
      <c r="AF494" s="490"/>
      <c r="AG494" s="541"/>
      <c r="AH494" s="490"/>
      <c r="AI494" s="490"/>
      <c r="AJ494" s="490"/>
      <c r="AK494" s="490"/>
      <c r="AL494" s="541"/>
      <c r="AM494" s="490"/>
      <c r="AN494" s="490"/>
      <c r="AO494" s="490"/>
      <c r="AP494" s="490"/>
      <c r="AQ494" s="541"/>
      <c r="AR494" s="490"/>
      <c r="AS494" s="490"/>
      <c r="AT494" s="490"/>
      <c r="AU494" s="490"/>
      <c r="AV494" s="541"/>
      <c r="AW494" s="490"/>
      <c r="AX494" s="490"/>
      <c r="AY494" s="490"/>
      <c r="AZ494" s="490"/>
    </row>
    <row r="496" spans="3:52">
      <c r="C496" s="541"/>
      <c r="D496" s="490"/>
      <c r="E496" s="490"/>
      <c r="F496" s="490"/>
      <c r="G496" s="490"/>
      <c r="H496" s="541"/>
      <c r="I496" s="490"/>
      <c r="J496" s="490"/>
      <c r="K496" s="490"/>
      <c r="L496" s="490"/>
      <c r="M496" s="541"/>
      <c r="N496" s="490"/>
      <c r="O496" s="490"/>
      <c r="P496" s="490"/>
      <c r="Q496" s="490"/>
      <c r="R496" s="541"/>
      <c r="S496" s="490"/>
      <c r="T496" s="490"/>
      <c r="U496" s="490"/>
      <c r="V496" s="490"/>
      <c r="W496" s="541"/>
      <c r="X496" s="490"/>
      <c r="Y496" s="490"/>
      <c r="Z496" s="490"/>
      <c r="AA496" s="490"/>
      <c r="AB496" s="541"/>
      <c r="AC496" s="490"/>
      <c r="AD496" s="490"/>
      <c r="AE496" s="490"/>
      <c r="AF496" s="490"/>
      <c r="AG496" s="541"/>
      <c r="AH496" s="490"/>
      <c r="AI496" s="490"/>
      <c r="AJ496" s="490"/>
      <c r="AK496" s="490"/>
      <c r="AL496" s="541"/>
      <c r="AM496" s="490"/>
      <c r="AN496" s="490"/>
      <c r="AO496" s="490"/>
      <c r="AP496" s="490"/>
      <c r="AQ496" s="541"/>
      <c r="AR496" s="490"/>
      <c r="AS496" s="490"/>
      <c r="AT496" s="490"/>
      <c r="AU496" s="490"/>
      <c r="AV496" s="541"/>
      <c r="AW496" s="490"/>
      <c r="AX496" s="490"/>
      <c r="AY496" s="490"/>
      <c r="AZ496" s="490"/>
    </row>
    <row r="497" spans="3:52">
      <c r="C497" s="541"/>
      <c r="D497" s="490"/>
      <c r="E497" s="490"/>
      <c r="F497" s="490"/>
      <c r="G497" s="490"/>
      <c r="H497" s="541"/>
      <c r="I497" s="490"/>
      <c r="J497" s="490"/>
      <c r="K497" s="490"/>
      <c r="L497" s="490"/>
      <c r="M497" s="541"/>
      <c r="N497" s="490"/>
      <c r="O497" s="490"/>
      <c r="P497" s="490"/>
      <c r="Q497" s="490"/>
      <c r="R497" s="541"/>
      <c r="S497" s="490"/>
      <c r="T497" s="490"/>
      <c r="U497" s="490"/>
      <c r="V497" s="490"/>
      <c r="W497" s="541"/>
      <c r="X497" s="490"/>
      <c r="Y497" s="490"/>
      <c r="Z497" s="490"/>
      <c r="AA497" s="490"/>
      <c r="AB497" s="541"/>
      <c r="AC497" s="490"/>
      <c r="AD497" s="490"/>
      <c r="AE497" s="490"/>
      <c r="AF497" s="490"/>
      <c r="AG497" s="541"/>
      <c r="AH497" s="490"/>
      <c r="AI497" s="490"/>
      <c r="AJ497" s="490"/>
      <c r="AK497" s="490"/>
      <c r="AL497" s="541"/>
      <c r="AM497" s="490"/>
      <c r="AN497" s="490"/>
      <c r="AO497" s="490"/>
      <c r="AP497" s="490"/>
      <c r="AQ497" s="541"/>
      <c r="AR497" s="490"/>
      <c r="AS497" s="490"/>
      <c r="AT497" s="490"/>
      <c r="AU497" s="490"/>
      <c r="AV497" s="541"/>
      <c r="AW497" s="490"/>
      <c r="AX497" s="490"/>
      <c r="AY497" s="490"/>
      <c r="AZ497" s="490"/>
    </row>
    <row r="498" spans="3:52">
      <c r="C498" s="541"/>
      <c r="D498" s="490"/>
      <c r="E498" s="490"/>
      <c r="F498" s="490"/>
      <c r="G498" s="490"/>
      <c r="H498" s="541"/>
      <c r="I498" s="490"/>
      <c r="J498" s="490"/>
      <c r="K498" s="490"/>
      <c r="L498" s="490"/>
      <c r="M498" s="541"/>
      <c r="N498" s="490"/>
      <c r="O498" s="490"/>
      <c r="P498" s="490"/>
      <c r="Q498" s="490"/>
      <c r="R498" s="541"/>
      <c r="S498" s="490"/>
      <c r="T498" s="490"/>
      <c r="U498" s="490"/>
      <c r="V498" s="490"/>
      <c r="W498" s="541"/>
      <c r="X498" s="490"/>
      <c r="Y498" s="490"/>
      <c r="Z498" s="490"/>
      <c r="AA498" s="490"/>
      <c r="AB498" s="541"/>
      <c r="AC498" s="490"/>
      <c r="AD498" s="490"/>
      <c r="AE498" s="490"/>
      <c r="AF498" s="490"/>
      <c r="AG498" s="541"/>
      <c r="AH498" s="490"/>
      <c r="AI498" s="490"/>
      <c r="AJ498" s="490"/>
      <c r="AK498" s="490"/>
      <c r="AL498" s="541"/>
      <c r="AM498" s="490"/>
      <c r="AN498" s="490"/>
      <c r="AO498" s="490"/>
      <c r="AP498" s="490"/>
      <c r="AQ498" s="541"/>
      <c r="AR498" s="490"/>
      <c r="AS498" s="490"/>
      <c r="AT498" s="490"/>
      <c r="AU498" s="490"/>
      <c r="AV498" s="541"/>
      <c r="AW498" s="490"/>
      <c r="AX498" s="490"/>
      <c r="AY498" s="490"/>
      <c r="AZ498" s="490"/>
    </row>
    <row r="499" spans="3:52">
      <c r="C499" s="541"/>
      <c r="D499" s="490"/>
      <c r="E499" s="490"/>
      <c r="F499" s="490"/>
      <c r="G499" s="490"/>
      <c r="H499" s="541"/>
      <c r="I499" s="490"/>
      <c r="J499" s="490"/>
      <c r="K499" s="490"/>
      <c r="L499" s="490"/>
      <c r="M499" s="541"/>
      <c r="N499" s="490"/>
      <c r="O499" s="490"/>
      <c r="P499" s="490"/>
      <c r="Q499" s="490"/>
      <c r="R499" s="541"/>
      <c r="S499" s="490"/>
      <c r="T499" s="490"/>
      <c r="U499" s="490"/>
      <c r="V499" s="490"/>
      <c r="W499" s="541"/>
      <c r="X499" s="490"/>
      <c r="Y499" s="490"/>
      <c r="Z499" s="490"/>
      <c r="AA499" s="490"/>
      <c r="AB499" s="541"/>
      <c r="AC499" s="490"/>
      <c r="AD499" s="490"/>
      <c r="AE499" s="490"/>
      <c r="AF499" s="490"/>
      <c r="AG499" s="541"/>
      <c r="AH499" s="490"/>
      <c r="AI499" s="490"/>
      <c r="AJ499" s="490"/>
      <c r="AK499" s="490"/>
      <c r="AL499" s="541"/>
      <c r="AM499" s="490"/>
      <c r="AN499" s="490"/>
      <c r="AO499" s="490"/>
      <c r="AP499" s="490"/>
      <c r="AQ499" s="541"/>
      <c r="AR499" s="490"/>
      <c r="AS499" s="490"/>
      <c r="AT499" s="490"/>
      <c r="AU499" s="490"/>
      <c r="AV499" s="541"/>
      <c r="AW499" s="490"/>
      <c r="AX499" s="490"/>
      <c r="AY499" s="490"/>
      <c r="AZ499" s="490"/>
    </row>
    <row r="500" spans="3:52">
      <c r="C500" s="541"/>
      <c r="D500" s="490"/>
      <c r="E500" s="490"/>
      <c r="F500" s="490"/>
      <c r="G500" s="490"/>
      <c r="H500" s="541"/>
      <c r="I500" s="490"/>
      <c r="J500" s="490"/>
      <c r="K500" s="490"/>
      <c r="L500" s="490"/>
      <c r="M500" s="541"/>
      <c r="N500" s="490"/>
      <c r="O500" s="490"/>
      <c r="P500" s="490"/>
      <c r="Q500" s="490"/>
      <c r="R500" s="541"/>
      <c r="S500" s="490"/>
      <c r="T500" s="490"/>
      <c r="U500" s="490"/>
      <c r="V500" s="490"/>
      <c r="W500" s="541"/>
      <c r="X500" s="490"/>
      <c r="Y500" s="490"/>
      <c r="Z500" s="490"/>
      <c r="AA500" s="490"/>
      <c r="AB500" s="541"/>
      <c r="AC500" s="490"/>
      <c r="AD500" s="490"/>
      <c r="AE500" s="490"/>
      <c r="AF500" s="490"/>
      <c r="AG500" s="541"/>
      <c r="AH500" s="490"/>
      <c r="AI500" s="490"/>
      <c r="AJ500" s="490"/>
      <c r="AK500" s="490"/>
      <c r="AL500" s="541"/>
      <c r="AM500" s="490"/>
      <c r="AN500" s="490"/>
      <c r="AO500" s="490"/>
      <c r="AP500" s="490"/>
      <c r="AQ500" s="541"/>
      <c r="AR500" s="490"/>
      <c r="AS500" s="490"/>
      <c r="AT500" s="490"/>
      <c r="AU500" s="490"/>
      <c r="AV500" s="541"/>
      <c r="AW500" s="490"/>
      <c r="AX500" s="490"/>
      <c r="AY500" s="490"/>
      <c r="AZ500" s="490"/>
    </row>
    <row r="501" spans="3:52">
      <c r="C501" s="541"/>
      <c r="D501" s="490"/>
      <c r="E501" s="490"/>
      <c r="F501" s="490"/>
      <c r="G501" s="490"/>
      <c r="H501" s="541"/>
      <c r="I501" s="490"/>
      <c r="J501" s="490"/>
      <c r="K501" s="490"/>
      <c r="L501" s="490"/>
      <c r="M501" s="541"/>
      <c r="N501" s="490"/>
      <c r="O501" s="490"/>
      <c r="P501" s="490"/>
      <c r="Q501" s="490"/>
      <c r="R501" s="541"/>
      <c r="S501" s="490"/>
      <c r="T501" s="490"/>
      <c r="U501" s="490"/>
      <c r="V501" s="490"/>
      <c r="W501" s="541"/>
      <c r="X501" s="490"/>
      <c r="Y501" s="490"/>
      <c r="Z501" s="490"/>
      <c r="AA501" s="490"/>
      <c r="AB501" s="541"/>
      <c r="AC501" s="490"/>
      <c r="AD501" s="490"/>
      <c r="AE501" s="490"/>
      <c r="AF501" s="490"/>
      <c r="AG501" s="541"/>
      <c r="AH501" s="490"/>
      <c r="AI501" s="490"/>
      <c r="AJ501" s="490"/>
      <c r="AK501" s="490"/>
      <c r="AL501" s="541"/>
      <c r="AM501" s="490"/>
      <c r="AN501" s="490"/>
      <c r="AO501" s="490"/>
      <c r="AP501" s="490"/>
      <c r="AQ501" s="541"/>
      <c r="AR501" s="490"/>
      <c r="AS501" s="490"/>
      <c r="AT501" s="490"/>
      <c r="AU501" s="490"/>
      <c r="AV501" s="541"/>
      <c r="AW501" s="490"/>
      <c r="AX501" s="490"/>
      <c r="AY501" s="490"/>
      <c r="AZ501" s="490"/>
    </row>
    <row r="502" spans="3:52">
      <c r="C502" s="541"/>
      <c r="D502" s="490"/>
      <c r="E502" s="490"/>
      <c r="F502" s="490"/>
      <c r="G502" s="490"/>
      <c r="H502" s="541"/>
      <c r="I502" s="490"/>
      <c r="J502" s="490"/>
      <c r="K502" s="490"/>
      <c r="L502" s="490"/>
      <c r="M502" s="541"/>
      <c r="N502" s="490"/>
      <c r="O502" s="490"/>
      <c r="P502" s="490"/>
      <c r="Q502" s="490"/>
      <c r="R502" s="541"/>
      <c r="S502" s="490"/>
      <c r="T502" s="490"/>
      <c r="U502" s="490"/>
      <c r="V502" s="490"/>
      <c r="W502" s="541"/>
      <c r="X502" s="490"/>
      <c r="Y502" s="490"/>
      <c r="Z502" s="490"/>
      <c r="AA502" s="490"/>
      <c r="AB502" s="541"/>
      <c r="AC502" s="490"/>
      <c r="AD502" s="490"/>
      <c r="AE502" s="490"/>
      <c r="AF502" s="490"/>
      <c r="AG502" s="541"/>
      <c r="AH502" s="490"/>
      <c r="AI502" s="490"/>
      <c r="AJ502" s="490"/>
      <c r="AK502" s="490"/>
      <c r="AL502" s="541"/>
      <c r="AM502" s="490"/>
      <c r="AN502" s="490"/>
      <c r="AO502" s="490"/>
      <c r="AP502" s="490"/>
      <c r="AQ502" s="541"/>
      <c r="AR502" s="490"/>
      <c r="AS502" s="490"/>
      <c r="AT502" s="490"/>
      <c r="AU502" s="490"/>
      <c r="AV502" s="541"/>
      <c r="AW502" s="490"/>
      <c r="AX502" s="490"/>
      <c r="AY502" s="490"/>
      <c r="AZ502" s="490"/>
    </row>
    <row r="503" spans="3:52">
      <c r="C503" s="541"/>
      <c r="D503" s="490"/>
      <c r="E503" s="490"/>
      <c r="F503" s="490"/>
      <c r="G503" s="490"/>
      <c r="H503" s="541"/>
      <c r="I503" s="490"/>
      <c r="J503" s="490"/>
      <c r="K503" s="490"/>
      <c r="L503" s="490"/>
      <c r="M503" s="541"/>
      <c r="N503" s="490"/>
      <c r="O503" s="490"/>
      <c r="P503" s="490"/>
      <c r="Q503" s="490"/>
      <c r="R503" s="541"/>
      <c r="S503" s="490"/>
      <c r="T503" s="490"/>
      <c r="U503" s="490"/>
      <c r="V503" s="490"/>
      <c r="W503" s="541"/>
      <c r="X503" s="490"/>
      <c r="Y503" s="490"/>
      <c r="Z503" s="490"/>
      <c r="AA503" s="490"/>
      <c r="AB503" s="541"/>
      <c r="AC503" s="490"/>
      <c r="AD503" s="490"/>
      <c r="AE503" s="490"/>
      <c r="AF503" s="490"/>
      <c r="AG503" s="541"/>
      <c r="AH503" s="490"/>
      <c r="AI503" s="490"/>
      <c r="AJ503" s="490"/>
      <c r="AK503" s="490"/>
      <c r="AL503" s="541"/>
      <c r="AM503" s="490"/>
      <c r="AN503" s="490"/>
      <c r="AO503" s="490"/>
      <c r="AP503" s="490"/>
      <c r="AQ503" s="541"/>
      <c r="AR503" s="490"/>
      <c r="AS503" s="490"/>
      <c r="AT503" s="490"/>
      <c r="AU503" s="490"/>
      <c r="AV503" s="541"/>
      <c r="AW503" s="490"/>
      <c r="AX503" s="490"/>
      <c r="AY503" s="490"/>
      <c r="AZ503" s="490"/>
    </row>
    <row r="504" spans="3:52">
      <c r="C504" s="541"/>
      <c r="D504" s="490"/>
      <c r="E504" s="490"/>
      <c r="F504" s="490"/>
      <c r="G504" s="490"/>
      <c r="H504" s="541"/>
      <c r="I504" s="490"/>
      <c r="J504" s="490"/>
      <c r="K504" s="490"/>
      <c r="L504" s="490"/>
      <c r="M504" s="541"/>
      <c r="N504" s="490"/>
      <c r="O504" s="490"/>
      <c r="P504" s="490"/>
      <c r="Q504" s="490"/>
      <c r="R504" s="541"/>
      <c r="S504" s="490"/>
      <c r="T504" s="490"/>
      <c r="U504" s="490"/>
      <c r="V504" s="490"/>
      <c r="W504" s="541"/>
      <c r="X504" s="490"/>
      <c r="Y504" s="490"/>
      <c r="Z504" s="490"/>
      <c r="AA504" s="490"/>
      <c r="AB504" s="541"/>
      <c r="AC504" s="490"/>
      <c r="AD504" s="490"/>
      <c r="AE504" s="490"/>
      <c r="AF504" s="490"/>
      <c r="AG504" s="541"/>
      <c r="AH504" s="490"/>
      <c r="AI504" s="490"/>
      <c r="AJ504" s="490"/>
      <c r="AK504" s="490"/>
      <c r="AL504" s="541"/>
      <c r="AM504" s="490"/>
      <c r="AN504" s="490"/>
      <c r="AO504" s="490"/>
      <c r="AP504" s="490"/>
      <c r="AQ504" s="541"/>
      <c r="AR504" s="490"/>
      <c r="AS504" s="490"/>
      <c r="AT504" s="490"/>
      <c r="AU504" s="490"/>
      <c r="AV504" s="541"/>
      <c r="AW504" s="490"/>
      <c r="AX504" s="490"/>
      <c r="AY504" s="490"/>
      <c r="AZ504" s="490"/>
    </row>
    <row r="505" spans="3:52">
      <c r="C505" s="541"/>
      <c r="D505" s="490"/>
      <c r="E505" s="490"/>
      <c r="F505" s="490"/>
      <c r="G505" s="490"/>
      <c r="H505" s="541"/>
      <c r="I505" s="490"/>
      <c r="J505" s="490"/>
      <c r="K505" s="490"/>
      <c r="L505" s="490"/>
      <c r="M505" s="541"/>
      <c r="N505" s="490"/>
      <c r="O505" s="490"/>
      <c r="P505" s="490"/>
      <c r="Q505" s="490"/>
      <c r="R505" s="541"/>
      <c r="S505" s="490"/>
      <c r="T505" s="490"/>
      <c r="U505" s="490"/>
      <c r="V505" s="490"/>
      <c r="W505" s="541"/>
      <c r="X505" s="490"/>
      <c r="Y505" s="490"/>
      <c r="Z505" s="490"/>
      <c r="AA505" s="490"/>
      <c r="AB505" s="541"/>
      <c r="AC505" s="490"/>
      <c r="AD505" s="490"/>
      <c r="AE505" s="490"/>
      <c r="AF505" s="490"/>
      <c r="AG505" s="541"/>
      <c r="AH505" s="490"/>
      <c r="AI505" s="490"/>
      <c r="AJ505" s="490"/>
      <c r="AK505" s="490"/>
      <c r="AL505" s="541"/>
      <c r="AM505" s="490"/>
      <c r="AN505" s="490"/>
      <c r="AO505" s="490"/>
      <c r="AP505" s="490"/>
      <c r="AQ505" s="541"/>
      <c r="AR505" s="490"/>
      <c r="AS505" s="490"/>
      <c r="AT505" s="490"/>
      <c r="AU505" s="490"/>
      <c r="AV505" s="541"/>
      <c r="AW505" s="490"/>
      <c r="AX505" s="490"/>
      <c r="AY505" s="490"/>
      <c r="AZ505" s="490"/>
    </row>
    <row r="506" spans="3:52">
      <c r="C506" s="541"/>
      <c r="D506" s="490"/>
      <c r="E506" s="490"/>
      <c r="F506" s="490"/>
      <c r="G506" s="490"/>
      <c r="H506" s="541"/>
      <c r="I506" s="490"/>
      <c r="J506" s="490"/>
      <c r="K506" s="490"/>
      <c r="L506" s="490"/>
      <c r="M506" s="541"/>
      <c r="N506" s="490"/>
      <c r="O506" s="490"/>
      <c r="P506" s="490"/>
      <c r="Q506" s="490"/>
      <c r="R506" s="541"/>
      <c r="S506" s="490"/>
      <c r="T506" s="490"/>
      <c r="U506" s="490"/>
      <c r="V506" s="490"/>
      <c r="W506" s="541"/>
      <c r="X506" s="490"/>
      <c r="Y506" s="490"/>
      <c r="Z506" s="490"/>
      <c r="AA506" s="490"/>
      <c r="AB506" s="541"/>
      <c r="AC506" s="490"/>
      <c r="AD506" s="490"/>
      <c r="AE506" s="490"/>
      <c r="AF506" s="490"/>
      <c r="AG506" s="541"/>
      <c r="AH506" s="490"/>
      <c r="AI506" s="490"/>
      <c r="AJ506" s="490"/>
      <c r="AK506" s="490"/>
      <c r="AL506" s="541"/>
      <c r="AM506" s="490"/>
      <c r="AN506" s="490"/>
      <c r="AO506" s="490"/>
      <c r="AP506" s="490"/>
      <c r="AQ506" s="541"/>
      <c r="AR506" s="490"/>
      <c r="AS506" s="490"/>
      <c r="AT506" s="490"/>
      <c r="AU506" s="490"/>
      <c r="AV506" s="541"/>
      <c r="AW506" s="490"/>
      <c r="AX506" s="490"/>
      <c r="AY506" s="490"/>
      <c r="AZ506" s="490"/>
    </row>
    <row r="507" spans="3:52">
      <c r="C507" s="541"/>
      <c r="D507" s="490"/>
      <c r="E507" s="490"/>
      <c r="F507" s="490"/>
      <c r="G507" s="490"/>
      <c r="H507" s="541"/>
      <c r="I507" s="490"/>
      <c r="J507" s="490"/>
      <c r="K507" s="490"/>
      <c r="L507" s="490"/>
      <c r="M507" s="541"/>
      <c r="N507" s="490"/>
      <c r="O507" s="490"/>
      <c r="P507" s="490"/>
      <c r="Q507" s="490"/>
      <c r="R507" s="541"/>
      <c r="S507" s="490"/>
      <c r="T507" s="490"/>
      <c r="U507" s="490"/>
      <c r="V507" s="490"/>
      <c r="W507" s="541"/>
      <c r="X507" s="490"/>
      <c r="Y507" s="490"/>
      <c r="Z507" s="490"/>
      <c r="AA507" s="490"/>
      <c r="AB507" s="541"/>
      <c r="AC507" s="490"/>
      <c r="AD507" s="490"/>
      <c r="AE507" s="490"/>
      <c r="AF507" s="490"/>
      <c r="AG507" s="541"/>
      <c r="AH507" s="490"/>
      <c r="AI507" s="490"/>
      <c r="AJ507" s="490"/>
      <c r="AK507" s="490"/>
      <c r="AL507" s="541"/>
      <c r="AM507" s="490"/>
      <c r="AN507" s="490"/>
      <c r="AO507" s="490"/>
      <c r="AP507" s="490"/>
      <c r="AQ507" s="541"/>
      <c r="AR507" s="490"/>
      <c r="AS507" s="490"/>
      <c r="AT507" s="490"/>
      <c r="AU507" s="490"/>
      <c r="AV507" s="541"/>
      <c r="AW507" s="490"/>
      <c r="AX507" s="490"/>
      <c r="AY507" s="490"/>
      <c r="AZ507" s="490"/>
    </row>
    <row r="508" spans="3:52">
      <c r="C508" s="541"/>
      <c r="D508" s="490"/>
      <c r="E508" s="490"/>
      <c r="F508" s="490"/>
      <c r="G508" s="490"/>
      <c r="H508" s="541"/>
      <c r="I508" s="490"/>
      <c r="J508" s="490"/>
      <c r="K508" s="490"/>
      <c r="L508" s="490"/>
      <c r="M508" s="541"/>
      <c r="N508" s="490"/>
      <c r="O508" s="490"/>
      <c r="P508" s="490"/>
      <c r="Q508" s="490"/>
      <c r="R508" s="541"/>
      <c r="S508" s="490"/>
      <c r="T508" s="490"/>
      <c r="U508" s="490"/>
      <c r="V508" s="490"/>
      <c r="W508" s="541"/>
      <c r="X508" s="490"/>
      <c r="Y508" s="490"/>
      <c r="Z508" s="490"/>
      <c r="AA508" s="490"/>
      <c r="AB508" s="541"/>
      <c r="AC508" s="490"/>
      <c r="AD508" s="490"/>
      <c r="AE508" s="490"/>
      <c r="AF508" s="490"/>
      <c r="AG508" s="541"/>
      <c r="AH508" s="490"/>
      <c r="AI508" s="490"/>
      <c r="AJ508" s="490"/>
      <c r="AK508" s="490"/>
      <c r="AL508" s="541"/>
      <c r="AM508" s="490"/>
      <c r="AN508" s="490"/>
      <c r="AO508" s="490"/>
      <c r="AP508" s="490"/>
      <c r="AQ508" s="541"/>
      <c r="AR508" s="490"/>
      <c r="AS508" s="490"/>
      <c r="AT508" s="490"/>
      <c r="AU508" s="490"/>
      <c r="AV508" s="541"/>
      <c r="AW508" s="490"/>
      <c r="AX508" s="490"/>
      <c r="AY508" s="490"/>
      <c r="AZ508" s="490"/>
    </row>
    <row r="509" spans="3:52">
      <c r="C509" s="541"/>
      <c r="D509" s="490"/>
      <c r="E509" s="490"/>
      <c r="F509" s="490"/>
      <c r="G509" s="490"/>
      <c r="H509" s="541"/>
      <c r="I509" s="490"/>
      <c r="J509" s="490"/>
      <c r="K509" s="490"/>
      <c r="L509" s="490"/>
      <c r="M509" s="541"/>
      <c r="N509" s="490"/>
      <c r="O509" s="490"/>
      <c r="P509" s="490"/>
      <c r="Q509" s="490"/>
      <c r="R509" s="541"/>
      <c r="S509" s="490"/>
      <c r="T509" s="490"/>
      <c r="U509" s="490"/>
      <c r="V509" s="490"/>
      <c r="W509" s="541"/>
      <c r="X509" s="490"/>
      <c r="Y509" s="490"/>
      <c r="Z509" s="490"/>
      <c r="AA509" s="490"/>
      <c r="AB509" s="541"/>
      <c r="AC509" s="490"/>
      <c r="AD509" s="490"/>
      <c r="AE509" s="490"/>
      <c r="AF509" s="490"/>
      <c r="AG509" s="541"/>
      <c r="AH509" s="490"/>
      <c r="AI509" s="490"/>
      <c r="AJ509" s="490"/>
      <c r="AK509" s="490"/>
      <c r="AL509" s="541"/>
      <c r="AM509" s="490"/>
      <c r="AN509" s="490"/>
      <c r="AO509" s="490"/>
      <c r="AP509" s="490"/>
      <c r="AQ509" s="541"/>
      <c r="AR509" s="490"/>
      <c r="AS509" s="490"/>
      <c r="AT509" s="490"/>
      <c r="AU509" s="490"/>
      <c r="AV509" s="541"/>
      <c r="AW509" s="490"/>
      <c r="AX509" s="490"/>
      <c r="AY509" s="490"/>
      <c r="AZ509" s="490"/>
    </row>
    <row r="510" spans="3:52">
      <c r="C510" s="555"/>
      <c r="D510" s="555"/>
      <c r="E510" s="555"/>
      <c r="F510" s="555"/>
      <c r="G510" s="555"/>
      <c r="H510" s="555"/>
      <c r="I510" s="555"/>
      <c r="J510" s="555"/>
      <c r="K510" s="555"/>
      <c r="L510" s="555"/>
      <c r="M510" s="555"/>
      <c r="N510" s="555"/>
      <c r="O510" s="555"/>
      <c r="P510" s="555"/>
      <c r="Q510" s="555"/>
      <c r="R510" s="555"/>
      <c r="S510" s="555"/>
      <c r="T510" s="555"/>
      <c r="U510" s="555"/>
      <c r="V510" s="555"/>
      <c r="W510" s="555"/>
      <c r="X510" s="555"/>
      <c r="Y510" s="555"/>
      <c r="Z510" s="555"/>
      <c r="AA510" s="555"/>
      <c r="AB510" s="555"/>
      <c r="AC510" s="555"/>
      <c r="AD510" s="555"/>
      <c r="AE510" s="555"/>
      <c r="AF510" s="555"/>
      <c r="AG510" s="555"/>
      <c r="AH510" s="555"/>
      <c r="AI510" s="555"/>
      <c r="AJ510" s="555"/>
      <c r="AK510" s="555"/>
      <c r="AL510" s="555"/>
      <c r="AM510" s="555"/>
      <c r="AN510" s="555"/>
      <c r="AO510" s="555"/>
      <c r="AP510" s="555"/>
      <c r="AQ510" s="555"/>
      <c r="AR510" s="555"/>
      <c r="AS510" s="555"/>
      <c r="AT510" s="555"/>
      <c r="AU510" s="555"/>
      <c r="AV510" s="555"/>
      <c r="AW510" s="555"/>
      <c r="AX510" s="555"/>
      <c r="AY510" s="555"/>
      <c r="AZ510" s="555"/>
    </row>
    <row r="511" spans="3:52">
      <c r="C511" s="394"/>
      <c r="D511" s="394"/>
      <c r="E511" s="394"/>
      <c r="F511" s="394"/>
      <c r="G511" s="394"/>
      <c r="H511" s="394"/>
      <c r="I511" s="394"/>
      <c r="J511" s="394"/>
      <c r="K511" s="394"/>
      <c r="L511" s="394"/>
      <c r="M511" s="394"/>
      <c r="N511" s="394"/>
      <c r="O511" s="394"/>
      <c r="P511" s="394"/>
      <c r="Q511" s="394"/>
      <c r="R511" s="394"/>
      <c r="S511" s="394"/>
      <c r="T511" s="394"/>
      <c r="U511" s="394"/>
      <c r="V511" s="394"/>
      <c r="W511" s="394"/>
      <c r="X511" s="394"/>
      <c r="Y511" s="394"/>
      <c r="Z511" s="394"/>
      <c r="AA511" s="394"/>
      <c r="AB511" s="394"/>
      <c r="AC511" s="394"/>
      <c r="AD511" s="394"/>
      <c r="AE511" s="394"/>
      <c r="AF511" s="394"/>
      <c r="AG511" s="394"/>
      <c r="AH511" s="394"/>
      <c r="AI511" s="394"/>
      <c r="AJ511" s="394"/>
      <c r="AK511" s="394"/>
      <c r="AL511" s="394"/>
      <c r="AM511" s="394"/>
      <c r="AN511" s="394"/>
      <c r="AO511" s="394"/>
      <c r="AP511" s="394"/>
      <c r="AQ511" s="394"/>
      <c r="AR511" s="394"/>
      <c r="AS511" s="394"/>
      <c r="AT511" s="394"/>
      <c r="AU511" s="394"/>
      <c r="AV511" s="394"/>
      <c r="AW511" s="394"/>
      <c r="AX511" s="394"/>
      <c r="AY511" s="394"/>
      <c r="AZ511" s="394"/>
    </row>
    <row r="512" spans="3:52">
      <c r="C512" s="541"/>
      <c r="D512" s="490"/>
      <c r="E512" s="490"/>
      <c r="F512" s="490"/>
      <c r="G512" s="490"/>
      <c r="H512" s="541"/>
      <c r="I512" s="490"/>
      <c r="J512" s="490"/>
      <c r="K512" s="490"/>
      <c r="L512" s="490"/>
      <c r="M512" s="541"/>
      <c r="N512" s="490"/>
      <c r="O512" s="490"/>
      <c r="P512" s="490"/>
      <c r="Q512" s="490"/>
      <c r="R512" s="541"/>
      <c r="S512" s="490"/>
      <c r="T512" s="490"/>
      <c r="U512" s="490"/>
      <c r="V512" s="490"/>
      <c r="W512" s="541"/>
      <c r="X512" s="490"/>
      <c r="Y512" s="490"/>
      <c r="Z512" s="490"/>
      <c r="AA512" s="490"/>
      <c r="AB512" s="541"/>
      <c r="AC512" s="490"/>
      <c r="AD512" s="490"/>
      <c r="AE512" s="490"/>
      <c r="AF512" s="490"/>
      <c r="AG512" s="541"/>
      <c r="AH512" s="490"/>
      <c r="AI512" s="490"/>
      <c r="AJ512" s="490"/>
      <c r="AK512" s="490"/>
      <c r="AL512" s="541"/>
      <c r="AM512" s="490"/>
      <c r="AN512" s="490"/>
      <c r="AO512" s="490"/>
      <c r="AP512" s="490"/>
      <c r="AQ512" s="541"/>
      <c r="AR512" s="490"/>
      <c r="AS512" s="490"/>
      <c r="AT512" s="490"/>
      <c r="AU512" s="490"/>
      <c r="AV512" s="541"/>
      <c r="AW512" s="490"/>
      <c r="AX512" s="490"/>
      <c r="AY512" s="490"/>
      <c r="AZ512" s="490"/>
    </row>
    <row r="513" spans="3:52">
      <c r="C513" s="555"/>
      <c r="D513" s="555"/>
      <c r="E513" s="555"/>
      <c r="F513" s="555"/>
      <c r="G513" s="555"/>
      <c r="H513" s="555"/>
      <c r="I513" s="555"/>
      <c r="J513" s="555"/>
      <c r="K513" s="555"/>
      <c r="L513" s="555"/>
      <c r="M513" s="555"/>
      <c r="N513" s="555"/>
      <c r="O513" s="555"/>
      <c r="P513" s="555"/>
      <c r="Q513" s="555"/>
      <c r="R513" s="555"/>
      <c r="S513" s="555"/>
      <c r="T513" s="555"/>
      <c r="U513" s="555"/>
      <c r="V513" s="555"/>
      <c r="W513" s="555"/>
      <c r="X513" s="555"/>
      <c r="Y513" s="555"/>
      <c r="Z513" s="555"/>
      <c r="AA513" s="555"/>
      <c r="AB513" s="555"/>
      <c r="AC513" s="555"/>
      <c r="AD513" s="555"/>
      <c r="AE513" s="555"/>
      <c r="AF513" s="555"/>
      <c r="AG513" s="555"/>
      <c r="AH513" s="555"/>
      <c r="AI513" s="555"/>
      <c r="AJ513" s="555"/>
      <c r="AK513" s="555"/>
      <c r="AL513" s="555"/>
      <c r="AM513" s="555"/>
      <c r="AN513" s="555"/>
      <c r="AO513" s="555"/>
      <c r="AP513" s="555"/>
      <c r="AQ513" s="555"/>
      <c r="AR513" s="555"/>
      <c r="AS513" s="555"/>
      <c r="AT513" s="555"/>
      <c r="AU513" s="555"/>
      <c r="AV513" s="555"/>
      <c r="AW513" s="555"/>
      <c r="AX513" s="555"/>
      <c r="AY513" s="555"/>
      <c r="AZ513" s="555"/>
    </row>
    <row r="514" spans="3:52">
      <c r="C514" s="394"/>
      <c r="D514" s="394"/>
      <c r="E514" s="394"/>
      <c r="F514" s="394"/>
      <c r="G514" s="394"/>
      <c r="H514" s="394"/>
      <c r="I514" s="394"/>
      <c r="J514" s="394"/>
      <c r="K514" s="394"/>
      <c r="L514" s="394"/>
      <c r="M514" s="394"/>
      <c r="N514" s="394"/>
      <c r="O514" s="394"/>
      <c r="P514" s="394"/>
      <c r="Q514" s="394"/>
      <c r="R514" s="394"/>
      <c r="S514" s="394"/>
      <c r="T514" s="394"/>
      <c r="U514" s="394"/>
      <c r="V514" s="394"/>
      <c r="W514" s="394"/>
      <c r="X514" s="394"/>
      <c r="Y514" s="394"/>
      <c r="Z514" s="394"/>
      <c r="AA514" s="394"/>
      <c r="AB514" s="394"/>
      <c r="AC514" s="394"/>
      <c r="AD514" s="394"/>
      <c r="AE514" s="394"/>
      <c r="AF514" s="394"/>
      <c r="AG514" s="394"/>
      <c r="AH514" s="394"/>
      <c r="AI514" s="394"/>
      <c r="AJ514" s="394"/>
      <c r="AK514" s="394"/>
      <c r="AL514" s="394"/>
      <c r="AM514" s="394"/>
      <c r="AN514" s="394"/>
      <c r="AO514" s="394"/>
      <c r="AP514" s="394"/>
      <c r="AQ514" s="394"/>
      <c r="AR514" s="394"/>
      <c r="AS514" s="394"/>
      <c r="AT514" s="394"/>
      <c r="AU514" s="394"/>
      <c r="AV514" s="394"/>
      <c r="AW514" s="394"/>
      <c r="AX514" s="394"/>
      <c r="AY514" s="394"/>
      <c r="AZ514" s="394"/>
    </row>
    <row r="515" spans="3:52"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  <c r="P515" s="394"/>
      <c r="Q515" s="394"/>
      <c r="R515" s="394"/>
      <c r="S515" s="394"/>
      <c r="T515" s="394"/>
      <c r="U515" s="394"/>
      <c r="V515" s="394"/>
      <c r="W515" s="394"/>
      <c r="X515" s="394"/>
      <c r="Y515" s="394"/>
      <c r="Z515" s="394"/>
      <c r="AA515" s="394"/>
      <c r="AB515" s="394"/>
      <c r="AC515" s="394"/>
      <c r="AD515" s="394"/>
      <c r="AE515" s="394"/>
      <c r="AF515" s="394"/>
      <c r="AG515" s="394"/>
      <c r="AH515" s="394"/>
      <c r="AI515" s="394"/>
      <c r="AJ515" s="394"/>
      <c r="AK515" s="394"/>
      <c r="AL515" s="394"/>
      <c r="AM515" s="394"/>
      <c r="AN515" s="394"/>
      <c r="AO515" s="394"/>
      <c r="AP515" s="394"/>
      <c r="AQ515" s="394"/>
      <c r="AR515" s="394"/>
      <c r="AS515" s="394"/>
      <c r="AT515" s="394"/>
      <c r="AU515" s="394"/>
      <c r="AV515" s="394"/>
      <c r="AW515" s="394"/>
      <c r="AX515" s="394"/>
      <c r="AY515" s="394"/>
      <c r="AZ515" s="394"/>
    </row>
    <row r="516" spans="3:52">
      <c r="C516" s="499"/>
      <c r="D516" s="499"/>
      <c r="E516" s="499"/>
      <c r="F516" s="499"/>
      <c r="G516" s="499"/>
      <c r="H516" s="499"/>
      <c r="I516" s="499"/>
      <c r="J516" s="499"/>
      <c r="K516" s="499"/>
      <c r="L516" s="499"/>
      <c r="M516" s="499"/>
      <c r="N516" s="499"/>
      <c r="O516" s="499"/>
      <c r="P516" s="499"/>
      <c r="Q516" s="499"/>
      <c r="R516" s="499"/>
      <c r="S516" s="499"/>
      <c r="T516" s="499"/>
      <c r="U516" s="499"/>
      <c r="V516" s="499"/>
      <c r="W516" s="499"/>
      <c r="X516" s="499"/>
      <c r="Y516" s="499"/>
      <c r="Z516" s="499"/>
      <c r="AA516" s="499"/>
      <c r="AB516" s="499"/>
      <c r="AC516" s="499"/>
      <c r="AD516" s="499"/>
      <c r="AE516" s="499"/>
      <c r="AF516" s="499"/>
      <c r="AG516" s="499"/>
      <c r="AH516" s="499"/>
      <c r="AI516" s="499"/>
      <c r="AJ516" s="499"/>
      <c r="AK516" s="499"/>
      <c r="AL516" s="499"/>
      <c r="AM516" s="499"/>
      <c r="AN516" s="499"/>
      <c r="AO516" s="499"/>
      <c r="AP516" s="499"/>
      <c r="AQ516" s="499"/>
      <c r="AR516" s="499"/>
      <c r="AS516" s="499"/>
      <c r="AT516" s="499"/>
      <c r="AU516" s="499"/>
      <c r="AV516" s="499"/>
      <c r="AW516" s="499"/>
      <c r="AX516" s="499"/>
      <c r="AY516" s="499"/>
      <c r="AZ516" s="499"/>
    </row>
    <row r="517" spans="3:52">
      <c r="C517" s="394"/>
      <c r="D517" s="394"/>
      <c r="E517" s="394"/>
      <c r="F517" s="394"/>
      <c r="G517" s="394"/>
      <c r="H517" s="394"/>
      <c r="I517" s="394"/>
      <c r="J517" s="394"/>
      <c r="K517" s="394"/>
      <c r="L517" s="394"/>
      <c r="M517" s="394"/>
      <c r="N517" s="394"/>
      <c r="O517" s="394"/>
      <c r="P517" s="394"/>
      <c r="Q517" s="394"/>
      <c r="R517" s="394"/>
      <c r="S517" s="394"/>
      <c r="T517" s="394"/>
      <c r="U517" s="394"/>
      <c r="V517" s="394"/>
      <c r="W517" s="394"/>
      <c r="X517" s="394"/>
      <c r="Y517" s="394"/>
      <c r="Z517" s="394"/>
      <c r="AA517" s="394"/>
      <c r="AB517" s="394"/>
      <c r="AC517" s="394"/>
      <c r="AD517" s="394"/>
      <c r="AE517" s="394"/>
      <c r="AF517" s="394"/>
      <c r="AG517" s="394"/>
      <c r="AH517" s="394"/>
      <c r="AI517" s="394"/>
      <c r="AJ517" s="394"/>
      <c r="AK517" s="394"/>
      <c r="AL517" s="394"/>
      <c r="AM517" s="394"/>
      <c r="AN517" s="394"/>
      <c r="AO517" s="394"/>
      <c r="AP517" s="394"/>
      <c r="AQ517" s="394"/>
      <c r="AR517" s="394"/>
      <c r="AS517" s="394"/>
      <c r="AT517" s="394"/>
      <c r="AU517" s="394"/>
      <c r="AV517" s="394"/>
      <c r="AW517" s="394"/>
      <c r="AX517" s="394"/>
      <c r="AY517" s="394"/>
      <c r="AZ517" s="394"/>
    </row>
    <row r="518" spans="3:52">
      <c r="C518" s="394"/>
      <c r="D518" s="394"/>
      <c r="E518" s="394"/>
      <c r="F518" s="394"/>
      <c r="G518" s="394"/>
      <c r="H518" s="394"/>
      <c r="I518" s="394"/>
      <c r="J518" s="394"/>
      <c r="K518" s="394"/>
      <c r="L518" s="394"/>
      <c r="M518" s="394"/>
      <c r="N518" s="394"/>
      <c r="O518" s="394"/>
      <c r="P518" s="394"/>
      <c r="Q518" s="394"/>
      <c r="R518" s="394"/>
      <c r="S518" s="394"/>
      <c r="T518" s="394"/>
      <c r="U518" s="394"/>
      <c r="V518" s="394"/>
      <c r="W518" s="394"/>
      <c r="X518" s="394"/>
      <c r="Y518" s="394"/>
      <c r="Z518" s="394"/>
      <c r="AA518" s="394"/>
      <c r="AB518" s="394"/>
      <c r="AC518" s="394"/>
      <c r="AD518" s="394"/>
      <c r="AE518" s="394"/>
      <c r="AF518" s="394"/>
      <c r="AG518" s="394"/>
      <c r="AH518" s="394"/>
      <c r="AI518" s="394"/>
      <c r="AJ518" s="394"/>
      <c r="AK518" s="394"/>
      <c r="AL518" s="394"/>
      <c r="AM518" s="394"/>
      <c r="AN518" s="394"/>
      <c r="AO518" s="394"/>
      <c r="AP518" s="394"/>
      <c r="AQ518" s="394"/>
      <c r="AR518" s="394"/>
      <c r="AS518" s="394"/>
      <c r="AT518" s="394"/>
      <c r="AU518" s="394"/>
      <c r="AV518" s="394"/>
      <c r="AW518" s="394"/>
      <c r="AX518" s="394"/>
      <c r="AY518" s="394"/>
      <c r="AZ518" s="394"/>
    </row>
    <row r="519" spans="3:52">
      <c r="C519" s="541"/>
      <c r="D519" s="490"/>
      <c r="E519" s="490"/>
      <c r="F519" s="490"/>
      <c r="G519" s="490"/>
      <c r="H519" s="541"/>
      <c r="I519" s="490"/>
      <c r="J519" s="490"/>
      <c r="K519" s="490"/>
      <c r="L519" s="490"/>
      <c r="M519" s="541"/>
      <c r="N519" s="490"/>
      <c r="O519" s="490"/>
      <c r="P519" s="490"/>
      <c r="Q519" s="490"/>
      <c r="R519" s="541"/>
      <c r="S519" s="490"/>
      <c r="T519" s="490"/>
      <c r="U519" s="490"/>
      <c r="V519" s="490"/>
      <c r="W519" s="541"/>
      <c r="X519" s="490"/>
      <c r="Y519" s="490"/>
      <c r="Z519" s="490"/>
      <c r="AA519" s="490"/>
      <c r="AB519" s="541"/>
      <c r="AC519" s="490"/>
      <c r="AD519" s="490"/>
      <c r="AE519" s="490"/>
      <c r="AF519" s="490"/>
      <c r="AG519" s="541"/>
      <c r="AH519" s="490"/>
      <c r="AI519" s="490"/>
      <c r="AJ519" s="490"/>
      <c r="AK519" s="490"/>
      <c r="AL519" s="541"/>
      <c r="AM519" s="490"/>
      <c r="AN519" s="490"/>
      <c r="AO519" s="490"/>
      <c r="AP519" s="490"/>
      <c r="AQ519" s="541"/>
      <c r="AR519" s="490"/>
      <c r="AS519" s="490"/>
      <c r="AT519" s="490"/>
      <c r="AU519" s="490"/>
      <c r="AV519" s="541"/>
      <c r="AW519" s="490"/>
      <c r="AX519" s="490"/>
      <c r="AY519" s="490"/>
      <c r="AZ519" s="490"/>
    </row>
  </sheetData>
  <pageMargins left="0.7" right="0.7" top="0.75" bottom="0.75" header="0.3" footer="0.3"/>
  <customProperties>
    <customPr name="Qube.Worksheet.Visibility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/>
  </sheetPr>
  <dimension ref="A1:DU69"/>
  <sheetViews>
    <sheetView showGridLines="0" zoomScaleNormal="100" workbookViewId="0">
      <pane xSplit="2" ySplit="9" topLeftCell="G10" activePane="bottomRight" state="frozen"/>
      <selection activeCell="AT53" sqref="AT53"/>
      <selection pane="topRight" activeCell="AT53" sqref="AT53"/>
      <selection pane="bottomLeft" activeCell="AT53" sqref="AT53"/>
      <selection pane="bottomRight" activeCell="AT53" sqref="AT53"/>
    </sheetView>
  </sheetViews>
  <sheetFormatPr defaultColWidth="9.140625" defaultRowHeight="14.25" outlineLevelCol="1"/>
  <cols>
    <col min="1" max="1" width="2.7109375" style="11" customWidth="1"/>
    <col min="2" max="2" width="39.140625" style="11" customWidth="1"/>
    <col min="3" max="6" width="9.140625" style="11" hidden="1" customWidth="1" outlineLevel="1"/>
    <col min="7" max="7" width="9.140625" style="11" customWidth="1" collapsed="1"/>
    <col min="8" max="11" width="9.140625" style="11" hidden="1" customWidth="1" outlineLevel="1"/>
    <col min="12" max="12" width="9.140625" style="11" customWidth="1" collapsed="1"/>
    <col min="13" max="16" width="9.140625" style="11" hidden="1" customWidth="1" outlineLevel="1"/>
    <col min="17" max="17" width="9.140625" style="11" customWidth="1" collapsed="1"/>
    <col min="18" max="21" width="9.140625" style="11" hidden="1" customWidth="1" outlineLevel="1"/>
    <col min="22" max="22" width="9.140625" style="11" customWidth="1" collapsed="1"/>
    <col min="23" max="26" width="9.140625" style="11" hidden="1" customWidth="1" outlineLevel="1"/>
    <col min="27" max="27" width="9.140625" style="11" customWidth="1" collapsed="1"/>
    <col min="28" max="31" width="9.140625" style="11" hidden="1" customWidth="1" outlineLevel="1"/>
    <col min="32" max="32" width="9.140625" style="11" customWidth="1" collapsed="1"/>
    <col min="33" max="36" width="9.140625" style="11" hidden="1" customWidth="1" outlineLevel="1"/>
    <col min="37" max="37" width="9.140625" style="11" customWidth="1" collapsed="1"/>
    <col min="38" max="41" width="9.140625" style="11" hidden="1" customWidth="1" outlineLevel="1"/>
    <col min="42" max="42" width="9.140625" style="11" customWidth="1" collapsed="1"/>
    <col min="43" max="46" width="9.140625" style="11" hidden="1" customWidth="1" outlineLevel="1"/>
    <col min="47" max="47" width="9.140625" style="11" customWidth="1" collapsed="1"/>
    <col min="48" max="51" width="9.140625" style="11" customWidth="1" outlineLevel="1"/>
    <col min="52" max="52" width="9.140625" style="11" customWidth="1"/>
    <col min="53" max="56" width="9.140625" style="11" customWidth="1" outlineLevel="1"/>
    <col min="57" max="57" width="9.140625" style="11" customWidth="1"/>
    <col min="58" max="61" width="9.140625" style="11" hidden="1" customWidth="1" outlineLevel="1"/>
    <col min="62" max="62" width="9.140625" style="11" customWidth="1" collapsed="1"/>
    <col min="63" max="66" width="9.140625" style="11" hidden="1" customWidth="1" outlineLevel="1"/>
    <col min="67" max="67" width="9.140625" style="11" customWidth="1" collapsed="1"/>
    <col min="68" max="71" width="9.140625" style="11" hidden="1" customWidth="1" outlineLevel="1"/>
    <col min="72" max="72" width="9.140625" style="11" customWidth="1" collapsed="1"/>
    <col min="73" max="76" width="9.140625" style="11" hidden="1" customWidth="1" outlineLevel="1"/>
    <col min="77" max="77" width="9.140625" style="11" customWidth="1" collapsed="1"/>
    <col min="78" max="81" width="9.140625" style="11" hidden="1" customWidth="1" outlineLevel="1"/>
    <col min="82" max="82" width="9.140625" style="11" customWidth="1" collapsed="1"/>
    <col min="83" max="86" width="9.140625" style="11" hidden="1" customWidth="1" outlineLevel="1"/>
    <col min="87" max="87" width="9.140625" style="11" customWidth="1" collapsed="1"/>
    <col min="88" max="91" width="9.140625" style="11" hidden="1" customWidth="1" outlineLevel="1"/>
    <col min="92" max="92" width="9.140625" style="11" customWidth="1" collapsed="1"/>
    <col min="93" max="96" width="9.140625" style="11" hidden="1" customWidth="1" outlineLevel="1"/>
    <col min="97" max="97" width="9.140625" style="11" customWidth="1" collapsed="1"/>
    <col min="98" max="101" width="9.140625" style="11" hidden="1" customWidth="1" outlineLevel="1"/>
    <col min="102" max="102" width="9.140625" style="11" customWidth="1" collapsed="1"/>
    <col min="103" max="103" width="1.7109375" style="11" customWidth="1"/>
    <col min="104" max="105" width="9.7109375" style="11" customWidth="1"/>
    <col min="106" max="124" width="9.140625" style="11" customWidth="1"/>
    <col min="125" max="16384" width="9.140625" style="11"/>
  </cols>
  <sheetData>
    <row r="1" spans="1:125">
      <c r="A1" s="3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6"/>
      <c r="CZ1" s="6"/>
      <c r="DA1" s="6"/>
      <c r="DB1" s="6"/>
      <c r="DC1" s="6"/>
      <c r="DD1" s="7"/>
      <c r="DE1" s="8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10"/>
      <c r="DT1" s="9"/>
      <c r="DU1" s="9"/>
    </row>
    <row r="2" spans="1:125">
      <c r="A2" s="3"/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6"/>
      <c r="CZ2" s="6"/>
      <c r="DA2" s="6"/>
      <c r="DB2" s="6"/>
      <c r="DC2" s="6"/>
      <c r="DD2" s="7"/>
      <c r="DE2" s="8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10"/>
      <c r="DT2" s="9"/>
      <c r="DU2" s="9"/>
    </row>
    <row r="3" spans="1:125">
      <c r="A3" s="3"/>
      <c r="B3" s="9"/>
      <c r="C3" s="14" t="str">
        <f>IF(G13="Estimate", TEXT(G11, "yyyy") &amp; " (E)", TEXT(G11, "yyyy") &amp; " (A)")</f>
        <v>2016 (A)</v>
      </c>
      <c r="D3" s="15"/>
      <c r="E3" s="15"/>
      <c r="F3" s="15"/>
      <c r="G3" s="236"/>
      <c r="H3" s="14" t="str">
        <f>IF(L13="Estimate", TEXT(L11, "yyyy") &amp; " (E)", TEXT(L11, "yyyy") &amp; " (A)")</f>
        <v>2017 (A)</v>
      </c>
      <c r="I3" s="15"/>
      <c r="J3" s="15"/>
      <c r="K3" s="15"/>
      <c r="L3" s="236"/>
      <c r="M3" s="14" t="str">
        <f>IF(Q13="Estimate", TEXT(Q11, "yyyy") &amp; " (E)", TEXT(Q11, "yyyy") &amp; " (A)")</f>
        <v>2018 (A)</v>
      </c>
      <c r="N3" s="15"/>
      <c r="O3" s="15"/>
      <c r="P3" s="15"/>
      <c r="Q3" s="236"/>
      <c r="R3" s="14" t="str">
        <f>IF(V13="Estimate", TEXT(V11, "yyyy") &amp; " (E)", TEXT(V11, "yyyy") &amp; " (A)")</f>
        <v>2019 (A)</v>
      </c>
      <c r="S3" s="15"/>
      <c r="T3" s="15"/>
      <c r="U3" s="15"/>
      <c r="V3" s="236"/>
      <c r="W3" s="14" t="str">
        <f>IF(AA13="Estimate", TEXT(AA11, "yyyy") &amp; " (E)", TEXT(AA11, "yyyy") &amp; " (A)")</f>
        <v>2020 (A)</v>
      </c>
      <c r="X3" s="15"/>
      <c r="Y3" s="15"/>
      <c r="Z3" s="15"/>
      <c r="AA3" s="236"/>
      <c r="AB3" s="14" t="str">
        <f>IF(AF13="Estimate", TEXT(AF11, "yyyy") &amp; " (E)", TEXT(AF11, "yyyy") &amp; " (A)")</f>
        <v>2021 (A)</v>
      </c>
      <c r="AC3" s="15"/>
      <c r="AD3" s="15"/>
      <c r="AE3" s="15"/>
      <c r="AF3" s="236"/>
      <c r="AG3" s="14" t="str">
        <f>IF(AK13="Estimate", TEXT(AK11, "yyyy") &amp; " (E)", TEXT(AK11, "yyyy") &amp; " (A)")</f>
        <v>2022 (A)</v>
      </c>
      <c r="AH3" s="15"/>
      <c r="AI3" s="15"/>
      <c r="AJ3" s="15"/>
      <c r="AK3" s="236"/>
      <c r="AL3" s="14" t="str">
        <f>IF(AP13="Estimate", TEXT(AP11, "yyyy") &amp; " (E)", TEXT(AP11, "yyyy") &amp; " (A)")</f>
        <v>2023 (A)</v>
      </c>
      <c r="AM3" s="15"/>
      <c r="AN3" s="15"/>
      <c r="AO3" s="15"/>
      <c r="AP3" s="236"/>
      <c r="AQ3" s="14" t="str">
        <f>IF(AU13="Estimate", TEXT(AU11, "yyyy") &amp; " (E)", TEXT(AU11, "yyyy") &amp; " (A)")</f>
        <v>2024 (A)</v>
      </c>
      <c r="AR3" s="15"/>
      <c r="AS3" s="15"/>
      <c r="AT3" s="15"/>
      <c r="AU3" s="236"/>
      <c r="AV3" s="14" t="str">
        <f>IF(AZ13="Estimate", TEXT(AZ11, "yyyy") &amp; " (E)", TEXT(AZ11, "yyyy") &amp; " (A)")</f>
        <v>2025 (A)</v>
      </c>
      <c r="AW3" s="15"/>
      <c r="AX3" s="15"/>
      <c r="AY3" s="15"/>
      <c r="AZ3" s="236"/>
      <c r="BA3" s="14" t="str">
        <f>IF(BE13="Estimate", TEXT(BE11, "yyyy") &amp; " (E)", TEXT(BE11, "yyyy") &amp; " (A)")</f>
        <v>2026 (E)</v>
      </c>
      <c r="BB3" s="15"/>
      <c r="BC3" s="15"/>
      <c r="BD3" s="15"/>
      <c r="BE3" s="236"/>
      <c r="BF3" s="14" t="str">
        <f>IF(BJ13="Estimate", TEXT(BJ11, "yyyy") &amp; " (E)", TEXT(BJ11, "yyyy") &amp; " (A)")</f>
        <v>2027 (E)</v>
      </c>
      <c r="BG3" s="15"/>
      <c r="BH3" s="15"/>
      <c r="BI3" s="15"/>
      <c r="BJ3" s="236"/>
      <c r="BK3" s="14" t="str">
        <f>IF(BO13="Estimate", TEXT(BO11, "yyyy") &amp; " (E)", TEXT(BO11, "yyyy") &amp; " (A)")</f>
        <v>2028 (E)</v>
      </c>
      <c r="BL3" s="15"/>
      <c r="BM3" s="15"/>
      <c r="BN3" s="15"/>
      <c r="BO3" s="236"/>
      <c r="BP3" s="14" t="str">
        <f>IF(BT13="Estimate", TEXT(BT11, "yyyy") &amp; " (E)", TEXT(BT11, "yyyy") &amp; " (A)")</f>
        <v>2029 (E)</v>
      </c>
      <c r="BQ3" s="15"/>
      <c r="BR3" s="15"/>
      <c r="BS3" s="15"/>
      <c r="BT3" s="236"/>
      <c r="BU3" s="14" t="str">
        <f>IF(BY13="Estimate", TEXT(BY11, "yyyy") &amp; " (E)", TEXT(BY11, "yyyy") &amp; " (A)")</f>
        <v>2030 (E)</v>
      </c>
      <c r="BV3" s="15"/>
      <c r="BW3" s="15"/>
      <c r="BX3" s="15"/>
      <c r="BY3" s="236"/>
      <c r="BZ3" s="14" t="str">
        <f>IF(CD13="Estimate", TEXT(CD11, "yyyy") &amp; " (E)", TEXT(CD11, "yyyy") &amp; " (A)")</f>
        <v>2031 (E)</v>
      </c>
      <c r="CA3" s="15"/>
      <c r="CB3" s="15"/>
      <c r="CC3" s="15"/>
      <c r="CD3" s="236"/>
      <c r="CE3" s="14" t="str">
        <f>IF(CI13="Estimate", TEXT(CI11, "yyyy") &amp; " (E)", TEXT(CI11, "yyyy") &amp; " (A)")</f>
        <v>2032 (E)</v>
      </c>
      <c r="CF3" s="15"/>
      <c r="CG3" s="15"/>
      <c r="CH3" s="15"/>
      <c r="CI3" s="236"/>
      <c r="CJ3" s="14" t="str">
        <f>IF(CN13="Estimate", TEXT(CN11, "yyyy") &amp; " (E)", TEXT(CN11, "yyyy") &amp; " (A)")</f>
        <v>2033 (E)</v>
      </c>
      <c r="CK3" s="15"/>
      <c r="CL3" s="15"/>
      <c r="CM3" s="15"/>
      <c r="CN3" s="236"/>
      <c r="CO3" s="14" t="str">
        <f>IF(CS13="Estimate", TEXT(CS11, "yyyy") &amp; " (E)", TEXT(CS11, "yyyy") &amp; " (A)")</f>
        <v>2034 (E)</v>
      </c>
      <c r="CP3" s="15"/>
      <c r="CQ3" s="15"/>
      <c r="CR3" s="15"/>
      <c r="CS3" s="236"/>
      <c r="CT3" s="14" t="str">
        <f>IF(CX13="Estimate", TEXT(CX11, "yyyy") &amp; " (E)", TEXT(CX11, "yyyy") &amp; " (A)")</f>
        <v>2035 (E)</v>
      </c>
      <c r="CU3" s="15"/>
      <c r="CV3" s="15"/>
      <c r="CW3" s="15"/>
      <c r="CX3" s="236"/>
      <c r="CY3" s="16"/>
      <c r="CZ3" s="16"/>
      <c r="DA3" s="16"/>
      <c r="DB3" s="16"/>
      <c r="DC3" s="16"/>
      <c r="DD3" s="16"/>
      <c r="DE3" s="16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</row>
    <row r="4" spans="1:125">
      <c r="A4" s="3"/>
      <c r="B4" s="9"/>
      <c r="C4" s="17" t="str">
        <f>IF(C13="Estimate", C12 &amp; TEXT(G11, "yy") &amp; " (E)", C12 &amp; TEXT(G11, "yy") &amp; " (A)")</f>
        <v>1Q16 (A)</v>
      </c>
      <c r="D4" s="17" t="str">
        <f>IF(D13="Estimate", D12 &amp; TEXT(G11, "yy") &amp; " (E)", D12 &amp; TEXT(G11, "yy") &amp; " (A)")</f>
        <v>2Q16 (A)</v>
      </c>
      <c r="E4" s="17" t="str">
        <f>IF(E13="Estimate", E12 &amp; TEXT(G11, "yy") &amp; " (E)", E12 &amp; TEXT(G11, "yy") &amp; " (A)")</f>
        <v>3Q16 (A)</v>
      </c>
      <c r="F4" s="17" t="str">
        <f>IF(F13="Estimate", F12 &amp; TEXT(G11, "yy") &amp; " (E)", F12 &amp; TEXT(G11, "yy") &amp; " (A)")</f>
        <v>4Q16 (A)</v>
      </c>
      <c r="G4" s="18" t="str">
        <f>IF(G13="Estimate", G12 &amp; TEXT(G11, "yy") &amp; " (E)", G12 &amp; TEXT(G11, "yy") &amp; " (A)")</f>
        <v>FY16 (A)</v>
      </c>
      <c r="H4" s="17" t="str">
        <f>IF(H13="Estimate", H12 &amp; TEXT(L11, "yy") &amp; " (E)", H12 &amp; TEXT(L11, "yy") &amp; " (A)")</f>
        <v>1Q17 (A)</v>
      </c>
      <c r="I4" s="17" t="str">
        <f>IF(I13="Estimate", I12 &amp; TEXT(L11, "yy") &amp; " (E)", I12 &amp; TEXT(L11, "yy") &amp; " (A)")</f>
        <v>2Q17 (A)</v>
      </c>
      <c r="J4" s="17" t="str">
        <f>IF(J13="Estimate", J12 &amp; TEXT(L11, "yy") &amp; " (E)", J12 &amp; TEXT(L11, "yy") &amp; " (A)")</f>
        <v>3Q17 (A)</v>
      </c>
      <c r="K4" s="17" t="str">
        <f>IF(K13="Estimate", K12 &amp; TEXT(L11, "yy") &amp; " (E)", K12 &amp; TEXT(L11, "yy") &amp; " (A)")</f>
        <v>4Q17 (A)</v>
      </c>
      <c r="L4" s="18" t="str">
        <f>IF(L13="Estimate", L12 &amp; TEXT(L11, "yy") &amp; " (E)", L12 &amp; TEXT(L11, "yy") &amp; " (A)")</f>
        <v>FY17 (A)</v>
      </c>
      <c r="M4" s="17" t="str">
        <f>IF(M13="Estimate", M12 &amp; TEXT(Q11, "yy") &amp; " (E)", M12 &amp; TEXT(Q11, "yy") &amp; " (A)")</f>
        <v>1Q18 (A)</v>
      </c>
      <c r="N4" s="17" t="str">
        <f>IF(N13="Estimate", N12 &amp; TEXT(Q11, "yy") &amp; " (E)", N12 &amp; TEXT(Q11, "yy") &amp; " (A)")</f>
        <v>2Q18 (A)</v>
      </c>
      <c r="O4" s="17" t="str">
        <f>IF(O13="Estimate", O12 &amp; TEXT(Q11, "yy") &amp; " (E)", O12 &amp; TEXT(Q11, "yy") &amp; " (A)")</f>
        <v>3Q18 (A)</v>
      </c>
      <c r="P4" s="17" t="str">
        <f>IF(P13="Estimate", P12 &amp; TEXT(Q11, "yy") &amp; " (E)", P12 &amp; TEXT(Q11, "yy") &amp; " (A)")</f>
        <v>4Q18 (A)</v>
      </c>
      <c r="Q4" s="18" t="str">
        <f>IF(Q13="Estimate", Q12 &amp; TEXT(Q11, "yy") &amp; " (E)", Q12 &amp; TEXT(Q11, "yy") &amp; " (A)")</f>
        <v>FY18 (A)</v>
      </c>
      <c r="R4" s="17" t="str">
        <f>IF(R13="Estimate", R12 &amp; TEXT(V11, "yy") &amp; " (E)", R12 &amp; TEXT(V11, "yy") &amp; " (A)")</f>
        <v>1Q19 (A)</v>
      </c>
      <c r="S4" s="17" t="str">
        <f>IF(S13="Estimate", S12 &amp; TEXT(V11, "yy") &amp; " (E)", S12 &amp; TEXT(V11, "yy") &amp; " (A)")</f>
        <v>2Q19 (A)</v>
      </c>
      <c r="T4" s="17" t="str">
        <f>IF(T13="Estimate", T12 &amp; TEXT(V11, "yy") &amp; " (E)", T12 &amp; TEXT(V11, "yy") &amp; " (A)")</f>
        <v>3Q19 (A)</v>
      </c>
      <c r="U4" s="17" t="str">
        <f>IF(U13="Estimate", U12 &amp; TEXT(V11, "yy") &amp; " (E)", U12 &amp; TEXT(V11, "yy") &amp; " (A)")</f>
        <v>4Q19 (A)</v>
      </c>
      <c r="V4" s="18" t="str">
        <f>IF(V13="Estimate", V12 &amp; TEXT(V11, "yy") &amp; " (E)", V12 &amp; TEXT(V11, "yy") &amp; " (A)")</f>
        <v>FY19 (A)</v>
      </c>
      <c r="W4" s="17" t="str">
        <f>IF(W13="Estimate", W12 &amp; TEXT(AA11, "yy") &amp; " (E)", W12 &amp; TEXT(AA11, "yy") &amp; " (A)")</f>
        <v>1Q20 (A)</v>
      </c>
      <c r="X4" s="17" t="str">
        <f>IF(X13="Estimate", X12 &amp; TEXT(AA11, "yy") &amp; " (E)", X12 &amp; TEXT(AA11, "yy") &amp; " (A)")</f>
        <v>2Q20 (A)</v>
      </c>
      <c r="Y4" s="17" t="str">
        <f>IF(Y13="Estimate", Y12 &amp; TEXT(AA11, "yy") &amp; " (E)", Y12 &amp; TEXT(AA11, "yy") &amp; " (A)")</f>
        <v>3Q20 (A)</v>
      </c>
      <c r="Z4" s="17" t="str">
        <f>IF(Z13="Estimate", Z12 &amp; TEXT(AA11, "yy") &amp; " (E)", Z12 &amp; TEXT(AA11, "yy") &amp; " (A)")</f>
        <v>4Q20 (A)</v>
      </c>
      <c r="AA4" s="18" t="str">
        <f>IF(AA13="Estimate", AA12 &amp; TEXT(AA11, "yy") &amp; " (E)", AA12 &amp; TEXT(AA11, "yy") &amp; " (A)")</f>
        <v>FY20 (A)</v>
      </c>
      <c r="AB4" s="17" t="str">
        <f>IF(AB13="Estimate", AB12 &amp; TEXT(AF11, "yy") &amp; " (E)", AB12 &amp; TEXT(AF11, "yy") &amp; " (A)")</f>
        <v>1Q21 (A)</v>
      </c>
      <c r="AC4" s="17" t="str">
        <f>IF(AC13="Estimate", AC12 &amp; TEXT(AF11, "yy") &amp; " (E)", AC12 &amp; TEXT(AF11, "yy") &amp; " (A)")</f>
        <v>2Q21 (A)</v>
      </c>
      <c r="AD4" s="17" t="str">
        <f>IF(AD13="Estimate", AD12 &amp; TEXT(AF11, "yy") &amp; " (E)", AD12 &amp; TEXT(AF11, "yy") &amp; " (A)")</f>
        <v>3Q21 (A)</v>
      </c>
      <c r="AE4" s="17" t="str">
        <f>IF(AE13="Estimate", AE12 &amp; TEXT(AF11, "yy") &amp; " (E)", AE12 &amp; TEXT(AF11, "yy") &amp; " (A)")</f>
        <v>4Q21 (A)</v>
      </c>
      <c r="AF4" s="18" t="str">
        <f>IF(AF13="Estimate", AF12 &amp; TEXT(AF11, "yy") &amp; " (E)", AF12 &amp; TEXT(AF11, "yy") &amp; " (A)")</f>
        <v>FY21 (A)</v>
      </c>
      <c r="AG4" s="17" t="str">
        <f>IF(AG13="Estimate", AG12 &amp; TEXT(AK11, "yy") &amp; " (E)", AG12 &amp; TEXT(AK11, "yy") &amp; " (A)")</f>
        <v>1Q22 (A)</v>
      </c>
      <c r="AH4" s="17" t="str">
        <f>IF(AH13="Estimate", AH12 &amp; TEXT(AK11, "yy") &amp; " (E)", AH12 &amp; TEXT(AK11, "yy") &amp; " (A)")</f>
        <v>2Q22 (A)</v>
      </c>
      <c r="AI4" s="17" t="str">
        <f>IF(AI13="Estimate", AI12 &amp; TEXT(AK11, "yy") &amp; " (E)", AI12 &amp; TEXT(AK11, "yy") &amp; " (A)")</f>
        <v>3Q22 (A)</v>
      </c>
      <c r="AJ4" s="17" t="str">
        <f>IF(AJ13="Estimate", AJ12 &amp; TEXT(AK11, "yy") &amp; " (E)", AJ12 &amp; TEXT(AK11, "yy") &amp; " (A)")</f>
        <v>4Q22 (A)</v>
      </c>
      <c r="AK4" s="18" t="str">
        <f>IF(AK13="Estimate", AK12 &amp; TEXT(AK11, "yy") &amp; " (E)", AK12 &amp; TEXT(AK11, "yy") &amp; " (A)")</f>
        <v>FY22 (A)</v>
      </c>
      <c r="AL4" s="17" t="str">
        <f>IF(AL13="Estimate", AL12 &amp; TEXT(AP11, "yy") &amp; " (E)", AL12 &amp; TEXT(AP11, "yy") &amp; " (A)")</f>
        <v>1Q23 (A)</v>
      </c>
      <c r="AM4" s="17" t="str">
        <f>IF(AM13="Estimate", AM12 &amp; TEXT(AP11, "yy") &amp; " (E)", AM12 &amp; TEXT(AP11, "yy") &amp; " (A)")</f>
        <v>2Q23 (A)</v>
      </c>
      <c r="AN4" s="17" t="str">
        <f>IF(AN13="Estimate", AN12 &amp; TEXT(AP11, "yy") &amp; " (E)", AN12 &amp; TEXT(AP11, "yy") &amp; " (A)")</f>
        <v>3Q23 (A)</v>
      </c>
      <c r="AO4" s="17" t="str">
        <f>IF(AO13="Estimate", AO12 &amp; TEXT(AP11, "yy") &amp; " (E)", AO12 &amp; TEXT(AP11, "yy") &amp; " (A)")</f>
        <v>4Q23 (A)</v>
      </c>
      <c r="AP4" s="18" t="str">
        <f>IF(AP13="Estimate", AP12 &amp; TEXT(AP11, "yy") &amp; " (E)", AP12 &amp; TEXT(AP11, "yy") &amp; " (A)")</f>
        <v>FY23 (A)</v>
      </c>
      <c r="AQ4" s="17" t="str">
        <f>IF(AQ13="Estimate", AQ12 &amp; TEXT(AU11, "yy") &amp; " (E)", AQ12 &amp; TEXT(AU11, "yy") &amp; " (A)")</f>
        <v>1Q24 (A)</v>
      </c>
      <c r="AR4" s="17" t="str">
        <f>IF(AR13="Estimate", AR12 &amp; TEXT(AU11, "yy") &amp; " (E)", AR12 &amp; TEXT(AU11, "yy") &amp; " (A)")</f>
        <v>2Q24 (A)</v>
      </c>
      <c r="AS4" s="17" t="str">
        <f>IF(AS13="Estimate", AS12 &amp; TEXT(AU11, "yy") &amp; " (E)", AS12 &amp; TEXT(AU11, "yy") &amp; " (A)")</f>
        <v>3Q24 (A)</v>
      </c>
      <c r="AT4" s="17" t="str">
        <f>IF(AT13="Estimate", AT12 &amp; TEXT(AU11, "yy") &amp; " (E)", AT12 &amp; TEXT(AU11, "yy") &amp; " (A)")</f>
        <v>4Q24 (A)</v>
      </c>
      <c r="AU4" s="18" t="str">
        <f>IF(AU13="Estimate", AU12 &amp; TEXT(AU11, "yy") &amp; " (E)", AU12 &amp; TEXT(AU11, "yy") &amp; " (A)")</f>
        <v>FY24 (A)</v>
      </c>
      <c r="AV4" s="17" t="str">
        <f>IF(AV13="Estimate", AV12 &amp; TEXT(AZ11, "yy") &amp; " (E)", AV12 &amp; TEXT(AZ11, "yy") &amp; " (A)")</f>
        <v>1Q25 (A)</v>
      </c>
      <c r="AW4" s="17" t="str">
        <f>IF(AW13="Estimate", AW12 &amp; TEXT(AZ11, "yy") &amp; " (E)", AW12 &amp; TEXT(AZ11, "yy") &amp; " (A)")</f>
        <v>2Q25 (A)</v>
      </c>
      <c r="AX4" s="17" t="str">
        <f>IF(AX13="Estimate", AX12 &amp; TEXT(AZ11, "yy") &amp; " (E)", AX12 &amp; TEXT(AZ11, "yy") &amp; " (A)")</f>
        <v>3Q25 (A)</v>
      </c>
      <c r="AY4" s="17" t="str">
        <f>IF(AY13="Estimate", AY12 &amp; TEXT(AZ11, "yy") &amp; " (E)", AY12 &amp; TEXT(AZ11, "yy") &amp; " (A)")</f>
        <v>4Q25 (A)</v>
      </c>
      <c r="AZ4" s="18" t="str">
        <f>IF(AZ13="Estimate", AZ12 &amp; TEXT(AZ11, "yy") &amp; " (E)", AZ12 &amp; TEXT(AZ11, "yy") &amp; " (A)")</f>
        <v>FY25 (A)</v>
      </c>
      <c r="BA4" s="17" t="str">
        <f>IF(BA13="Estimate", BA12 &amp; TEXT(BE11, "yy") &amp; " (E)", BA12 &amp; TEXT(BE11, "yy") &amp; " (A)")</f>
        <v>1Q26 (A)</v>
      </c>
      <c r="BB4" s="17" t="str">
        <f>IF(BB13="Estimate", BB12 &amp; TEXT(BE11, "yy") &amp; " (E)", BB12 &amp; TEXT(BE11, "yy") &amp; " (A)")</f>
        <v>2Q26 (A)</v>
      </c>
      <c r="BC4" s="17" t="str">
        <f>IF(BC13="Estimate", BC12 &amp; TEXT(BE11, "yy") &amp; " (E)", BC12 &amp; TEXT(BE11, "yy") &amp; " (A)")</f>
        <v>3Q26 (A)</v>
      </c>
      <c r="BD4" s="17" t="str">
        <f>IF(BD13="Estimate", BD12 &amp; TEXT(BE11, "yy") &amp; " (E)", BD12 &amp; TEXT(BE11, "yy") &amp; " (A)")</f>
        <v>4Q26 (E)</v>
      </c>
      <c r="BE4" s="18" t="str">
        <f>IF(BE13="Estimate", BE12 &amp; TEXT(BE11, "yy") &amp; " (E)", BE12 &amp; TEXT(BE11, "yy") &amp; " (A)")</f>
        <v>FY26 (E)</v>
      </c>
      <c r="BF4" s="17" t="str">
        <f>IF(BF13="Estimate", BF12 &amp; TEXT(BJ11, "yy") &amp; " (E)", BF12 &amp; TEXT(BJ11, "yy") &amp; " (A)")</f>
        <v>1Q27 (E)</v>
      </c>
      <c r="BG4" s="17" t="str">
        <f>IF(BG13="Estimate", BG12 &amp; TEXT(BJ11, "yy") &amp; " (E)", BG12 &amp; TEXT(BJ11, "yy") &amp; " (A)")</f>
        <v>2Q27 (E)</v>
      </c>
      <c r="BH4" s="17" t="str">
        <f>IF(BH13="Estimate", BH12 &amp; TEXT(BJ11, "yy") &amp; " (E)", BH12 &amp; TEXT(BJ11, "yy") &amp; " (A)")</f>
        <v>3Q27 (E)</v>
      </c>
      <c r="BI4" s="17" t="str">
        <f>IF(BI13="Estimate", BI12 &amp; TEXT(BJ11, "yy") &amp; " (E)", BI12 &amp; TEXT(BJ11, "yy") &amp; " (A)")</f>
        <v>4Q27 (E)</v>
      </c>
      <c r="BJ4" s="18" t="str">
        <f>IF(BJ13="Estimate", BJ12 &amp; TEXT(BJ11, "yy") &amp; " (E)", BJ12 &amp; TEXT(BJ11, "yy") &amp; " (A)")</f>
        <v>FY27 (E)</v>
      </c>
      <c r="BK4" s="17" t="str">
        <f>IF(BK13="Estimate", BK12 &amp; TEXT(BO11, "yy") &amp; " (E)", BK12 &amp; TEXT(BO11, "yy") &amp; " (A)")</f>
        <v>1Q28 (E)</v>
      </c>
      <c r="BL4" s="17" t="str">
        <f>IF(BL13="Estimate", BL12 &amp; TEXT(BO11, "yy") &amp; " (E)", BL12 &amp; TEXT(BO11, "yy") &amp; " (A)")</f>
        <v>2Q28 (E)</v>
      </c>
      <c r="BM4" s="17" t="str">
        <f>IF(BM13="Estimate", BM12 &amp; TEXT(BO11, "yy") &amp; " (E)", BM12 &amp; TEXT(BO11, "yy") &amp; " (A)")</f>
        <v>3Q28 (E)</v>
      </c>
      <c r="BN4" s="17" t="str">
        <f>IF(BN13="Estimate", BN12 &amp; TEXT(BO11, "yy") &amp; " (E)", BN12 &amp; TEXT(BO11, "yy") &amp; " (A)")</f>
        <v>4Q28 (E)</v>
      </c>
      <c r="BO4" s="18" t="str">
        <f>IF(BO13="Estimate", BO12 &amp; TEXT(BO11, "yy") &amp; " (E)", BO12 &amp; TEXT(BO11, "yy") &amp; " (A)")</f>
        <v>FY28 (E)</v>
      </c>
      <c r="BP4" s="17" t="str">
        <f>IF(BP13="Estimate", BP12 &amp; TEXT(BT11, "yy") &amp; " (E)", BP12 &amp; TEXT(BT11, "yy") &amp; " (A)")</f>
        <v>1Q29 (E)</v>
      </c>
      <c r="BQ4" s="17" t="str">
        <f>IF(BQ13="Estimate", BQ12 &amp; TEXT(BT11, "yy") &amp; " (E)", BQ12 &amp; TEXT(BT11, "yy") &amp; " (A)")</f>
        <v>2Q29 (E)</v>
      </c>
      <c r="BR4" s="17" t="str">
        <f>IF(BR13="Estimate", BR12 &amp; TEXT(BT11, "yy") &amp; " (E)", BR12 &amp; TEXT(BT11, "yy") &amp; " (A)")</f>
        <v>3Q29 (E)</v>
      </c>
      <c r="BS4" s="17" t="str">
        <f>IF(BS13="Estimate", BS12 &amp; TEXT(BT11, "yy") &amp; " (E)", BS12 &amp; TEXT(BT11, "yy") &amp; " (A)")</f>
        <v>4Q29 (E)</v>
      </c>
      <c r="BT4" s="18" t="str">
        <f>IF(BT13="Estimate", BT12 &amp; TEXT(BT11, "yy") &amp; " (E)", BT12 &amp; TEXT(BT11, "yy") &amp; " (A)")</f>
        <v>FY29 (E)</v>
      </c>
      <c r="BU4" s="17" t="str">
        <f>IF(BU13="Estimate", BU12 &amp; TEXT(BY11, "yy") &amp; " (E)", BU12 &amp; TEXT(BY11, "yy") &amp; " (A)")</f>
        <v>1Q30 (E)</v>
      </c>
      <c r="BV4" s="17" t="str">
        <f>IF(BV13="Estimate", BV12 &amp; TEXT(BY11, "yy") &amp; " (E)", BV12 &amp; TEXT(BY11, "yy") &amp; " (A)")</f>
        <v>2Q30 (E)</v>
      </c>
      <c r="BW4" s="17" t="str">
        <f>IF(BW13="Estimate", BW12 &amp; TEXT(BY11, "yy") &amp; " (E)", BW12 &amp; TEXT(BY11, "yy") &amp; " (A)")</f>
        <v>3Q30 (E)</v>
      </c>
      <c r="BX4" s="17" t="str">
        <f>IF(BX13="Estimate", BX12 &amp; TEXT(BY11, "yy") &amp; " (E)", BX12 &amp; TEXT(BY11, "yy") &amp; " (A)")</f>
        <v>4Q30 (E)</v>
      </c>
      <c r="BY4" s="18" t="str">
        <f>IF(BY13="Estimate", BY12 &amp; TEXT(BY11, "yy") &amp; " (E)", BY12 &amp; TEXT(BY11, "yy") &amp; " (A)")</f>
        <v>FY30 (E)</v>
      </c>
      <c r="BZ4" s="17" t="str">
        <f>IF(BZ13="Estimate", BZ12 &amp; TEXT(CD11, "yy") &amp; " (E)", BZ12 &amp; TEXT(CD11, "yy") &amp; " (A)")</f>
        <v>1Q31 (E)</v>
      </c>
      <c r="CA4" s="17" t="str">
        <f>IF(CA13="Estimate", CA12 &amp; TEXT(CD11, "yy") &amp; " (E)", CA12 &amp; TEXT(CD11, "yy") &amp; " (A)")</f>
        <v>2Q31 (E)</v>
      </c>
      <c r="CB4" s="17" t="str">
        <f>IF(CB13="Estimate", CB12 &amp; TEXT(CD11, "yy") &amp; " (E)", CB12 &amp; TEXT(CD11, "yy") &amp; " (A)")</f>
        <v>3Q31 (E)</v>
      </c>
      <c r="CC4" s="17" t="str">
        <f>IF(CC13="Estimate", CC12 &amp; TEXT(CD11, "yy") &amp; " (E)", CC12 &amp; TEXT(CD11, "yy") &amp; " (A)")</f>
        <v>4Q31 (E)</v>
      </c>
      <c r="CD4" s="18" t="str">
        <f>IF(CD13="Estimate", CD12 &amp; TEXT(CD11, "yy") &amp; " (E)", CD12 &amp; TEXT(CD11, "yy") &amp; " (A)")</f>
        <v>FY31 (E)</v>
      </c>
      <c r="CE4" s="17" t="str">
        <f>IF(CE13="Estimate", CE12 &amp; TEXT(CI11, "yy") &amp; " (E)", CE12 &amp; TEXT(CI11, "yy") &amp; " (A)")</f>
        <v>1Q32 (E)</v>
      </c>
      <c r="CF4" s="17" t="str">
        <f>IF(CF13="Estimate", CF12 &amp; TEXT(CI11, "yy") &amp; " (E)", CF12 &amp; TEXT(CI11, "yy") &amp; " (A)")</f>
        <v>2Q32 (E)</v>
      </c>
      <c r="CG4" s="17" t="str">
        <f>IF(CG13="Estimate", CG12 &amp; TEXT(CI11, "yy") &amp; " (E)", CG12 &amp; TEXT(CI11, "yy") &amp; " (A)")</f>
        <v>3Q32 (E)</v>
      </c>
      <c r="CH4" s="17" t="str">
        <f>IF(CH13="Estimate", CH12 &amp; TEXT(CI11, "yy") &amp; " (E)", CH12 &amp; TEXT(CI11, "yy") &amp; " (A)")</f>
        <v>4Q32 (E)</v>
      </c>
      <c r="CI4" s="18" t="str">
        <f>IF(CI13="Estimate", CI12 &amp; TEXT(CI11, "yy") &amp; " (E)", CI12 &amp; TEXT(CI11, "yy") &amp; " (A)")</f>
        <v>FY32 (E)</v>
      </c>
      <c r="CJ4" s="17" t="str">
        <f>IF(CJ13="Estimate", CJ12 &amp; TEXT(CN11, "yy") &amp; " (E)", CJ12 &amp; TEXT(CN11, "yy") &amp; " (A)")</f>
        <v>1Q33 (E)</v>
      </c>
      <c r="CK4" s="17" t="str">
        <f>IF(CK13="Estimate", CK12 &amp; TEXT(CN11, "yy") &amp; " (E)", CK12 &amp; TEXT(CN11, "yy") &amp; " (A)")</f>
        <v>2Q33 (E)</v>
      </c>
      <c r="CL4" s="17" t="str">
        <f>IF(CL13="Estimate", CL12 &amp; TEXT(CN11, "yy") &amp; " (E)", CL12 &amp; TEXT(CN11, "yy") &amp; " (A)")</f>
        <v>3Q33 (E)</v>
      </c>
      <c r="CM4" s="17" t="str">
        <f>IF(CM13="Estimate", CM12 &amp; TEXT(CN11, "yy") &amp; " (E)", CM12 &amp; TEXT(CN11, "yy") &amp; " (A)")</f>
        <v>4Q33 (E)</v>
      </c>
      <c r="CN4" s="18" t="str">
        <f>IF(CN13="Estimate", CN12 &amp; TEXT(CN11, "yy") &amp; " (E)", CN12 &amp; TEXT(CN11, "yy") &amp; " (A)")</f>
        <v>FY33 (E)</v>
      </c>
      <c r="CO4" s="17" t="str">
        <f>IF(CO13="Estimate", CO12 &amp; TEXT(CS11, "yy") &amp; " (E)", CO12 &amp; TEXT(CS11, "yy") &amp; " (A)")</f>
        <v>1Q34 (E)</v>
      </c>
      <c r="CP4" s="17" t="str">
        <f>IF(CP13="Estimate", CP12 &amp; TEXT(CS11, "yy") &amp; " (E)", CP12 &amp; TEXT(CS11, "yy") &amp; " (A)")</f>
        <v>2Q34 (E)</v>
      </c>
      <c r="CQ4" s="17" t="str">
        <f>IF(CQ13="Estimate", CQ12 &amp; TEXT(CS11, "yy") &amp; " (E)", CQ12 &amp; TEXT(CS11, "yy") &amp; " (A)")</f>
        <v>3Q34 (E)</v>
      </c>
      <c r="CR4" s="17" t="str">
        <f>IF(CR13="Estimate", CR12 &amp; TEXT(CS11, "yy") &amp; " (E)", CR12 &amp; TEXT(CS11, "yy") &amp; " (A)")</f>
        <v>4Q34 (E)</v>
      </c>
      <c r="CS4" s="18" t="str">
        <f>IF(CS13="Estimate", CS12 &amp; TEXT(CS11, "yy") &amp; " (E)", CS12 &amp; TEXT(CS11, "yy") &amp; " (A)")</f>
        <v>FY34 (E)</v>
      </c>
      <c r="CT4" s="17" t="str">
        <f>IF(CT13="Estimate", CT12 &amp; TEXT(CX11, "yy") &amp; " (E)", CT12 &amp; TEXT(CX11, "yy") &amp; " (A)")</f>
        <v>1Q35 (E)</v>
      </c>
      <c r="CU4" s="17" t="str">
        <f>IF(CU13="Estimate", CU12 &amp; TEXT(CX11, "yy") &amp; " (E)", CU12 &amp; TEXT(CX11, "yy") &amp; " (A)")</f>
        <v>2Q35 (E)</v>
      </c>
      <c r="CV4" s="17" t="str">
        <f>IF(CV13="Estimate", CV12 &amp; TEXT(CX11, "yy") &amp; " (E)", CV12 &amp; TEXT(CX11, "yy") &amp; " (A)")</f>
        <v>3Q35 (E)</v>
      </c>
      <c r="CW4" s="17" t="str">
        <f>IF(CW13="Estimate", CW12 &amp; TEXT(CX11, "yy") &amp; " (E)", CW12 &amp; TEXT(CX11, "yy") &amp; " (A)")</f>
        <v>4Q35 (E)</v>
      </c>
      <c r="CX4" s="18" t="str">
        <f>IF(CX13="Estimate", CX12 &amp; TEXT(CX11, "yy") &amp; " (E)", CX12 &amp; TEXT(CX11, "yy") &amp; " (A)")</f>
        <v>FY35 (E)</v>
      </c>
      <c r="CY4" s="16"/>
      <c r="CZ4" s="19" t="str">
        <f t="shared" ref="CZ4:DU4" si="0">IF(CZ13="Estimate", CZ12 &amp; TEXT(CZ11, "yy") &amp; " (E)", CZ12 &amp; TEXT(CZ11, "yy") &amp; " (A)")</f>
        <v>CY14 (A)</v>
      </c>
      <c r="DA4" s="19" t="str">
        <f t="shared" si="0"/>
        <v>CY15 (A)</v>
      </c>
      <c r="DB4" s="19" t="str">
        <f t="shared" si="0"/>
        <v>CY16 (E)</v>
      </c>
      <c r="DC4" s="19" t="str">
        <f t="shared" si="0"/>
        <v>CY17 (E)</v>
      </c>
      <c r="DD4" s="19" t="str">
        <f t="shared" si="0"/>
        <v>CY18 (E)</v>
      </c>
      <c r="DE4" s="19" t="str">
        <f t="shared" si="0"/>
        <v>CY19 (E)</v>
      </c>
      <c r="DF4" s="19" t="str">
        <f t="shared" si="0"/>
        <v>CY20 (E)</v>
      </c>
      <c r="DG4" s="19" t="str">
        <f t="shared" si="0"/>
        <v>CY21 (E)</v>
      </c>
      <c r="DH4" s="19" t="str">
        <f t="shared" si="0"/>
        <v>CY22 (E)</v>
      </c>
      <c r="DI4" s="19" t="str">
        <f t="shared" si="0"/>
        <v>CY23 (E)</v>
      </c>
      <c r="DJ4" s="19" t="str">
        <f t="shared" si="0"/>
        <v>CY24 (E)</v>
      </c>
      <c r="DK4" s="19" t="str">
        <f t="shared" si="0"/>
        <v>CY25 (E)</v>
      </c>
      <c r="DL4" s="19" t="str">
        <f t="shared" si="0"/>
        <v>CY26 (E)</v>
      </c>
      <c r="DM4" s="19" t="str">
        <f t="shared" si="0"/>
        <v>CY27 (E)</v>
      </c>
      <c r="DN4" s="19" t="str">
        <f t="shared" si="0"/>
        <v>CY28 (E)</v>
      </c>
      <c r="DO4" s="19" t="str">
        <f t="shared" si="0"/>
        <v>CY29 (E)</v>
      </c>
      <c r="DP4" s="19" t="str">
        <f t="shared" si="0"/>
        <v>CY30 (E)</v>
      </c>
      <c r="DQ4" s="19" t="str">
        <f t="shared" si="0"/>
        <v>CY31 (E)</v>
      </c>
      <c r="DR4" s="19" t="str">
        <f t="shared" si="0"/>
        <v>CY32 (E)</v>
      </c>
      <c r="DS4" s="19" t="str">
        <f t="shared" si="0"/>
        <v>CY33 (E)</v>
      </c>
      <c r="DT4" s="19" t="str">
        <f t="shared" si="0"/>
        <v>CY34 (E)</v>
      </c>
      <c r="DU4" s="19" t="str">
        <f t="shared" si="0"/>
        <v>CY35 (E)</v>
      </c>
    </row>
    <row r="5" spans="1:125">
      <c r="A5" s="3"/>
      <c r="B5" s="9"/>
      <c r="C5" s="20">
        <f t="shared" ref="C5:BN5" si="1">C11</f>
        <v>42124</v>
      </c>
      <c r="D5" s="20">
        <f t="shared" si="1"/>
        <v>42216</v>
      </c>
      <c r="E5" s="20">
        <f t="shared" si="1"/>
        <v>42308</v>
      </c>
      <c r="F5" s="20">
        <f t="shared" si="1"/>
        <v>42400</v>
      </c>
      <c r="G5" s="21">
        <f t="shared" si="1"/>
        <v>42400</v>
      </c>
      <c r="H5" s="20">
        <f t="shared" si="1"/>
        <v>42490</v>
      </c>
      <c r="I5" s="20">
        <f t="shared" si="1"/>
        <v>42582</v>
      </c>
      <c r="J5" s="20">
        <f t="shared" si="1"/>
        <v>42674</v>
      </c>
      <c r="K5" s="20">
        <f t="shared" si="1"/>
        <v>42766</v>
      </c>
      <c r="L5" s="21">
        <f t="shared" si="1"/>
        <v>42766</v>
      </c>
      <c r="M5" s="20">
        <f t="shared" si="1"/>
        <v>42855</v>
      </c>
      <c r="N5" s="20">
        <f t="shared" si="1"/>
        <v>42947</v>
      </c>
      <c r="O5" s="20">
        <f t="shared" si="1"/>
        <v>43039</v>
      </c>
      <c r="P5" s="20">
        <f t="shared" si="1"/>
        <v>43131</v>
      </c>
      <c r="Q5" s="21">
        <f t="shared" si="1"/>
        <v>43131</v>
      </c>
      <c r="R5" s="20">
        <f t="shared" si="1"/>
        <v>43220</v>
      </c>
      <c r="S5" s="20">
        <f t="shared" si="1"/>
        <v>43312</v>
      </c>
      <c r="T5" s="20">
        <f t="shared" si="1"/>
        <v>43404</v>
      </c>
      <c r="U5" s="20">
        <f t="shared" si="1"/>
        <v>43496</v>
      </c>
      <c r="V5" s="21">
        <f t="shared" si="1"/>
        <v>43496</v>
      </c>
      <c r="W5" s="20">
        <f t="shared" si="1"/>
        <v>43585</v>
      </c>
      <c r="X5" s="20">
        <f t="shared" si="1"/>
        <v>43677</v>
      </c>
      <c r="Y5" s="20">
        <f t="shared" si="1"/>
        <v>43769</v>
      </c>
      <c r="Z5" s="20">
        <f t="shared" si="1"/>
        <v>43861</v>
      </c>
      <c r="AA5" s="21">
        <f t="shared" si="1"/>
        <v>43861</v>
      </c>
      <c r="AB5" s="20">
        <f t="shared" si="1"/>
        <v>43951</v>
      </c>
      <c r="AC5" s="20">
        <f t="shared" si="1"/>
        <v>44043</v>
      </c>
      <c r="AD5" s="20">
        <f t="shared" si="1"/>
        <v>44135</v>
      </c>
      <c r="AE5" s="20">
        <f t="shared" si="1"/>
        <v>44227</v>
      </c>
      <c r="AF5" s="21">
        <f t="shared" si="1"/>
        <v>44227</v>
      </c>
      <c r="AG5" s="20">
        <f>AG11</f>
        <v>44316</v>
      </c>
      <c r="AH5" s="20">
        <f t="shared" si="1"/>
        <v>44408</v>
      </c>
      <c r="AI5" s="20">
        <f t="shared" si="1"/>
        <v>44500</v>
      </c>
      <c r="AJ5" s="20">
        <f t="shared" si="1"/>
        <v>44592</v>
      </c>
      <c r="AK5" s="21">
        <f t="shared" si="1"/>
        <v>44592</v>
      </c>
      <c r="AL5" s="20">
        <f t="shared" si="1"/>
        <v>44681</v>
      </c>
      <c r="AM5" s="20">
        <f t="shared" si="1"/>
        <v>44773</v>
      </c>
      <c r="AN5" s="20">
        <f t="shared" si="1"/>
        <v>44865</v>
      </c>
      <c r="AO5" s="20">
        <f t="shared" si="1"/>
        <v>44957</v>
      </c>
      <c r="AP5" s="21">
        <f t="shared" si="1"/>
        <v>44957</v>
      </c>
      <c r="AQ5" s="20">
        <f t="shared" si="1"/>
        <v>45046</v>
      </c>
      <c r="AR5" s="20">
        <f t="shared" si="1"/>
        <v>45138</v>
      </c>
      <c r="AS5" s="20">
        <f t="shared" si="1"/>
        <v>45230</v>
      </c>
      <c r="AT5" s="20">
        <f t="shared" si="1"/>
        <v>45322</v>
      </c>
      <c r="AU5" s="21">
        <f t="shared" si="1"/>
        <v>45322</v>
      </c>
      <c r="AV5" s="20">
        <f t="shared" si="1"/>
        <v>45412</v>
      </c>
      <c r="AW5" s="20">
        <f t="shared" si="1"/>
        <v>45504</v>
      </c>
      <c r="AX5" s="20">
        <f t="shared" si="1"/>
        <v>45596</v>
      </c>
      <c r="AY5" s="20">
        <f t="shared" si="1"/>
        <v>45688</v>
      </c>
      <c r="AZ5" s="21">
        <f t="shared" si="1"/>
        <v>45688</v>
      </c>
      <c r="BA5" s="20">
        <f t="shared" si="1"/>
        <v>45777</v>
      </c>
      <c r="BB5" s="20">
        <f t="shared" si="1"/>
        <v>45869</v>
      </c>
      <c r="BC5" s="20">
        <f t="shared" si="1"/>
        <v>45961</v>
      </c>
      <c r="BD5" s="20">
        <f t="shared" si="1"/>
        <v>46053</v>
      </c>
      <c r="BE5" s="21">
        <f t="shared" si="1"/>
        <v>46053</v>
      </c>
      <c r="BF5" s="20">
        <f t="shared" si="1"/>
        <v>46142</v>
      </c>
      <c r="BG5" s="20">
        <f t="shared" si="1"/>
        <v>46234</v>
      </c>
      <c r="BH5" s="20">
        <f t="shared" si="1"/>
        <v>46326</v>
      </c>
      <c r="BI5" s="20">
        <f t="shared" si="1"/>
        <v>46418</v>
      </c>
      <c r="BJ5" s="21">
        <f t="shared" si="1"/>
        <v>46418</v>
      </c>
      <c r="BK5" s="20">
        <f t="shared" si="1"/>
        <v>46507</v>
      </c>
      <c r="BL5" s="20">
        <f t="shared" si="1"/>
        <v>46599</v>
      </c>
      <c r="BM5" s="20">
        <f t="shared" si="1"/>
        <v>46691</v>
      </c>
      <c r="BN5" s="20">
        <f t="shared" si="1"/>
        <v>46783</v>
      </c>
      <c r="BO5" s="21">
        <f t="shared" ref="BO5:CX5" si="2">BO11</f>
        <v>46783</v>
      </c>
      <c r="BP5" s="20">
        <f t="shared" si="2"/>
        <v>46873</v>
      </c>
      <c r="BQ5" s="20">
        <f t="shared" si="2"/>
        <v>46965</v>
      </c>
      <c r="BR5" s="20">
        <f t="shared" si="2"/>
        <v>47057</v>
      </c>
      <c r="BS5" s="20">
        <f t="shared" si="2"/>
        <v>47149</v>
      </c>
      <c r="BT5" s="21">
        <f t="shared" si="2"/>
        <v>47149</v>
      </c>
      <c r="BU5" s="20">
        <f t="shared" si="2"/>
        <v>47238</v>
      </c>
      <c r="BV5" s="20">
        <f t="shared" si="2"/>
        <v>47330</v>
      </c>
      <c r="BW5" s="20">
        <f t="shared" si="2"/>
        <v>47422</v>
      </c>
      <c r="BX5" s="20">
        <f t="shared" si="2"/>
        <v>47514</v>
      </c>
      <c r="BY5" s="21">
        <f t="shared" si="2"/>
        <v>47514</v>
      </c>
      <c r="BZ5" s="20">
        <f t="shared" si="2"/>
        <v>47603</v>
      </c>
      <c r="CA5" s="20">
        <f t="shared" si="2"/>
        <v>47695</v>
      </c>
      <c r="CB5" s="20">
        <f t="shared" si="2"/>
        <v>47787</v>
      </c>
      <c r="CC5" s="20">
        <f t="shared" si="2"/>
        <v>47879</v>
      </c>
      <c r="CD5" s="21">
        <f t="shared" si="2"/>
        <v>47879</v>
      </c>
      <c r="CE5" s="20">
        <f t="shared" si="2"/>
        <v>47968</v>
      </c>
      <c r="CF5" s="20">
        <f t="shared" si="2"/>
        <v>48060</v>
      </c>
      <c r="CG5" s="20">
        <f t="shared" si="2"/>
        <v>48152</v>
      </c>
      <c r="CH5" s="20">
        <f t="shared" si="2"/>
        <v>48244</v>
      </c>
      <c r="CI5" s="21">
        <f t="shared" si="2"/>
        <v>48244</v>
      </c>
      <c r="CJ5" s="20">
        <f t="shared" si="2"/>
        <v>48334</v>
      </c>
      <c r="CK5" s="20">
        <f t="shared" si="2"/>
        <v>48426</v>
      </c>
      <c r="CL5" s="20">
        <f t="shared" si="2"/>
        <v>48518</v>
      </c>
      <c r="CM5" s="20">
        <f t="shared" si="2"/>
        <v>48610</v>
      </c>
      <c r="CN5" s="21">
        <f t="shared" si="2"/>
        <v>48610</v>
      </c>
      <c r="CO5" s="20">
        <f t="shared" si="2"/>
        <v>48699</v>
      </c>
      <c r="CP5" s="20">
        <f t="shared" si="2"/>
        <v>48791</v>
      </c>
      <c r="CQ5" s="20">
        <f t="shared" si="2"/>
        <v>48883</v>
      </c>
      <c r="CR5" s="20">
        <f t="shared" si="2"/>
        <v>48975</v>
      </c>
      <c r="CS5" s="21">
        <f t="shared" si="2"/>
        <v>48975</v>
      </c>
      <c r="CT5" s="20">
        <f t="shared" si="2"/>
        <v>49064</v>
      </c>
      <c r="CU5" s="20">
        <f t="shared" si="2"/>
        <v>49156</v>
      </c>
      <c r="CV5" s="20">
        <f t="shared" si="2"/>
        <v>49248</v>
      </c>
      <c r="CW5" s="20">
        <f t="shared" si="2"/>
        <v>49340</v>
      </c>
      <c r="CX5" s="21">
        <f t="shared" si="2"/>
        <v>49340</v>
      </c>
      <c r="CY5" s="16"/>
      <c r="CZ5" s="22">
        <f t="shared" ref="CZ5:DU5" si="3">CZ11</f>
        <v>42004</v>
      </c>
      <c r="DA5" s="22">
        <f t="shared" si="3"/>
        <v>42369</v>
      </c>
      <c r="DB5" s="23">
        <f t="shared" si="3"/>
        <v>42735</v>
      </c>
      <c r="DC5" s="23">
        <f t="shared" si="3"/>
        <v>43100</v>
      </c>
      <c r="DD5" s="23">
        <f t="shared" si="3"/>
        <v>43465</v>
      </c>
      <c r="DE5" s="23">
        <f t="shared" si="3"/>
        <v>43830</v>
      </c>
      <c r="DF5" s="23">
        <f t="shared" si="3"/>
        <v>44196</v>
      </c>
      <c r="DG5" s="23">
        <f t="shared" si="3"/>
        <v>44561</v>
      </c>
      <c r="DH5" s="23">
        <f t="shared" si="3"/>
        <v>44926</v>
      </c>
      <c r="DI5" s="23">
        <f t="shared" si="3"/>
        <v>45291</v>
      </c>
      <c r="DJ5" s="23">
        <f t="shared" si="3"/>
        <v>45657</v>
      </c>
      <c r="DK5" s="23">
        <f t="shared" si="3"/>
        <v>46022</v>
      </c>
      <c r="DL5" s="23">
        <f t="shared" si="3"/>
        <v>46387</v>
      </c>
      <c r="DM5" s="23">
        <f t="shared" si="3"/>
        <v>46752</v>
      </c>
      <c r="DN5" s="23">
        <f t="shared" si="3"/>
        <v>47118</v>
      </c>
      <c r="DO5" s="23">
        <f t="shared" si="3"/>
        <v>47483</v>
      </c>
      <c r="DP5" s="23">
        <f t="shared" si="3"/>
        <v>47848</v>
      </c>
      <c r="DQ5" s="23">
        <f t="shared" si="3"/>
        <v>48213</v>
      </c>
      <c r="DR5" s="23">
        <f t="shared" si="3"/>
        <v>48579</v>
      </c>
      <c r="DS5" s="23">
        <f t="shared" si="3"/>
        <v>48944</v>
      </c>
      <c r="DT5" s="23">
        <f t="shared" si="3"/>
        <v>49309</v>
      </c>
      <c r="DU5" s="23">
        <f t="shared" si="3"/>
        <v>49674</v>
      </c>
    </row>
    <row r="6" spans="1:125">
      <c r="A6" s="3"/>
      <c r="B6" s="9"/>
      <c r="C6" s="24"/>
      <c r="D6" s="24"/>
      <c r="E6" s="24"/>
      <c r="F6" s="24"/>
      <c r="G6" s="25"/>
      <c r="H6" s="24"/>
      <c r="I6" s="24"/>
      <c r="J6" s="24"/>
      <c r="K6" s="24"/>
      <c r="L6" s="25"/>
      <c r="M6" s="24"/>
      <c r="N6" s="24"/>
      <c r="O6" s="24"/>
      <c r="P6" s="24"/>
      <c r="Q6" s="25"/>
      <c r="R6" s="24"/>
      <c r="S6" s="24"/>
      <c r="T6" s="24"/>
      <c r="U6" s="24"/>
      <c r="V6" s="25"/>
      <c r="W6" s="24"/>
      <c r="X6" s="24"/>
      <c r="Y6" s="24"/>
      <c r="Z6" s="24"/>
      <c r="AA6" s="25"/>
      <c r="AB6" s="24"/>
      <c r="AC6" s="24"/>
      <c r="AD6" s="24"/>
      <c r="AE6" s="24"/>
      <c r="AF6" s="25"/>
      <c r="AG6" s="24"/>
      <c r="AH6" s="24"/>
      <c r="AI6" s="24"/>
      <c r="AJ6" s="24"/>
      <c r="AK6" s="25"/>
      <c r="AL6" s="24"/>
      <c r="AM6" s="24"/>
      <c r="AN6" s="24"/>
      <c r="AO6" s="24"/>
      <c r="AP6" s="25"/>
      <c r="AQ6" s="24"/>
      <c r="AR6" s="24"/>
      <c r="AS6" s="24"/>
      <c r="AT6" s="24"/>
      <c r="AU6" s="25"/>
      <c r="AV6" s="24"/>
      <c r="AW6" s="24"/>
      <c r="AX6" s="24"/>
      <c r="AY6" s="24"/>
      <c r="AZ6" s="25"/>
      <c r="BA6" s="24"/>
      <c r="BB6" s="24"/>
      <c r="BC6" s="24"/>
      <c r="BD6" s="24"/>
      <c r="BE6" s="25"/>
      <c r="BF6" s="24"/>
      <c r="BG6" s="24"/>
      <c r="BH6" s="24"/>
      <c r="BI6" s="24"/>
      <c r="BJ6" s="25"/>
      <c r="BK6" s="24"/>
      <c r="BL6" s="24"/>
      <c r="BM6" s="24"/>
      <c r="BN6" s="24"/>
      <c r="BO6" s="25"/>
      <c r="BP6" s="24"/>
      <c r="BQ6" s="24"/>
      <c r="BR6" s="24"/>
      <c r="BS6" s="24"/>
      <c r="BT6" s="25"/>
      <c r="BU6" s="24"/>
      <c r="BV6" s="24"/>
      <c r="BW6" s="24"/>
      <c r="BX6" s="24"/>
      <c r="BY6" s="25"/>
      <c r="BZ6" s="24"/>
      <c r="CA6" s="24"/>
      <c r="CB6" s="24"/>
      <c r="CC6" s="24"/>
      <c r="CD6" s="25"/>
      <c r="CE6" s="24"/>
      <c r="CF6" s="24"/>
      <c r="CG6" s="24"/>
      <c r="CH6" s="24"/>
      <c r="CI6" s="25"/>
      <c r="CJ6" s="24"/>
      <c r="CK6" s="24"/>
      <c r="CL6" s="24"/>
      <c r="CM6" s="24"/>
      <c r="CN6" s="25"/>
      <c r="CO6" s="24"/>
      <c r="CP6" s="24"/>
      <c r="CQ6" s="24"/>
      <c r="CR6" s="24"/>
      <c r="CS6" s="25"/>
      <c r="CT6" s="24"/>
      <c r="CU6" s="24"/>
      <c r="CV6" s="24"/>
      <c r="CW6" s="24"/>
      <c r="CX6" s="25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</row>
    <row r="7" spans="1:125">
      <c r="A7" s="3"/>
      <c r="B7" s="26" t="s">
        <v>13</v>
      </c>
      <c r="C7" s="27"/>
      <c r="D7" s="27"/>
      <c r="E7" s="27"/>
      <c r="F7" s="27"/>
      <c r="G7" s="28"/>
      <c r="H7" s="27"/>
      <c r="I7" s="27"/>
      <c r="J7" s="27"/>
      <c r="K7" s="27"/>
      <c r="L7" s="28"/>
      <c r="M7" s="27"/>
      <c r="N7" s="27"/>
      <c r="O7" s="27"/>
      <c r="P7" s="27"/>
      <c r="Q7" s="28"/>
      <c r="R7" s="27"/>
      <c r="S7" s="27"/>
      <c r="T7" s="27"/>
      <c r="U7" s="27"/>
      <c r="V7" s="28"/>
      <c r="W7" s="27"/>
      <c r="X7" s="27"/>
      <c r="Y7" s="27"/>
      <c r="Z7" s="27"/>
      <c r="AA7" s="28"/>
      <c r="AB7" s="27"/>
      <c r="AC7" s="27"/>
      <c r="AD7" s="27"/>
      <c r="AE7" s="27"/>
      <c r="AF7" s="28"/>
      <c r="AG7" s="27"/>
      <c r="AH7" s="27"/>
      <c r="AI7" s="27"/>
      <c r="AJ7" s="27"/>
      <c r="AK7" s="28"/>
      <c r="AL7" s="27"/>
      <c r="AM7" s="27"/>
      <c r="AN7" s="27"/>
      <c r="AO7" s="27"/>
      <c r="AP7" s="28"/>
      <c r="AQ7" s="27"/>
      <c r="AR7" s="27"/>
      <c r="AS7" s="27"/>
      <c r="AT7" s="27"/>
      <c r="AU7" s="28"/>
      <c r="AV7" s="27"/>
      <c r="AW7" s="27"/>
      <c r="AX7" s="27"/>
      <c r="AY7" s="27"/>
      <c r="AZ7" s="28"/>
      <c r="BA7" s="27"/>
      <c r="BB7" s="27"/>
      <c r="BC7" s="27" t="s">
        <v>157</v>
      </c>
      <c r="BD7" s="27"/>
      <c r="BE7" s="28"/>
      <c r="BF7" s="27"/>
      <c r="BG7" s="27"/>
      <c r="BH7" s="27"/>
      <c r="BI7" s="27"/>
      <c r="BJ7" s="28"/>
      <c r="BK7" s="27"/>
      <c r="BL7" s="27"/>
      <c r="BM7" s="27"/>
      <c r="BN7" s="27"/>
      <c r="BO7" s="28"/>
      <c r="BP7" s="27"/>
      <c r="BQ7" s="27"/>
      <c r="BR7" s="27"/>
      <c r="BS7" s="27"/>
      <c r="BT7" s="28"/>
      <c r="BU7" s="27"/>
      <c r="BV7" s="27"/>
      <c r="BW7" s="27"/>
      <c r="BX7" s="27"/>
      <c r="BY7" s="28"/>
      <c r="BZ7" s="27"/>
      <c r="CA7" s="27"/>
      <c r="CB7" s="27"/>
      <c r="CC7" s="27"/>
      <c r="CD7" s="28"/>
      <c r="CE7" s="27"/>
      <c r="CF7" s="27"/>
      <c r="CG7" s="27"/>
      <c r="CH7" s="27"/>
      <c r="CI7" s="28"/>
      <c r="CJ7" s="27"/>
      <c r="CK7" s="27"/>
      <c r="CL7" s="27"/>
      <c r="CM7" s="27"/>
      <c r="CN7" s="28"/>
      <c r="CO7" s="27"/>
      <c r="CP7" s="27"/>
      <c r="CQ7" s="27"/>
      <c r="CR7" s="27"/>
      <c r="CS7" s="28"/>
      <c r="CT7" s="27"/>
      <c r="CU7" s="27"/>
      <c r="CV7" s="27"/>
      <c r="CW7" s="27"/>
      <c r="CX7" s="28"/>
      <c r="CY7" s="8"/>
      <c r="CZ7" s="29"/>
      <c r="DA7" s="27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1"/>
    </row>
    <row r="8" spans="1:125">
      <c r="A8" s="3"/>
      <c r="B8" s="32" t="s">
        <v>15</v>
      </c>
      <c r="C8" s="33"/>
      <c r="D8" s="33"/>
      <c r="E8" s="33"/>
      <c r="F8" s="33"/>
      <c r="G8" s="34"/>
      <c r="H8" s="33"/>
      <c r="I8" s="33"/>
      <c r="J8" s="33"/>
      <c r="K8" s="33"/>
      <c r="L8" s="34"/>
      <c r="M8" s="33"/>
      <c r="N8" s="33"/>
      <c r="O8" s="33"/>
      <c r="P8" s="33"/>
      <c r="Q8" s="34"/>
      <c r="R8" s="33"/>
      <c r="S8" s="33"/>
      <c r="T8" s="33"/>
      <c r="U8" s="33"/>
      <c r="V8" s="34"/>
      <c r="W8" s="33"/>
      <c r="X8" s="33"/>
      <c r="Y8" s="33"/>
      <c r="Z8" s="33"/>
      <c r="AA8" s="34"/>
      <c r="AB8" s="33"/>
      <c r="AC8" s="33"/>
      <c r="AD8" s="33"/>
      <c r="AE8" s="33"/>
      <c r="AF8" s="34"/>
      <c r="AG8" s="33"/>
      <c r="AH8" s="33"/>
      <c r="AI8" s="33"/>
      <c r="AJ8" s="33"/>
      <c r="AK8" s="34"/>
      <c r="AL8" s="33"/>
      <c r="AM8" s="33"/>
      <c r="AN8" s="33"/>
      <c r="AO8" s="33"/>
      <c r="AP8" s="34"/>
      <c r="AQ8" s="33"/>
      <c r="AR8" s="33"/>
      <c r="AS8" s="33"/>
      <c r="AT8" s="33"/>
      <c r="AU8" s="34"/>
      <c r="AV8" s="33"/>
      <c r="AW8" s="33"/>
      <c r="AX8" s="33"/>
      <c r="AY8" s="33"/>
      <c r="AZ8" s="34" t="s">
        <v>157</v>
      </c>
      <c r="BA8" s="33"/>
      <c r="BB8" s="33"/>
      <c r="BC8" s="33"/>
      <c r="BD8" s="33"/>
      <c r="BE8" s="34"/>
      <c r="BF8" s="33"/>
      <c r="BG8" s="33"/>
      <c r="BH8" s="33"/>
      <c r="BI8" s="33"/>
      <c r="BJ8" s="34"/>
      <c r="BK8" s="33"/>
      <c r="BL8" s="33"/>
      <c r="BM8" s="33"/>
      <c r="BN8" s="33"/>
      <c r="BO8" s="34"/>
      <c r="BP8" s="33"/>
      <c r="BQ8" s="33"/>
      <c r="BR8" s="33"/>
      <c r="BS8" s="33"/>
      <c r="BT8" s="34"/>
      <c r="BU8" s="33"/>
      <c r="BV8" s="33"/>
      <c r="BW8" s="33"/>
      <c r="BX8" s="33"/>
      <c r="BY8" s="34"/>
      <c r="BZ8" s="33"/>
      <c r="CA8" s="33"/>
      <c r="CB8" s="33"/>
      <c r="CC8" s="33"/>
      <c r="CD8" s="34"/>
      <c r="CE8" s="33"/>
      <c r="CF8" s="33"/>
      <c r="CG8" s="33"/>
      <c r="CH8" s="33"/>
      <c r="CI8" s="34"/>
      <c r="CJ8" s="33"/>
      <c r="CK8" s="33"/>
      <c r="CL8" s="33"/>
      <c r="CM8" s="33"/>
      <c r="CN8" s="34"/>
      <c r="CO8" s="33"/>
      <c r="CP8" s="33"/>
      <c r="CQ8" s="33"/>
      <c r="CR8" s="33"/>
      <c r="CS8" s="34"/>
      <c r="CT8" s="33"/>
      <c r="CU8" s="33"/>
      <c r="CV8" s="33"/>
      <c r="CW8" s="33"/>
      <c r="CX8" s="34"/>
      <c r="CY8" s="35"/>
      <c r="CZ8" s="36"/>
      <c r="DA8" s="35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8"/>
    </row>
    <row r="9" spans="1:125">
      <c r="A9" s="3"/>
      <c r="B9" s="39" t="s">
        <v>16</v>
      </c>
      <c r="C9" s="40"/>
      <c r="D9" s="40"/>
      <c r="E9" s="40"/>
      <c r="F9" s="40"/>
      <c r="G9" s="41"/>
      <c r="H9" s="40"/>
      <c r="I9" s="40"/>
      <c r="J9" s="40"/>
      <c r="K9" s="40"/>
      <c r="L9" s="41"/>
      <c r="M9" s="40"/>
      <c r="N9" s="40"/>
      <c r="O9" s="40"/>
      <c r="P9" s="40"/>
      <c r="Q9" s="41"/>
      <c r="R9" s="40"/>
      <c r="S9" s="40"/>
      <c r="T9" s="40"/>
      <c r="U9" s="40"/>
      <c r="V9" s="41"/>
      <c r="W9" s="40"/>
      <c r="X9" s="40"/>
      <c r="Y9" s="40"/>
      <c r="Z9" s="40"/>
      <c r="AA9" s="41"/>
      <c r="AB9" s="40"/>
      <c r="AC9" s="40"/>
      <c r="AD9" s="40"/>
      <c r="AE9" s="40"/>
      <c r="AF9" s="41"/>
      <c r="AG9" s="40"/>
      <c r="AH9" s="40"/>
      <c r="AI9" s="40"/>
      <c r="AJ9" s="40"/>
      <c r="AK9" s="41"/>
      <c r="AL9" s="40"/>
      <c r="AM9" s="40"/>
      <c r="AN9" s="40"/>
      <c r="AO9" s="40"/>
      <c r="AP9" s="41"/>
      <c r="AQ9" s="40"/>
      <c r="AR9" s="40"/>
      <c r="AS9" s="40"/>
      <c r="AT9" s="40"/>
      <c r="AU9" s="41"/>
      <c r="AV9" s="40"/>
      <c r="AW9" s="40"/>
      <c r="AX9" s="40"/>
      <c r="AY9" s="40"/>
      <c r="AZ9" s="41"/>
      <c r="BA9" s="40"/>
      <c r="BB9" s="40"/>
      <c r="BC9" s="40"/>
      <c r="BD9" s="40"/>
      <c r="BE9" s="41"/>
      <c r="BF9" s="40"/>
      <c r="BG9" s="40"/>
      <c r="BH9" s="40"/>
      <c r="BI9" s="40"/>
      <c r="BJ9" s="41"/>
      <c r="BK9" s="40"/>
      <c r="BL9" s="40"/>
      <c r="BM9" s="40"/>
      <c r="BN9" s="40"/>
      <c r="BO9" s="41"/>
      <c r="BP9" s="40"/>
      <c r="BQ9" s="40"/>
      <c r="BR9" s="40"/>
      <c r="BS9" s="40"/>
      <c r="BT9" s="41"/>
      <c r="BU9" s="40"/>
      <c r="BV9" s="40"/>
      <c r="BW9" s="40"/>
      <c r="BX9" s="40"/>
      <c r="BY9" s="41"/>
      <c r="BZ9" s="40"/>
      <c r="CA9" s="40"/>
      <c r="CB9" s="40"/>
      <c r="CC9" s="40"/>
      <c r="CD9" s="41"/>
      <c r="CE9" s="40"/>
      <c r="CF9" s="40"/>
      <c r="CG9" s="40"/>
      <c r="CH9" s="40"/>
      <c r="CI9" s="41"/>
      <c r="CJ9" s="40"/>
      <c r="CK9" s="40"/>
      <c r="CL9" s="40"/>
      <c r="CM9" s="40"/>
      <c r="CN9" s="41"/>
      <c r="CO9" s="40"/>
      <c r="CP9" s="40"/>
      <c r="CQ9" s="40"/>
      <c r="CR9" s="40"/>
      <c r="CS9" s="41"/>
      <c r="CT9" s="40"/>
      <c r="CU9" s="40"/>
      <c r="CV9" s="40"/>
      <c r="CW9" s="40"/>
      <c r="CX9" s="41"/>
      <c r="CY9" s="8"/>
      <c r="CZ9" s="42"/>
      <c r="DA9" s="40" t="s">
        <v>14</v>
      </c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3" t="s">
        <v>14</v>
      </c>
    </row>
    <row r="10" spans="1:125">
      <c r="A10" s="3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</row>
    <row r="11" spans="1:125">
      <c r="A11" s="3"/>
      <c r="B11" s="46"/>
      <c r="C11" s="47">
        <v>42124</v>
      </c>
      <c r="D11" s="47">
        <f>EOMONTH(C11, 3)</f>
        <v>42216</v>
      </c>
      <c r="E11" s="47">
        <f>EOMONTH(D11, 3)</f>
        <v>42308</v>
      </c>
      <c r="F11" s="47">
        <f>EOMONTH(E11, 3)</f>
        <v>42400</v>
      </c>
      <c r="G11" s="47">
        <f>F11</f>
        <v>42400</v>
      </c>
      <c r="H11" s="47">
        <f>EOMONTH(F11, 3)</f>
        <v>42490</v>
      </c>
      <c r="I11" s="47">
        <f>EOMONTH(H11, 3)</f>
        <v>42582</v>
      </c>
      <c r="J11" s="47">
        <f>EOMONTH(I11, 3)</f>
        <v>42674</v>
      </c>
      <c r="K11" s="47">
        <f>EOMONTH(J11, 3)</f>
        <v>42766</v>
      </c>
      <c r="L11" s="47">
        <f>K11</f>
        <v>42766</v>
      </c>
      <c r="M11" s="47">
        <f>EOMONTH(K11, 3)</f>
        <v>42855</v>
      </c>
      <c r="N11" s="47">
        <f>EOMONTH(M11, 3)</f>
        <v>42947</v>
      </c>
      <c r="O11" s="47">
        <f>EOMONTH(N11, 3)</f>
        <v>43039</v>
      </c>
      <c r="P11" s="47">
        <f>EOMONTH(O11, 3)</f>
        <v>43131</v>
      </c>
      <c r="Q11" s="47">
        <f>P11</f>
        <v>43131</v>
      </c>
      <c r="R11" s="47">
        <f>EOMONTH(P11, 3)</f>
        <v>43220</v>
      </c>
      <c r="S11" s="47">
        <f>EOMONTH(R11, 3)</f>
        <v>43312</v>
      </c>
      <c r="T11" s="47">
        <f>EOMONTH(S11, 3)</f>
        <v>43404</v>
      </c>
      <c r="U11" s="47">
        <f>EOMONTH(T11, 3)</f>
        <v>43496</v>
      </c>
      <c r="V11" s="47">
        <f>U11</f>
        <v>43496</v>
      </c>
      <c r="W11" s="47">
        <f>EOMONTH(U11, 3)</f>
        <v>43585</v>
      </c>
      <c r="X11" s="47">
        <f>EOMONTH(W11, 3)</f>
        <v>43677</v>
      </c>
      <c r="Y11" s="47">
        <f>EOMONTH(X11, 3)</f>
        <v>43769</v>
      </c>
      <c r="Z11" s="47">
        <f>EOMONTH(Y11, 3)</f>
        <v>43861</v>
      </c>
      <c r="AA11" s="47">
        <f>Z11</f>
        <v>43861</v>
      </c>
      <c r="AB11" s="47">
        <f>EOMONTH(Z11, 3)</f>
        <v>43951</v>
      </c>
      <c r="AC11" s="47">
        <f>EOMONTH(AB11, 3)</f>
        <v>44043</v>
      </c>
      <c r="AD11" s="47">
        <f>EOMONTH(AC11, 3)</f>
        <v>44135</v>
      </c>
      <c r="AE11" s="47">
        <f>EOMONTH(AD11, 3)</f>
        <v>44227</v>
      </c>
      <c r="AF11" s="47">
        <f>AE11</f>
        <v>44227</v>
      </c>
      <c r="AG11" s="47">
        <f>EOMONTH(AE11, 3)</f>
        <v>44316</v>
      </c>
      <c r="AH11" s="47">
        <f>EOMONTH(AG11, 3)</f>
        <v>44408</v>
      </c>
      <c r="AI11" s="47">
        <f>EOMONTH(AH11, 3)</f>
        <v>44500</v>
      </c>
      <c r="AJ11" s="47">
        <f>EOMONTH(AI11, 3)</f>
        <v>44592</v>
      </c>
      <c r="AK11" s="47">
        <f>AJ11</f>
        <v>44592</v>
      </c>
      <c r="AL11" s="47">
        <f>EOMONTH(AJ11, 3)</f>
        <v>44681</v>
      </c>
      <c r="AM11" s="47">
        <f>EOMONTH(AL11, 3)</f>
        <v>44773</v>
      </c>
      <c r="AN11" s="47">
        <f>EOMONTH(AM11, 3)</f>
        <v>44865</v>
      </c>
      <c r="AO11" s="47">
        <f>EOMONTH(AN11, 3)</f>
        <v>44957</v>
      </c>
      <c r="AP11" s="47">
        <f>AO11</f>
        <v>44957</v>
      </c>
      <c r="AQ11" s="47">
        <f>EOMONTH(AO11, 3)</f>
        <v>45046</v>
      </c>
      <c r="AR11" s="47">
        <f>EOMONTH(AQ11, 3)</f>
        <v>45138</v>
      </c>
      <c r="AS11" s="47">
        <f>EOMONTH(AR11, 3)</f>
        <v>45230</v>
      </c>
      <c r="AT11" s="47">
        <f>EOMONTH(AS11, 3)</f>
        <v>45322</v>
      </c>
      <c r="AU11" s="47">
        <f>AT11</f>
        <v>45322</v>
      </c>
      <c r="AV11" s="47">
        <f>EOMONTH(AT11, 3)</f>
        <v>45412</v>
      </c>
      <c r="AW11" s="47">
        <f>EOMONTH(AV11, 3)</f>
        <v>45504</v>
      </c>
      <c r="AX11" s="47">
        <f>EOMONTH(AW11, 3)</f>
        <v>45596</v>
      </c>
      <c r="AY11" s="47">
        <f>EOMONTH(AX11, 3)</f>
        <v>45688</v>
      </c>
      <c r="AZ11" s="47">
        <f>AY11</f>
        <v>45688</v>
      </c>
      <c r="BA11" s="47">
        <f>EOMONTH(AY11, 3)</f>
        <v>45777</v>
      </c>
      <c r="BB11" s="47">
        <f>EOMONTH(BA11, 3)</f>
        <v>45869</v>
      </c>
      <c r="BC11" s="47">
        <f>EOMONTH(BB11, 3)</f>
        <v>45961</v>
      </c>
      <c r="BD11" s="47">
        <f>EOMONTH(BC11, 3)</f>
        <v>46053</v>
      </c>
      <c r="BE11" s="47">
        <f>BD11</f>
        <v>46053</v>
      </c>
      <c r="BF11" s="47">
        <f>EOMONTH(BD11, 3)</f>
        <v>46142</v>
      </c>
      <c r="BG11" s="47">
        <f>EOMONTH(BF11, 3)</f>
        <v>46234</v>
      </c>
      <c r="BH11" s="47">
        <f>EOMONTH(BG11, 3)</f>
        <v>46326</v>
      </c>
      <c r="BI11" s="47">
        <f>EOMONTH(BH11, 3)</f>
        <v>46418</v>
      </c>
      <c r="BJ11" s="47">
        <f>BI11</f>
        <v>46418</v>
      </c>
      <c r="BK11" s="47">
        <f>EOMONTH(BI11, 3)</f>
        <v>46507</v>
      </c>
      <c r="BL11" s="47">
        <f>EOMONTH(BK11, 3)</f>
        <v>46599</v>
      </c>
      <c r="BM11" s="47">
        <f>EOMONTH(BL11, 3)</f>
        <v>46691</v>
      </c>
      <c r="BN11" s="47">
        <f>EOMONTH(BM11, 3)</f>
        <v>46783</v>
      </c>
      <c r="BO11" s="47">
        <f>BN11</f>
        <v>46783</v>
      </c>
      <c r="BP11" s="47">
        <f>EOMONTH(BN11, 3)</f>
        <v>46873</v>
      </c>
      <c r="BQ11" s="47">
        <f>EOMONTH(BP11, 3)</f>
        <v>46965</v>
      </c>
      <c r="BR11" s="47">
        <f>EOMONTH(BQ11, 3)</f>
        <v>47057</v>
      </c>
      <c r="BS11" s="47">
        <f>EOMONTH(BR11, 3)</f>
        <v>47149</v>
      </c>
      <c r="BT11" s="47">
        <f>BS11</f>
        <v>47149</v>
      </c>
      <c r="BU11" s="47">
        <f>EOMONTH(BS11, 3)</f>
        <v>47238</v>
      </c>
      <c r="BV11" s="47">
        <f>EOMONTH(BU11, 3)</f>
        <v>47330</v>
      </c>
      <c r="BW11" s="47">
        <f>EOMONTH(BV11, 3)</f>
        <v>47422</v>
      </c>
      <c r="BX11" s="47">
        <f>EOMONTH(BW11, 3)</f>
        <v>47514</v>
      </c>
      <c r="BY11" s="47">
        <f>BX11</f>
        <v>47514</v>
      </c>
      <c r="BZ11" s="47">
        <f>EOMONTH(BX11, 3)</f>
        <v>47603</v>
      </c>
      <c r="CA11" s="47">
        <f>EOMONTH(BZ11, 3)</f>
        <v>47695</v>
      </c>
      <c r="CB11" s="47">
        <f>EOMONTH(CA11, 3)</f>
        <v>47787</v>
      </c>
      <c r="CC11" s="47">
        <f>EOMONTH(CB11, 3)</f>
        <v>47879</v>
      </c>
      <c r="CD11" s="47">
        <f>CC11</f>
        <v>47879</v>
      </c>
      <c r="CE11" s="47">
        <f>EOMONTH(CC11, 3)</f>
        <v>47968</v>
      </c>
      <c r="CF11" s="47">
        <f>EOMONTH(CE11, 3)</f>
        <v>48060</v>
      </c>
      <c r="CG11" s="47">
        <f>EOMONTH(CF11, 3)</f>
        <v>48152</v>
      </c>
      <c r="CH11" s="47">
        <f>EOMONTH(CG11, 3)</f>
        <v>48244</v>
      </c>
      <c r="CI11" s="47">
        <f>CH11</f>
        <v>48244</v>
      </c>
      <c r="CJ11" s="47">
        <f>EOMONTH(CH11, 3)</f>
        <v>48334</v>
      </c>
      <c r="CK11" s="47">
        <f>EOMONTH(CJ11, 3)</f>
        <v>48426</v>
      </c>
      <c r="CL11" s="47">
        <f>EOMONTH(CK11, 3)</f>
        <v>48518</v>
      </c>
      <c r="CM11" s="47">
        <f>EOMONTH(CL11, 3)</f>
        <v>48610</v>
      </c>
      <c r="CN11" s="47">
        <f>CM11</f>
        <v>48610</v>
      </c>
      <c r="CO11" s="47">
        <f>EOMONTH(CM11, 3)</f>
        <v>48699</v>
      </c>
      <c r="CP11" s="47">
        <f>EOMONTH(CO11, 3)</f>
        <v>48791</v>
      </c>
      <c r="CQ11" s="47">
        <f>EOMONTH(CP11, 3)</f>
        <v>48883</v>
      </c>
      <c r="CR11" s="47">
        <f>EOMONTH(CQ11, 3)</f>
        <v>48975</v>
      </c>
      <c r="CS11" s="47">
        <f>CR11</f>
        <v>48975</v>
      </c>
      <c r="CT11" s="47">
        <f>EOMONTH(CR11, 3)</f>
        <v>49064</v>
      </c>
      <c r="CU11" s="47">
        <f>EOMONTH(CT11, 3)</f>
        <v>49156</v>
      </c>
      <c r="CV11" s="47">
        <f>EOMONTH(CU11, 3)</f>
        <v>49248</v>
      </c>
      <c r="CW11" s="47">
        <f>EOMONTH(CV11, 3)</f>
        <v>49340</v>
      </c>
      <c r="CX11" s="47">
        <f>CW11</f>
        <v>49340</v>
      </c>
      <c r="CY11" s="8"/>
      <c r="CZ11" s="48">
        <v>42004</v>
      </c>
      <c r="DA11" s="47">
        <f t="shared" ref="DA11:DU11" si="4">EOMONTH(CZ11,12)</f>
        <v>42369</v>
      </c>
      <c r="DB11" s="47">
        <f t="shared" si="4"/>
        <v>42735</v>
      </c>
      <c r="DC11" s="47">
        <f t="shared" si="4"/>
        <v>43100</v>
      </c>
      <c r="DD11" s="47">
        <f t="shared" si="4"/>
        <v>43465</v>
      </c>
      <c r="DE11" s="47">
        <f t="shared" si="4"/>
        <v>43830</v>
      </c>
      <c r="DF11" s="47">
        <f t="shared" si="4"/>
        <v>44196</v>
      </c>
      <c r="DG11" s="47">
        <f t="shared" si="4"/>
        <v>44561</v>
      </c>
      <c r="DH11" s="47">
        <f t="shared" si="4"/>
        <v>44926</v>
      </c>
      <c r="DI11" s="47">
        <f t="shared" si="4"/>
        <v>45291</v>
      </c>
      <c r="DJ11" s="47">
        <f t="shared" si="4"/>
        <v>45657</v>
      </c>
      <c r="DK11" s="47">
        <f t="shared" si="4"/>
        <v>46022</v>
      </c>
      <c r="DL11" s="47">
        <f t="shared" si="4"/>
        <v>46387</v>
      </c>
      <c r="DM11" s="47">
        <f t="shared" si="4"/>
        <v>46752</v>
      </c>
      <c r="DN11" s="47">
        <f t="shared" si="4"/>
        <v>47118</v>
      </c>
      <c r="DO11" s="47">
        <f t="shared" si="4"/>
        <v>47483</v>
      </c>
      <c r="DP11" s="47">
        <f t="shared" si="4"/>
        <v>47848</v>
      </c>
      <c r="DQ11" s="47">
        <f t="shared" si="4"/>
        <v>48213</v>
      </c>
      <c r="DR11" s="47">
        <f t="shared" si="4"/>
        <v>48579</v>
      </c>
      <c r="DS11" s="47">
        <f t="shared" si="4"/>
        <v>48944</v>
      </c>
      <c r="DT11" s="47">
        <f t="shared" si="4"/>
        <v>49309</v>
      </c>
      <c r="DU11" s="47">
        <f t="shared" si="4"/>
        <v>49674</v>
      </c>
    </row>
    <row r="12" spans="1:125">
      <c r="A12" s="3"/>
      <c r="B12" s="9" t="s">
        <v>17</v>
      </c>
      <c r="C12" s="20" t="s">
        <v>18</v>
      </c>
      <c r="D12" s="24" t="s">
        <v>19</v>
      </c>
      <c r="E12" s="24" t="s">
        <v>20</v>
      </c>
      <c r="F12" s="24" t="s">
        <v>21</v>
      </c>
      <c r="G12" s="49" t="s">
        <v>22</v>
      </c>
      <c r="H12" s="20" t="s">
        <v>18</v>
      </c>
      <c r="I12" s="24" t="s">
        <v>19</v>
      </c>
      <c r="J12" s="24" t="s">
        <v>20</v>
      </c>
      <c r="K12" s="24" t="s">
        <v>21</v>
      </c>
      <c r="L12" s="49" t="s">
        <v>22</v>
      </c>
      <c r="M12" s="20" t="s">
        <v>18</v>
      </c>
      <c r="N12" s="24" t="s">
        <v>19</v>
      </c>
      <c r="O12" s="24" t="s">
        <v>20</v>
      </c>
      <c r="P12" s="24" t="s">
        <v>21</v>
      </c>
      <c r="Q12" s="49" t="s">
        <v>22</v>
      </c>
      <c r="R12" s="20" t="s">
        <v>18</v>
      </c>
      <c r="S12" s="24" t="s">
        <v>19</v>
      </c>
      <c r="T12" s="24" t="s">
        <v>20</v>
      </c>
      <c r="U12" s="24" t="s">
        <v>21</v>
      </c>
      <c r="V12" s="49" t="s">
        <v>22</v>
      </c>
      <c r="W12" s="20" t="s">
        <v>18</v>
      </c>
      <c r="X12" s="24" t="s">
        <v>19</v>
      </c>
      <c r="Y12" s="24" t="s">
        <v>20</v>
      </c>
      <c r="Z12" s="24" t="s">
        <v>21</v>
      </c>
      <c r="AA12" s="49" t="s">
        <v>22</v>
      </c>
      <c r="AB12" s="20" t="s">
        <v>18</v>
      </c>
      <c r="AC12" s="24" t="s">
        <v>19</v>
      </c>
      <c r="AD12" s="24" t="s">
        <v>20</v>
      </c>
      <c r="AE12" s="24" t="s">
        <v>21</v>
      </c>
      <c r="AF12" s="49" t="s">
        <v>22</v>
      </c>
      <c r="AG12" s="20" t="s">
        <v>18</v>
      </c>
      <c r="AH12" s="24" t="s">
        <v>19</v>
      </c>
      <c r="AI12" s="24" t="s">
        <v>20</v>
      </c>
      <c r="AJ12" s="24" t="s">
        <v>21</v>
      </c>
      <c r="AK12" s="49" t="s">
        <v>22</v>
      </c>
      <c r="AL12" s="20" t="s">
        <v>18</v>
      </c>
      <c r="AM12" s="24" t="s">
        <v>19</v>
      </c>
      <c r="AN12" s="24" t="s">
        <v>20</v>
      </c>
      <c r="AO12" s="24" t="s">
        <v>21</v>
      </c>
      <c r="AP12" s="49" t="s">
        <v>22</v>
      </c>
      <c r="AQ12" s="20" t="s">
        <v>18</v>
      </c>
      <c r="AR12" s="24" t="s">
        <v>19</v>
      </c>
      <c r="AS12" s="24" t="s">
        <v>20</v>
      </c>
      <c r="AT12" s="24" t="s">
        <v>21</v>
      </c>
      <c r="AU12" s="49" t="s">
        <v>22</v>
      </c>
      <c r="AV12" s="20" t="s">
        <v>18</v>
      </c>
      <c r="AW12" s="24" t="s">
        <v>19</v>
      </c>
      <c r="AX12" s="24" t="s">
        <v>20</v>
      </c>
      <c r="AY12" s="24" t="s">
        <v>21</v>
      </c>
      <c r="AZ12" s="49" t="s">
        <v>22</v>
      </c>
      <c r="BA12" s="20" t="s">
        <v>18</v>
      </c>
      <c r="BB12" s="24" t="s">
        <v>19</v>
      </c>
      <c r="BC12" s="24" t="s">
        <v>20</v>
      </c>
      <c r="BD12" s="24" t="s">
        <v>21</v>
      </c>
      <c r="BE12" s="49" t="s">
        <v>22</v>
      </c>
      <c r="BF12" s="20" t="s">
        <v>18</v>
      </c>
      <c r="BG12" s="24" t="s">
        <v>19</v>
      </c>
      <c r="BH12" s="24" t="s">
        <v>20</v>
      </c>
      <c r="BI12" s="24" t="s">
        <v>21</v>
      </c>
      <c r="BJ12" s="49" t="s">
        <v>22</v>
      </c>
      <c r="BK12" s="20" t="s">
        <v>18</v>
      </c>
      <c r="BL12" s="24" t="s">
        <v>19</v>
      </c>
      <c r="BM12" s="24" t="s">
        <v>20</v>
      </c>
      <c r="BN12" s="24" t="s">
        <v>21</v>
      </c>
      <c r="BO12" s="49" t="s">
        <v>22</v>
      </c>
      <c r="BP12" s="20" t="s">
        <v>18</v>
      </c>
      <c r="BQ12" s="24" t="s">
        <v>19</v>
      </c>
      <c r="BR12" s="24" t="s">
        <v>20</v>
      </c>
      <c r="BS12" s="24" t="s">
        <v>21</v>
      </c>
      <c r="BT12" s="49" t="s">
        <v>22</v>
      </c>
      <c r="BU12" s="20" t="s">
        <v>18</v>
      </c>
      <c r="BV12" s="24" t="s">
        <v>19</v>
      </c>
      <c r="BW12" s="24" t="s">
        <v>20</v>
      </c>
      <c r="BX12" s="24" t="s">
        <v>21</v>
      </c>
      <c r="BY12" s="49" t="s">
        <v>22</v>
      </c>
      <c r="BZ12" s="20" t="s">
        <v>18</v>
      </c>
      <c r="CA12" s="24" t="s">
        <v>19</v>
      </c>
      <c r="CB12" s="24" t="s">
        <v>20</v>
      </c>
      <c r="CC12" s="24" t="s">
        <v>21</v>
      </c>
      <c r="CD12" s="49" t="s">
        <v>22</v>
      </c>
      <c r="CE12" s="20" t="s">
        <v>18</v>
      </c>
      <c r="CF12" s="24" t="s">
        <v>19</v>
      </c>
      <c r="CG12" s="24" t="s">
        <v>20</v>
      </c>
      <c r="CH12" s="24" t="s">
        <v>21</v>
      </c>
      <c r="CI12" s="49" t="s">
        <v>22</v>
      </c>
      <c r="CJ12" s="20" t="s">
        <v>18</v>
      </c>
      <c r="CK12" s="24" t="s">
        <v>19</v>
      </c>
      <c r="CL12" s="24" t="s">
        <v>20</v>
      </c>
      <c r="CM12" s="24" t="s">
        <v>21</v>
      </c>
      <c r="CN12" s="49" t="s">
        <v>22</v>
      </c>
      <c r="CO12" s="20" t="s">
        <v>18</v>
      </c>
      <c r="CP12" s="24" t="s">
        <v>19</v>
      </c>
      <c r="CQ12" s="24" t="s">
        <v>20</v>
      </c>
      <c r="CR12" s="24" t="s">
        <v>21</v>
      </c>
      <c r="CS12" s="49" t="s">
        <v>22</v>
      </c>
      <c r="CT12" s="20" t="s">
        <v>18</v>
      </c>
      <c r="CU12" s="24" t="s">
        <v>19</v>
      </c>
      <c r="CV12" s="24" t="s">
        <v>20</v>
      </c>
      <c r="CW12" s="24" t="s">
        <v>21</v>
      </c>
      <c r="CX12" s="49" t="s">
        <v>22</v>
      </c>
      <c r="CY12" s="16"/>
      <c r="CZ12" s="50" t="s">
        <v>23</v>
      </c>
      <c r="DA12" s="50" t="s">
        <v>23</v>
      </c>
      <c r="DB12" s="50" t="s">
        <v>23</v>
      </c>
      <c r="DC12" s="50" t="s">
        <v>23</v>
      </c>
      <c r="DD12" s="50" t="s">
        <v>23</v>
      </c>
      <c r="DE12" s="50" t="s">
        <v>23</v>
      </c>
      <c r="DF12" s="50" t="s">
        <v>23</v>
      </c>
      <c r="DG12" s="50" t="s">
        <v>23</v>
      </c>
      <c r="DH12" s="50" t="s">
        <v>23</v>
      </c>
      <c r="DI12" s="50" t="s">
        <v>23</v>
      </c>
      <c r="DJ12" s="50" t="s">
        <v>23</v>
      </c>
      <c r="DK12" s="50" t="s">
        <v>23</v>
      </c>
      <c r="DL12" s="50" t="s">
        <v>23</v>
      </c>
      <c r="DM12" s="50" t="s">
        <v>23</v>
      </c>
      <c r="DN12" s="50" t="s">
        <v>23</v>
      </c>
      <c r="DO12" s="50" t="s">
        <v>23</v>
      </c>
      <c r="DP12" s="50" t="s">
        <v>23</v>
      </c>
      <c r="DQ12" s="50" t="s">
        <v>23</v>
      </c>
      <c r="DR12" s="50" t="s">
        <v>23</v>
      </c>
      <c r="DS12" s="50" t="s">
        <v>23</v>
      </c>
      <c r="DT12" s="50" t="s">
        <v>23</v>
      </c>
      <c r="DU12" s="50" t="s">
        <v>23</v>
      </c>
    </row>
    <row r="13" spans="1:125">
      <c r="A13" s="51"/>
      <c r="B13" s="52"/>
      <c r="C13" s="53" t="str">
        <f t="shared" ref="C13:BN13" si="5">IF(OR(COLUMN(C$12)&lt;=MATCH("X", $A$7:$XZ$7, 0),COLUMN(C$12)&lt;=MATCH("X", $A$8:$XZ$8, 0)), "Actual","Estimate")</f>
        <v>Actual</v>
      </c>
      <c r="D13" s="53" t="str">
        <f t="shared" si="5"/>
        <v>Actual</v>
      </c>
      <c r="E13" s="53" t="str">
        <f t="shared" si="5"/>
        <v>Actual</v>
      </c>
      <c r="F13" s="53" t="str">
        <f t="shared" si="5"/>
        <v>Actual</v>
      </c>
      <c r="G13" s="53" t="str">
        <f t="shared" si="5"/>
        <v>Actual</v>
      </c>
      <c r="H13" s="53" t="str">
        <f t="shared" si="5"/>
        <v>Actual</v>
      </c>
      <c r="I13" s="53" t="str">
        <f t="shared" si="5"/>
        <v>Actual</v>
      </c>
      <c r="J13" s="53" t="str">
        <f t="shared" si="5"/>
        <v>Actual</v>
      </c>
      <c r="K13" s="53" t="str">
        <f t="shared" si="5"/>
        <v>Actual</v>
      </c>
      <c r="L13" s="53" t="str">
        <f t="shared" si="5"/>
        <v>Actual</v>
      </c>
      <c r="M13" s="53" t="str">
        <f t="shared" si="5"/>
        <v>Actual</v>
      </c>
      <c r="N13" s="53" t="str">
        <f t="shared" si="5"/>
        <v>Actual</v>
      </c>
      <c r="O13" s="53" t="str">
        <f t="shared" si="5"/>
        <v>Actual</v>
      </c>
      <c r="P13" s="53" t="str">
        <f t="shared" si="5"/>
        <v>Actual</v>
      </c>
      <c r="Q13" s="53" t="str">
        <f t="shared" si="5"/>
        <v>Actual</v>
      </c>
      <c r="R13" s="53" t="str">
        <f t="shared" si="5"/>
        <v>Actual</v>
      </c>
      <c r="S13" s="53" t="str">
        <f t="shared" si="5"/>
        <v>Actual</v>
      </c>
      <c r="T13" s="53" t="str">
        <f t="shared" si="5"/>
        <v>Actual</v>
      </c>
      <c r="U13" s="53" t="str">
        <f t="shared" si="5"/>
        <v>Actual</v>
      </c>
      <c r="V13" s="53" t="str">
        <f t="shared" si="5"/>
        <v>Actual</v>
      </c>
      <c r="W13" s="53" t="str">
        <f t="shared" si="5"/>
        <v>Actual</v>
      </c>
      <c r="X13" s="53" t="str">
        <f t="shared" si="5"/>
        <v>Actual</v>
      </c>
      <c r="Y13" s="53" t="str">
        <f t="shared" si="5"/>
        <v>Actual</v>
      </c>
      <c r="Z13" s="53" t="str">
        <f t="shared" si="5"/>
        <v>Actual</v>
      </c>
      <c r="AA13" s="53" t="str">
        <f t="shared" si="5"/>
        <v>Actual</v>
      </c>
      <c r="AB13" s="53" t="str">
        <f t="shared" si="5"/>
        <v>Actual</v>
      </c>
      <c r="AC13" s="53" t="str">
        <f t="shared" si="5"/>
        <v>Actual</v>
      </c>
      <c r="AD13" s="53" t="str">
        <f t="shared" si="5"/>
        <v>Actual</v>
      </c>
      <c r="AE13" s="53" t="str">
        <f t="shared" si="5"/>
        <v>Actual</v>
      </c>
      <c r="AF13" s="53" t="str">
        <f t="shared" si="5"/>
        <v>Actual</v>
      </c>
      <c r="AG13" s="53" t="str">
        <f t="shared" si="5"/>
        <v>Actual</v>
      </c>
      <c r="AH13" s="53" t="str">
        <f t="shared" si="5"/>
        <v>Actual</v>
      </c>
      <c r="AI13" s="53" t="str">
        <f t="shared" si="5"/>
        <v>Actual</v>
      </c>
      <c r="AJ13" s="53" t="str">
        <f t="shared" si="5"/>
        <v>Actual</v>
      </c>
      <c r="AK13" s="53" t="str">
        <f t="shared" si="5"/>
        <v>Actual</v>
      </c>
      <c r="AL13" s="53" t="str">
        <f t="shared" si="5"/>
        <v>Actual</v>
      </c>
      <c r="AM13" s="53" t="str">
        <f t="shared" si="5"/>
        <v>Actual</v>
      </c>
      <c r="AN13" s="53" t="str">
        <f t="shared" si="5"/>
        <v>Actual</v>
      </c>
      <c r="AO13" s="53" t="str">
        <f t="shared" si="5"/>
        <v>Actual</v>
      </c>
      <c r="AP13" s="53" t="str">
        <f t="shared" si="5"/>
        <v>Actual</v>
      </c>
      <c r="AQ13" s="53" t="str">
        <f t="shared" si="5"/>
        <v>Actual</v>
      </c>
      <c r="AR13" s="53" t="str">
        <f t="shared" si="5"/>
        <v>Actual</v>
      </c>
      <c r="AS13" s="53" t="str">
        <f t="shared" si="5"/>
        <v>Actual</v>
      </c>
      <c r="AT13" s="53" t="str">
        <f t="shared" si="5"/>
        <v>Actual</v>
      </c>
      <c r="AU13" s="53" t="str">
        <f t="shared" si="5"/>
        <v>Actual</v>
      </c>
      <c r="AV13" s="53" t="str">
        <f t="shared" si="5"/>
        <v>Actual</v>
      </c>
      <c r="AW13" s="53" t="str">
        <f t="shared" si="5"/>
        <v>Actual</v>
      </c>
      <c r="AX13" s="53" t="str">
        <f t="shared" si="5"/>
        <v>Actual</v>
      </c>
      <c r="AY13" s="53" t="str">
        <f t="shared" si="5"/>
        <v>Actual</v>
      </c>
      <c r="AZ13" s="53" t="str">
        <f t="shared" si="5"/>
        <v>Actual</v>
      </c>
      <c r="BA13" s="53" t="str">
        <f t="shared" si="5"/>
        <v>Actual</v>
      </c>
      <c r="BB13" s="53" t="str">
        <f t="shared" si="5"/>
        <v>Actual</v>
      </c>
      <c r="BC13" s="53" t="str">
        <f t="shared" si="5"/>
        <v>Actual</v>
      </c>
      <c r="BD13" s="53" t="str">
        <f t="shared" si="5"/>
        <v>Estimate</v>
      </c>
      <c r="BE13" s="53" t="str">
        <f t="shared" si="5"/>
        <v>Estimate</v>
      </c>
      <c r="BF13" s="53" t="str">
        <f t="shared" si="5"/>
        <v>Estimate</v>
      </c>
      <c r="BG13" s="53" t="str">
        <f t="shared" si="5"/>
        <v>Estimate</v>
      </c>
      <c r="BH13" s="53" t="str">
        <f t="shared" si="5"/>
        <v>Estimate</v>
      </c>
      <c r="BI13" s="53" t="str">
        <f t="shared" si="5"/>
        <v>Estimate</v>
      </c>
      <c r="BJ13" s="53" t="str">
        <f t="shared" si="5"/>
        <v>Estimate</v>
      </c>
      <c r="BK13" s="53" t="str">
        <f t="shared" si="5"/>
        <v>Estimate</v>
      </c>
      <c r="BL13" s="53" t="str">
        <f t="shared" si="5"/>
        <v>Estimate</v>
      </c>
      <c r="BM13" s="53" t="str">
        <f t="shared" si="5"/>
        <v>Estimate</v>
      </c>
      <c r="BN13" s="53" t="str">
        <f t="shared" si="5"/>
        <v>Estimate</v>
      </c>
      <c r="BO13" s="53" t="str">
        <f t="shared" ref="BO13:CX13" si="6">IF(OR(COLUMN(BO$12)&lt;=MATCH("X", $A$7:$XZ$7, 0),COLUMN(BO$12)&lt;=MATCH("X", $A$8:$XZ$8, 0)), "Actual","Estimate")</f>
        <v>Estimate</v>
      </c>
      <c r="BP13" s="53" t="str">
        <f t="shared" si="6"/>
        <v>Estimate</v>
      </c>
      <c r="BQ13" s="53" t="str">
        <f t="shared" si="6"/>
        <v>Estimate</v>
      </c>
      <c r="BR13" s="53" t="str">
        <f t="shared" si="6"/>
        <v>Estimate</v>
      </c>
      <c r="BS13" s="53" t="str">
        <f t="shared" si="6"/>
        <v>Estimate</v>
      </c>
      <c r="BT13" s="53" t="str">
        <f t="shared" si="6"/>
        <v>Estimate</v>
      </c>
      <c r="BU13" s="53" t="str">
        <f t="shared" si="6"/>
        <v>Estimate</v>
      </c>
      <c r="BV13" s="53" t="str">
        <f t="shared" si="6"/>
        <v>Estimate</v>
      </c>
      <c r="BW13" s="53" t="str">
        <f t="shared" si="6"/>
        <v>Estimate</v>
      </c>
      <c r="BX13" s="53" t="str">
        <f t="shared" si="6"/>
        <v>Estimate</v>
      </c>
      <c r="BY13" s="53" t="str">
        <f t="shared" si="6"/>
        <v>Estimate</v>
      </c>
      <c r="BZ13" s="53" t="str">
        <f t="shared" si="6"/>
        <v>Estimate</v>
      </c>
      <c r="CA13" s="53" t="str">
        <f t="shared" si="6"/>
        <v>Estimate</v>
      </c>
      <c r="CB13" s="53" t="str">
        <f t="shared" si="6"/>
        <v>Estimate</v>
      </c>
      <c r="CC13" s="53" t="str">
        <f t="shared" si="6"/>
        <v>Estimate</v>
      </c>
      <c r="CD13" s="53" t="str">
        <f t="shared" si="6"/>
        <v>Estimate</v>
      </c>
      <c r="CE13" s="53" t="str">
        <f t="shared" si="6"/>
        <v>Estimate</v>
      </c>
      <c r="CF13" s="53" t="str">
        <f t="shared" si="6"/>
        <v>Estimate</v>
      </c>
      <c r="CG13" s="53" t="str">
        <f t="shared" si="6"/>
        <v>Estimate</v>
      </c>
      <c r="CH13" s="53" t="str">
        <f t="shared" si="6"/>
        <v>Estimate</v>
      </c>
      <c r="CI13" s="53" t="str">
        <f t="shared" si="6"/>
        <v>Estimate</v>
      </c>
      <c r="CJ13" s="53" t="str">
        <f t="shared" si="6"/>
        <v>Estimate</v>
      </c>
      <c r="CK13" s="53" t="str">
        <f t="shared" si="6"/>
        <v>Estimate</v>
      </c>
      <c r="CL13" s="53" t="str">
        <f t="shared" si="6"/>
        <v>Estimate</v>
      </c>
      <c r="CM13" s="53" t="str">
        <f t="shared" si="6"/>
        <v>Estimate</v>
      </c>
      <c r="CN13" s="53" t="str">
        <f t="shared" si="6"/>
        <v>Estimate</v>
      </c>
      <c r="CO13" s="53" t="str">
        <f t="shared" si="6"/>
        <v>Estimate</v>
      </c>
      <c r="CP13" s="53" t="str">
        <f t="shared" si="6"/>
        <v>Estimate</v>
      </c>
      <c r="CQ13" s="53" t="str">
        <f t="shared" si="6"/>
        <v>Estimate</v>
      </c>
      <c r="CR13" s="53" t="str">
        <f t="shared" si="6"/>
        <v>Estimate</v>
      </c>
      <c r="CS13" s="53" t="str">
        <f t="shared" si="6"/>
        <v>Estimate</v>
      </c>
      <c r="CT13" s="53" t="str">
        <f t="shared" si="6"/>
        <v>Estimate</v>
      </c>
      <c r="CU13" s="53" t="str">
        <f t="shared" si="6"/>
        <v>Estimate</v>
      </c>
      <c r="CV13" s="53" t="str">
        <f t="shared" si="6"/>
        <v>Estimate</v>
      </c>
      <c r="CW13" s="53" t="str">
        <f t="shared" si="6"/>
        <v>Estimate</v>
      </c>
      <c r="CX13" s="53" t="str">
        <f t="shared" si="6"/>
        <v>Estimate</v>
      </c>
      <c r="CY13" s="52"/>
      <c r="CZ13" s="53" t="str">
        <f>IF(COLUMN(CZ12)&lt;=MATCH("X", $A$9:$EW$9, 0), "Actual","Estimate")</f>
        <v>Actual</v>
      </c>
      <c r="DA13" s="53" t="str">
        <f>IF(COLUMN(DA12)&lt;=MATCH("X", $A$9:$EW$9, 0), "Actual","Estimate")</f>
        <v>Actual</v>
      </c>
      <c r="DB13" s="53" t="str">
        <f>IF(COLUMN(DB12)&lt;=MATCH("X", $A$9:$EW$9, 0), "Actual","Estimate")</f>
        <v>Estimate</v>
      </c>
      <c r="DC13" s="53" t="str">
        <f>IF(COLUMN(DC12)&lt;=MATCH("X", $A$9:$EW$9, 0), "Actual","Estimate")</f>
        <v>Estimate</v>
      </c>
      <c r="DD13" s="53" t="str">
        <f>IF(COLUMN(EW12)&lt;=MATCH("X", $A$9:$EW$9, 0), "Actual","Estimate")</f>
        <v>Estimate</v>
      </c>
      <c r="DE13" s="53" t="str">
        <f t="shared" ref="DE13:DU13" si="7">IF(COLUMN(DE12)&lt;=MATCH("X", $A$9:$EW$9, 0), "Actual","Estimate")</f>
        <v>Estimate</v>
      </c>
      <c r="DF13" s="53" t="str">
        <f t="shared" si="7"/>
        <v>Estimate</v>
      </c>
      <c r="DG13" s="53" t="str">
        <f t="shared" si="7"/>
        <v>Estimate</v>
      </c>
      <c r="DH13" s="53" t="str">
        <f t="shared" si="7"/>
        <v>Estimate</v>
      </c>
      <c r="DI13" s="53" t="str">
        <f t="shared" si="7"/>
        <v>Estimate</v>
      </c>
      <c r="DJ13" s="53" t="str">
        <f t="shared" si="7"/>
        <v>Estimate</v>
      </c>
      <c r="DK13" s="53" t="str">
        <f t="shared" si="7"/>
        <v>Estimate</v>
      </c>
      <c r="DL13" s="53" t="str">
        <f t="shared" si="7"/>
        <v>Estimate</v>
      </c>
      <c r="DM13" s="53" t="str">
        <f t="shared" si="7"/>
        <v>Estimate</v>
      </c>
      <c r="DN13" s="53" t="str">
        <f t="shared" si="7"/>
        <v>Estimate</v>
      </c>
      <c r="DO13" s="53" t="str">
        <f t="shared" si="7"/>
        <v>Estimate</v>
      </c>
      <c r="DP13" s="53" t="str">
        <f t="shared" si="7"/>
        <v>Estimate</v>
      </c>
      <c r="DQ13" s="53" t="str">
        <f t="shared" si="7"/>
        <v>Estimate</v>
      </c>
      <c r="DR13" s="53" t="str">
        <f t="shared" si="7"/>
        <v>Estimate</v>
      </c>
      <c r="DS13" s="53" t="str">
        <f t="shared" si="7"/>
        <v>Estimate</v>
      </c>
      <c r="DT13" s="53" t="str">
        <f t="shared" si="7"/>
        <v>Estimate</v>
      </c>
      <c r="DU13" s="53" t="str">
        <f t="shared" si="7"/>
        <v>Estimate</v>
      </c>
    </row>
    <row r="14" spans="1:125">
      <c r="A14" s="3"/>
      <c r="B14" s="9" t="s">
        <v>24</v>
      </c>
      <c r="C14" s="54">
        <v>90</v>
      </c>
      <c r="D14" s="52">
        <f>D11-C11</f>
        <v>92</v>
      </c>
      <c r="E14" s="52">
        <f>E11-D11</f>
        <v>92</v>
      </c>
      <c r="F14" s="52">
        <f>F11-E11</f>
        <v>92</v>
      </c>
      <c r="G14" s="54">
        <v>365</v>
      </c>
      <c r="H14" s="52">
        <f>H11-F11</f>
        <v>90</v>
      </c>
      <c r="I14" s="52">
        <f>I11-H11</f>
        <v>92</v>
      </c>
      <c r="J14" s="52">
        <f>J11-I11</f>
        <v>92</v>
      </c>
      <c r="K14" s="52">
        <f>K11-J11</f>
        <v>92</v>
      </c>
      <c r="L14" s="52">
        <f>L11-G11</f>
        <v>366</v>
      </c>
      <c r="M14" s="52">
        <f>M11-K11</f>
        <v>89</v>
      </c>
      <c r="N14" s="52">
        <f>N11-M11</f>
        <v>92</v>
      </c>
      <c r="O14" s="52">
        <f>O11-N11</f>
        <v>92</v>
      </c>
      <c r="P14" s="52">
        <f>P11-O11</f>
        <v>92</v>
      </c>
      <c r="Q14" s="52">
        <f>Q11-L11</f>
        <v>365</v>
      </c>
      <c r="R14" s="52">
        <f>R11-P11</f>
        <v>89</v>
      </c>
      <c r="S14" s="52">
        <f>S11-R11</f>
        <v>92</v>
      </c>
      <c r="T14" s="52">
        <f>T11-S11</f>
        <v>92</v>
      </c>
      <c r="U14" s="52">
        <f>U11-T11</f>
        <v>92</v>
      </c>
      <c r="V14" s="52">
        <f>V11-Q11</f>
        <v>365</v>
      </c>
      <c r="W14" s="52">
        <f>W11-U11</f>
        <v>89</v>
      </c>
      <c r="X14" s="52">
        <f>X11-W11</f>
        <v>92</v>
      </c>
      <c r="Y14" s="52">
        <f>Y11-X11</f>
        <v>92</v>
      </c>
      <c r="Z14" s="52">
        <f>Z11-Y11</f>
        <v>92</v>
      </c>
      <c r="AA14" s="52">
        <f>AA11-V11</f>
        <v>365</v>
      </c>
      <c r="AB14" s="52">
        <f>AB11-Z11</f>
        <v>90</v>
      </c>
      <c r="AC14" s="52">
        <f>AC11-AB11</f>
        <v>92</v>
      </c>
      <c r="AD14" s="52">
        <f>AD11-AC11</f>
        <v>92</v>
      </c>
      <c r="AE14" s="52">
        <f>AE11-AD11</f>
        <v>92</v>
      </c>
      <c r="AF14" s="52">
        <f>AF11-AA11</f>
        <v>366</v>
      </c>
      <c r="AG14" s="52">
        <f>AG11-AE11</f>
        <v>89</v>
      </c>
      <c r="AH14" s="52">
        <f>AH11-AG11</f>
        <v>92</v>
      </c>
      <c r="AI14" s="52">
        <f>AI11-AH11</f>
        <v>92</v>
      </c>
      <c r="AJ14" s="52">
        <f>AJ11-AI11</f>
        <v>92</v>
      </c>
      <c r="AK14" s="52">
        <f>AK11-AF11</f>
        <v>365</v>
      </c>
      <c r="AL14" s="52">
        <f>AL11-AJ11</f>
        <v>89</v>
      </c>
      <c r="AM14" s="52">
        <f>AM11-AL11</f>
        <v>92</v>
      </c>
      <c r="AN14" s="52">
        <f>AN11-AM11</f>
        <v>92</v>
      </c>
      <c r="AO14" s="52">
        <f>AO11-AN11</f>
        <v>92</v>
      </c>
      <c r="AP14" s="52">
        <f>AP11-AK11</f>
        <v>365</v>
      </c>
      <c r="AQ14" s="52">
        <f>AQ11-AO11</f>
        <v>89</v>
      </c>
      <c r="AR14" s="52">
        <f>AR11-AQ11</f>
        <v>92</v>
      </c>
      <c r="AS14" s="52">
        <f>AS11-AR11</f>
        <v>92</v>
      </c>
      <c r="AT14" s="52">
        <f>AT11-AS11</f>
        <v>92</v>
      </c>
      <c r="AU14" s="52">
        <f>AU11-AP11</f>
        <v>365</v>
      </c>
      <c r="AV14" s="52">
        <f>AV11-AT11</f>
        <v>90</v>
      </c>
      <c r="AW14" s="52">
        <f>AW11-AV11</f>
        <v>92</v>
      </c>
      <c r="AX14" s="52">
        <f>AX11-AW11</f>
        <v>92</v>
      </c>
      <c r="AY14" s="52">
        <f>AY11-AX11</f>
        <v>92</v>
      </c>
      <c r="AZ14" s="52">
        <f>AZ11-AU11</f>
        <v>366</v>
      </c>
      <c r="BA14" s="52">
        <f>BA11-AY11</f>
        <v>89</v>
      </c>
      <c r="BB14" s="52">
        <f>BB11-BA11</f>
        <v>92</v>
      </c>
      <c r="BC14" s="52">
        <f>BC11-BB11</f>
        <v>92</v>
      </c>
      <c r="BD14" s="52">
        <f>BD11-BC11</f>
        <v>92</v>
      </c>
      <c r="BE14" s="52">
        <f>BE11-AZ11</f>
        <v>365</v>
      </c>
      <c r="BF14" s="52">
        <f>BF11-BD11</f>
        <v>89</v>
      </c>
      <c r="BG14" s="52">
        <f>BG11-BF11</f>
        <v>92</v>
      </c>
      <c r="BH14" s="52">
        <f>BH11-BG11</f>
        <v>92</v>
      </c>
      <c r="BI14" s="52">
        <f>BI11-BH11</f>
        <v>92</v>
      </c>
      <c r="BJ14" s="52">
        <f>BJ11-BE11</f>
        <v>365</v>
      </c>
      <c r="BK14" s="52">
        <f>BK11-BI11</f>
        <v>89</v>
      </c>
      <c r="BL14" s="52">
        <f>BL11-BK11</f>
        <v>92</v>
      </c>
      <c r="BM14" s="52">
        <f>BM11-BL11</f>
        <v>92</v>
      </c>
      <c r="BN14" s="52">
        <f>BN11-BM11</f>
        <v>92</v>
      </c>
      <c r="BO14" s="52">
        <f>BO11-BJ11</f>
        <v>365</v>
      </c>
      <c r="BP14" s="52">
        <f>BP11-BN11</f>
        <v>90</v>
      </c>
      <c r="BQ14" s="52">
        <f>BQ11-BP11</f>
        <v>92</v>
      </c>
      <c r="BR14" s="52">
        <f>BR11-BQ11</f>
        <v>92</v>
      </c>
      <c r="BS14" s="52">
        <f>BS11-BR11</f>
        <v>92</v>
      </c>
      <c r="BT14" s="52">
        <f>BT11-BO11</f>
        <v>366</v>
      </c>
      <c r="BU14" s="52">
        <f>BU11-BS11</f>
        <v>89</v>
      </c>
      <c r="BV14" s="52">
        <f>BV11-BU11</f>
        <v>92</v>
      </c>
      <c r="BW14" s="52">
        <f>BW11-BV11</f>
        <v>92</v>
      </c>
      <c r="BX14" s="52">
        <f>BX11-BW11</f>
        <v>92</v>
      </c>
      <c r="BY14" s="52">
        <f>BY11-BT11</f>
        <v>365</v>
      </c>
      <c r="BZ14" s="52">
        <f>BZ11-BX11</f>
        <v>89</v>
      </c>
      <c r="CA14" s="52">
        <f>CA11-BZ11</f>
        <v>92</v>
      </c>
      <c r="CB14" s="52">
        <f>CB11-CA11</f>
        <v>92</v>
      </c>
      <c r="CC14" s="52">
        <f>CC11-CB11</f>
        <v>92</v>
      </c>
      <c r="CD14" s="52">
        <f>CD11-BY11</f>
        <v>365</v>
      </c>
      <c r="CE14" s="52">
        <f>CE11-CC11</f>
        <v>89</v>
      </c>
      <c r="CF14" s="52">
        <f>CF11-CE11</f>
        <v>92</v>
      </c>
      <c r="CG14" s="52">
        <f>CG11-CF11</f>
        <v>92</v>
      </c>
      <c r="CH14" s="52">
        <f>CH11-CG11</f>
        <v>92</v>
      </c>
      <c r="CI14" s="52">
        <f>CI11-CD11</f>
        <v>365</v>
      </c>
      <c r="CJ14" s="52">
        <f>CJ11-CH11</f>
        <v>90</v>
      </c>
      <c r="CK14" s="52">
        <f>CK11-CJ11</f>
        <v>92</v>
      </c>
      <c r="CL14" s="52">
        <f>CL11-CK11</f>
        <v>92</v>
      </c>
      <c r="CM14" s="52">
        <f>CM11-CL11</f>
        <v>92</v>
      </c>
      <c r="CN14" s="52">
        <f>CN11-CI11</f>
        <v>366</v>
      </c>
      <c r="CO14" s="52">
        <f>CO11-CM11</f>
        <v>89</v>
      </c>
      <c r="CP14" s="52">
        <f>CP11-CO11</f>
        <v>92</v>
      </c>
      <c r="CQ14" s="52">
        <f>CQ11-CP11</f>
        <v>92</v>
      </c>
      <c r="CR14" s="52">
        <f>CR11-CQ11</f>
        <v>92</v>
      </c>
      <c r="CS14" s="52">
        <f>CS11-CN11</f>
        <v>365</v>
      </c>
      <c r="CT14" s="52">
        <f>CT11-CR11</f>
        <v>89</v>
      </c>
      <c r="CU14" s="52">
        <f>CU11-CT11</f>
        <v>92</v>
      </c>
      <c r="CV14" s="52">
        <f>CV11-CU11</f>
        <v>92</v>
      </c>
      <c r="CW14" s="52">
        <f>CW11-CV11</f>
        <v>92</v>
      </c>
      <c r="CX14" s="52">
        <f>CX11-CS11</f>
        <v>365</v>
      </c>
      <c r="CY14" s="8"/>
      <c r="CZ14" s="8"/>
      <c r="DA14" s="52">
        <f t="shared" ref="DA14:DU14" si="8">DA11-CZ11</f>
        <v>365</v>
      </c>
      <c r="DB14" s="52">
        <f t="shared" si="8"/>
        <v>366</v>
      </c>
      <c r="DC14" s="52">
        <f t="shared" si="8"/>
        <v>365</v>
      </c>
      <c r="DD14" s="52">
        <f t="shared" si="8"/>
        <v>365</v>
      </c>
      <c r="DE14" s="52">
        <f t="shared" si="8"/>
        <v>365</v>
      </c>
      <c r="DF14" s="52">
        <f t="shared" si="8"/>
        <v>366</v>
      </c>
      <c r="DG14" s="52">
        <f t="shared" si="8"/>
        <v>365</v>
      </c>
      <c r="DH14" s="52">
        <f t="shared" si="8"/>
        <v>365</v>
      </c>
      <c r="DI14" s="52">
        <f t="shared" si="8"/>
        <v>365</v>
      </c>
      <c r="DJ14" s="52">
        <f t="shared" si="8"/>
        <v>366</v>
      </c>
      <c r="DK14" s="52">
        <f t="shared" si="8"/>
        <v>365</v>
      </c>
      <c r="DL14" s="52">
        <f t="shared" si="8"/>
        <v>365</v>
      </c>
      <c r="DM14" s="52">
        <f t="shared" si="8"/>
        <v>365</v>
      </c>
      <c r="DN14" s="52">
        <f t="shared" si="8"/>
        <v>366</v>
      </c>
      <c r="DO14" s="52">
        <f t="shared" si="8"/>
        <v>365</v>
      </c>
      <c r="DP14" s="52">
        <f t="shared" si="8"/>
        <v>365</v>
      </c>
      <c r="DQ14" s="52">
        <f t="shared" si="8"/>
        <v>365</v>
      </c>
      <c r="DR14" s="52">
        <f t="shared" si="8"/>
        <v>366</v>
      </c>
      <c r="DS14" s="52">
        <f t="shared" si="8"/>
        <v>365</v>
      </c>
      <c r="DT14" s="52">
        <f t="shared" si="8"/>
        <v>365</v>
      </c>
      <c r="DU14" s="52">
        <f t="shared" si="8"/>
        <v>365</v>
      </c>
    </row>
    <row r="15" spans="1:125">
      <c r="A15" s="3"/>
      <c r="B15" s="9" t="s">
        <v>25</v>
      </c>
      <c r="C15" s="54">
        <v>365</v>
      </c>
      <c r="D15" s="52">
        <f>G14</f>
        <v>365</v>
      </c>
      <c r="E15" s="52">
        <f>G14</f>
        <v>365</v>
      </c>
      <c r="F15" s="52">
        <f>G14</f>
        <v>365</v>
      </c>
      <c r="G15" s="52">
        <f>G14</f>
        <v>365</v>
      </c>
      <c r="H15" s="52">
        <f>L14</f>
        <v>366</v>
      </c>
      <c r="I15" s="52">
        <f>L14</f>
        <v>366</v>
      </c>
      <c r="J15" s="52">
        <f>L14</f>
        <v>366</v>
      </c>
      <c r="K15" s="52">
        <f>L14</f>
        <v>366</v>
      </c>
      <c r="L15" s="52">
        <f>L14</f>
        <v>366</v>
      </c>
      <c r="M15" s="52">
        <f>Q14</f>
        <v>365</v>
      </c>
      <c r="N15" s="52">
        <f>Q14</f>
        <v>365</v>
      </c>
      <c r="O15" s="52">
        <f>Q14</f>
        <v>365</v>
      </c>
      <c r="P15" s="52">
        <f>Q14</f>
        <v>365</v>
      </c>
      <c r="Q15" s="52">
        <f>Q14</f>
        <v>365</v>
      </c>
      <c r="R15" s="52">
        <f>V14</f>
        <v>365</v>
      </c>
      <c r="S15" s="52">
        <f>V14</f>
        <v>365</v>
      </c>
      <c r="T15" s="52">
        <f>V14</f>
        <v>365</v>
      </c>
      <c r="U15" s="52">
        <f>V14</f>
        <v>365</v>
      </c>
      <c r="V15" s="52">
        <f>V14</f>
        <v>365</v>
      </c>
      <c r="W15" s="52">
        <f>AA14</f>
        <v>365</v>
      </c>
      <c r="X15" s="52">
        <f>AA14</f>
        <v>365</v>
      </c>
      <c r="Y15" s="52">
        <f>AA14</f>
        <v>365</v>
      </c>
      <c r="Z15" s="52">
        <f>AA14</f>
        <v>365</v>
      </c>
      <c r="AA15" s="52">
        <f>AA14</f>
        <v>365</v>
      </c>
      <c r="AB15" s="52">
        <f>AF14</f>
        <v>366</v>
      </c>
      <c r="AC15" s="52">
        <f>AF14</f>
        <v>366</v>
      </c>
      <c r="AD15" s="52">
        <f>AF14</f>
        <v>366</v>
      </c>
      <c r="AE15" s="52">
        <f>AF14</f>
        <v>366</v>
      </c>
      <c r="AF15" s="52">
        <f>AF14</f>
        <v>366</v>
      </c>
      <c r="AG15" s="52">
        <f>AK14</f>
        <v>365</v>
      </c>
      <c r="AH15" s="52">
        <f>AK14</f>
        <v>365</v>
      </c>
      <c r="AI15" s="52">
        <f>AK14</f>
        <v>365</v>
      </c>
      <c r="AJ15" s="52">
        <f>AK14</f>
        <v>365</v>
      </c>
      <c r="AK15" s="52">
        <f>AK14</f>
        <v>365</v>
      </c>
      <c r="AL15" s="52">
        <f>AP14</f>
        <v>365</v>
      </c>
      <c r="AM15" s="52">
        <f>AP14</f>
        <v>365</v>
      </c>
      <c r="AN15" s="52">
        <f>AP14</f>
        <v>365</v>
      </c>
      <c r="AO15" s="52">
        <f>AP14</f>
        <v>365</v>
      </c>
      <c r="AP15" s="52">
        <f>AP14</f>
        <v>365</v>
      </c>
      <c r="AQ15" s="52">
        <f>AU14</f>
        <v>365</v>
      </c>
      <c r="AR15" s="52">
        <f>AU14</f>
        <v>365</v>
      </c>
      <c r="AS15" s="52">
        <f>AU14</f>
        <v>365</v>
      </c>
      <c r="AT15" s="52">
        <f>AU14</f>
        <v>365</v>
      </c>
      <c r="AU15" s="52">
        <f>AU14</f>
        <v>365</v>
      </c>
      <c r="AV15" s="52">
        <f>AZ14</f>
        <v>366</v>
      </c>
      <c r="AW15" s="52">
        <f>AZ14</f>
        <v>366</v>
      </c>
      <c r="AX15" s="52">
        <f>AZ14</f>
        <v>366</v>
      </c>
      <c r="AY15" s="52">
        <f>AZ14</f>
        <v>366</v>
      </c>
      <c r="AZ15" s="52">
        <f>AZ14</f>
        <v>366</v>
      </c>
      <c r="BA15" s="52">
        <f>BE14</f>
        <v>365</v>
      </c>
      <c r="BB15" s="52">
        <f>BE14</f>
        <v>365</v>
      </c>
      <c r="BC15" s="52">
        <f>BE14</f>
        <v>365</v>
      </c>
      <c r="BD15" s="52">
        <f>BE14</f>
        <v>365</v>
      </c>
      <c r="BE15" s="52">
        <f>BE14</f>
        <v>365</v>
      </c>
      <c r="BF15" s="52">
        <f>BJ14</f>
        <v>365</v>
      </c>
      <c r="BG15" s="52">
        <f>BJ14</f>
        <v>365</v>
      </c>
      <c r="BH15" s="52">
        <f>BJ14</f>
        <v>365</v>
      </c>
      <c r="BI15" s="52">
        <f>BJ14</f>
        <v>365</v>
      </c>
      <c r="BJ15" s="52">
        <f>BJ14</f>
        <v>365</v>
      </c>
      <c r="BK15" s="52">
        <f>BO14</f>
        <v>365</v>
      </c>
      <c r="BL15" s="52">
        <f>BO14</f>
        <v>365</v>
      </c>
      <c r="BM15" s="52">
        <f>BO14</f>
        <v>365</v>
      </c>
      <c r="BN15" s="52">
        <f>BO14</f>
        <v>365</v>
      </c>
      <c r="BO15" s="52">
        <f>BO14</f>
        <v>365</v>
      </c>
      <c r="BP15" s="52">
        <f>BT14</f>
        <v>366</v>
      </c>
      <c r="BQ15" s="52">
        <f>BT14</f>
        <v>366</v>
      </c>
      <c r="BR15" s="52">
        <f>BT14</f>
        <v>366</v>
      </c>
      <c r="BS15" s="52">
        <f>BT14</f>
        <v>366</v>
      </c>
      <c r="BT15" s="52">
        <f>BT14</f>
        <v>366</v>
      </c>
      <c r="BU15" s="52">
        <f>BY14</f>
        <v>365</v>
      </c>
      <c r="BV15" s="52">
        <f>BY14</f>
        <v>365</v>
      </c>
      <c r="BW15" s="52">
        <f>BY14</f>
        <v>365</v>
      </c>
      <c r="BX15" s="52">
        <f>BY14</f>
        <v>365</v>
      </c>
      <c r="BY15" s="52">
        <f>BY14</f>
        <v>365</v>
      </c>
      <c r="BZ15" s="52">
        <f>CD14</f>
        <v>365</v>
      </c>
      <c r="CA15" s="52">
        <f>CD14</f>
        <v>365</v>
      </c>
      <c r="CB15" s="52">
        <f>CD14</f>
        <v>365</v>
      </c>
      <c r="CC15" s="52">
        <f>CD14</f>
        <v>365</v>
      </c>
      <c r="CD15" s="52">
        <f>CD14</f>
        <v>365</v>
      </c>
      <c r="CE15" s="52">
        <f>CI14</f>
        <v>365</v>
      </c>
      <c r="CF15" s="52">
        <f>CI14</f>
        <v>365</v>
      </c>
      <c r="CG15" s="52">
        <f>CI14</f>
        <v>365</v>
      </c>
      <c r="CH15" s="52">
        <f>CI14</f>
        <v>365</v>
      </c>
      <c r="CI15" s="52">
        <f>CI14</f>
        <v>365</v>
      </c>
      <c r="CJ15" s="52">
        <f>CN14</f>
        <v>366</v>
      </c>
      <c r="CK15" s="52">
        <f>CN14</f>
        <v>366</v>
      </c>
      <c r="CL15" s="52">
        <f>CN14</f>
        <v>366</v>
      </c>
      <c r="CM15" s="52">
        <f>CN14</f>
        <v>366</v>
      </c>
      <c r="CN15" s="52">
        <f>CN14</f>
        <v>366</v>
      </c>
      <c r="CO15" s="52">
        <f>CS14</f>
        <v>365</v>
      </c>
      <c r="CP15" s="52">
        <f>CS14</f>
        <v>365</v>
      </c>
      <c r="CQ15" s="52">
        <f>CS14</f>
        <v>365</v>
      </c>
      <c r="CR15" s="52">
        <f>CS14</f>
        <v>365</v>
      </c>
      <c r="CS15" s="52">
        <f>CS14</f>
        <v>365</v>
      </c>
      <c r="CT15" s="52">
        <f>CX14</f>
        <v>365</v>
      </c>
      <c r="CU15" s="52">
        <f>CX14</f>
        <v>365</v>
      </c>
      <c r="CV15" s="52">
        <f>CX14</f>
        <v>365</v>
      </c>
      <c r="CW15" s="52">
        <f>CX14</f>
        <v>365</v>
      </c>
      <c r="CX15" s="52">
        <f>CX14</f>
        <v>365</v>
      </c>
      <c r="CY15" s="8"/>
      <c r="CZ15" s="8"/>
      <c r="DA15" s="52">
        <f t="shared" ref="DA15:DU15" si="9">DA11-CZ11</f>
        <v>365</v>
      </c>
      <c r="DB15" s="52">
        <f t="shared" si="9"/>
        <v>366</v>
      </c>
      <c r="DC15" s="52">
        <f t="shared" si="9"/>
        <v>365</v>
      </c>
      <c r="DD15" s="52">
        <f t="shared" si="9"/>
        <v>365</v>
      </c>
      <c r="DE15" s="52">
        <f t="shared" si="9"/>
        <v>365</v>
      </c>
      <c r="DF15" s="52">
        <f t="shared" si="9"/>
        <v>366</v>
      </c>
      <c r="DG15" s="52">
        <f t="shared" si="9"/>
        <v>365</v>
      </c>
      <c r="DH15" s="52">
        <f t="shared" si="9"/>
        <v>365</v>
      </c>
      <c r="DI15" s="52">
        <f t="shared" si="9"/>
        <v>365</v>
      </c>
      <c r="DJ15" s="52">
        <f t="shared" si="9"/>
        <v>366</v>
      </c>
      <c r="DK15" s="52">
        <f t="shared" si="9"/>
        <v>365</v>
      </c>
      <c r="DL15" s="52">
        <f t="shared" si="9"/>
        <v>365</v>
      </c>
      <c r="DM15" s="52">
        <f t="shared" si="9"/>
        <v>365</v>
      </c>
      <c r="DN15" s="52">
        <f t="shared" si="9"/>
        <v>366</v>
      </c>
      <c r="DO15" s="52">
        <f t="shared" si="9"/>
        <v>365</v>
      </c>
      <c r="DP15" s="52">
        <f t="shared" si="9"/>
        <v>365</v>
      </c>
      <c r="DQ15" s="52">
        <f t="shared" si="9"/>
        <v>365</v>
      </c>
      <c r="DR15" s="52">
        <f t="shared" si="9"/>
        <v>366</v>
      </c>
      <c r="DS15" s="52">
        <f t="shared" si="9"/>
        <v>365</v>
      </c>
      <c r="DT15" s="52">
        <f t="shared" si="9"/>
        <v>365</v>
      </c>
      <c r="DU15" s="52">
        <f t="shared" si="9"/>
        <v>365</v>
      </c>
    </row>
    <row r="16" spans="1:125">
      <c r="A16" s="3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</row>
    <row r="17" spans="1:125">
      <c r="A17" s="9"/>
      <c r="B17" s="9" t="s">
        <v>26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8"/>
      <c r="R17" s="55"/>
      <c r="S17" s="55"/>
      <c r="T17" s="55"/>
      <c r="U17" s="55"/>
      <c r="V17" s="8"/>
      <c r="W17" s="55"/>
      <c r="X17" s="55"/>
      <c r="Y17" s="55"/>
      <c r="Z17" s="55"/>
      <c r="AA17" s="8"/>
      <c r="AB17" s="55"/>
      <c r="AC17" s="55"/>
      <c r="AD17" s="55"/>
      <c r="AE17" s="55"/>
      <c r="AF17" s="8"/>
      <c r="AG17" s="55"/>
      <c r="AH17" s="55"/>
      <c r="AI17" s="55"/>
      <c r="AJ17" s="55"/>
      <c r="AK17" s="8"/>
      <c r="AL17" s="55"/>
      <c r="AM17" s="55"/>
      <c r="AN17" s="55"/>
      <c r="AO17" s="55"/>
      <c r="AP17" s="8"/>
      <c r="AQ17" s="55"/>
      <c r="AR17" s="55"/>
      <c r="AS17" s="55"/>
      <c r="AT17" s="55"/>
      <c r="AU17" s="8"/>
      <c r="AV17" s="55"/>
      <c r="AW17" s="55"/>
      <c r="AX17" s="55"/>
      <c r="AY17" s="55"/>
      <c r="AZ17" s="8"/>
      <c r="BA17" s="55"/>
      <c r="BB17" s="55"/>
      <c r="BC17" s="55"/>
      <c r="BD17" s="55"/>
      <c r="BE17" s="8"/>
      <c r="BF17" s="55"/>
      <c r="BG17" s="55"/>
      <c r="BH17" s="55"/>
      <c r="BI17" s="55"/>
      <c r="BJ17" s="8"/>
      <c r="BK17" s="55"/>
      <c r="BL17" s="55"/>
      <c r="BM17" s="55"/>
      <c r="BN17" s="55"/>
      <c r="BO17" s="8"/>
      <c r="BP17" s="55"/>
      <c r="BQ17" s="55"/>
      <c r="BR17" s="55"/>
      <c r="BS17" s="55"/>
      <c r="BT17" s="8"/>
      <c r="BU17" s="55"/>
      <c r="BV17" s="55"/>
      <c r="BW17" s="55"/>
      <c r="BX17" s="55"/>
      <c r="BY17" s="8"/>
      <c r="BZ17" s="55"/>
      <c r="CA17" s="55"/>
      <c r="CB17" s="55"/>
      <c r="CC17" s="55"/>
      <c r="CD17" s="8"/>
      <c r="CE17" s="55"/>
      <c r="CF17" s="55"/>
      <c r="CG17" s="55"/>
      <c r="CH17" s="55"/>
      <c r="CI17" s="8"/>
      <c r="CJ17" s="55"/>
      <c r="CK17" s="55"/>
      <c r="CL17" s="55"/>
      <c r="CM17" s="55"/>
      <c r="CN17" s="8"/>
      <c r="CO17" s="55"/>
      <c r="CP17" s="55"/>
      <c r="CQ17" s="55"/>
      <c r="CR17" s="55"/>
      <c r="CS17" s="8"/>
      <c r="CT17" s="55"/>
      <c r="CU17" s="55"/>
      <c r="CV17" s="55"/>
      <c r="CW17" s="55"/>
      <c r="CX17" s="8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</row>
    <row r="18" spans="1:125">
      <c r="A18" s="9"/>
      <c r="B18" s="9" t="s">
        <v>27</v>
      </c>
      <c r="C18" s="56"/>
      <c r="D18" s="56"/>
      <c r="E18" s="56"/>
      <c r="F18" s="56"/>
      <c r="G18" s="8"/>
      <c r="H18" s="56"/>
      <c r="I18" s="56"/>
      <c r="J18" s="56"/>
      <c r="K18" s="56"/>
      <c r="L18" s="8"/>
      <c r="M18" s="56"/>
      <c r="N18" s="56"/>
      <c r="O18" s="56"/>
      <c r="P18" s="56"/>
      <c r="Q18" s="8"/>
      <c r="R18" s="56"/>
      <c r="S18" s="56"/>
      <c r="T18" s="56"/>
      <c r="U18" s="56"/>
      <c r="V18" s="8"/>
      <c r="W18" s="56"/>
      <c r="X18" s="56"/>
      <c r="Y18" s="56"/>
      <c r="Z18" s="56"/>
      <c r="AA18" s="8"/>
      <c r="AB18" s="56"/>
      <c r="AC18" s="56"/>
      <c r="AD18" s="56"/>
      <c r="AE18" s="56"/>
      <c r="AF18" s="8"/>
      <c r="AG18" s="56"/>
      <c r="AH18" s="56"/>
      <c r="AI18" s="56"/>
      <c r="AJ18" s="56"/>
      <c r="AK18" s="8"/>
      <c r="AL18" s="56"/>
      <c r="AM18" s="56"/>
      <c r="AN18" s="56"/>
      <c r="AO18" s="56"/>
      <c r="AP18" s="8"/>
      <c r="AQ18" s="56"/>
      <c r="AR18" s="56"/>
      <c r="AS18" s="56"/>
      <c r="AT18" s="56"/>
      <c r="AU18" s="8"/>
      <c r="AV18" s="56"/>
      <c r="AW18" s="56"/>
      <c r="AX18" s="56"/>
      <c r="AY18" s="56"/>
      <c r="AZ18" s="8"/>
      <c r="BA18" s="56"/>
      <c r="BB18" s="56"/>
      <c r="BC18" s="56"/>
      <c r="BD18" s="56"/>
      <c r="BE18" s="8"/>
      <c r="BF18" s="56"/>
      <c r="BG18" s="56"/>
      <c r="BH18" s="56"/>
      <c r="BI18" s="56"/>
      <c r="BJ18" s="8"/>
      <c r="BK18" s="56"/>
      <c r="BL18" s="56"/>
      <c r="BM18" s="56"/>
      <c r="BN18" s="56"/>
      <c r="BO18" s="8"/>
      <c r="BP18" s="56"/>
      <c r="BQ18" s="56"/>
      <c r="BR18" s="56"/>
      <c r="BS18" s="56"/>
      <c r="BT18" s="8"/>
      <c r="BU18" s="56"/>
      <c r="BV18" s="56"/>
      <c r="BW18" s="56"/>
      <c r="BX18" s="56"/>
      <c r="BY18" s="8"/>
      <c r="BZ18" s="56"/>
      <c r="CA18" s="56"/>
      <c r="CB18" s="56"/>
      <c r="CC18" s="56"/>
      <c r="CD18" s="8"/>
      <c r="CE18" s="56"/>
      <c r="CF18" s="56"/>
      <c r="CG18" s="56"/>
      <c r="CH18" s="56"/>
      <c r="CI18" s="8"/>
      <c r="CJ18" s="56"/>
      <c r="CK18" s="56"/>
      <c r="CL18" s="56"/>
      <c r="CM18" s="56"/>
      <c r="CN18" s="8"/>
      <c r="CO18" s="56"/>
      <c r="CP18" s="56"/>
      <c r="CQ18" s="56"/>
      <c r="CR18" s="56"/>
      <c r="CS18" s="8"/>
      <c r="CT18" s="56"/>
      <c r="CU18" s="56"/>
      <c r="CV18" s="56"/>
      <c r="CW18" s="56"/>
      <c r="CX18" s="8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</row>
    <row r="19" spans="1:125" s="140" customFormat="1">
      <c r="A19" s="51"/>
      <c r="B19" s="141" t="s">
        <v>159</v>
      </c>
      <c r="C19" s="52"/>
      <c r="D19" s="52"/>
      <c r="E19" s="52"/>
      <c r="F19" s="52"/>
      <c r="G19" s="52">
        <v>2016</v>
      </c>
      <c r="H19" s="52"/>
      <c r="I19" s="52"/>
      <c r="J19" s="52"/>
      <c r="K19" s="52"/>
      <c r="L19" s="52">
        <f>G19+1</f>
        <v>2017</v>
      </c>
      <c r="M19" s="52"/>
      <c r="N19" s="52"/>
      <c r="O19" s="52"/>
      <c r="P19" s="52"/>
      <c r="Q19" s="52">
        <f>L19+1</f>
        <v>2018</v>
      </c>
      <c r="R19" s="52"/>
      <c r="S19" s="52"/>
      <c r="T19" s="52"/>
      <c r="U19" s="52"/>
      <c r="V19" s="52">
        <f>Q19+1</f>
        <v>2019</v>
      </c>
      <c r="W19" s="52"/>
      <c r="X19" s="52"/>
      <c r="Y19" s="52"/>
      <c r="Z19" s="52"/>
      <c r="AA19" s="52">
        <f>V19+1</f>
        <v>2020</v>
      </c>
      <c r="AB19" s="52"/>
      <c r="AC19" s="52"/>
      <c r="AD19" s="52"/>
      <c r="AE19" s="52"/>
      <c r="AF19" s="52">
        <f>AA19+1</f>
        <v>2021</v>
      </c>
      <c r="AG19" s="52"/>
      <c r="AH19" s="52"/>
      <c r="AI19" s="52"/>
      <c r="AJ19" s="52"/>
      <c r="AK19" s="52">
        <f>AF19+1</f>
        <v>2022</v>
      </c>
      <c r="AL19" s="52"/>
      <c r="AM19" s="52"/>
      <c r="AN19" s="52"/>
      <c r="AO19" s="52"/>
      <c r="AP19" s="52">
        <f>AK19+1</f>
        <v>2023</v>
      </c>
      <c r="AQ19" s="52"/>
      <c r="AR19" s="52"/>
      <c r="AS19" s="52"/>
      <c r="AT19" s="52"/>
      <c r="AU19" s="52">
        <f>AP19+1</f>
        <v>2024</v>
      </c>
      <c r="AV19" s="52"/>
      <c r="AW19" s="52"/>
      <c r="AX19" s="52"/>
      <c r="AY19" s="52"/>
      <c r="AZ19" s="52">
        <f>AU19+1</f>
        <v>2025</v>
      </c>
      <c r="BA19" s="52"/>
      <c r="BB19" s="52"/>
      <c r="BC19" s="52"/>
      <c r="BD19" s="52"/>
      <c r="BE19" s="52">
        <f>AZ19+1</f>
        <v>2026</v>
      </c>
      <c r="BF19" s="52"/>
      <c r="BG19" s="52"/>
      <c r="BH19" s="52"/>
      <c r="BI19" s="52"/>
      <c r="BJ19" s="52">
        <f>BE19+1</f>
        <v>2027</v>
      </c>
      <c r="BK19" s="52"/>
      <c r="BL19" s="52"/>
      <c r="BM19" s="52"/>
      <c r="BN19" s="52"/>
      <c r="BO19" s="52">
        <f>BJ19+1</f>
        <v>2028</v>
      </c>
      <c r="BP19" s="52"/>
      <c r="BQ19" s="52"/>
      <c r="BR19" s="52"/>
      <c r="BS19" s="52"/>
      <c r="BT19" s="52">
        <f>BO19+1</f>
        <v>2029</v>
      </c>
      <c r="BU19" s="52"/>
      <c r="BV19" s="52"/>
      <c r="BW19" s="52"/>
      <c r="BX19" s="52"/>
      <c r="BY19" s="52">
        <f>BT19+1</f>
        <v>2030</v>
      </c>
      <c r="BZ19" s="52"/>
      <c r="CA19" s="52"/>
      <c r="CB19" s="52"/>
      <c r="CC19" s="52"/>
      <c r="CD19" s="52">
        <f>BY19+1</f>
        <v>2031</v>
      </c>
      <c r="CE19" s="52"/>
      <c r="CF19" s="52"/>
      <c r="CG19" s="52"/>
      <c r="CH19" s="52"/>
      <c r="CI19" s="52">
        <f>CD19+1</f>
        <v>2032</v>
      </c>
      <c r="CJ19" s="52"/>
      <c r="CK19" s="52"/>
      <c r="CL19" s="52"/>
      <c r="CM19" s="52"/>
      <c r="CN19" s="52">
        <f>CI19+1</f>
        <v>2033</v>
      </c>
      <c r="CO19" s="52"/>
      <c r="CP19" s="52"/>
      <c r="CQ19" s="52"/>
      <c r="CR19" s="52"/>
      <c r="CS19" s="52">
        <f>CN19+1</f>
        <v>2034</v>
      </c>
      <c r="CT19" s="52"/>
      <c r="CU19" s="52"/>
      <c r="CV19" s="52"/>
      <c r="CW19" s="52"/>
      <c r="CX19" s="52">
        <f>CS19+1</f>
        <v>2035</v>
      </c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</row>
    <row r="20" spans="1:125">
      <c r="A20" s="3"/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</row>
    <row r="69" spans="12:12">
      <c r="L69" s="139" t="s">
        <v>158</v>
      </c>
    </row>
  </sheetData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06B5-A9F5-41EB-8F13-A81DB0D846D2}">
  <sheetPr>
    <tabColor theme="8"/>
  </sheetPr>
  <dimension ref="A2:BP127"/>
  <sheetViews>
    <sheetView showGridLines="0" workbookViewId="0">
      <pane xSplit="3" ySplit="9" topLeftCell="H10" activePane="bottomRight" state="frozen"/>
      <selection activeCell="AT53" sqref="AT53"/>
      <selection pane="topRight" activeCell="AT53" sqref="AT53"/>
      <selection pane="bottomLeft" activeCell="AT53" sqref="AT53"/>
      <selection pane="bottomRight" activeCell="AT53" sqref="AT53"/>
    </sheetView>
  </sheetViews>
  <sheetFormatPr defaultColWidth="9.140625" defaultRowHeight="12.75" outlineLevelRow="1" outlineLevelCol="1"/>
  <cols>
    <col min="1" max="1" width="3.7109375" style="283" customWidth="1"/>
    <col min="2" max="2" width="36.42578125" style="9" bestFit="1" customWidth="1"/>
    <col min="3" max="3" width="9.85546875" style="9" bestFit="1" customWidth="1"/>
    <col min="4" max="7" width="10.28515625" style="9" hidden="1" customWidth="1" outlineLevel="1"/>
    <col min="8" max="8" width="10.140625" style="9" customWidth="1" collapsed="1"/>
    <col min="9" max="12" width="10.28515625" style="9" hidden="1" customWidth="1" outlineLevel="1"/>
    <col min="13" max="13" width="9.42578125" style="9" bestFit="1" customWidth="1" collapsed="1"/>
    <col min="14" max="17" width="10.28515625" style="9" hidden="1" customWidth="1" outlineLevel="1"/>
    <col min="18" max="18" width="9.42578125" style="9" bestFit="1" customWidth="1" collapsed="1"/>
    <col min="19" max="22" width="10.28515625" style="9" hidden="1" customWidth="1" outlineLevel="1"/>
    <col min="23" max="23" width="9.42578125" style="9" bestFit="1" customWidth="1" collapsed="1"/>
    <col min="24" max="27" width="10.28515625" style="9" hidden="1" customWidth="1" outlineLevel="1"/>
    <col min="28" max="28" width="9.42578125" style="9" bestFit="1" customWidth="1" collapsed="1"/>
    <col min="29" max="32" width="10.28515625" style="9" hidden="1" customWidth="1" outlineLevel="1"/>
    <col min="33" max="33" width="9.42578125" style="9" bestFit="1" customWidth="1" collapsed="1"/>
    <col min="34" max="37" width="10.28515625" style="9" hidden="1" customWidth="1" outlineLevel="1"/>
    <col min="38" max="38" width="9.42578125" style="9" bestFit="1" customWidth="1" collapsed="1"/>
    <col min="39" max="42" width="10.28515625" style="9" hidden="1" customWidth="1" outlineLevel="1"/>
    <col min="43" max="43" width="9.42578125" style="9" bestFit="1" customWidth="1" collapsed="1"/>
    <col min="44" max="47" width="10.28515625" style="9" customWidth="1" outlineLevel="1"/>
    <col min="48" max="48" width="9.42578125" style="9" bestFit="1" customWidth="1"/>
    <col min="49" max="52" width="10.28515625" style="9" customWidth="1" outlineLevel="1"/>
    <col min="53" max="53" width="9.42578125" style="9" bestFit="1" customWidth="1"/>
    <col min="54" max="57" width="10.28515625" style="9" customWidth="1" outlineLevel="1"/>
    <col min="58" max="58" width="9.42578125" style="9" bestFit="1" customWidth="1"/>
    <col min="59" max="62" width="10.28515625" style="9" customWidth="1" outlineLevel="1"/>
    <col min="63" max="63" width="9.42578125" style="9" bestFit="1" customWidth="1"/>
    <col min="64" max="67" width="10.28515625" style="9" customWidth="1" outlineLevel="1"/>
    <col min="68" max="68" width="9.42578125" style="9" bestFit="1" customWidth="1"/>
    <col min="69" max="16384" width="9.140625" style="9"/>
  </cols>
  <sheetData>
    <row r="2" spans="1:68">
      <c r="B2" s="284" t="s">
        <v>29</v>
      </c>
      <c r="C2" s="285" t="s">
        <v>128</v>
      </c>
    </row>
    <row r="3" spans="1:68">
      <c r="B3" s="284" t="s">
        <v>198</v>
      </c>
      <c r="C3" s="284"/>
    </row>
    <row r="4" spans="1:68">
      <c r="B4" s="284" t="s">
        <v>28</v>
      </c>
      <c r="C4" s="284"/>
    </row>
    <row r="5" spans="1:68">
      <c r="B5" s="286" t="s">
        <v>199</v>
      </c>
      <c r="C5" s="287">
        <v>45993</v>
      </c>
      <c r="G5" s="288"/>
    </row>
    <row r="6" spans="1:68" ht="14.25">
      <c r="B6" s="289"/>
      <c r="C6" s="289"/>
      <c r="D6" s="14" t="str">
        <f>Dates!C3</f>
        <v>2016 (A)</v>
      </c>
      <c r="E6" s="14"/>
      <c r="F6" s="14"/>
      <c r="G6" s="14"/>
      <c r="I6" s="14" t="str">
        <f>Dates!H3</f>
        <v>2017 (A)</v>
      </c>
      <c r="J6" s="14"/>
      <c r="K6" s="14"/>
      <c r="L6" s="14"/>
      <c r="N6" s="14" t="str">
        <f>Dates!M3</f>
        <v>2018 (A)</v>
      </c>
      <c r="O6" s="14"/>
      <c r="P6" s="14"/>
      <c r="Q6" s="14"/>
      <c r="S6" s="14" t="str">
        <f>Dates!R3</f>
        <v>2019 (A)</v>
      </c>
      <c r="T6" s="14"/>
      <c r="U6" s="14"/>
      <c r="V6" s="14"/>
      <c r="X6" s="14" t="str">
        <f>Dates!W3</f>
        <v>2020 (A)</v>
      </c>
      <c r="Y6" s="14"/>
      <c r="Z6" s="14"/>
      <c r="AA6" s="14"/>
      <c r="AC6" s="14" t="str">
        <f>Dates!AB3</f>
        <v>2021 (A)</v>
      </c>
      <c r="AD6" s="14"/>
      <c r="AE6" s="14"/>
      <c r="AF6" s="14"/>
      <c r="AH6" s="14" t="str">
        <f>Dates!AG3</f>
        <v>2022 (A)</v>
      </c>
      <c r="AI6" s="14"/>
      <c r="AJ6" s="14"/>
      <c r="AK6" s="14"/>
      <c r="AM6" s="14" t="str">
        <f>Dates!AL3</f>
        <v>2023 (A)</v>
      </c>
      <c r="AN6" s="14"/>
      <c r="AO6" s="14"/>
      <c r="AP6" s="14"/>
      <c r="AR6" s="14" t="str">
        <f>Dates!AQ3</f>
        <v>2024 (A)</v>
      </c>
      <c r="AS6" s="14"/>
      <c r="AT6" s="14"/>
      <c r="AU6" s="14"/>
      <c r="AW6" s="14" t="str">
        <f>Dates!AV3</f>
        <v>2025 (A)</v>
      </c>
      <c r="AX6" s="14"/>
      <c r="AY6" s="14"/>
      <c r="AZ6" s="14"/>
      <c r="BB6" s="14" t="str">
        <f>Dates!BA3</f>
        <v>2026 (E)</v>
      </c>
      <c r="BC6" s="14"/>
      <c r="BD6" s="14"/>
      <c r="BE6" s="14"/>
      <c r="BG6" s="14" t="str">
        <f>Dates!BF3</f>
        <v>2027 (E)</v>
      </c>
      <c r="BH6" s="14"/>
      <c r="BI6" s="14"/>
      <c r="BJ6" s="14"/>
      <c r="BL6" s="14" t="str">
        <f>Dates!BK3</f>
        <v>2028 (E)</v>
      </c>
      <c r="BM6" s="14"/>
      <c r="BN6" s="14"/>
      <c r="BO6" s="14"/>
    </row>
    <row r="7" spans="1:68">
      <c r="B7" s="290"/>
      <c r="C7" s="290"/>
      <c r="D7" s="17" t="str">
        <f>Dates!C4</f>
        <v>1Q16 (A)</v>
      </c>
      <c r="E7" s="17" t="str">
        <f>Dates!D4</f>
        <v>2Q16 (A)</v>
      </c>
      <c r="F7" s="17" t="str">
        <f>Dates!E4</f>
        <v>3Q16 (A)</v>
      </c>
      <c r="G7" s="17" t="str">
        <f>Dates!F4</f>
        <v>4Q16 (A)</v>
      </c>
      <c r="H7" s="18" t="str">
        <f>Dates!G4</f>
        <v>FY16 (A)</v>
      </c>
      <c r="I7" s="17" t="str">
        <f>Dates!H4</f>
        <v>1Q17 (A)</v>
      </c>
      <c r="J7" s="17" t="str">
        <f>Dates!I4</f>
        <v>2Q17 (A)</v>
      </c>
      <c r="K7" s="17" t="str">
        <f>Dates!J4</f>
        <v>3Q17 (A)</v>
      </c>
      <c r="L7" s="17" t="str">
        <f>Dates!K4</f>
        <v>4Q17 (A)</v>
      </c>
      <c r="M7" s="18" t="str">
        <f>Dates!L4</f>
        <v>FY17 (A)</v>
      </c>
      <c r="N7" s="17" t="str">
        <f>Dates!M4</f>
        <v>1Q18 (A)</v>
      </c>
      <c r="O7" s="17" t="str">
        <f>Dates!N4</f>
        <v>2Q18 (A)</v>
      </c>
      <c r="P7" s="17" t="str">
        <f>Dates!O4</f>
        <v>3Q18 (A)</v>
      </c>
      <c r="Q7" s="17" t="str">
        <f>Dates!P4</f>
        <v>4Q18 (A)</v>
      </c>
      <c r="R7" s="18" t="str">
        <f>Dates!Q4</f>
        <v>FY18 (A)</v>
      </c>
      <c r="S7" s="17" t="str">
        <f>Dates!R4</f>
        <v>1Q19 (A)</v>
      </c>
      <c r="T7" s="17" t="str">
        <f>Dates!S4</f>
        <v>2Q19 (A)</v>
      </c>
      <c r="U7" s="17" t="str">
        <f>Dates!T4</f>
        <v>3Q19 (A)</v>
      </c>
      <c r="V7" s="17" t="str">
        <f>Dates!U4</f>
        <v>4Q19 (A)</v>
      </c>
      <c r="W7" s="18" t="str">
        <f>Dates!V4</f>
        <v>FY19 (A)</v>
      </c>
      <c r="X7" s="17" t="str">
        <f>Dates!W4</f>
        <v>1Q20 (A)</v>
      </c>
      <c r="Y7" s="17" t="str">
        <f>Dates!X4</f>
        <v>2Q20 (A)</v>
      </c>
      <c r="Z7" s="17" t="str">
        <f>Dates!Y4</f>
        <v>3Q20 (A)</v>
      </c>
      <c r="AA7" s="17" t="str">
        <f>Dates!Z4</f>
        <v>4Q20 (A)</v>
      </c>
      <c r="AB7" s="18" t="str">
        <f>Dates!AA4</f>
        <v>FY20 (A)</v>
      </c>
      <c r="AC7" s="17" t="str">
        <f>Dates!AB4</f>
        <v>1Q21 (A)</v>
      </c>
      <c r="AD7" s="17" t="str">
        <f>Dates!AC4</f>
        <v>2Q21 (A)</v>
      </c>
      <c r="AE7" s="17" t="str">
        <f>Dates!AD4</f>
        <v>3Q21 (A)</v>
      </c>
      <c r="AF7" s="17" t="str">
        <f>Dates!AE4</f>
        <v>4Q21 (A)</v>
      </c>
      <c r="AG7" s="18" t="str">
        <f>Dates!AF4</f>
        <v>FY21 (A)</v>
      </c>
      <c r="AH7" s="17" t="str">
        <f>Dates!AG4</f>
        <v>1Q22 (A)</v>
      </c>
      <c r="AI7" s="17" t="str">
        <f>Dates!AH4</f>
        <v>2Q22 (A)</v>
      </c>
      <c r="AJ7" s="17" t="str">
        <f>Dates!AI4</f>
        <v>3Q22 (A)</v>
      </c>
      <c r="AK7" s="17" t="str">
        <f>Dates!AJ4</f>
        <v>4Q22 (A)</v>
      </c>
      <c r="AL7" s="18" t="str">
        <f>Dates!AK4</f>
        <v>FY22 (A)</v>
      </c>
      <c r="AM7" s="17" t="str">
        <f>Dates!AL4</f>
        <v>1Q23 (A)</v>
      </c>
      <c r="AN7" s="17" t="str">
        <f>Dates!AM4</f>
        <v>2Q23 (A)</v>
      </c>
      <c r="AO7" s="17" t="str">
        <f>Dates!AN4</f>
        <v>3Q23 (A)</v>
      </c>
      <c r="AP7" s="17" t="str">
        <f>Dates!AO4</f>
        <v>4Q23 (A)</v>
      </c>
      <c r="AQ7" s="18" t="str">
        <f>Dates!AP4</f>
        <v>FY23 (A)</v>
      </c>
      <c r="AR7" s="17" t="str">
        <f>Dates!AQ4</f>
        <v>1Q24 (A)</v>
      </c>
      <c r="AS7" s="17" t="str">
        <f>Dates!AR4</f>
        <v>2Q24 (A)</v>
      </c>
      <c r="AT7" s="17" t="str">
        <f>Dates!AS4</f>
        <v>3Q24 (A)</v>
      </c>
      <c r="AU7" s="17" t="str">
        <f>Dates!AT4</f>
        <v>4Q24 (A)</v>
      </c>
      <c r="AV7" s="18" t="str">
        <f>Dates!AU4</f>
        <v>FY24 (A)</v>
      </c>
      <c r="AW7" s="17" t="str">
        <f>Dates!AV4</f>
        <v>1Q25 (A)</v>
      </c>
      <c r="AX7" s="17" t="str">
        <f>Dates!AW4</f>
        <v>2Q25 (A)</v>
      </c>
      <c r="AY7" s="17" t="str">
        <f>Dates!AX4</f>
        <v>3Q25 (A)</v>
      </c>
      <c r="AZ7" s="17" t="str">
        <f>Dates!AY4</f>
        <v>4Q25 (A)</v>
      </c>
      <c r="BA7" s="18" t="str">
        <f>Dates!AZ4</f>
        <v>FY25 (A)</v>
      </c>
      <c r="BB7" s="17" t="str">
        <f>Dates!BA4</f>
        <v>1Q26 (A)</v>
      </c>
      <c r="BC7" s="17" t="str">
        <f>Dates!BB4</f>
        <v>2Q26 (A)</v>
      </c>
      <c r="BD7" s="17" t="str">
        <f>Dates!BC4</f>
        <v>3Q26 (A)</v>
      </c>
      <c r="BE7" s="17" t="str">
        <f>Dates!BD4</f>
        <v>4Q26 (E)</v>
      </c>
      <c r="BF7" s="18" t="str">
        <f>Dates!BE4</f>
        <v>FY26 (E)</v>
      </c>
      <c r="BG7" s="17" t="str">
        <f>Dates!BF4</f>
        <v>1Q27 (E)</v>
      </c>
      <c r="BH7" s="17" t="str">
        <f>Dates!BG4</f>
        <v>2Q27 (E)</v>
      </c>
      <c r="BI7" s="17" t="str">
        <f>Dates!BH4</f>
        <v>3Q27 (E)</v>
      </c>
      <c r="BJ7" s="17" t="str">
        <f>Dates!BI4</f>
        <v>4Q27 (E)</v>
      </c>
      <c r="BK7" s="18" t="str">
        <f>Dates!BJ4</f>
        <v>FY27 (E)</v>
      </c>
      <c r="BL7" s="17" t="str">
        <f>Dates!BK4</f>
        <v>1Q28 (E)</v>
      </c>
      <c r="BM7" s="17" t="str">
        <f>Dates!BL4</f>
        <v>2Q28 (E)</v>
      </c>
      <c r="BN7" s="17" t="str">
        <f>Dates!BM4</f>
        <v>3Q28 (E)</v>
      </c>
      <c r="BO7" s="17" t="str">
        <f>Dates!BN4</f>
        <v>4Q28 (E)</v>
      </c>
      <c r="BP7" s="18" t="str">
        <f>Dates!BO4</f>
        <v>FY28 (E)</v>
      </c>
    </row>
    <row r="8" spans="1:68">
      <c r="B8" s="291"/>
      <c r="C8" s="291"/>
      <c r="D8" s="20">
        <f>Dates!C5</f>
        <v>42124</v>
      </c>
      <c r="E8" s="20">
        <f>Dates!D5</f>
        <v>42216</v>
      </c>
      <c r="F8" s="20">
        <f>Dates!E5</f>
        <v>42308</v>
      </c>
      <c r="G8" s="20">
        <f>Dates!F5</f>
        <v>42400</v>
      </c>
      <c r="H8" s="292">
        <f>Dates!G5</f>
        <v>42400</v>
      </c>
      <c r="I8" s="20">
        <f>Dates!H5</f>
        <v>42490</v>
      </c>
      <c r="J8" s="20">
        <f>Dates!I5</f>
        <v>42582</v>
      </c>
      <c r="K8" s="20">
        <f>Dates!J5</f>
        <v>42674</v>
      </c>
      <c r="L8" s="20">
        <f>Dates!K5</f>
        <v>42766</v>
      </c>
      <c r="M8" s="292">
        <f>Dates!L5</f>
        <v>42766</v>
      </c>
      <c r="N8" s="20">
        <f>Dates!M5</f>
        <v>42855</v>
      </c>
      <c r="O8" s="20">
        <f>Dates!N5</f>
        <v>42947</v>
      </c>
      <c r="P8" s="20">
        <f>Dates!O5</f>
        <v>43039</v>
      </c>
      <c r="Q8" s="20">
        <f>Dates!P5</f>
        <v>43131</v>
      </c>
      <c r="R8" s="292">
        <f>Dates!Q5</f>
        <v>43131</v>
      </c>
      <c r="S8" s="20">
        <f>Dates!R5</f>
        <v>43220</v>
      </c>
      <c r="T8" s="20">
        <f>Dates!S5</f>
        <v>43312</v>
      </c>
      <c r="U8" s="20">
        <f>Dates!T5</f>
        <v>43404</v>
      </c>
      <c r="V8" s="20">
        <f>Dates!U5</f>
        <v>43496</v>
      </c>
      <c r="W8" s="292">
        <f>Dates!V5</f>
        <v>43496</v>
      </c>
      <c r="X8" s="20">
        <f>Dates!W5</f>
        <v>43585</v>
      </c>
      <c r="Y8" s="20">
        <f>Dates!X5</f>
        <v>43677</v>
      </c>
      <c r="Z8" s="20">
        <f>Dates!Y5</f>
        <v>43769</v>
      </c>
      <c r="AA8" s="20">
        <f>Dates!Z5</f>
        <v>43861</v>
      </c>
      <c r="AB8" s="292">
        <f>Dates!AA5</f>
        <v>43861</v>
      </c>
      <c r="AC8" s="20">
        <f>Dates!AB5</f>
        <v>43951</v>
      </c>
      <c r="AD8" s="20">
        <f>Dates!AC5</f>
        <v>44043</v>
      </c>
      <c r="AE8" s="20">
        <f>Dates!AD5</f>
        <v>44135</v>
      </c>
      <c r="AF8" s="20">
        <f>Dates!AE5</f>
        <v>44227</v>
      </c>
      <c r="AG8" s="292">
        <f>Dates!AF5</f>
        <v>44227</v>
      </c>
      <c r="AH8" s="20">
        <f>Dates!AG5</f>
        <v>44316</v>
      </c>
      <c r="AI8" s="20">
        <f>Dates!AH5</f>
        <v>44408</v>
      </c>
      <c r="AJ8" s="20">
        <f>Dates!AI5</f>
        <v>44500</v>
      </c>
      <c r="AK8" s="20">
        <f>Dates!AJ5</f>
        <v>44592</v>
      </c>
      <c r="AL8" s="292">
        <f>Dates!AK5</f>
        <v>44592</v>
      </c>
      <c r="AM8" s="20">
        <f>Dates!AL5</f>
        <v>44681</v>
      </c>
      <c r="AN8" s="20">
        <f>Dates!AM5</f>
        <v>44773</v>
      </c>
      <c r="AO8" s="20">
        <f>Dates!AN5</f>
        <v>44865</v>
      </c>
      <c r="AP8" s="20">
        <f>Dates!AO5</f>
        <v>44957</v>
      </c>
      <c r="AQ8" s="292">
        <f>Dates!AP5</f>
        <v>44957</v>
      </c>
      <c r="AR8" s="20">
        <f>Dates!AQ5</f>
        <v>45046</v>
      </c>
      <c r="AS8" s="20">
        <f>Dates!AR5</f>
        <v>45138</v>
      </c>
      <c r="AT8" s="20">
        <f>Dates!AS5</f>
        <v>45230</v>
      </c>
      <c r="AU8" s="20">
        <f>Dates!AT5</f>
        <v>45322</v>
      </c>
      <c r="AV8" s="292">
        <f>Dates!AU5</f>
        <v>45322</v>
      </c>
      <c r="AW8" s="20">
        <f>Dates!AV5</f>
        <v>45412</v>
      </c>
      <c r="AX8" s="20">
        <f>Dates!AW5</f>
        <v>45504</v>
      </c>
      <c r="AY8" s="20">
        <f>Dates!AX5</f>
        <v>45596</v>
      </c>
      <c r="AZ8" s="20">
        <f>Dates!AY5</f>
        <v>45688</v>
      </c>
      <c r="BA8" s="292">
        <f>Dates!AZ5</f>
        <v>45688</v>
      </c>
      <c r="BB8" s="20">
        <f>Dates!BA5</f>
        <v>45777</v>
      </c>
      <c r="BC8" s="20">
        <f>Dates!BB5</f>
        <v>45869</v>
      </c>
      <c r="BD8" s="20">
        <f>Dates!BC5</f>
        <v>45961</v>
      </c>
      <c r="BE8" s="20">
        <f>Dates!BD5</f>
        <v>46053</v>
      </c>
      <c r="BF8" s="292">
        <f>Dates!BE5</f>
        <v>46053</v>
      </c>
      <c r="BG8" s="20">
        <f>Dates!BF5</f>
        <v>46142</v>
      </c>
      <c r="BH8" s="20">
        <f>Dates!BG5</f>
        <v>46234</v>
      </c>
      <c r="BI8" s="20">
        <f>Dates!BH5</f>
        <v>46326</v>
      </c>
      <c r="BJ8" s="20">
        <f>Dates!BI5</f>
        <v>46418</v>
      </c>
      <c r="BK8" s="292">
        <f>Dates!BJ5</f>
        <v>46418</v>
      </c>
      <c r="BL8" s="20">
        <f>Dates!BK5</f>
        <v>46507</v>
      </c>
      <c r="BM8" s="20">
        <f>Dates!BL5</f>
        <v>46599</v>
      </c>
      <c r="BN8" s="20">
        <f>Dates!BM5</f>
        <v>46691</v>
      </c>
      <c r="BO8" s="20">
        <f>Dates!BN5</f>
        <v>46783</v>
      </c>
      <c r="BP8" s="292">
        <f>Dates!BO5</f>
        <v>46783</v>
      </c>
    </row>
    <row r="9" spans="1:68" s="12" customFormat="1" outlineLevel="1">
      <c r="A9" s="293"/>
      <c r="B9" s="12" t="s">
        <v>140</v>
      </c>
      <c r="D9" s="127" t="str">
        <f>YEAR(H8)-1 &amp; "/" &amp; LEFT(D7,1) &amp; "F"</f>
        <v>2015/1F</v>
      </c>
      <c r="E9" s="127" t="str">
        <f>YEAR(H8)-1 &amp; "/" &amp; LEFT(E7,1) &amp; "F"</f>
        <v>2015/2F</v>
      </c>
      <c r="F9" s="127" t="str">
        <f>YEAR(H8)-1 &amp; "/" &amp; LEFT(F7,1) &amp; "F"</f>
        <v>2015/3F</v>
      </c>
      <c r="G9" s="127" t="str">
        <f>YEAR(H8)-1 &amp; "/" &amp; LEFT(G7,1) &amp; "F"</f>
        <v>2015/4F</v>
      </c>
      <c r="H9" s="294">
        <v>2015</v>
      </c>
      <c r="I9" s="127" t="str">
        <f>YEAR(M8)-1 &amp; "/" &amp; LEFT(I7,1) &amp; "F"</f>
        <v>2016/1F</v>
      </c>
      <c r="J9" s="127" t="str">
        <f>YEAR(M8)-1 &amp; "/" &amp; LEFT(J7,1) &amp; "F"</f>
        <v>2016/2F</v>
      </c>
      <c r="K9" s="127" t="str">
        <f>YEAR(M8)-1 &amp; "/" &amp; LEFT(K7,1) &amp; "F"</f>
        <v>2016/3F</v>
      </c>
      <c r="L9" s="127" t="str">
        <f>YEAR(M8)-1 &amp; "/" &amp; LEFT(L7,1) &amp; "F"</f>
        <v>2016/4F</v>
      </c>
      <c r="M9" s="295">
        <f>YEAR(H8)</f>
        <v>2016</v>
      </c>
      <c r="N9" s="127" t="str">
        <f>YEAR(R8)-1 &amp; "/" &amp; LEFT(N7,1) &amp; "F"</f>
        <v>2017/1F</v>
      </c>
      <c r="O9" s="127" t="str">
        <f>YEAR(R8)-1 &amp; "/" &amp; LEFT(O7,1) &amp; "F"</f>
        <v>2017/2F</v>
      </c>
      <c r="P9" s="127" t="str">
        <f>YEAR(R8)-1 &amp; "/" &amp; LEFT(P7,1) &amp; "F"</f>
        <v>2017/3F</v>
      </c>
      <c r="Q9" s="127" t="str">
        <f>YEAR(R8)-1 &amp; "/" &amp; LEFT(Q7,1) &amp; "F"</f>
        <v>2017/4F</v>
      </c>
      <c r="R9" s="295">
        <f>YEAR(M8)</f>
        <v>2017</v>
      </c>
      <c r="S9" s="127" t="str">
        <f>YEAR(W8)-1 &amp; "/" &amp; LEFT(S7,1) &amp; "F"</f>
        <v>2018/1F</v>
      </c>
      <c r="T9" s="127" t="str">
        <f>YEAR(W8)-1 &amp; "/" &amp; LEFT(T7,1) &amp; "F"</f>
        <v>2018/2F</v>
      </c>
      <c r="U9" s="127" t="str">
        <f>YEAR(W8)-1 &amp; "/" &amp; LEFT(U7,1) &amp; "F"</f>
        <v>2018/3F</v>
      </c>
      <c r="V9" s="127" t="str">
        <f>YEAR(W8)-1 &amp; "/" &amp; LEFT(V7,1) &amp; "F"</f>
        <v>2018/4F</v>
      </c>
      <c r="W9" s="295">
        <f>YEAR(R8)</f>
        <v>2018</v>
      </c>
      <c r="X9" s="127" t="str">
        <f>YEAR(AB8)-1 &amp; "/" &amp; LEFT(X7,1) &amp; "F"</f>
        <v>2019/1F</v>
      </c>
      <c r="Y9" s="127" t="str">
        <f>YEAR(AB8)-1 &amp; "/" &amp; LEFT(Y7,1) &amp; "F"</f>
        <v>2019/2F</v>
      </c>
      <c r="Z9" s="127" t="str">
        <f>YEAR(AB8)-1 &amp; "/" &amp; LEFT(Z7,1) &amp; "F"</f>
        <v>2019/3F</v>
      </c>
      <c r="AA9" s="127" t="str">
        <f>YEAR(AB8)-1 &amp; "/" &amp; LEFT(AA7,1) &amp; "F"</f>
        <v>2019/4F</v>
      </c>
      <c r="AB9" s="295">
        <f>YEAR(W8)</f>
        <v>2019</v>
      </c>
      <c r="AC9" s="127" t="str">
        <f>YEAR(AG8)-1 &amp; "/" &amp; LEFT(AC7,1) &amp; "F"</f>
        <v>2020/1F</v>
      </c>
      <c r="AD9" s="127" t="str">
        <f>YEAR(AG8)-1 &amp; "/" &amp; LEFT(AD7,1) &amp; "F"</f>
        <v>2020/2F</v>
      </c>
      <c r="AE9" s="127" t="str">
        <f>YEAR(AG8)-1 &amp; "/" &amp; LEFT(AE7,1) &amp; "F"</f>
        <v>2020/3F</v>
      </c>
      <c r="AF9" s="127" t="str">
        <f>YEAR(AG8)-1 &amp; "/" &amp; LEFT(AF7,1) &amp; "F"</f>
        <v>2020/4F</v>
      </c>
      <c r="AG9" s="295">
        <f>YEAR(AB8)</f>
        <v>2020</v>
      </c>
      <c r="AH9" s="127" t="str">
        <f>YEAR(AL8)-1 &amp; "/" &amp; LEFT(AH7,1) &amp; "F"</f>
        <v>2021/1F</v>
      </c>
      <c r="AI9" s="127" t="str">
        <f>YEAR(AL8)-1 &amp; "/" &amp; LEFT(AI7,1) &amp; "F"</f>
        <v>2021/2F</v>
      </c>
      <c r="AJ9" s="127" t="str">
        <f>YEAR(AL8)-1 &amp; "/" &amp; LEFT(AJ7,1) &amp; "F"</f>
        <v>2021/3F</v>
      </c>
      <c r="AK9" s="127" t="str">
        <f>YEAR(AL8)-1 &amp; "/" &amp; LEFT(AK7,1) &amp; "F"</f>
        <v>2021/4F</v>
      </c>
      <c r="AL9" s="295">
        <f>YEAR(AG8)</f>
        <v>2021</v>
      </c>
      <c r="AM9" s="127" t="str">
        <f>YEAR(AQ8)-1 &amp; "/" &amp; LEFT(AM7,1) &amp; "F"</f>
        <v>2022/1F</v>
      </c>
      <c r="AN9" s="127" t="str">
        <f>YEAR(AQ8)-1 &amp; "/" &amp; LEFT(AN7,1) &amp; "F"</f>
        <v>2022/2F</v>
      </c>
      <c r="AO9" s="127" t="str">
        <f>YEAR(AQ8)-1 &amp; "/" &amp; LEFT(AO7,1) &amp; "F"</f>
        <v>2022/3F</v>
      </c>
      <c r="AP9" s="127" t="str">
        <f>YEAR(AQ8)-1 &amp; "/" &amp; LEFT(AP7,1) &amp; "F"</f>
        <v>2022/4F</v>
      </c>
      <c r="AQ9" s="295">
        <f>YEAR(AL8)</f>
        <v>2022</v>
      </c>
      <c r="AR9" s="127" t="str">
        <f>YEAR(AV8)-1 &amp; "/" &amp; LEFT(AR7,1) &amp; "F"</f>
        <v>2023/1F</v>
      </c>
      <c r="AS9" s="127" t="str">
        <f>YEAR(AV8)-1 &amp; "/" &amp; LEFT(AS7,1) &amp; "F"</f>
        <v>2023/2F</v>
      </c>
      <c r="AT9" s="127" t="str">
        <f>YEAR(AV8)-1 &amp; "/" &amp; LEFT(AT7,1) &amp; "F"</f>
        <v>2023/3F</v>
      </c>
      <c r="AU9" s="127" t="str">
        <f>YEAR(AV8)-1 &amp; "/" &amp; LEFT(AU7,1) &amp; "F"</f>
        <v>2023/4F</v>
      </c>
      <c r="AV9" s="295">
        <f>YEAR(AQ8)</f>
        <v>2023</v>
      </c>
      <c r="AW9" s="127" t="str">
        <f>YEAR(BA8)-1 &amp; "/" &amp; LEFT(AW7,1) &amp; "F"</f>
        <v>2024/1F</v>
      </c>
      <c r="AX9" s="127" t="str">
        <f>YEAR(BA8)-1 &amp; "/" &amp; LEFT(AX7,1) &amp; "F"</f>
        <v>2024/2F</v>
      </c>
      <c r="AY9" s="127" t="str">
        <f>YEAR(BA8)-1 &amp; "/" &amp; LEFT(AY7,1) &amp; "F"</f>
        <v>2024/3F</v>
      </c>
      <c r="AZ9" s="127" t="str">
        <f>YEAR(BA8)-1 &amp; "/" &amp; LEFT(AZ7,1) &amp; "F"</f>
        <v>2024/4F</v>
      </c>
      <c r="BA9" s="295">
        <f>YEAR(AV8)</f>
        <v>2024</v>
      </c>
      <c r="BB9" s="127" t="str">
        <f>YEAR(BF8)-1 &amp; "/" &amp; LEFT(BB7,1) &amp; "F"</f>
        <v>2025/1F</v>
      </c>
      <c r="BC9" s="127" t="str">
        <f>YEAR(BF8)-1 &amp; "/" &amp; LEFT(BC7,1) &amp; "F"</f>
        <v>2025/2F</v>
      </c>
      <c r="BD9" s="127" t="str">
        <f>YEAR(BF8)-1 &amp; "/" &amp; LEFT(BD7,1) &amp; "F"</f>
        <v>2025/3F</v>
      </c>
      <c r="BE9" s="127" t="str">
        <f>YEAR(BF8)-1 &amp; "/" &amp; LEFT(BE7,1) &amp; "F"</f>
        <v>2025/4F</v>
      </c>
      <c r="BF9" s="295">
        <f>YEAR(BA8)</f>
        <v>2025</v>
      </c>
      <c r="BG9" s="127" t="str">
        <f>YEAR(BK8)-1 &amp; "/" &amp; LEFT(BG7,1) &amp; "F"</f>
        <v>2026/1F</v>
      </c>
      <c r="BH9" s="127" t="str">
        <f>YEAR(BK8)-1 &amp; "/" &amp; LEFT(BH7,1) &amp; "F"</f>
        <v>2026/2F</v>
      </c>
      <c r="BI9" s="127" t="str">
        <f>YEAR(BK8)-1 &amp; "/" &amp; LEFT(BI7,1) &amp; "F"</f>
        <v>2026/3F</v>
      </c>
      <c r="BJ9" s="127" t="str">
        <f>YEAR(BK8)-1 &amp; "/" &amp; LEFT(BJ7,1) &amp; "F"</f>
        <v>2026/4F</v>
      </c>
      <c r="BK9" s="295">
        <f>YEAR(BF8)</f>
        <v>2026</v>
      </c>
      <c r="BL9" s="127" t="str">
        <f>YEAR(BP8)-1 &amp; "/" &amp; LEFT(BL7,1) &amp; "F"</f>
        <v>2027/1F</v>
      </c>
      <c r="BM9" s="127" t="str">
        <f>YEAR(BP8)-1 &amp; "/" &amp; LEFT(BM7,1) &amp; "F"</f>
        <v>2027/2F</v>
      </c>
      <c r="BN9" s="127" t="str">
        <f>YEAR(BP8)-1 &amp; "/" &amp; LEFT(BN7,1) &amp; "F"</f>
        <v>2027/3F</v>
      </c>
      <c r="BO9" s="127" t="str">
        <f>YEAR(BP8)-1 &amp; "/" &amp; LEFT(BO7,1) &amp; "F"</f>
        <v>2027/4F</v>
      </c>
      <c r="BP9" s="295">
        <f>YEAR(BK8)</f>
        <v>2027</v>
      </c>
    </row>
    <row r="10" spans="1:68">
      <c r="B10" s="296"/>
      <c r="C10" s="296"/>
      <c r="D10" s="297"/>
      <c r="E10" s="297"/>
      <c r="F10" s="297"/>
      <c r="G10" s="297"/>
      <c r="H10" s="298"/>
      <c r="I10" s="299"/>
      <c r="J10" s="299"/>
      <c r="K10" s="299"/>
      <c r="L10" s="299"/>
      <c r="M10" s="300"/>
      <c r="N10" s="299"/>
      <c r="O10" s="299"/>
      <c r="P10" s="299"/>
      <c r="Q10" s="299"/>
      <c r="R10" s="300"/>
      <c r="S10" s="299"/>
      <c r="T10" s="299"/>
      <c r="U10" s="299"/>
      <c r="V10" s="299"/>
      <c r="W10" s="300"/>
      <c r="X10" s="299"/>
      <c r="Y10" s="299"/>
      <c r="Z10" s="299"/>
      <c r="AA10" s="299"/>
      <c r="AB10" s="300"/>
      <c r="AC10" s="299"/>
      <c r="AD10" s="299"/>
      <c r="AE10" s="299"/>
      <c r="AF10" s="299"/>
      <c r="AG10" s="300"/>
      <c r="AH10" s="299"/>
      <c r="AI10" s="299"/>
      <c r="AJ10" s="299"/>
      <c r="AK10" s="299"/>
      <c r="AL10" s="300"/>
      <c r="AM10" s="299"/>
      <c r="AN10" s="299"/>
      <c r="AO10" s="299"/>
      <c r="AP10" s="299"/>
      <c r="AQ10" s="300"/>
      <c r="AR10" s="299"/>
      <c r="AS10" s="299"/>
      <c r="AT10" s="299"/>
      <c r="AU10" s="299"/>
      <c r="AV10" s="300"/>
      <c r="AW10" s="299"/>
      <c r="AX10" s="299"/>
      <c r="AY10" s="299"/>
      <c r="AZ10" s="299"/>
      <c r="BA10" s="300"/>
      <c r="BB10" s="299"/>
      <c r="BC10" s="299"/>
      <c r="BD10" s="299"/>
      <c r="BE10" s="299"/>
      <c r="BF10" s="300"/>
      <c r="BG10" s="299"/>
      <c r="BH10" s="299"/>
      <c r="BI10" s="299"/>
      <c r="BJ10" s="299"/>
      <c r="BK10" s="300"/>
      <c r="BL10" s="299"/>
      <c r="BM10" s="299"/>
      <c r="BN10" s="299"/>
      <c r="BO10" s="299"/>
      <c r="BP10" s="300"/>
    </row>
    <row r="11" spans="1:68">
      <c r="B11" s="286" t="s">
        <v>216</v>
      </c>
      <c r="C11" s="296"/>
      <c r="D11" s="297"/>
      <c r="E11" s="297"/>
      <c r="F11" s="297"/>
      <c r="G11" s="297"/>
      <c r="H11" s="298"/>
      <c r="I11" s="299"/>
      <c r="J11" s="299"/>
      <c r="K11" s="299"/>
      <c r="L11" s="299"/>
      <c r="M11" s="300"/>
      <c r="N11" s="299"/>
      <c r="O11" s="299"/>
      <c r="P11" s="299"/>
      <c r="Q11" s="299"/>
      <c r="R11" s="300"/>
      <c r="S11" s="299"/>
      <c r="T11" s="299"/>
      <c r="U11" s="299"/>
      <c r="V11" s="299"/>
      <c r="W11" s="300"/>
      <c r="X11" s="299"/>
      <c r="Y11" s="299"/>
      <c r="Z11" s="299"/>
      <c r="AA11" s="299"/>
      <c r="AB11" s="300"/>
      <c r="AC11" s="299"/>
      <c r="AD11" s="299"/>
      <c r="AE11" s="299"/>
      <c r="AF11" s="299"/>
      <c r="AG11" s="300"/>
      <c r="AH11" s="299"/>
      <c r="AI11" s="299"/>
      <c r="AJ11" s="299"/>
      <c r="AK11" s="299"/>
      <c r="AL11" s="300"/>
      <c r="AM11" s="299"/>
      <c r="AN11" s="299"/>
      <c r="AO11" s="299"/>
      <c r="AP11" s="299"/>
      <c r="AQ11" s="300"/>
      <c r="AR11" s="299"/>
      <c r="AS11" s="299"/>
      <c r="AT11" s="299"/>
      <c r="AU11" s="299"/>
      <c r="AV11" s="300"/>
      <c r="AW11" s="299"/>
      <c r="AX11" s="299"/>
      <c r="AY11" s="299"/>
      <c r="AZ11" s="299"/>
      <c r="BA11" s="300"/>
      <c r="BB11" s="299"/>
      <c r="BC11" s="299"/>
      <c r="BD11" s="299"/>
      <c r="BE11" s="299"/>
      <c r="BF11" s="300"/>
      <c r="BG11" s="299"/>
      <c r="BH11" s="299"/>
      <c r="BI11" s="299"/>
      <c r="BJ11" s="299"/>
      <c r="BK11" s="300"/>
      <c r="BL11" s="299"/>
      <c r="BM11" s="299"/>
      <c r="BN11" s="299"/>
      <c r="BO11" s="299"/>
      <c r="BP11" s="300"/>
    </row>
    <row r="12" spans="1:68" s="306" customFormat="1" hidden="1" outlineLevel="1">
      <c r="A12" s="57" t="s">
        <v>189</v>
      </c>
      <c r="B12" s="302" t="s">
        <v>217</v>
      </c>
      <c r="C12" s="303"/>
      <c r="D12" s="304" t="str" cm="1">
        <f t="array" ref="D12">_xlfn.SINGLE(IF(ISERROR(_xll.FDSB($C$2,"FE_ESTIMATE(CURRENT_RPO,MEAN,QUARTERLY_ROLL,"&amp;D$9&amp;","&amp;$C$5&amp;",,,'')")), "--", _xll.FDSB($C$2,"FE_ESTIMATE(CURRENT_RPO,MEAN,QUARTERLY_ROLL,"&amp;D$9&amp;","&amp;$C$5&amp;",,,'')")))</f>
        <v/>
      </c>
      <c r="E12" s="304" t="str" cm="1">
        <f t="array" ref="E12">_xlfn.SINGLE(IF(ISERROR(_xll.FDSB($C$2,"FE_ESTIMATE(CURRENT_RPO,MEAN,QUARTERLY_ROLL,"&amp;E$9&amp;","&amp;$C$5&amp;",,,'')")), "--", _xll.FDSB($C$2,"FE_ESTIMATE(CURRENT_RPO,MEAN,QUARTERLY_ROLL,"&amp;E$9&amp;","&amp;$C$5&amp;",,,'')")))</f>
        <v/>
      </c>
      <c r="F12" s="304" t="str" cm="1">
        <f t="array" ref="F12">_xlfn.SINGLE(IF(ISERROR(_xll.FDSB($C$2,"FE_ESTIMATE(CURRENT_RPO,MEAN,QUARTERLY_ROLL,"&amp;F$9&amp;","&amp;$C$5&amp;",,,'')")), "--", _xll.FDSB($C$2,"FE_ESTIMATE(CURRENT_RPO,MEAN,QUARTERLY_ROLL,"&amp;F$9&amp;","&amp;$C$5&amp;",,,'')")))</f>
        <v/>
      </c>
      <c r="G12" s="304" t="str" cm="1">
        <f t="array" ref="G12">_xlfn.SINGLE(IF(ISERROR(_xll.FDSB($C$2,"FE_ESTIMATE(CURRENT_RPO,MEAN,QUARTERLY_ROLL,"&amp;G$9&amp;","&amp;$C$5&amp;",,,'')")), "--", _xll.FDSB($C$2,"FE_ESTIMATE(CURRENT_RPO,MEAN,QUARTERLY_ROLL,"&amp;G$9&amp;","&amp;$C$5&amp;",,,'')")))</f>
        <v/>
      </c>
      <c r="H12" s="305" t="str" cm="1">
        <f t="array" ref="H12">_xlfn.SINGLE(IF(ISERROR(_xll.FDSB($C$2,"FE_ESTIMATE(CURRENT_RPO,MEAN,annual_ROLL,"&amp;H$9&amp;","&amp;$C$5&amp;",,,'')")), "--", _xll.FDSB($C$2,"FE_ESTIMATE(CURRENT_RPO,MEAN,ANNUAL_ROLL,"&amp;H$9&amp;","&amp;$C$5&amp;",,,'')")))</f>
        <v/>
      </c>
      <c r="I12" s="304" t="str" cm="1">
        <f t="array" ref="I12">_xlfn.SINGLE(IF(ISERROR(_xll.FDSB($C$2,"FE_ESTIMATE(CURRENT_RPO,MEAN,QUARTERLY_ROLL,"&amp;I$9&amp;","&amp;$C$5&amp;",,,'')")), "--", _xll.FDSB($C$2,"FE_ESTIMATE(CURRENT_RPO,MEAN,QUARTERLY_ROLL,"&amp;I$9&amp;","&amp;$C$5&amp;",,,'')")))</f>
        <v/>
      </c>
      <c r="J12" s="304" t="str" cm="1">
        <f t="array" ref="J12">_xlfn.SINGLE(IF(ISERROR(_xll.FDSB($C$2,"FE_ESTIMATE(CURRENT_RPO,MEAN,QUARTERLY_ROLL,"&amp;J$9&amp;","&amp;$C$5&amp;",,,'')")), "--", _xll.FDSB($C$2,"FE_ESTIMATE(CURRENT_RPO,MEAN,QUARTERLY_ROLL,"&amp;J$9&amp;","&amp;$C$5&amp;",,,'')")))</f>
        <v/>
      </c>
      <c r="K12" s="304" t="str" cm="1">
        <f t="array" ref="K12">_xlfn.SINGLE(IF(ISERROR(_xll.FDSB($C$2,"FE_ESTIMATE(CURRENT_RPO,MEAN,QUARTERLY_ROLL,"&amp;K$9&amp;","&amp;$C$5&amp;",,,'')")), "--", _xll.FDSB($C$2,"FE_ESTIMATE(CURRENT_RPO,MEAN,QUARTERLY_ROLL,"&amp;K$9&amp;","&amp;$C$5&amp;",,,'')")))</f>
        <v/>
      </c>
      <c r="L12" s="304" t="str" cm="1">
        <f t="array" ref="L12">_xlfn.SINGLE(IF(ISERROR(_xll.FDSB($C$2,"FE_ESTIMATE(CURRENT_RPO,MEAN,QUARTERLY_ROLL,"&amp;L$9&amp;","&amp;$C$5&amp;",,,'')")), "--", _xll.FDSB($C$2,"FE_ESTIMATE(CURRENT_RPO,MEAN,QUARTERLY_ROLL,"&amp;L$9&amp;","&amp;$C$5&amp;",,,'')")))</f>
        <v/>
      </c>
      <c r="M12" s="305" t="str" cm="1">
        <f t="array" ref="M12">_xlfn.SINGLE(IF(ISERROR(_xll.FDSB($C$2,"FE_ESTIMATE(CURRENT_RPO,MEAN,ANNUAL_ROLL,"&amp;M$9&amp;","&amp;$C$5&amp;",,,'')")), "--", _xll.FDSB($C$2,"FE_ESTIMATE(CURRENT_RPO,MEAN,ANNUAL_ROLL,"&amp;M$9&amp;","&amp;$C$5&amp;",,,'')")))</f>
        <v/>
      </c>
      <c r="N12" s="304" t="str" cm="1">
        <f t="array" ref="N12">_xlfn.SINGLE(IF(ISERROR(_xll.FDSB($C$2,"FE_ESTIMATE(CURRENT_RPO,MEAN,QUARTERLY_ROLL,"&amp;N$9&amp;","&amp;$C$5&amp;",,,'')")), "--", _xll.FDSB($C$2,"FE_ESTIMATE(CURRENT_RPO,MEAN,QUARTERLY_ROLL,"&amp;N$9&amp;","&amp;$C$5&amp;",,,'')")))</f>
        <v/>
      </c>
      <c r="O12" s="304" t="str" cm="1">
        <f t="array" ref="O12">_xlfn.SINGLE(IF(ISERROR(_xll.FDSB($C$2,"FE_ESTIMATE(CURRENT_RPO,MEAN,QUARTERLY_ROLL,"&amp;O$9&amp;","&amp;$C$5&amp;",,,'')")), "--", _xll.FDSB($C$2,"FE_ESTIMATE(CURRENT_RPO,MEAN,QUARTERLY_ROLL,"&amp;O$9&amp;","&amp;$C$5&amp;",,,'')")))</f>
        <v/>
      </c>
      <c r="P12" s="304" t="str" cm="1">
        <f t="array" ref="P12">_xlfn.SINGLE(IF(ISERROR(_xll.FDSB($C$2,"FE_ESTIMATE(CURRENT_RPO,MEAN,QUARTERLY_ROLL,"&amp;P$9&amp;","&amp;$C$5&amp;",,,'')")), "--", _xll.FDSB($C$2,"FE_ESTIMATE(CURRENT_RPO,MEAN,QUARTERLY_ROLL,"&amp;P$9&amp;","&amp;$C$5&amp;",,,'')")))</f>
        <v/>
      </c>
      <c r="Q12" s="304" t="str" cm="1">
        <f t="array" ref="Q12">_xlfn.SINGLE(IF(ISERROR(_xll.FDSB($C$2,"FE_ESTIMATE(CURRENT_RPO,MEAN,QUARTERLY_ROLL,"&amp;Q$9&amp;","&amp;$C$5&amp;",,,'')")), "--", _xll.FDSB($C$2,"FE_ESTIMATE(CURRENT_RPO,MEAN,QUARTERLY_ROLL,"&amp;Q$9&amp;","&amp;$C$5&amp;",,,'')")))</f>
        <v/>
      </c>
      <c r="R12" s="305" t="str" cm="1">
        <f t="array" ref="R12">_xlfn.SINGLE(IF(ISERROR(_xll.FDSB($C$2,"FE_ESTIMATE(CURRENT_RPO,MEAN,ANNUAL_ROLL,"&amp;R$9&amp;","&amp;$C$5&amp;",,,'')")), "--", _xll.FDSB($C$2,"FE_ESTIMATE(CURRENT_RPO,MEAN,ANNUAL_ROLL,"&amp;R$9&amp;","&amp;$C$5&amp;",,,'')")))</f>
        <v/>
      </c>
      <c r="S12" s="304" t="str" cm="1">
        <f t="array" ref="S12">_xlfn.SINGLE(IF(ISERROR(_xll.FDSB($C$2,"FE_ESTIMATE(CURRENT_RPO,MEAN,QUARTERLY_ROLL,"&amp;S$9&amp;","&amp;$C$5&amp;",,,'')")), "--", _xll.FDSB($C$2,"FE_ESTIMATE(CURRENT_RPO,MEAN,QUARTERLY_ROLL,"&amp;S$9&amp;","&amp;$C$5&amp;",,,'')")))</f>
        <v/>
      </c>
      <c r="T12" s="304" t="str" cm="1">
        <f t="array" ref="T12">_xlfn.SINGLE(IF(ISERROR(_xll.FDSB($C$2,"FE_ESTIMATE(CURRENT_RPO,MEAN,QUARTERLY_ROLL,"&amp;T$9&amp;","&amp;$C$5&amp;",,,'')")), "--", _xll.FDSB($C$2,"FE_ESTIMATE(CURRENT_RPO,MEAN,QUARTERLY_ROLL,"&amp;T$9&amp;","&amp;$C$5&amp;",,,'')")))</f>
        <v/>
      </c>
      <c r="U12" s="304" t="str" cm="1">
        <f t="array" ref="U12">_xlfn.SINGLE(IF(ISERROR(_xll.FDSB($C$2,"FE_ESTIMATE(CURRENT_RPO,MEAN,QUARTERLY_ROLL,"&amp;U$9&amp;","&amp;$C$5&amp;",,,'')")), "--", _xll.FDSB($C$2,"FE_ESTIMATE(CURRENT_RPO,MEAN,QUARTERLY_ROLL,"&amp;U$9&amp;","&amp;$C$5&amp;",,,'')")))</f>
        <v/>
      </c>
      <c r="V12" s="304" t="str" cm="1">
        <f t="array" ref="V12">_xlfn.SINGLE(IF(ISERROR(_xll.FDSB($C$2,"FE_ESTIMATE(CURRENT_RPO,MEAN,QUARTERLY_ROLL,"&amp;V$9&amp;","&amp;$C$5&amp;",,,'')")), "--", _xll.FDSB($C$2,"FE_ESTIMATE(CURRENT_RPO,MEAN,QUARTERLY_ROLL,"&amp;V$9&amp;","&amp;$C$5&amp;",,,'')")))</f>
        <v/>
      </c>
      <c r="W12" s="305" t="str" cm="1">
        <f t="array" ref="W12">_xlfn.SINGLE(IF(ISERROR(_xll.FDSB($C$2,"FE_ESTIMATE(CURRENT_RPO,MEAN,ANNUAL_ROLL,"&amp;W$9&amp;","&amp;$C$5&amp;",,,'')")), "--", _xll.FDSB($C$2,"FE_ESTIMATE(CURRENT_RPO,MEAN,ANNUAL_ROLL,"&amp;W$9&amp;","&amp;$C$5&amp;",,,'')")))</f>
        <v/>
      </c>
      <c r="X12" s="304" t="str" cm="1">
        <f t="array" ref="X12">_xlfn.SINGLE(IF(ISERROR(_xll.FDSB($C$2,"FE_ESTIMATE(CURRENT_RPO,MEAN,QUARTERLY_ROLL,"&amp;X$9&amp;","&amp;$C$5&amp;",,,'')")), "--", _xll.FDSB($C$2,"FE_ESTIMATE(CURRENT_RPO,MEAN,QUARTERLY_ROLL,"&amp;X$9&amp;","&amp;$C$5&amp;",,,'')")))</f>
        <v/>
      </c>
      <c r="Y12" s="304" t="str" cm="1">
        <f t="array" ref="Y12">_xlfn.SINGLE(IF(ISERROR(_xll.FDSB($C$2,"FE_ESTIMATE(CURRENT_RPO,MEAN,QUARTERLY_ROLL,"&amp;Y$9&amp;","&amp;$C$5&amp;",,,'')")), "--", _xll.FDSB($C$2,"FE_ESTIMATE(CURRENT_RPO,MEAN,QUARTERLY_ROLL,"&amp;Y$9&amp;","&amp;$C$5&amp;",,,'')")))</f>
        <v/>
      </c>
      <c r="Z12" s="304" t="str" cm="1">
        <f t="array" ref="Z12">_xlfn.SINGLE(IF(ISERROR(_xll.FDSB($C$2,"FE_ESTIMATE(CURRENT_RPO,MEAN,QUARTERLY_ROLL,"&amp;Z$9&amp;","&amp;$C$5&amp;",,,'')")), "--", _xll.FDSB($C$2,"FE_ESTIMATE(CURRENT_RPO,MEAN,QUARTERLY_ROLL,"&amp;Z$9&amp;","&amp;$C$5&amp;",,,'')")))</f>
        <v/>
      </c>
      <c r="AA12" s="304" t="str" cm="1">
        <f t="array" ref="AA12">_xlfn.SINGLE(IF(ISERROR(_xll.FDSB($C$2,"FE_ESTIMATE(CURRENT_RPO,MEAN,QUARTERLY_ROLL,"&amp;AA$9&amp;","&amp;$C$5&amp;",,,'')")), "--", _xll.FDSB($C$2,"FE_ESTIMATE(CURRENT_RPO,MEAN,QUARTERLY_ROLL,"&amp;AA$9&amp;","&amp;$C$5&amp;",,,'')")))</f>
        <v/>
      </c>
      <c r="AB12" s="305" t="str" cm="1">
        <f t="array" ref="AB12">_xlfn.SINGLE(IF(ISERROR(_xll.FDSB($C$2,"FE_ESTIMATE(CURRENT_RPO,MEAN,ANNUAL_ROLL,"&amp;AB$9&amp;","&amp;$C$5&amp;",,,'')")), "--", _xll.FDSB($C$2,"FE_ESTIMATE(CURRENT_RPO,MEAN,ANNUAL_ROLL,"&amp;AB$9&amp;","&amp;$C$5&amp;",,,'')")))</f>
        <v/>
      </c>
      <c r="AC12" s="304" t="str" cm="1">
        <f t="array" ref="AC12">_xlfn.SINGLE(IF(ISERROR(_xll.FDSB($C$2,"FE_ESTIMATE(CURRENT_RPO,MEAN,QUARTERLY_ROLL,"&amp;AC$9&amp;","&amp;$C$5&amp;",,,'')")), "--", _xll.FDSB($C$2,"FE_ESTIMATE(CURRENT_RPO,MEAN,QUARTERLY_ROLL,"&amp;AC$9&amp;","&amp;$C$5&amp;",,,'')")))</f>
        <v/>
      </c>
      <c r="AD12" s="304" t="str" cm="1">
        <f t="array" ref="AD12">_xlfn.SINGLE(IF(ISERROR(_xll.FDSB($C$2,"FE_ESTIMATE(CURRENT_RPO,MEAN,QUARTERLY_ROLL,"&amp;AD$9&amp;","&amp;$C$5&amp;",,,'')")), "--", _xll.FDSB($C$2,"FE_ESTIMATE(CURRENT_RPO,MEAN,QUARTERLY_ROLL,"&amp;AD$9&amp;","&amp;$C$5&amp;",,,'')")))</f>
        <v/>
      </c>
      <c r="AE12" s="304" t="str" cm="1">
        <f t="array" ref="AE12">_xlfn.SINGLE(IF(ISERROR(_xll.FDSB($C$2,"FE_ESTIMATE(CURRENT_RPO,MEAN,QUARTERLY_ROLL,"&amp;AE$9&amp;","&amp;$C$5&amp;",,,'')")), "--", _xll.FDSB($C$2,"FE_ESTIMATE(CURRENT_RPO,MEAN,QUARTERLY_ROLL,"&amp;AE$9&amp;","&amp;$C$5&amp;",,,'')")))</f>
        <v/>
      </c>
      <c r="AF12" s="304" t="str" cm="1">
        <f t="array" ref="AF12">_xlfn.SINGLE(IF(ISERROR(_xll.FDSB($C$2,"FE_ESTIMATE(CURRENT_RPO,MEAN,QUARTERLY_ROLL,"&amp;AF$9&amp;","&amp;$C$5&amp;",,,'')")), "--", _xll.FDSB($C$2,"FE_ESTIMATE(CURRENT_RPO,MEAN,QUARTERLY_ROLL,"&amp;AF$9&amp;","&amp;$C$5&amp;",,,'')")))</f>
        <v/>
      </c>
      <c r="AG12" s="305" t="str" cm="1">
        <f t="array" ref="AG12">_xlfn.SINGLE(IF(ISERROR(_xll.FDSB($C$2,"FE_ESTIMATE(CURRENT_RPO,MEAN,ANNUAL_ROLL,"&amp;AG$9&amp;","&amp;$C$5&amp;",,,'')")), "--", _xll.FDSB($C$2,"FE_ESTIMATE(CURRENT_RPO,MEAN,ANNUAL_ROLL,"&amp;AG$9&amp;","&amp;$C$5&amp;",,,'')")))</f>
        <v/>
      </c>
      <c r="AH12" s="304" t="str" cm="1">
        <f t="array" ref="AH12">_xlfn.SINGLE(IF(ISERROR(_xll.FDSB($C$2,"FE_ESTIMATE(CURRENT_RPO,MEAN,QUARTERLY_ROLL,"&amp;AH$9&amp;","&amp;$C$5&amp;",,,'')")), "--", _xll.FDSB($C$2,"FE_ESTIMATE(CURRENT_RPO,MEAN,QUARTERLY_ROLL,"&amp;AH$9&amp;","&amp;$C$5&amp;",,,'')")))</f>
        <v/>
      </c>
      <c r="AI12" s="304" t="str" cm="1">
        <f t="array" ref="AI12">_xlfn.SINGLE(IF(ISERROR(_xll.FDSB($C$2,"FE_ESTIMATE(CURRENT_RPO,MEAN,QUARTERLY_ROLL,"&amp;AI$9&amp;","&amp;$C$5&amp;",,,'')")), "--", _xll.FDSB($C$2,"FE_ESTIMATE(CURRENT_RPO,MEAN,QUARTERLY_ROLL,"&amp;AI$9&amp;","&amp;$C$5&amp;",,,'')")))</f>
        <v/>
      </c>
      <c r="AJ12" s="304" t="str" cm="1">
        <f t="array" ref="AJ12">_xlfn.SINGLE(IF(ISERROR(_xll.FDSB($C$2,"FE_ESTIMATE(CURRENT_RPO,MEAN,QUARTERLY_ROLL,"&amp;AJ$9&amp;","&amp;$C$5&amp;",,,'')")), "--", _xll.FDSB($C$2,"FE_ESTIMATE(CURRENT_RPO,MEAN,QUARTERLY_ROLL,"&amp;AJ$9&amp;","&amp;$C$5&amp;",,,'')")))</f>
        <v/>
      </c>
      <c r="AK12" s="304" cm="1">
        <f t="array" ref="AK12">_xlfn.SINGLE(IF(ISERROR(_xll.FDSB($C$2,"FE_ESTIMATE(CURRENT_RPO,MEAN,QUARTERLY_ROLL,"&amp;AK$9&amp;","&amp;$C$5&amp;",,,'')")), "--", _xll.FDSB($C$2,"FE_ESTIMATE(CURRENT_RPO,MEAN,QUARTERLY_ROLL,"&amp;AK$9&amp;","&amp;$C$5&amp;",,,'')")))</f>
        <v>1368</v>
      </c>
      <c r="AL12" s="305" cm="1">
        <f t="array" ref="AL12">_xlfn.SINGLE(IF(ISERROR(_xll.FDSB($C$2,"FE_ESTIMATE(CURRENT_RPO,MEAN,ANNUAL_ROLL,"&amp;AL$9&amp;","&amp;$C$5&amp;",,,'')")), "--", _xll.FDSB($C$2,"FE_ESTIMATE(CURRENT_RPO,MEAN,ANNUAL_ROLL,"&amp;AL$9&amp;","&amp;$C$5&amp;",,,'')")))</f>
        <v>1368</v>
      </c>
      <c r="AM12" s="304" cm="1">
        <f t="array" ref="AM12">_xlfn.SINGLE(IF(ISERROR(_xll.FDSB($C$2,"FE_ESTIMATE(CURRENT_RPO,MEAN,QUARTERLY_ROLL,"&amp;AM$9&amp;","&amp;$C$5&amp;",,,'')")), "--", _xll.FDSB($C$2,"FE_ESTIMATE(CURRENT_RPO,MEAN,QUARTERLY_ROLL,"&amp;AM$9&amp;","&amp;$C$5&amp;",,,'')")))</f>
        <v>1383.3</v>
      </c>
      <c r="AN12" s="304" cm="1">
        <f t="array" ref="AN12">_xlfn.SINGLE(IF(ISERROR(_xll.FDSB($C$2,"FE_ESTIMATE(CURRENT_RPO,MEAN,QUARTERLY_ROLL,"&amp;AN$9&amp;","&amp;$C$5&amp;",,,'')")), "--", _xll.FDSB($C$2,"FE_ESTIMATE(CURRENT_RPO,MEAN,QUARTERLY_ROLL,"&amp;AN$9&amp;","&amp;$C$5&amp;",,,'')")))</f>
        <v>1548.05</v>
      </c>
      <c r="AO12" s="304" cm="1">
        <f t="array" ref="AO12">_xlfn.SINGLE(IF(ISERROR(_xll.FDSB($C$2,"FE_ESTIMATE(CURRENT_RPO,MEAN,QUARTERLY_ROLL,"&amp;AO$9&amp;","&amp;$C$5&amp;",,,'')")), "--", _xll.FDSB($C$2,"FE_ESTIMATE(CURRENT_RPO,MEAN,QUARTERLY_ROLL,"&amp;AO$9&amp;","&amp;$C$5&amp;",,,'')")))</f>
        <v>1657.85</v>
      </c>
      <c r="AP12" s="304" cm="1">
        <f t="array" ref="AP12">_xlfn.SINGLE(IF(ISERROR(_xll.FDSB($C$2,"FE_ESTIMATE(CURRENT_RPO,MEAN,QUARTERLY_ROLL,"&amp;AP$9&amp;","&amp;$C$5&amp;",,,'')")), "--", _xll.FDSB($C$2,"FE_ESTIMATE(CURRENT_RPO,MEAN,QUARTERLY_ROLL,"&amp;AP$9&amp;","&amp;$C$5&amp;",,,'')")))</f>
        <v>2013.6</v>
      </c>
      <c r="AQ12" s="305" cm="1">
        <f t="array" ref="AQ12">_xlfn.SINGLE(IF(ISERROR(_xll.FDSB($C$2,"FE_ESTIMATE(CURRENT_RPO,MEAN,ANNUAL_ROLL,"&amp;AQ$9&amp;","&amp;$C$5&amp;",,,'')")), "--", _xll.FDSB($C$2,"FE_ESTIMATE(CURRENT_RPO,MEAN,ANNUAL_ROLL,"&amp;AQ$9&amp;","&amp;$C$5&amp;",,,'')")))</f>
        <v>2013.6</v>
      </c>
      <c r="AR12" s="304" cm="1">
        <f t="array" ref="AR12">_xlfn.SINGLE(IF(ISERROR(_xll.FDSB($C$2,"FE_ESTIMATE(CURRENT_RPO,MEAN,QUARTERLY_ROLL,"&amp;AR$9&amp;","&amp;$C$5&amp;",,,'')")), "--", _xll.FDSB($C$2,"FE_ESTIMATE(CURRENT_RPO,MEAN,QUARTERLY_ROLL,"&amp;AR$9&amp;","&amp;$C$5&amp;",,,'')")))</f>
        <v>1943.05</v>
      </c>
      <c r="AS12" s="304" cm="1">
        <f t="array" ref="AS12">_xlfn.SINGLE(IF(ISERROR(_xll.FDSB($C$2,"FE_ESTIMATE(CURRENT_RPO,MEAN,QUARTERLY_ROLL,"&amp;AS$9&amp;","&amp;$C$5&amp;",,,'')")), "--", _xll.FDSB($C$2,"FE_ESTIMATE(CURRENT_RPO,MEAN,QUARTERLY_ROLL,"&amp;AS$9&amp;","&amp;$C$5&amp;",,,'')")))</f>
        <v>2017.8</v>
      </c>
      <c r="AT12" s="304" cm="1">
        <f t="array" ref="AT12">_xlfn.SINGLE(IF(ISERROR(_xll.FDSB($C$2,"FE_ESTIMATE(CURRENT_RPO,MEAN,QUARTERLY_ROLL,"&amp;AT$9&amp;","&amp;$C$5&amp;",,,'')")), "--", _xll.FDSB($C$2,"FE_ESTIMATE(CURRENT_RPO,MEAN,QUARTERLY_ROLL,"&amp;AT$9&amp;","&amp;$C$5&amp;",,,'')")))</f>
        <v>2108.2665999999999</v>
      </c>
      <c r="AU12" s="304" cm="1">
        <f t="array" ref="AU12">_xlfn.SINGLE(IF(ISERROR(_xll.FDSB($C$2,"FE_ESTIMATE(CURRENT_RPO,MEAN,QUARTERLY_ROLL,"&amp;AU$9&amp;","&amp;$C$5&amp;",,,'')")), "--", _xll.FDSB($C$2,"FE_ESTIMATE(CURRENT_RPO,MEAN,QUARTERLY_ROLL,"&amp;AU$9&amp;","&amp;$C$5&amp;",,,'')")))</f>
        <v>2587.625</v>
      </c>
      <c r="AV12" s="305" cm="1">
        <f t="array" ref="AV12">_xlfn.SINGLE(IF(ISERROR(_xll.FDSB($C$2,"FE_ESTIMATE(CURRENT_RPO,MEAN,ANNUAL_ROLL,"&amp;AV$9&amp;","&amp;$C$5&amp;",,,'')")), "--", _xll.FDSB($C$2,"FE_ESTIMATE(CURRENT_RPO,MEAN,ANNUAL_ROLL,"&amp;AV$9&amp;","&amp;$C$5&amp;",,,'')")))</f>
        <v>2587.625</v>
      </c>
      <c r="AW12" s="304" cm="1">
        <f t="array" ref="AW12">_xlfn.SINGLE(IF(ISERROR(_xll.FDSB($C$2,"FE_ESTIMATE(CURRENT_RPO,MEAN,QUARTERLY_ROLL,"&amp;AW$9&amp;","&amp;$C$5&amp;",,,'')")), "--", _xll.FDSB($C$2,"FE_ESTIMATE(CURRENT_RPO,MEAN,QUARTERLY_ROLL,"&amp;AW$9&amp;","&amp;$C$5&amp;",,,'')")))</f>
        <v>2543.9250000000002</v>
      </c>
      <c r="AX12" s="304" cm="1">
        <f t="array" ref="AX12">_xlfn.SINGLE(IF(ISERROR(_xll.FDSB($C$2,"FE_ESTIMATE(CURRENT_RPO,MEAN,QUARTERLY_ROLL,"&amp;AX$9&amp;","&amp;$C$5&amp;",,,'')")), "--", _xll.FDSB($C$2,"FE_ESTIMATE(CURRENT_RPO,MEAN,QUARTERLY_ROLL,"&amp;AX$9&amp;","&amp;$C$5&amp;",,,'')")))</f>
        <v>2615.625</v>
      </c>
      <c r="AY12" s="304" cm="1">
        <f t="array" ref="AY12">_xlfn.SINGLE(IF(ISERROR(_xll.FDSB($C$2,"FE_ESTIMATE(CURRENT_RPO,MEAN,QUARTERLY_ROLL,"&amp;AY$9&amp;","&amp;$C$5&amp;",,,'')")), "--", _xll.FDSB($C$2,"FE_ESTIMATE(CURRENT_RPO,MEAN,QUARTERLY_ROLL,"&amp;AY$9&amp;","&amp;$C$5&amp;",,,'')")))</f>
        <v>2866</v>
      </c>
      <c r="AZ12" s="304" cm="1">
        <f t="array" ref="AZ12">_xlfn.SINGLE(IF(ISERROR(_xll.FDSB($C$2,"FE_ESTIMATE(CURRENT_RPO,MEAN,QUARTERLY_ROLL,"&amp;AZ$9&amp;","&amp;$C$5&amp;",,,'')")), "--", _xll.FDSB($C$2,"FE_ESTIMATE(CURRENT_RPO,MEAN,QUARTERLY_ROLL,"&amp;AZ$9&amp;","&amp;$C$5&amp;",,,'')")))</f>
        <v>3296.14</v>
      </c>
      <c r="BA12" s="305" cm="1">
        <f t="array" ref="BA12">_xlfn.SINGLE(IF(ISERROR(_xll.FDSB($C$2,"FE_ESTIMATE(CURRENT_RPO,MEAN,ANNUAL_ROLL,"&amp;BA$9&amp;","&amp;$C$5&amp;",,,'')")), "--", _xll.FDSB($C$2,"FE_ESTIMATE(CURRENT_RPO,MEAN,ANNUAL_ROLL,"&amp;BA$9&amp;","&amp;$C$5&amp;",,,'')")))</f>
        <v>3296.16</v>
      </c>
      <c r="BB12" s="304" cm="1">
        <f t="array" ref="BB12">_xlfn.SINGLE(IF(ISERROR(_xll.FDSB($C$2,"FE_ESTIMATE(CURRENT_RPO,MEAN,QUARTERLY_ROLL,"&amp;BB$9&amp;","&amp;$C$5&amp;",,,'')")), "--", _xll.FDSB($C$2,"FE_ESTIMATE(CURRENT_RPO,MEAN,QUARTERLY_ROLL,"&amp;BB$9&amp;","&amp;$C$5&amp;",,,'')")))</f>
        <v>3343.5832999999998</v>
      </c>
      <c r="BC12" s="304" cm="1">
        <f t="array" ref="BC12">_xlfn.SINGLE(IF(ISERROR(_xll.FDSB($C$2,"FE_ESTIMATE(CURRENT_RPO,MEAN,QUARTERLY_ROLL,"&amp;BC$9&amp;","&amp;$C$5&amp;",,,'')")), "--", _xll.FDSB($C$2,"FE_ESTIMATE(CURRENT_RPO,MEAN,QUARTERLY_ROLL,"&amp;BC$9&amp;","&amp;$C$5&amp;",,,'')")))</f>
        <v>3466</v>
      </c>
      <c r="BD12" s="304" cm="1">
        <f t="array" ref="BD12">_xlfn.SINGLE(IF(ISERROR(_xll.FDSB($C$2,"FE_ESTIMATE(CURRENT_RPO,MEAN,QUARTERLY_ROLL,"&amp;BD$9&amp;","&amp;$C$5&amp;",,,'')")), "--", _xll.FDSB($C$2,"FE_ESTIMATE(CURRENT_RPO,MEAN,QUARTERLY_ROLL,"&amp;BD$9&amp;","&amp;$C$5&amp;",,,'')")))</f>
        <v>3687.5666999999999</v>
      </c>
      <c r="BE12" s="304" cm="1">
        <f t="array" ref="BE12">_xlfn.SINGLE(IF(ISERROR(_xll.FDSB($C$2,"FE_ESTIMATE(CURRENT_RPO,MEAN,QUARTERLY_ROLL,"&amp;BE$9&amp;","&amp;$C$5&amp;",,,'')")), "--", _xll.FDSB($C$2,"FE_ESTIMATE(CURRENT_RPO,MEAN,QUARTERLY_ROLL,"&amp;BE$9&amp;","&amp;$C$5&amp;",,,'')")))</f>
        <v>4210.5834999999997</v>
      </c>
      <c r="BF12" s="305" cm="1">
        <f t="array" ref="BF12">_xlfn.SINGLE(IF(ISERROR(_xll.FDSB($C$2,"FE_ESTIMATE(CURRENT_RPO,MEAN,ANNUAL_ROLL,"&amp;BF$9&amp;","&amp;$C$5&amp;",,,'')")), "--", _xll.FDSB($C$2,"FE_ESTIMATE(CURRENT_RPO,MEAN,ANNUAL_ROLL,"&amp;BF$9&amp;","&amp;$C$5&amp;",,,'')")))</f>
        <v>4210.5834999999997</v>
      </c>
      <c r="BG12" s="304" cm="1">
        <f t="array" ref="BG12">_xlfn.SINGLE(IF(ISERROR(_xll.FDSB($C$2,"FE_ESTIMATE(CURRENT_RPO,MEAN,QUARTERLY_ROLL,"&amp;BG$9&amp;","&amp;$C$5&amp;",,,'')")), "--", _xll.FDSB($C$2,"FE_ESTIMATE(CURRENT_RPO,MEAN,QUARTERLY_ROLL,"&amp;BG$9&amp;","&amp;$C$5&amp;",,,'')")))</f>
        <v>4231.3</v>
      </c>
      <c r="BH12" s="304" cm="1">
        <f t="array" ref="BH12">_xlfn.SINGLE(IF(ISERROR(_xll.FDSB($C$2,"FE_ESTIMATE(CURRENT_RPO,MEAN,QUARTERLY_ROLL,"&amp;BH$9&amp;","&amp;$C$5&amp;",,,'')")), "--", _xll.FDSB($C$2,"FE_ESTIMATE(CURRENT_RPO,MEAN,QUARTERLY_ROLL,"&amp;BH$9&amp;","&amp;$C$5&amp;",,,'')")))</f>
        <v>4353.5600000000004</v>
      </c>
      <c r="BI12" s="304" cm="1">
        <f t="array" ref="BI12">_xlfn.SINGLE(IF(ISERROR(_xll.FDSB($C$2,"FE_ESTIMATE(CURRENT_RPO,MEAN,QUARTERLY_ROLL,"&amp;BI$9&amp;","&amp;$C$5&amp;",,,'')")), "--", _xll.FDSB($C$2,"FE_ESTIMATE(CURRENT_RPO,MEAN,QUARTERLY_ROLL,"&amp;BI$9&amp;","&amp;$C$5&amp;",,,'')")))</f>
        <v>4581.5</v>
      </c>
      <c r="BJ12" s="304" cm="1">
        <f t="array" ref="BJ12">_xlfn.SINGLE(IF(ISERROR(_xll.FDSB($C$2,"FE_ESTIMATE(CURRENT_RPO,MEAN,QUARTERLY_ROLL,"&amp;BJ$9&amp;","&amp;$C$5&amp;",,,'')")), "--", _xll.FDSB($C$2,"FE_ESTIMATE(CURRENT_RPO,MEAN,QUARTERLY_ROLL,"&amp;BJ$9&amp;","&amp;$C$5&amp;",,,'')")))</f>
        <v>5175.82</v>
      </c>
      <c r="BK12" s="305" cm="1">
        <f t="array" ref="BK12">_xlfn.SINGLE(IF(ISERROR(_xll.FDSB($C$2,"FE_ESTIMATE(CURRENT_RPO,MEAN,ANNUAL_ROLL,"&amp;BK$9&amp;","&amp;$C$5&amp;",,,'')")), "--", _xll.FDSB($C$2,"FE_ESTIMATE(CURRENT_RPO,MEAN,ANNUAL_ROLL,"&amp;BK$9&amp;","&amp;$C$5&amp;",,,'')")))</f>
        <v>5175.82</v>
      </c>
      <c r="BL12" s="304" t="str" cm="1">
        <f t="array" ref="BL12">_xlfn.SINGLE(IF(ISERROR(_xll.FDSB($C$2,"FE_ESTIMATE(CURRENT_RPO,MEAN,QUARTERLY_ROLL,"&amp;BL$9&amp;","&amp;$C$5&amp;",,,'')")), "--", _xll.FDSB($C$2,"FE_ESTIMATE(CURRENT_RPO,MEAN,QUARTERLY_ROLL,"&amp;BL$9&amp;","&amp;$C$5&amp;",,,'')")))</f>
        <v/>
      </c>
      <c r="BM12" s="304" t="str" cm="1">
        <f t="array" ref="BM12">_xlfn.SINGLE(IF(ISERROR(_xll.FDSB($C$2,"FE_ESTIMATE(CURRENT_RPO,MEAN,QUARTERLY_ROLL,"&amp;BM$9&amp;","&amp;$C$5&amp;",,,'')")), "--", _xll.FDSB($C$2,"FE_ESTIMATE(CURRENT_RPO,MEAN,QUARTERLY_ROLL,"&amp;BM$9&amp;","&amp;$C$5&amp;",,,'')")))</f>
        <v/>
      </c>
      <c r="BN12" s="304" t="str" cm="1">
        <f t="array" ref="BN12">_xlfn.SINGLE(IF(ISERROR(_xll.FDSB($C$2,"FE_ESTIMATE(CURRENT_RPO,MEAN,QUARTERLY_ROLL,"&amp;BN$9&amp;","&amp;$C$5&amp;",,,'')")), "--", _xll.FDSB($C$2,"FE_ESTIMATE(CURRENT_RPO,MEAN,QUARTERLY_ROLL,"&amp;BN$9&amp;","&amp;$C$5&amp;",,,'')")))</f>
        <v/>
      </c>
      <c r="BO12" s="304" t="str" cm="1">
        <f t="array" ref="BO12">_xlfn.SINGLE(IF(ISERROR(_xll.FDSB($C$2,"FE_ESTIMATE(CURRENT_RPO,MEAN,QUARTERLY_ROLL,"&amp;BO$9&amp;","&amp;$C$5&amp;",,,'')")), "--", _xll.FDSB($C$2,"FE_ESTIMATE(CURRENT_RPO,MEAN,QUARTERLY_ROLL,"&amp;BO$9&amp;","&amp;$C$5&amp;",,,'')")))</f>
        <v/>
      </c>
      <c r="BP12" s="305" cm="1">
        <f t="array" ref="BP12">_xlfn.SINGLE(IF(ISERROR(_xll.FDSB($C$2,"FE_ESTIMATE(CURRENT_RPO,MEAN,ANNUAL_ROLL,"&amp;BP$9&amp;","&amp;$C$5&amp;",,,'')")), "--", _xll.FDSB($C$2,"FE_ESTIMATE(CURRENT_RPO,MEAN,ANNUAL_ROLL,"&amp;BP$9&amp;","&amp;$C$5&amp;",,,'')")))</f>
        <v>6148.9669999999996</v>
      </c>
    </row>
    <row r="13" spans="1:68" s="337" customFormat="1" hidden="1" outlineLevel="1">
      <c r="A13" s="57" t="s">
        <v>190</v>
      </c>
      <c r="B13" s="334" t="s">
        <v>32</v>
      </c>
      <c r="C13" s="334"/>
      <c r="D13" s="335"/>
      <c r="E13" s="335"/>
      <c r="F13" s="335"/>
      <c r="G13" s="335"/>
      <c r="H13" s="336"/>
      <c r="I13" s="335" t="str">
        <f t="shared" ref="I13:AN13" si="0">IFERROR(I12/D12-1,"--")</f>
        <v>--</v>
      </c>
      <c r="J13" s="335" t="str">
        <f t="shared" si="0"/>
        <v>--</v>
      </c>
      <c r="K13" s="335" t="str">
        <f t="shared" si="0"/>
        <v>--</v>
      </c>
      <c r="L13" s="335" t="str">
        <f t="shared" si="0"/>
        <v>--</v>
      </c>
      <c r="M13" s="336" t="str">
        <f t="shared" si="0"/>
        <v>--</v>
      </c>
      <c r="N13" s="335" t="str">
        <f t="shared" si="0"/>
        <v>--</v>
      </c>
      <c r="O13" s="335" t="str">
        <f t="shared" si="0"/>
        <v>--</v>
      </c>
      <c r="P13" s="335" t="str">
        <f t="shared" si="0"/>
        <v>--</v>
      </c>
      <c r="Q13" s="335" t="str">
        <f t="shared" si="0"/>
        <v>--</v>
      </c>
      <c r="R13" s="336" t="str">
        <f t="shared" si="0"/>
        <v>--</v>
      </c>
      <c r="S13" s="335" t="str">
        <f t="shared" si="0"/>
        <v>--</v>
      </c>
      <c r="T13" s="335" t="str">
        <f t="shared" si="0"/>
        <v>--</v>
      </c>
      <c r="U13" s="335" t="str">
        <f t="shared" si="0"/>
        <v>--</v>
      </c>
      <c r="V13" s="335" t="str">
        <f t="shared" si="0"/>
        <v>--</v>
      </c>
      <c r="W13" s="336" t="str">
        <f t="shared" si="0"/>
        <v>--</v>
      </c>
      <c r="X13" s="335" t="str">
        <f t="shared" si="0"/>
        <v>--</v>
      </c>
      <c r="Y13" s="335" t="str">
        <f t="shared" si="0"/>
        <v>--</v>
      </c>
      <c r="Z13" s="335" t="str">
        <f t="shared" si="0"/>
        <v>--</v>
      </c>
      <c r="AA13" s="335" t="str">
        <f t="shared" si="0"/>
        <v>--</v>
      </c>
      <c r="AB13" s="336" t="str">
        <f t="shared" si="0"/>
        <v>--</v>
      </c>
      <c r="AC13" s="335" t="str">
        <f t="shared" si="0"/>
        <v>--</v>
      </c>
      <c r="AD13" s="335" t="str">
        <f t="shared" si="0"/>
        <v>--</v>
      </c>
      <c r="AE13" s="335" t="str">
        <f t="shared" si="0"/>
        <v>--</v>
      </c>
      <c r="AF13" s="335" t="str">
        <f t="shared" si="0"/>
        <v>--</v>
      </c>
      <c r="AG13" s="336" t="str">
        <f t="shared" si="0"/>
        <v>--</v>
      </c>
      <c r="AH13" s="335" t="str">
        <f t="shared" si="0"/>
        <v>--</v>
      </c>
      <c r="AI13" s="335" t="str">
        <f t="shared" si="0"/>
        <v>--</v>
      </c>
      <c r="AJ13" s="335" t="str">
        <f t="shared" si="0"/>
        <v>--</v>
      </c>
      <c r="AK13" s="335" t="str">
        <f t="shared" si="0"/>
        <v>--</v>
      </c>
      <c r="AL13" s="336" t="str">
        <f t="shared" si="0"/>
        <v>--</v>
      </c>
      <c r="AM13" s="335" t="str">
        <f t="shared" si="0"/>
        <v>--</v>
      </c>
      <c r="AN13" s="335" t="str">
        <f t="shared" si="0"/>
        <v>--</v>
      </c>
      <c r="AO13" s="335" t="str">
        <f t="shared" ref="AO13:BP13" si="1">IFERROR(AO12/AJ12-1,"--")</f>
        <v>--</v>
      </c>
      <c r="AP13" s="335">
        <f t="shared" si="1"/>
        <v>0.47192982456140342</v>
      </c>
      <c r="AQ13" s="336">
        <f t="shared" si="1"/>
        <v>0.47192982456140342</v>
      </c>
      <c r="AR13" s="335">
        <f t="shared" si="1"/>
        <v>0.40464830477842839</v>
      </c>
      <c r="AS13" s="335">
        <f t="shared" si="1"/>
        <v>0.30344627111527411</v>
      </c>
      <c r="AT13" s="335">
        <f t="shared" si="1"/>
        <v>0.27168718520975976</v>
      </c>
      <c r="AU13" s="335">
        <f t="shared" si="1"/>
        <v>0.28507399682161316</v>
      </c>
      <c r="AV13" s="336">
        <f t="shared" si="1"/>
        <v>0.28507399682161316</v>
      </c>
      <c r="AW13" s="335">
        <f t="shared" si="1"/>
        <v>0.30924320012351725</v>
      </c>
      <c r="AX13" s="335">
        <f t="shared" si="1"/>
        <v>0.29627564674397866</v>
      </c>
      <c r="AY13" s="335">
        <f t="shared" si="1"/>
        <v>0.3594106172340823</v>
      </c>
      <c r="AZ13" s="335">
        <f t="shared" si="1"/>
        <v>0.27380899473455389</v>
      </c>
      <c r="BA13" s="336">
        <f t="shared" si="1"/>
        <v>0.27381672382976663</v>
      </c>
      <c r="BB13" s="335">
        <f t="shared" si="1"/>
        <v>0.31434035987696163</v>
      </c>
      <c r="BC13" s="335">
        <f t="shared" si="1"/>
        <v>0.32511350059737154</v>
      </c>
      <c r="BD13" s="335">
        <f t="shared" si="1"/>
        <v>0.28665969993021623</v>
      </c>
      <c r="BE13" s="335">
        <f t="shared" si="1"/>
        <v>0.27742859829982947</v>
      </c>
      <c r="BF13" s="336">
        <f t="shared" si="1"/>
        <v>0.27742084728896654</v>
      </c>
      <c r="BG13" s="335">
        <f t="shared" si="1"/>
        <v>0.26549860444631368</v>
      </c>
      <c r="BH13" s="335">
        <f t="shared" si="1"/>
        <v>0.25607616849394121</v>
      </c>
      <c r="BI13" s="335">
        <f t="shared" si="1"/>
        <v>0.24241820493714727</v>
      </c>
      <c r="BJ13" s="335">
        <f t="shared" si="1"/>
        <v>0.2292405553767074</v>
      </c>
      <c r="BK13" s="336">
        <f t="shared" si="1"/>
        <v>0.2292405553767074</v>
      </c>
      <c r="BL13" s="335" t="str">
        <f t="shared" si="1"/>
        <v>--</v>
      </c>
      <c r="BM13" s="335" t="str">
        <f t="shared" si="1"/>
        <v>--</v>
      </c>
      <c r="BN13" s="335" t="str">
        <f t="shared" si="1"/>
        <v>--</v>
      </c>
      <c r="BO13" s="335" t="str">
        <f t="shared" si="1"/>
        <v>--</v>
      </c>
      <c r="BP13" s="336">
        <f t="shared" si="1"/>
        <v>0.18801793725438665</v>
      </c>
    </row>
    <row r="14" spans="1:68" s="337" customFormat="1" hidden="1" outlineLevel="1">
      <c r="A14" s="57" t="s">
        <v>191</v>
      </c>
      <c r="B14" s="334" t="s">
        <v>33</v>
      </c>
      <c r="C14" s="334"/>
      <c r="D14" s="335"/>
      <c r="E14" s="335"/>
      <c r="F14" s="335"/>
      <c r="G14" s="335"/>
      <c r="H14" s="336"/>
      <c r="I14" s="335" t="str">
        <f>IFERROR(I12/G12-1,"--")</f>
        <v>--</v>
      </c>
      <c r="J14" s="335" t="str">
        <f>IFERROR(J12/I12-1,"--")</f>
        <v>--</v>
      </c>
      <c r="K14" s="335" t="str">
        <f>IFERROR(K12/J12-1,"--")</f>
        <v>--</v>
      </c>
      <c r="L14" s="335" t="str">
        <f>IFERROR(L12/K12-1,"--")</f>
        <v>--</v>
      </c>
      <c r="M14" s="336"/>
      <c r="N14" s="335" t="str">
        <f>IFERROR(N12/L12-1,"--")</f>
        <v>--</v>
      </c>
      <c r="O14" s="335" t="str">
        <f>IFERROR(O12/N12-1,"--")</f>
        <v>--</v>
      </c>
      <c r="P14" s="335" t="str">
        <f>IFERROR(P12/O12-1,"--")</f>
        <v>--</v>
      </c>
      <c r="Q14" s="335" t="str">
        <f>IFERROR(Q12/P12-1,"--")</f>
        <v>--</v>
      </c>
      <c r="R14" s="336"/>
      <c r="S14" s="335" t="str">
        <f>IFERROR(S12/Q12-1,"--")</f>
        <v>--</v>
      </c>
      <c r="T14" s="335" t="str">
        <f>IFERROR(T12/S12-1,"--")</f>
        <v>--</v>
      </c>
      <c r="U14" s="335" t="str">
        <f>IFERROR(U12/T12-1,"--")</f>
        <v>--</v>
      </c>
      <c r="V14" s="335" t="str">
        <f>IFERROR(V12/U12-1,"--")</f>
        <v>--</v>
      </c>
      <c r="W14" s="336"/>
      <c r="X14" s="335" t="str">
        <f>IFERROR(X12/V12-1,"--")</f>
        <v>--</v>
      </c>
      <c r="Y14" s="335" t="str">
        <f>IFERROR(Y12/X12-1,"--")</f>
        <v>--</v>
      </c>
      <c r="Z14" s="335" t="str">
        <f>IFERROR(Z12/Y12-1,"--")</f>
        <v>--</v>
      </c>
      <c r="AA14" s="335" t="str">
        <f>IFERROR(AA12/Z12-1,"--")</f>
        <v>--</v>
      </c>
      <c r="AB14" s="336"/>
      <c r="AC14" s="335" t="str">
        <f>IFERROR(AC12/AA12-1,"--")</f>
        <v>--</v>
      </c>
      <c r="AD14" s="335" t="str">
        <f>IFERROR(AD12/AC12-1,"--")</f>
        <v>--</v>
      </c>
      <c r="AE14" s="335" t="str">
        <f>IFERROR(AE12/AD12-1,"--")</f>
        <v>--</v>
      </c>
      <c r="AF14" s="335" t="str">
        <f>IFERROR(AF12/AE12-1,"--")</f>
        <v>--</v>
      </c>
      <c r="AG14" s="336"/>
      <c r="AH14" s="335" t="str">
        <f>IFERROR(AH12/AF12-1,"--")</f>
        <v>--</v>
      </c>
      <c r="AI14" s="335" t="str">
        <f>IFERROR(AI12/AH12-1,"--")</f>
        <v>--</v>
      </c>
      <c r="AJ14" s="335" t="str">
        <f>IFERROR(AJ12/AI12-1,"--")</f>
        <v>--</v>
      </c>
      <c r="AK14" s="335" t="str">
        <f>IFERROR(AK12/AJ12-1,"--")</f>
        <v>--</v>
      </c>
      <c r="AL14" s="336"/>
      <c r="AM14" s="335">
        <f>IFERROR(AM12/AK12-1,"--")</f>
        <v>1.1184210526315796E-2</v>
      </c>
      <c r="AN14" s="335">
        <f>IFERROR(AN12/AM12-1,"--")</f>
        <v>0.11909925540374466</v>
      </c>
      <c r="AO14" s="335">
        <f>IFERROR(AO12/AN12-1,"--")</f>
        <v>7.0927941603953437E-2</v>
      </c>
      <c r="AP14" s="335">
        <f>IFERROR(AP12/AO12-1,"--")</f>
        <v>0.21458515547244916</v>
      </c>
      <c r="AQ14" s="336"/>
      <c r="AR14" s="335">
        <f>IFERROR(AR12/AP12-1,"--")</f>
        <v>-3.5036750099324609E-2</v>
      </c>
      <c r="AS14" s="335">
        <f>IFERROR(AS12/AR12-1,"--")</f>
        <v>3.8470445948380227E-2</v>
      </c>
      <c r="AT14" s="335">
        <f>IFERROR(AT12/AS12-1,"--")</f>
        <v>4.4834274952918918E-2</v>
      </c>
      <c r="AU14" s="335">
        <f>IFERROR(AU12/AT12-1,"--")</f>
        <v>0.22737086476634416</v>
      </c>
      <c r="AV14" s="336"/>
      <c r="AW14" s="335">
        <f>IFERROR(AW12/AU12-1,"--")</f>
        <v>-1.6888073039949658E-2</v>
      </c>
      <c r="AX14" s="335">
        <f>IFERROR(AX12/AW12-1,"--")</f>
        <v>2.8184793183761325E-2</v>
      </c>
      <c r="AY14" s="335">
        <f>IFERROR(AY12/AX12-1,"--")</f>
        <v>9.5722819593787367E-2</v>
      </c>
      <c r="AZ14" s="335">
        <f>IFERROR(AZ12/AY12-1,"--")</f>
        <v>0.15008374040474526</v>
      </c>
      <c r="BA14" s="336"/>
      <c r="BB14" s="335">
        <f>IFERROR(BB12/AZ12-1,"--")</f>
        <v>1.4393593718713404E-2</v>
      </c>
      <c r="BC14" s="335">
        <f>IFERROR(BC12/BB12-1,"--")</f>
        <v>3.6612427152630023E-2</v>
      </c>
      <c r="BD14" s="335">
        <f>IFERROR(BD12/BC12-1,"--")</f>
        <v>6.3925764570109678E-2</v>
      </c>
      <c r="BE14" s="335">
        <f>IFERROR(BE12/BD12-1,"--")</f>
        <v>0.14183249892130756</v>
      </c>
      <c r="BF14" s="336"/>
      <c r="BG14" s="335">
        <f>IFERROR(BG12/BE12-1,"--")</f>
        <v>4.9201019288658276E-3</v>
      </c>
      <c r="BH14" s="335">
        <f>IFERROR(BH12/BG12-1,"--")</f>
        <v>2.8894193273934832E-2</v>
      </c>
      <c r="BI14" s="335">
        <f>IFERROR(BI12/BH12-1,"--")</f>
        <v>5.2357151388748413E-2</v>
      </c>
      <c r="BJ14" s="335">
        <f>IFERROR(BJ12/BI12-1,"--")</f>
        <v>0.12972170686456397</v>
      </c>
      <c r="BK14" s="336"/>
      <c r="BL14" s="335" t="str">
        <f>IFERROR(BL12/BJ12-1,"--")</f>
        <v>--</v>
      </c>
      <c r="BM14" s="335" t="str">
        <f>IFERROR(BM12/BL12-1,"--")</f>
        <v>--</v>
      </c>
      <c r="BN14" s="335" t="str">
        <f>IFERROR(BN12/BM12-1,"--")</f>
        <v>--</v>
      </c>
      <c r="BO14" s="335" t="str">
        <f>IFERROR(BO12/BN12-1,"--")</f>
        <v>--</v>
      </c>
      <c r="BP14" s="336"/>
    </row>
    <row r="15" spans="1:68" hidden="1" outlineLevel="1">
      <c r="B15" s="307"/>
      <c r="C15" s="286"/>
      <c r="D15" s="297"/>
      <c r="E15" s="297"/>
      <c r="F15" s="297"/>
      <c r="G15" s="297"/>
      <c r="H15" s="298"/>
      <c r="I15" s="299"/>
      <c r="J15" s="299"/>
      <c r="K15" s="299"/>
      <c r="L15" s="299"/>
      <c r="M15" s="300"/>
      <c r="N15" s="299"/>
      <c r="O15" s="299"/>
      <c r="P15" s="299"/>
      <c r="Q15" s="299"/>
      <c r="R15" s="300"/>
      <c r="S15" s="299"/>
      <c r="T15" s="299"/>
      <c r="U15" s="299"/>
      <c r="V15" s="299"/>
      <c r="W15" s="300"/>
      <c r="X15" s="299"/>
      <c r="Y15" s="299"/>
      <c r="Z15" s="299"/>
      <c r="AA15" s="299"/>
      <c r="AB15" s="300"/>
      <c r="AC15" s="299"/>
      <c r="AD15" s="299"/>
      <c r="AE15" s="299"/>
      <c r="AF15" s="299"/>
      <c r="AG15" s="300"/>
      <c r="AH15" s="299"/>
      <c r="AI15" s="299"/>
      <c r="AJ15" s="299"/>
      <c r="AK15" s="299"/>
      <c r="AL15" s="300"/>
      <c r="AM15" s="299"/>
      <c r="AN15" s="299"/>
      <c r="AO15" s="299"/>
      <c r="AP15" s="299"/>
      <c r="AQ15" s="300"/>
      <c r="AR15" s="299"/>
      <c r="AS15" s="299"/>
      <c r="AT15" s="299"/>
      <c r="AU15" s="299"/>
      <c r="AV15" s="300"/>
      <c r="AW15" s="299"/>
      <c r="AX15" s="299"/>
      <c r="AY15" s="299"/>
      <c r="AZ15" s="299"/>
      <c r="BA15" s="300"/>
      <c r="BB15" s="299"/>
      <c r="BC15" s="299"/>
      <c r="BD15" s="299"/>
      <c r="BE15" s="299"/>
      <c r="BF15" s="300"/>
      <c r="BG15" s="299"/>
      <c r="BH15" s="299"/>
      <c r="BI15" s="299"/>
      <c r="BJ15" s="299"/>
      <c r="BK15" s="300"/>
      <c r="BL15" s="299"/>
      <c r="BM15" s="299"/>
      <c r="BN15" s="299"/>
      <c r="BO15" s="299"/>
      <c r="BP15" s="300"/>
    </row>
    <row r="16" spans="1:68" s="306" customFormat="1" hidden="1" outlineLevel="1">
      <c r="A16" s="301" t="s">
        <v>94</v>
      </c>
      <c r="B16" s="302" t="s">
        <v>144</v>
      </c>
      <c r="C16" s="303"/>
      <c r="D16" s="304" t="str" cm="1">
        <f t="array" ref="D16">_xlfn.SINGLE(IF(ISERROR(_xll.FDSB($C$2,"FE_ESTIMATE(SPEC_GROSS_1,MEAN,QUARTERLY_ROLL,"&amp;D$9&amp;","&amp;$C$5&amp;",,,'')")), "--", _xll.FDSB($C$2,"FE_ESTIMATE(SPEC_GROSS_1,MEAN,QUARTERLY_ROLL,"&amp;D$9&amp;","&amp;$C$5&amp;",,,'')")))</f>
        <v/>
      </c>
      <c r="E16" s="304" t="str" cm="1">
        <f t="array" ref="E16">_xlfn.SINGLE(IF(ISERROR(_xll.FDSB($C$2,"FE_ESTIMATE(SPEC_GROSS_1,MEAN,QUARTERLY_ROLL,"&amp;E$9&amp;","&amp;$C$5&amp;",,,'')")), "--", _xll.FDSB($C$2,"FE_ESTIMATE(SPEC_GROSS_1,MEAN,QUARTERLY_ROLL,"&amp;E$9&amp;","&amp;$C$5&amp;",,,'')")))</f>
        <v/>
      </c>
      <c r="F16" s="304" t="str" cm="1">
        <f t="array" ref="F16">_xlfn.SINGLE(IF(ISERROR(_xll.FDSB($C$2,"FE_ESTIMATE(SPEC_GROSS_1,MEAN,QUARTERLY_ROLL,"&amp;F$9&amp;","&amp;$C$5&amp;",,,'')")), "--", _xll.FDSB($C$2,"FE_ESTIMATE(SPEC_GROSS_1,MEAN,QUARTERLY_ROLL,"&amp;F$9&amp;","&amp;$C$5&amp;",,,'')")))</f>
        <v/>
      </c>
      <c r="G16" s="304" t="str" cm="1">
        <f t="array" ref="G16">_xlfn.SINGLE(IF(ISERROR(_xll.FDSB($C$2,"FE_ESTIMATE(SPEC_GROSS_1,MEAN,QUARTERLY_ROLL,"&amp;G$9&amp;","&amp;$C$5&amp;",,,'')")), "--", _xll.FDSB($C$2,"FE_ESTIMATE(SPEC_GROSS_1,MEAN,QUARTERLY_ROLL,"&amp;G$9&amp;","&amp;$C$5&amp;",,,'')")))</f>
        <v/>
      </c>
      <c r="H16" s="305" t="str" cm="1">
        <f t="array" ref="H16">_xlfn.SINGLE(IF(ISERROR(_xll.FDSB($C$2,"FE_ESTIMATE(SPEC_GROSS_1,MEAN,annual_ROLL,"&amp;H$9&amp;","&amp;$C$5&amp;",,,'')")), "--", _xll.FDSB($C$2,"FE_ESTIMATE(SPEC_GROSS_1,MEAN,ANNUAL_ROLL,"&amp;H$9&amp;","&amp;$C$5&amp;",,,'')")))</f>
        <v/>
      </c>
      <c r="I16" s="304" t="str" cm="1">
        <f t="array" ref="I16">_xlfn.SINGLE(IF(ISERROR(_xll.FDSB($C$2,"FE_ESTIMATE(SPEC_GROSS_1,MEAN,QUARTERLY_ROLL,"&amp;I$9&amp;","&amp;$C$5&amp;",,,'')")), "--", _xll.FDSB($C$2,"FE_ESTIMATE(SPEC_GROSS_1,MEAN,QUARTERLY_ROLL,"&amp;I$9&amp;","&amp;$C$5&amp;",,,'')")))</f>
        <v/>
      </c>
      <c r="J16" s="304" t="str" cm="1">
        <f t="array" ref="J16">_xlfn.SINGLE(IF(ISERROR(_xll.FDSB($C$2,"FE_ESTIMATE(SPEC_GROSS_1,MEAN,QUARTERLY_ROLL,"&amp;J$9&amp;","&amp;$C$5&amp;",,,'')")), "--", _xll.FDSB($C$2,"FE_ESTIMATE(SPEC_GROSS_1,MEAN,QUARTERLY_ROLL,"&amp;J$9&amp;","&amp;$C$5&amp;",,,'')")))</f>
        <v/>
      </c>
      <c r="K16" s="304" t="str" cm="1">
        <f t="array" ref="K16">_xlfn.SINGLE(IF(ISERROR(_xll.FDSB($C$2,"FE_ESTIMATE(SPEC_GROSS_1,MEAN,QUARTERLY_ROLL,"&amp;K$9&amp;","&amp;$C$5&amp;",,,'')")), "--", _xll.FDSB($C$2,"FE_ESTIMATE(SPEC_GROSS_1,MEAN,QUARTERLY_ROLL,"&amp;K$9&amp;","&amp;$C$5&amp;",,,'')")))</f>
        <v/>
      </c>
      <c r="L16" s="304" t="str" cm="1">
        <f t="array" ref="L16">_xlfn.SINGLE(IF(ISERROR(_xll.FDSB($C$2,"FE_ESTIMATE(SPEC_GROSS_1,MEAN,QUARTERLY_ROLL,"&amp;L$9&amp;","&amp;$C$5&amp;",,,'')")), "--", _xll.FDSB($C$2,"FE_ESTIMATE(SPEC_GROSS_1,MEAN,QUARTERLY_ROLL,"&amp;L$9&amp;","&amp;$C$5&amp;",,,'')")))</f>
        <v/>
      </c>
      <c r="M16" s="305" t="str" cm="1">
        <f t="array" ref="M16">_xlfn.SINGLE(IF(ISERROR(_xll.FDSB($C$2,"FE_ESTIMATE(SPEC_GROSS_1,MEAN,ANNUAL_ROLL,"&amp;M$9&amp;","&amp;$C$5&amp;",,,'')")), "--", _xll.FDSB($C$2,"FE_ESTIMATE(SPEC_GROSS_1,MEAN,ANNUAL_ROLL,"&amp;M$9&amp;","&amp;$C$5&amp;",,,'')")))</f>
        <v/>
      </c>
      <c r="N16" s="304" t="str" cm="1">
        <f t="array" ref="N16">_xlfn.SINGLE(IF(ISERROR(_xll.FDSB($C$2,"FE_ESTIMATE(SPEC_GROSS_1,MEAN,QUARTERLY_ROLL,"&amp;N$9&amp;","&amp;$C$5&amp;",,,'')")), "--", _xll.FDSB($C$2,"FE_ESTIMATE(SPEC_GROSS_1,MEAN,QUARTERLY_ROLL,"&amp;N$9&amp;","&amp;$C$5&amp;",,,'')")))</f>
        <v/>
      </c>
      <c r="O16" s="304" t="str" cm="1">
        <f t="array" ref="O16">_xlfn.SINGLE(IF(ISERROR(_xll.FDSB($C$2,"FE_ESTIMATE(SPEC_GROSS_1,MEAN,QUARTERLY_ROLL,"&amp;O$9&amp;","&amp;$C$5&amp;",,,'')")), "--", _xll.FDSB($C$2,"FE_ESTIMATE(SPEC_GROSS_1,MEAN,QUARTERLY_ROLL,"&amp;O$9&amp;","&amp;$C$5&amp;",,,'')")))</f>
        <v/>
      </c>
      <c r="P16" s="304" t="str" cm="1">
        <f t="array" ref="P16">_xlfn.SINGLE(IF(ISERROR(_xll.FDSB($C$2,"FE_ESTIMATE(SPEC_GROSS_1,MEAN,QUARTERLY_ROLL,"&amp;P$9&amp;","&amp;$C$5&amp;",,,'')")), "--", _xll.FDSB($C$2,"FE_ESTIMATE(SPEC_GROSS_1,MEAN,QUARTERLY_ROLL,"&amp;P$9&amp;","&amp;$C$5&amp;",,,'')")))</f>
        <v/>
      </c>
      <c r="Q16" s="304" t="str" cm="1">
        <f t="array" ref="Q16">_xlfn.SINGLE(IF(ISERROR(_xll.FDSB($C$2,"FE_ESTIMATE(SPEC_GROSS_1,MEAN,QUARTERLY_ROLL,"&amp;Q$9&amp;","&amp;$C$5&amp;",,,'')")), "--", _xll.FDSB($C$2,"FE_ESTIMATE(SPEC_GROSS_1,MEAN,QUARTERLY_ROLL,"&amp;Q$9&amp;","&amp;$C$5&amp;",,,'')")))</f>
        <v/>
      </c>
      <c r="R16" s="305" t="str" cm="1">
        <f t="array" ref="R16">_xlfn.SINGLE(IF(ISERROR(_xll.FDSB($C$2,"FE_ESTIMATE(SPEC_GROSS_1,MEAN,ANNUAL_ROLL,"&amp;R$9&amp;","&amp;$C$5&amp;",,,'')")), "--", _xll.FDSB($C$2,"FE_ESTIMATE(SPEC_GROSS_1,MEAN,ANNUAL_ROLL,"&amp;R$9&amp;","&amp;$C$5&amp;",,,'')")))</f>
        <v/>
      </c>
      <c r="S16" s="304" t="str" cm="1">
        <f t="array" ref="S16">_xlfn.SINGLE(IF(ISERROR(_xll.FDSB($C$2,"FE_ESTIMATE(SPEC_GROSS_1,MEAN,QUARTERLY_ROLL,"&amp;S$9&amp;","&amp;$C$5&amp;",,,'')")), "--", _xll.FDSB($C$2,"FE_ESTIMATE(SPEC_GROSS_1,MEAN,QUARTERLY_ROLL,"&amp;S$9&amp;","&amp;$C$5&amp;",,,'')")))</f>
        <v/>
      </c>
      <c r="T16" s="304" t="str" cm="1">
        <f t="array" ref="T16">_xlfn.SINGLE(IF(ISERROR(_xll.FDSB($C$2,"FE_ESTIMATE(SPEC_GROSS_1,MEAN,QUARTERLY_ROLL,"&amp;T$9&amp;","&amp;$C$5&amp;",,,'')")), "--", _xll.FDSB($C$2,"FE_ESTIMATE(SPEC_GROSS_1,MEAN,QUARTERLY_ROLL,"&amp;T$9&amp;","&amp;$C$5&amp;",,,'')")))</f>
        <v/>
      </c>
      <c r="U16" s="304" t="str" cm="1">
        <f t="array" ref="U16">_xlfn.SINGLE(IF(ISERROR(_xll.FDSB($C$2,"FE_ESTIMATE(SPEC_GROSS_1,MEAN,QUARTERLY_ROLL,"&amp;U$9&amp;","&amp;$C$5&amp;",,,'')")), "--", _xll.FDSB($C$2,"FE_ESTIMATE(SPEC_GROSS_1,MEAN,QUARTERLY_ROLL,"&amp;U$9&amp;","&amp;$C$5&amp;",,,'')")))</f>
        <v/>
      </c>
      <c r="V16" s="304" t="str" cm="1">
        <f t="array" ref="V16">_xlfn.SINGLE(IF(ISERROR(_xll.FDSB($C$2,"FE_ESTIMATE(SPEC_GROSS_1,MEAN,QUARTERLY_ROLL,"&amp;V$9&amp;","&amp;$C$5&amp;",,,'')")), "--", _xll.FDSB($C$2,"FE_ESTIMATE(SPEC_GROSS_1,MEAN,QUARTERLY_ROLL,"&amp;V$9&amp;","&amp;$C$5&amp;",,,'')")))</f>
        <v/>
      </c>
      <c r="W16" s="305" t="str" cm="1">
        <f t="array" ref="W16">_xlfn.SINGLE(IF(ISERROR(_xll.FDSB($C$2,"FE_ESTIMATE(SPEC_GROSS_1,MEAN,ANNUAL_ROLL,"&amp;W$9&amp;","&amp;$C$5&amp;",,,'')")), "--", _xll.FDSB($C$2,"FE_ESTIMATE(SPEC_GROSS_1,MEAN,ANNUAL_ROLL,"&amp;W$9&amp;","&amp;$C$5&amp;",,,'')")))</f>
        <v/>
      </c>
      <c r="X16" s="304" t="str" cm="1">
        <f t="array" ref="X16">_xlfn.SINGLE(IF(ISERROR(_xll.FDSB($C$2,"FE_ESTIMATE(SPEC_GROSS_1,MEAN,QUARTERLY_ROLL,"&amp;X$9&amp;","&amp;$C$5&amp;",,,'')")), "--", _xll.FDSB($C$2,"FE_ESTIMATE(SPEC_GROSS_1,MEAN,QUARTERLY_ROLL,"&amp;X$9&amp;","&amp;$C$5&amp;",,,'')")))</f>
        <v/>
      </c>
      <c r="Y16" s="304" t="str" cm="1">
        <f t="array" ref="Y16">_xlfn.SINGLE(IF(ISERROR(_xll.FDSB($C$2,"FE_ESTIMATE(SPEC_GROSS_1,MEAN,QUARTERLY_ROLL,"&amp;Y$9&amp;","&amp;$C$5&amp;",,,'')")), "--", _xll.FDSB($C$2,"FE_ESTIMATE(SPEC_GROSS_1,MEAN,QUARTERLY_ROLL,"&amp;Y$9&amp;","&amp;$C$5&amp;",,,'')")))</f>
        <v/>
      </c>
      <c r="Z16" s="304" t="str" cm="1">
        <f t="array" ref="Z16">_xlfn.SINGLE(IF(ISERROR(_xll.FDSB($C$2,"FE_ESTIMATE(SPEC_GROSS_1,MEAN,QUARTERLY_ROLL,"&amp;Z$9&amp;","&amp;$C$5&amp;",,,'')")), "--", _xll.FDSB($C$2,"FE_ESTIMATE(SPEC_GROSS_1,MEAN,QUARTERLY_ROLL,"&amp;Z$9&amp;","&amp;$C$5&amp;",,,'')")))</f>
        <v/>
      </c>
      <c r="AA16" s="304" t="str" cm="1">
        <f t="array" ref="AA16">_xlfn.SINGLE(IF(ISERROR(_xll.FDSB($C$2,"FE_ESTIMATE(SPEC_GROSS_1,MEAN,QUARTERLY_ROLL,"&amp;AA$9&amp;","&amp;$C$5&amp;",,,'')")), "--", _xll.FDSB($C$2,"FE_ESTIMATE(SPEC_GROSS_1,MEAN,QUARTERLY_ROLL,"&amp;AA$9&amp;","&amp;$C$5&amp;",,,'')")))</f>
        <v/>
      </c>
      <c r="AB16" s="305" t="str" cm="1">
        <f t="array" ref="AB16">_xlfn.SINGLE(IF(ISERROR(_xll.FDSB($C$2,"FE_ESTIMATE(SPEC_GROSS_1,MEAN,ANNUAL_ROLL,"&amp;AB$9&amp;","&amp;$C$5&amp;",,,'')")), "--", _xll.FDSB($C$2,"FE_ESTIMATE(SPEC_GROSS_1,MEAN,ANNUAL_ROLL,"&amp;AB$9&amp;","&amp;$C$5&amp;",,,'')")))</f>
        <v/>
      </c>
      <c r="AC16" s="304" t="str" cm="1">
        <f t="array" ref="AC16">_xlfn.SINGLE(IF(ISERROR(_xll.FDSB($C$2,"FE_ESTIMATE(SPEC_GROSS_1,MEAN,QUARTERLY_ROLL,"&amp;AC$9&amp;","&amp;$C$5&amp;",,,'')")), "--", _xll.FDSB($C$2,"FE_ESTIMATE(SPEC_GROSS_1,MEAN,QUARTERLY_ROLL,"&amp;AC$9&amp;","&amp;$C$5&amp;",,,'')")))</f>
        <v/>
      </c>
      <c r="AD16" s="304" cm="1">
        <f t="array" ref="AD16">_xlfn.SINGLE(IF(ISERROR(_xll.FDSB($C$2,"FE_ESTIMATE(SPEC_GROSS_1,MEAN,QUARTERLY_ROLL,"&amp;AD$9&amp;","&amp;$C$5&amp;",,,'')")), "--", _xll.FDSB($C$2,"FE_ESTIMATE(SPEC_GROSS_1,MEAN,QUARTERLY_ROLL,"&amp;AD$9&amp;","&amp;$C$5&amp;",,,'')")))</f>
        <v>684.1</v>
      </c>
      <c r="AE16" s="304" cm="1">
        <f t="array" ref="AE16">_xlfn.SINGLE(IF(ISERROR(_xll.FDSB($C$2,"FE_ESTIMATE(SPEC_GROSS_1,MEAN,QUARTERLY_ROLL,"&amp;AE$9&amp;","&amp;$C$5&amp;",,,'')")), "--", _xll.FDSB($C$2,"FE_ESTIMATE(SPEC_GROSS_1,MEAN,QUARTERLY_ROLL,"&amp;AE$9&amp;","&amp;$C$5&amp;",,,'')")))</f>
        <v>927.98</v>
      </c>
      <c r="AF16" s="304" cm="1">
        <f t="array" ref="AF16">_xlfn.SINGLE(IF(ISERROR(_xll.FDSB($C$2,"FE_ESTIMATE(SPEC_GROSS_1,MEAN,QUARTERLY_ROLL,"&amp;AF$9&amp;","&amp;$C$5&amp;",,,'')")), "--", _xll.FDSB($C$2,"FE_ESTIMATE(SPEC_GROSS_1,MEAN,QUARTERLY_ROLL,"&amp;AF$9&amp;","&amp;$C$5&amp;",,,'')")))</f>
        <v>1333</v>
      </c>
      <c r="AG16" s="305" cm="1">
        <f t="array" ref="AG16">_xlfn.SINGLE(IF(ISERROR(_xll.FDSB($C$2,"FE_ESTIMATE(SPEC_GROSS_1,MEAN,ANNUAL_ROLL,"&amp;AG$9&amp;","&amp;$C$5&amp;",,,'')")), "--", _xll.FDSB($C$2,"FE_ESTIMATE(SPEC_GROSS_1,MEAN,ANNUAL_ROLL,"&amp;AG$9&amp;","&amp;$C$5&amp;",,,'')")))</f>
        <v>1333</v>
      </c>
      <c r="AH16" s="304" cm="1">
        <f t="array" ref="AH16">_xlfn.SINGLE(IF(ISERROR(_xll.FDSB($C$2,"FE_ESTIMATE(SPEC_GROSS_1,MEAN,QUARTERLY_ROLL,"&amp;AH$9&amp;","&amp;$C$5&amp;",,,'')")), "--", _xll.FDSB($C$2,"FE_ESTIMATE(SPEC_GROSS_1,MEAN,QUARTERLY_ROLL,"&amp;AH$9&amp;","&amp;$C$5&amp;",,,'')")))</f>
        <v>1432</v>
      </c>
      <c r="AI16" s="304" cm="1">
        <f t="array" ref="AI16">_xlfn.SINGLE(IF(ISERROR(_xll.FDSB($C$2,"FE_ESTIMATE(SPEC_GROSS_1,MEAN,QUARTERLY_ROLL,"&amp;AI$9&amp;","&amp;$C$5&amp;",,,'')")), "--", _xll.FDSB($C$2,"FE_ESTIMATE(SPEC_GROSS_1,MEAN,QUARTERLY_ROLL,"&amp;AI$9&amp;","&amp;$C$5&amp;",,,'')")))</f>
        <v>1529</v>
      </c>
      <c r="AJ16" s="304" cm="1">
        <f t="array" ref="AJ16">_xlfn.SINGLE(IF(ISERROR(_xll.FDSB($C$2,"FE_ESTIMATE(SPEC_GROSS_1,MEAN,QUARTERLY_ROLL,"&amp;AJ$9&amp;","&amp;$C$5&amp;",,,'')")), "--", _xll.FDSB($C$2,"FE_ESTIMATE(SPEC_GROSS_1,MEAN,QUARTERLY_ROLL,"&amp;AJ$9&amp;","&amp;$C$5&amp;",,,'')")))</f>
        <v>1803.2</v>
      </c>
      <c r="AK16" s="304" cm="1">
        <f t="array" ref="AK16">_xlfn.SINGLE(IF(ISERROR(_xll.FDSB($C$2,"FE_ESTIMATE(SPEC_GROSS_1,MEAN,QUARTERLY_ROLL,"&amp;AK$9&amp;","&amp;$C$5&amp;",,,'')")), "--", _xll.FDSB($C$2,"FE_ESTIMATE(SPEC_GROSS_1,MEAN,QUARTERLY_ROLL,"&amp;AK$9&amp;","&amp;$C$5&amp;",,,'')")))</f>
        <v>2623</v>
      </c>
      <c r="AL16" s="305" cm="1">
        <f t="array" ref="AL16">_xlfn.SINGLE(IF(ISERROR(_xll.FDSB($C$2,"FE_ESTIMATE(SPEC_GROSS_1,MEAN,ANNUAL_ROLL,"&amp;AL$9&amp;","&amp;$C$5&amp;",,,'')")), "--", _xll.FDSB($C$2,"FE_ESTIMATE(SPEC_GROSS_1,MEAN,ANNUAL_ROLL,"&amp;AL$9&amp;","&amp;$C$5&amp;",,,'')")))</f>
        <v>2646</v>
      </c>
      <c r="AM16" s="304" cm="1">
        <f t="array" ref="AM16">_xlfn.SINGLE(IF(ISERROR(_xll.FDSB($C$2,"FE_ESTIMATE(SPEC_GROSS_1,MEAN,QUARTERLY_ROLL,"&amp;AM$9&amp;","&amp;$C$5&amp;",,,'')")), "--", _xll.FDSB($C$2,"FE_ESTIMATE(SPEC_GROSS_1,MEAN,QUARTERLY_ROLL,"&amp;AM$9&amp;","&amp;$C$5&amp;",,,'')")))</f>
        <v>2608</v>
      </c>
      <c r="AN16" s="304" cm="1">
        <f t="array" ref="AN16">_xlfn.SINGLE(IF(ISERROR(_xll.FDSB($C$2,"FE_ESTIMATE(SPEC_GROSS_1,MEAN,QUARTERLY_ROLL,"&amp;AN$9&amp;","&amp;$C$5&amp;",,,'')")), "--", _xll.FDSB($C$2,"FE_ESTIMATE(SPEC_GROSS_1,MEAN,QUARTERLY_ROLL,"&amp;AN$9&amp;","&amp;$C$5&amp;",,,'')")))</f>
        <v>2716</v>
      </c>
      <c r="AO16" s="304" cm="1">
        <f t="array" ref="AO16">_xlfn.SINGLE(IF(ISERROR(_xll.FDSB($C$2,"FE_ESTIMATE(SPEC_GROSS_1,MEAN,QUARTERLY_ROLL,"&amp;AO$9&amp;","&amp;$C$5&amp;",,,'')")), "--", _xll.FDSB($C$2,"FE_ESTIMATE(SPEC_GROSS_1,MEAN,QUARTERLY_ROLL,"&amp;AO$9&amp;","&amp;$C$5&amp;",,,'')")))</f>
        <v>3002.3445000000002</v>
      </c>
      <c r="AP16" s="304" cm="1">
        <f t="array" ref="AP16">_xlfn.SINGLE(IF(ISERROR(_xll.FDSB($C$2,"FE_ESTIMATE(SPEC_GROSS_1,MEAN,QUARTERLY_ROLL,"&amp;AP$9&amp;","&amp;$C$5&amp;",,,'')")), "--", _xll.FDSB($C$2,"FE_ESTIMATE(SPEC_GROSS_1,MEAN,QUARTERLY_ROLL,"&amp;AP$9&amp;","&amp;$C$5&amp;",,,'')")))</f>
        <v>3665.875</v>
      </c>
      <c r="AQ16" s="305" cm="1">
        <f t="array" ref="AQ16">_xlfn.SINGLE(IF(ISERROR(_xll.FDSB($C$2,"FE_ESTIMATE(SPEC_GROSS_1,MEAN,ANNUAL_ROLL,"&amp;AQ$9&amp;","&amp;$C$5&amp;",,,'')")), "--", _xll.FDSB($C$2,"FE_ESTIMATE(SPEC_GROSS_1,MEAN,ANNUAL_ROLL,"&amp;AQ$9&amp;","&amp;$C$5&amp;",,,'')")))</f>
        <v>3666.5715</v>
      </c>
      <c r="AR16" s="304" t="str" cm="1">
        <f t="array" ref="AR16">_xlfn.SINGLE(IF(ISERROR(_xll.FDSB($C$2,"FE_ESTIMATE(SPEC_GROSS_1,MEAN,QUARTERLY_ROLL,"&amp;AR$9&amp;","&amp;$C$5&amp;",,,'')")), "--", _xll.FDSB($C$2,"FE_ESTIMATE(SPEC_GROSS_1,MEAN,QUARTERLY_ROLL,"&amp;AR$9&amp;","&amp;$C$5&amp;",,,'')")))</f>
        <v/>
      </c>
      <c r="AS16" s="304" t="str" cm="1">
        <f t="array" ref="AS16">_xlfn.SINGLE(IF(ISERROR(_xll.FDSB($C$2,"FE_ESTIMATE(SPEC_GROSS_1,MEAN,QUARTERLY_ROLL,"&amp;AS$9&amp;","&amp;$C$5&amp;",,,'')")), "--", _xll.FDSB($C$2,"FE_ESTIMATE(SPEC_GROSS_1,MEAN,QUARTERLY_ROLL,"&amp;AS$9&amp;","&amp;$C$5&amp;",,,'')")))</f>
        <v/>
      </c>
      <c r="AT16" s="304" t="str" cm="1">
        <f t="array" ref="AT16">_xlfn.SINGLE(IF(ISERROR(_xll.FDSB($C$2,"FE_ESTIMATE(SPEC_GROSS_1,MEAN,QUARTERLY_ROLL,"&amp;AT$9&amp;","&amp;$C$5&amp;",,,'')")), "--", _xll.FDSB($C$2,"FE_ESTIMATE(SPEC_GROSS_1,MEAN,QUARTERLY_ROLL,"&amp;AT$9&amp;","&amp;$C$5&amp;",,,'')")))</f>
        <v/>
      </c>
      <c r="AU16" s="304" t="str" cm="1">
        <f t="array" ref="AU16">_xlfn.SINGLE(IF(ISERROR(_xll.FDSB($C$2,"FE_ESTIMATE(SPEC_GROSS_1,MEAN,QUARTERLY_ROLL,"&amp;AU$9&amp;","&amp;$C$5&amp;",,,'')")), "--", _xll.FDSB($C$2,"FE_ESTIMATE(SPEC_GROSS_1,MEAN,QUARTERLY_ROLL,"&amp;AU$9&amp;","&amp;$C$5&amp;",,,'')")))</f>
        <v/>
      </c>
      <c r="AV16" s="305" t="str" cm="1">
        <f t="array" ref="AV16">_xlfn.SINGLE(IF(ISERROR(_xll.FDSB($C$2,"FE_ESTIMATE(SPEC_GROSS_1,MEAN,ANNUAL_ROLL,"&amp;AV$9&amp;","&amp;$C$5&amp;",,,'')")), "--", _xll.FDSB($C$2,"FE_ESTIMATE(SPEC_GROSS_1,MEAN,ANNUAL_ROLL,"&amp;AV$9&amp;","&amp;$C$5&amp;",,,'')")))</f>
        <v/>
      </c>
      <c r="AW16" s="304" t="str" cm="1">
        <f t="array" ref="AW16">_xlfn.SINGLE(IF(ISERROR(_xll.FDSB($C$2,"FE_ESTIMATE(SPEC_GROSS_1,MEAN,QUARTERLY_ROLL,"&amp;AW$9&amp;","&amp;$C$5&amp;",,,'')")), "--", _xll.FDSB($C$2,"FE_ESTIMATE(SPEC_GROSS_1,MEAN,QUARTERLY_ROLL,"&amp;AW$9&amp;","&amp;$C$5&amp;",,,'')")))</f>
        <v/>
      </c>
      <c r="AX16" s="304" t="str" cm="1">
        <f t="array" ref="AX16">_xlfn.SINGLE(IF(ISERROR(_xll.FDSB($C$2,"FE_ESTIMATE(SPEC_GROSS_1,MEAN,QUARTERLY_ROLL,"&amp;AX$9&amp;","&amp;$C$5&amp;",,,'')")), "--", _xll.FDSB($C$2,"FE_ESTIMATE(SPEC_GROSS_1,MEAN,QUARTERLY_ROLL,"&amp;AX$9&amp;","&amp;$C$5&amp;",,,'')")))</f>
        <v/>
      </c>
      <c r="AY16" s="304" t="str" cm="1">
        <f t="array" ref="AY16">_xlfn.SINGLE(IF(ISERROR(_xll.FDSB($C$2,"FE_ESTIMATE(SPEC_GROSS_1,MEAN,QUARTERLY_ROLL,"&amp;AY$9&amp;","&amp;$C$5&amp;",,,'')")), "--", _xll.FDSB($C$2,"FE_ESTIMATE(SPEC_GROSS_1,MEAN,QUARTERLY_ROLL,"&amp;AY$9&amp;","&amp;$C$5&amp;",,,'')")))</f>
        <v/>
      </c>
      <c r="AZ16" s="304" t="str" cm="1">
        <f t="array" ref="AZ16">_xlfn.SINGLE(IF(ISERROR(_xll.FDSB($C$2,"FE_ESTIMATE(SPEC_GROSS_1,MEAN,QUARTERLY_ROLL,"&amp;AZ$9&amp;","&amp;$C$5&amp;",,,'')")), "--", _xll.FDSB($C$2,"FE_ESTIMATE(SPEC_GROSS_1,MEAN,QUARTERLY_ROLL,"&amp;AZ$9&amp;","&amp;$C$5&amp;",,,'')")))</f>
        <v/>
      </c>
      <c r="BA16" s="305" t="str" cm="1">
        <f t="array" ref="BA16">_xlfn.SINGLE(IF(ISERROR(_xll.FDSB($C$2,"FE_ESTIMATE(SPEC_GROSS_1,MEAN,ANNUAL_ROLL,"&amp;BA$9&amp;","&amp;$C$5&amp;",,,'')")), "--", _xll.FDSB($C$2,"FE_ESTIMATE(SPEC_GROSS_1,MEAN,ANNUAL_ROLL,"&amp;BA$9&amp;","&amp;$C$5&amp;",,,'')")))</f>
        <v/>
      </c>
      <c r="BB16" s="304" t="str" cm="1">
        <f t="array" ref="BB16">_xlfn.SINGLE(IF(ISERROR(_xll.FDSB($C$2,"FE_ESTIMATE(SPEC_GROSS_1,MEAN,QUARTERLY_ROLL,"&amp;BB$9&amp;","&amp;$C$5&amp;",,,'')")), "--", _xll.FDSB($C$2,"FE_ESTIMATE(SPEC_GROSS_1,MEAN,QUARTERLY_ROLL,"&amp;BB$9&amp;","&amp;$C$5&amp;",,,'')")))</f>
        <v/>
      </c>
      <c r="BC16" s="304" cm="1">
        <f t="array" ref="BC16">_xlfn.SINGLE(IF(ISERROR(_xll.FDSB($C$2,"FE_ESTIMATE(SPEC_GROSS_1,MEAN,QUARTERLY_ROLL,"&amp;BC$9&amp;","&amp;$C$5&amp;",,,'')")), "--", _xll.FDSB($C$2,"FE_ESTIMATE(SPEC_GROSS_1,MEAN,QUARTERLY_ROLL,"&amp;BC$9&amp;","&amp;$C$5&amp;",,,'')")))</f>
        <v>6897.5</v>
      </c>
      <c r="BD16" s="304" cm="1">
        <f t="array" ref="BD16">_xlfn.SINGLE(IF(ISERROR(_xll.FDSB($C$2,"FE_ESTIMATE(SPEC_GROSS_1,MEAN,QUARTERLY_ROLL,"&amp;BD$9&amp;","&amp;$C$5&amp;",,,'')")), "--", _xll.FDSB($C$2,"FE_ESTIMATE(SPEC_GROSS_1,MEAN,QUARTERLY_ROLL,"&amp;BD$9&amp;","&amp;$C$5&amp;",,,'')")))</f>
        <v>7429.0673999999999</v>
      </c>
      <c r="BE16" s="304" cm="1">
        <f t="array" ref="BE16">_xlfn.SINGLE(IF(ISERROR(_xll.FDSB($C$2,"FE_ESTIMATE(SPEC_GROSS_1,MEAN,QUARTERLY_ROLL,"&amp;BE$9&amp;","&amp;$C$5&amp;",,,'')")), "--", _xll.FDSB($C$2,"FE_ESTIMATE(SPEC_GROSS_1,MEAN,QUARTERLY_ROLL,"&amp;BE$9&amp;","&amp;$C$5&amp;",,,'')")))</f>
        <v>8782.875</v>
      </c>
      <c r="BF16" s="305" cm="1">
        <f t="array" ref="BF16">_xlfn.SINGLE(IF(ISERROR(_xll.FDSB($C$2,"FE_ESTIMATE(SPEC_GROSS_1,MEAN,ANNUAL_ROLL,"&amp;BF$9&amp;","&amp;$C$5&amp;",,,'')")), "--", _xll.FDSB($C$2,"FE_ESTIMATE(SPEC_GROSS_1,MEAN,ANNUAL_ROLL,"&amp;BF$9&amp;","&amp;$C$5&amp;",,,'')")))</f>
        <v>8755.18</v>
      </c>
      <c r="BG16" s="304" cm="1">
        <f t="array" ref="BG16">_xlfn.SINGLE(IF(ISERROR(_xll.FDSB($C$2,"FE_ESTIMATE(SPEC_GROSS_1,MEAN,QUARTERLY_ROLL,"&amp;BG$9&amp;","&amp;$C$5&amp;",,,'')")), "--", _xll.FDSB($C$2,"FE_ESTIMATE(SPEC_GROSS_1,MEAN,QUARTERLY_ROLL,"&amp;BG$9&amp;","&amp;$C$5&amp;",,,'')")))</f>
        <v>8530.9719999999998</v>
      </c>
      <c r="BH16" s="304" cm="1">
        <f t="array" ref="BH16">_xlfn.SINGLE(IF(ISERROR(_xll.FDSB($C$2,"FE_ESTIMATE(SPEC_GROSS_1,MEAN,QUARTERLY_ROLL,"&amp;BH$9&amp;","&amp;$C$5&amp;",,,'')")), "--", _xll.FDSB($C$2,"FE_ESTIMATE(SPEC_GROSS_1,MEAN,QUARTERLY_ROLL,"&amp;BH$9&amp;","&amp;$C$5&amp;",,,'')")))</f>
        <v>8797.0280000000002</v>
      </c>
      <c r="BI16" s="304" cm="1">
        <f t="array" ref="BI16">_xlfn.SINGLE(IF(ISERROR(_xll.FDSB($C$2,"FE_ESTIMATE(SPEC_GROSS_1,MEAN,QUARTERLY_ROLL,"&amp;BI$9&amp;","&amp;$C$5&amp;",,,'')")), "--", _xll.FDSB($C$2,"FE_ESTIMATE(SPEC_GROSS_1,MEAN,QUARTERLY_ROLL,"&amp;BI$9&amp;","&amp;$C$5&amp;",,,'')")))</f>
        <v>9413.0879999999997</v>
      </c>
      <c r="BJ16" s="304" cm="1">
        <f t="array" ref="BJ16">_xlfn.SINGLE(IF(ISERROR(_xll.FDSB($C$2,"FE_ESTIMATE(SPEC_GROSS_1,MEAN,QUARTERLY_ROLL,"&amp;BJ$9&amp;","&amp;$C$5&amp;",,,'')")), "--", _xll.FDSB($C$2,"FE_ESTIMATE(SPEC_GROSS_1,MEAN,QUARTERLY_ROLL,"&amp;BJ$9&amp;","&amp;$C$5&amp;",,,'')")))</f>
        <v>11050.933000000001</v>
      </c>
      <c r="BK16" s="305" cm="1">
        <f t="array" ref="BK16">_xlfn.SINGLE(IF(ISERROR(_xll.FDSB($C$2,"FE_ESTIMATE(SPEC_GROSS_1,MEAN,ANNUAL_ROLL,"&amp;BK$9&amp;","&amp;$C$5&amp;",,,'')")), "--", _xll.FDSB($C$2,"FE_ESTIMATE(SPEC_GROSS_1,MEAN,ANNUAL_ROLL,"&amp;BK$9&amp;","&amp;$C$5&amp;",,,'')")))</f>
        <v>10977.58</v>
      </c>
      <c r="BL16" s="304" cm="1">
        <f t="array" ref="BL16">_xlfn.SINGLE(IF(ISERROR(_xll.FDSB($C$2,"FE_ESTIMATE(SPEC_GROSS_1,MEAN,QUARTERLY_ROLL,"&amp;BL$9&amp;","&amp;$C$5&amp;",,,'')")), "--", _xll.FDSB($C$2,"FE_ESTIMATE(SPEC_GROSS_1,MEAN,QUARTERLY_ROLL,"&amp;BL$9&amp;","&amp;$C$5&amp;",,,'')")))</f>
        <v>11475.48</v>
      </c>
      <c r="BM16" s="304" cm="1">
        <f t="array" ref="BM16">_xlfn.SINGLE(IF(ISERROR(_xll.FDSB($C$2,"FE_ESTIMATE(SPEC_GROSS_1,MEAN,QUARTERLY_ROLL,"&amp;BM$9&amp;","&amp;$C$5&amp;",,,'')")), "--", _xll.FDSB($C$2,"FE_ESTIMATE(SPEC_GROSS_1,MEAN,QUARTERLY_ROLL,"&amp;BM$9&amp;","&amp;$C$5&amp;",,,'')")))</f>
        <v>11827.598</v>
      </c>
      <c r="BN16" s="304" cm="1">
        <f t="array" ref="BN16">_xlfn.SINGLE(IF(ISERROR(_xll.FDSB($C$2,"FE_ESTIMATE(SPEC_GROSS_1,MEAN,QUARTERLY_ROLL,"&amp;BN$9&amp;","&amp;$C$5&amp;",,,'')")), "--", _xll.FDSB($C$2,"FE_ESTIMATE(SPEC_GROSS_1,MEAN,QUARTERLY_ROLL,"&amp;BN$9&amp;","&amp;$C$5&amp;",,,'')")))</f>
        <v>12631.653</v>
      </c>
      <c r="BO16" s="304" cm="1">
        <f t="array" ref="BO16">_xlfn.SINGLE(IF(ISERROR(_xll.FDSB($C$2,"FE_ESTIMATE(SPEC_GROSS_1,MEAN,QUARTERLY_ROLL,"&amp;BO$9&amp;","&amp;$C$5&amp;",,,'')")), "--", _xll.FDSB($C$2,"FE_ESTIMATE(SPEC_GROSS_1,MEAN,QUARTERLY_ROLL,"&amp;BO$9&amp;","&amp;$C$5&amp;",,,'')")))</f>
        <v>14828.925999999999</v>
      </c>
      <c r="BP16" s="305" cm="1">
        <f t="array" ref="BP16">_xlfn.SINGLE(IF(ISERROR(_xll.FDSB($C$2,"FE_ESTIMATE(SPEC_GROSS_1,MEAN,ANNUAL_ROLL,"&amp;BP$9&amp;","&amp;$C$5&amp;",,,'')")), "--", _xll.FDSB($C$2,"FE_ESTIMATE(SPEC_GROSS_1,MEAN,ANNUAL_ROLL,"&amp;BP$9&amp;","&amp;$C$5&amp;",,,'')")))</f>
        <v>13600</v>
      </c>
    </row>
    <row r="17" spans="1:68" s="337" customFormat="1" hidden="1" outlineLevel="1">
      <c r="A17" s="301" t="s">
        <v>108</v>
      </c>
      <c r="B17" s="334" t="s">
        <v>32</v>
      </c>
      <c r="C17" s="334"/>
      <c r="D17" s="335"/>
      <c r="E17" s="335"/>
      <c r="F17" s="335"/>
      <c r="G17" s="335"/>
      <c r="H17" s="336"/>
      <c r="I17" s="335" t="str">
        <f t="shared" ref="I17:AN17" si="2">IFERROR(I16/D16-1,"--")</f>
        <v>--</v>
      </c>
      <c r="J17" s="335" t="str">
        <f t="shared" si="2"/>
        <v>--</v>
      </c>
      <c r="K17" s="335" t="str">
        <f t="shared" si="2"/>
        <v>--</v>
      </c>
      <c r="L17" s="335" t="str">
        <f t="shared" si="2"/>
        <v>--</v>
      </c>
      <c r="M17" s="336" t="str">
        <f t="shared" si="2"/>
        <v>--</v>
      </c>
      <c r="N17" s="335" t="str">
        <f t="shared" si="2"/>
        <v>--</v>
      </c>
      <c r="O17" s="335" t="str">
        <f t="shared" si="2"/>
        <v>--</v>
      </c>
      <c r="P17" s="335" t="str">
        <f t="shared" si="2"/>
        <v>--</v>
      </c>
      <c r="Q17" s="335" t="str">
        <f t="shared" si="2"/>
        <v>--</v>
      </c>
      <c r="R17" s="336" t="str">
        <f t="shared" si="2"/>
        <v>--</v>
      </c>
      <c r="S17" s="335" t="str">
        <f t="shared" si="2"/>
        <v>--</v>
      </c>
      <c r="T17" s="335" t="str">
        <f t="shared" si="2"/>
        <v>--</v>
      </c>
      <c r="U17" s="335" t="str">
        <f t="shared" si="2"/>
        <v>--</v>
      </c>
      <c r="V17" s="335" t="str">
        <f t="shared" si="2"/>
        <v>--</v>
      </c>
      <c r="W17" s="336" t="str">
        <f t="shared" si="2"/>
        <v>--</v>
      </c>
      <c r="X17" s="335" t="str">
        <f t="shared" si="2"/>
        <v>--</v>
      </c>
      <c r="Y17" s="335" t="str">
        <f t="shared" si="2"/>
        <v>--</v>
      </c>
      <c r="Z17" s="335" t="str">
        <f t="shared" si="2"/>
        <v>--</v>
      </c>
      <c r="AA17" s="335" t="str">
        <f t="shared" si="2"/>
        <v>--</v>
      </c>
      <c r="AB17" s="336" t="str">
        <f t="shared" si="2"/>
        <v>--</v>
      </c>
      <c r="AC17" s="335" t="str">
        <f t="shared" si="2"/>
        <v>--</v>
      </c>
      <c r="AD17" s="335" t="str">
        <f t="shared" si="2"/>
        <v>--</v>
      </c>
      <c r="AE17" s="335" t="str">
        <f t="shared" si="2"/>
        <v>--</v>
      </c>
      <c r="AF17" s="335" t="str">
        <f t="shared" si="2"/>
        <v>--</v>
      </c>
      <c r="AG17" s="336" t="str">
        <f t="shared" si="2"/>
        <v>--</v>
      </c>
      <c r="AH17" s="335" t="str">
        <f t="shared" si="2"/>
        <v>--</v>
      </c>
      <c r="AI17" s="335">
        <f t="shared" si="2"/>
        <v>1.2350533547726941</v>
      </c>
      <c r="AJ17" s="335">
        <f t="shared" si="2"/>
        <v>0.94314532640789683</v>
      </c>
      <c r="AK17" s="335">
        <f t="shared" si="2"/>
        <v>0.967741935483871</v>
      </c>
      <c r="AL17" s="336">
        <f t="shared" si="2"/>
        <v>0.98499624906226546</v>
      </c>
      <c r="AM17" s="335">
        <f t="shared" si="2"/>
        <v>0.82122905027932958</v>
      </c>
      <c r="AN17" s="335">
        <f t="shared" si="2"/>
        <v>0.77632439502943096</v>
      </c>
      <c r="AO17" s="335">
        <f t="shared" ref="AO17:BP17" si="3">IFERROR(AO16/AJ16-1,"--")</f>
        <v>0.66500915039929009</v>
      </c>
      <c r="AP17" s="335">
        <f t="shared" si="3"/>
        <v>0.39758863896301944</v>
      </c>
      <c r="AQ17" s="336">
        <f t="shared" si="3"/>
        <v>0.38570351473922893</v>
      </c>
      <c r="AR17" s="335" t="str">
        <f t="shared" si="3"/>
        <v>--</v>
      </c>
      <c r="AS17" s="335" t="str">
        <f t="shared" si="3"/>
        <v>--</v>
      </c>
      <c r="AT17" s="335" t="str">
        <f t="shared" si="3"/>
        <v>--</v>
      </c>
      <c r="AU17" s="335" t="str">
        <f t="shared" si="3"/>
        <v>--</v>
      </c>
      <c r="AV17" s="336" t="str">
        <f t="shared" si="3"/>
        <v>--</v>
      </c>
      <c r="AW17" s="335" t="str">
        <f t="shared" si="3"/>
        <v>--</v>
      </c>
      <c r="AX17" s="335" t="str">
        <f t="shared" si="3"/>
        <v>--</v>
      </c>
      <c r="AY17" s="335" t="str">
        <f t="shared" si="3"/>
        <v>--</v>
      </c>
      <c r="AZ17" s="335" t="str">
        <f t="shared" si="3"/>
        <v>--</v>
      </c>
      <c r="BA17" s="336" t="str">
        <f t="shared" si="3"/>
        <v>--</v>
      </c>
      <c r="BB17" s="335" t="str">
        <f t="shared" si="3"/>
        <v>--</v>
      </c>
      <c r="BC17" s="335" t="str">
        <f t="shared" si="3"/>
        <v>--</v>
      </c>
      <c r="BD17" s="335" t="str">
        <f t="shared" si="3"/>
        <v>--</v>
      </c>
      <c r="BE17" s="335" t="str">
        <f t="shared" si="3"/>
        <v>--</v>
      </c>
      <c r="BF17" s="336" t="str">
        <f t="shared" si="3"/>
        <v>--</v>
      </c>
      <c r="BG17" s="335" t="str">
        <f t="shared" si="3"/>
        <v>--</v>
      </c>
      <c r="BH17" s="335">
        <f t="shared" si="3"/>
        <v>0.27539369336716213</v>
      </c>
      <c r="BI17" s="335">
        <f t="shared" si="3"/>
        <v>0.26706186566566892</v>
      </c>
      <c r="BJ17" s="335">
        <f t="shared" si="3"/>
        <v>0.25823639753497574</v>
      </c>
      <c r="BK17" s="336">
        <f t="shared" si="3"/>
        <v>0.25383829915547129</v>
      </c>
      <c r="BL17" s="335">
        <f t="shared" si="3"/>
        <v>0.34515504212181214</v>
      </c>
      <c r="BM17" s="335">
        <f t="shared" si="3"/>
        <v>0.34449930135495754</v>
      </c>
      <c r="BN17" s="335">
        <f t="shared" si="3"/>
        <v>0.34192445667139215</v>
      </c>
      <c r="BO17" s="335">
        <f t="shared" si="3"/>
        <v>0.34187095333941464</v>
      </c>
      <c r="BP17" s="336">
        <f t="shared" si="3"/>
        <v>0.23888871682101165</v>
      </c>
    </row>
    <row r="18" spans="1:68" s="337" customFormat="1" hidden="1" outlineLevel="1">
      <c r="A18" s="301" t="s">
        <v>109</v>
      </c>
      <c r="B18" s="334" t="s">
        <v>33</v>
      </c>
      <c r="C18" s="334"/>
      <c r="D18" s="335"/>
      <c r="E18" s="335"/>
      <c r="F18" s="335"/>
      <c r="G18" s="335"/>
      <c r="H18" s="336"/>
      <c r="I18" s="335" t="str">
        <f>IFERROR(I16/G16-1,"--")</f>
        <v>--</v>
      </c>
      <c r="J18" s="335" t="str">
        <f>IFERROR(J16/I16-1,"--")</f>
        <v>--</v>
      </c>
      <c r="K18" s="335" t="str">
        <f>IFERROR(K16/J16-1,"--")</f>
        <v>--</v>
      </c>
      <c r="L18" s="335" t="str">
        <f>IFERROR(L16/K16-1,"--")</f>
        <v>--</v>
      </c>
      <c r="M18" s="336"/>
      <c r="N18" s="335" t="str">
        <f>IFERROR(N16/L16-1,"--")</f>
        <v>--</v>
      </c>
      <c r="O18" s="335" t="str">
        <f>IFERROR(O16/N16-1,"--")</f>
        <v>--</v>
      </c>
      <c r="P18" s="335" t="str">
        <f>IFERROR(P16/O16-1,"--")</f>
        <v>--</v>
      </c>
      <c r="Q18" s="335" t="str">
        <f>IFERROR(Q16/P16-1,"--")</f>
        <v>--</v>
      </c>
      <c r="R18" s="336"/>
      <c r="S18" s="335" t="str">
        <f>IFERROR(S16/Q16-1,"--")</f>
        <v>--</v>
      </c>
      <c r="T18" s="335" t="str">
        <f>IFERROR(T16/S16-1,"--")</f>
        <v>--</v>
      </c>
      <c r="U18" s="335" t="str">
        <f>IFERROR(U16/T16-1,"--")</f>
        <v>--</v>
      </c>
      <c r="V18" s="335" t="str">
        <f>IFERROR(V16/U16-1,"--")</f>
        <v>--</v>
      </c>
      <c r="W18" s="336"/>
      <c r="X18" s="335" t="str">
        <f>IFERROR(X16/V16-1,"--")</f>
        <v>--</v>
      </c>
      <c r="Y18" s="335" t="str">
        <f>IFERROR(Y16/X16-1,"--")</f>
        <v>--</v>
      </c>
      <c r="Z18" s="335" t="str">
        <f>IFERROR(Z16/Y16-1,"--")</f>
        <v>--</v>
      </c>
      <c r="AA18" s="335" t="str">
        <f>IFERROR(AA16/Z16-1,"--")</f>
        <v>--</v>
      </c>
      <c r="AB18" s="336"/>
      <c r="AC18" s="335" t="str">
        <f>IFERROR(AC16/AA16-1,"--")</f>
        <v>--</v>
      </c>
      <c r="AD18" s="335" t="str">
        <f>IFERROR(AD16/AC16-1,"--")</f>
        <v>--</v>
      </c>
      <c r="AE18" s="335">
        <f>IFERROR(AE16/AD16-1,"--")</f>
        <v>0.35649758807191922</v>
      </c>
      <c r="AF18" s="335">
        <f>IFERROR(AF16/AE16-1,"--")</f>
        <v>0.4364533718399104</v>
      </c>
      <c r="AG18" s="336"/>
      <c r="AH18" s="335">
        <f>IFERROR(AH16/AF16-1,"--")</f>
        <v>7.4268567141785535E-2</v>
      </c>
      <c r="AI18" s="335">
        <f>IFERROR(AI16/AH16-1,"--")</f>
        <v>6.7737430167597701E-2</v>
      </c>
      <c r="AJ18" s="335">
        <f>IFERROR(AJ16/AI16-1,"--")</f>
        <v>0.17933289731850888</v>
      </c>
      <c r="AK18" s="335">
        <f>IFERROR(AK16/AJ16-1,"--")</f>
        <v>0.45463620230700963</v>
      </c>
      <c r="AL18" s="336"/>
      <c r="AM18" s="335">
        <f>IFERROR(AM16/AK16-1,"--")</f>
        <v>-5.7186427754479796E-3</v>
      </c>
      <c r="AN18" s="335">
        <f>IFERROR(AN16/AM16-1,"--")</f>
        <v>4.141104294478537E-2</v>
      </c>
      <c r="AO18" s="335">
        <f>IFERROR(AO16/AN16-1,"--")</f>
        <v>0.10542875552282771</v>
      </c>
      <c r="AP18" s="335">
        <f>IFERROR(AP16/AO16-1,"--")</f>
        <v>0.22100411861463587</v>
      </c>
      <c r="AQ18" s="336"/>
      <c r="AR18" s="335" t="str">
        <f>IFERROR(AR16/AP16-1,"--")</f>
        <v>--</v>
      </c>
      <c r="AS18" s="335" t="str">
        <f>IFERROR(AS16/AR16-1,"--")</f>
        <v>--</v>
      </c>
      <c r="AT18" s="335" t="str">
        <f>IFERROR(AT16/AS16-1,"--")</f>
        <v>--</v>
      </c>
      <c r="AU18" s="335" t="str">
        <f>IFERROR(AU16/AT16-1,"--")</f>
        <v>--</v>
      </c>
      <c r="AV18" s="336"/>
      <c r="AW18" s="335" t="str">
        <f>IFERROR(AW16/AU16-1,"--")</f>
        <v>--</v>
      </c>
      <c r="AX18" s="335" t="str">
        <f>IFERROR(AX16/AW16-1,"--")</f>
        <v>--</v>
      </c>
      <c r="AY18" s="335" t="str">
        <f>IFERROR(AY16/AX16-1,"--")</f>
        <v>--</v>
      </c>
      <c r="AZ18" s="335" t="str">
        <f>IFERROR(AZ16/AY16-1,"--")</f>
        <v>--</v>
      </c>
      <c r="BA18" s="336"/>
      <c r="BB18" s="335" t="str">
        <f>IFERROR(BB16/AZ16-1,"--")</f>
        <v>--</v>
      </c>
      <c r="BC18" s="335" t="str">
        <f>IFERROR(BC16/BB16-1,"--")</f>
        <v>--</v>
      </c>
      <c r="BD18" s="335">
        <f>IFERROR(BD16/BC16-1,"--")</f>
        <v>7.7066676332004258E-2</v>
      </c>
      <c r="BE18" s="335">
        <f>IFERROR(BE16/BD16-1,"--")</f>
        <v>0.18223116403547501</v>
      </c>
      <c r="BF18" s="336"/>
      <c r="BG18" s="335">
        <f>IFERROR(BG16/BE16-1,"--")</f>
        <v>-2.8681155088738031E-2</v>
      </c>
      <c r="BH18" s="335">
        <f>IFERROR(BH16/BG16-1,"--")</f>
        <v>3.1187067546347702E-2</v>
      </c>
      <c r="BI18" s="335">
        <f>IFERROR(BI16/BH16-1,"--")</f>
        <v>7.0030469381250127E-2</v>
      </c>
      <c r="BJ18" s="335">
        <f>IFERROR(BJ16/BI16-1,"--")</f>
        <v>0.17399656733263313</v>
      </c>
      <c r="BK18" s="336"/>
      <c r="BL18" s="335">
        <f>IFERROR(BL16/BJ16-1,"--")</f>
        <v>3.8417299245230963E-2</v>
      </c>
      <c r="BM18" s="335">
        <f>IFERROR(BM16/BL16-1,"--")</f>
        <v>3.0684380958356572E-2</v>
      </c>
      <c r="BN18" s="335">
        <f>IFERROR(BN16/BM16-1,"--")</f>
        <v>6.7981258747549678E-2</v>
      </c>
      <c r="BO18" s="335">
        <f>IFERROR(BO16/BN16-1,"--")</f>
        <v>0.17394975938620227</v>
      </c>
      <c r="BP18" s="336"/>
    </row>
    <row r="19" spans="1:68" s="337" customFormat="1" hidden="1" outlineLevel="1">
      <c r="A19" s="333"/>
      <c r="B19" s="334"/>
      <c r="C19" s="334"/>
      <c r="D19" s="335"/>
      <c r="E19" s="335"/>
      <c r="F19" s="335"/>
      <c r="G19" s="335"/>
      <c r="H19" s="336"/>
      <c r="I19" s="335"/>
      <c r="J19" s="335"/>
      <c r="K19" s="335"/>
      <c r="L19" s="335"/>
      <c r="M19" s="336"/>
      <c r="N19" s="335"/>
      <c r="O19" s="335"/>
      <c r="P19" s="335"/>
      <c r="Q19" s="335"/>
      <c r="R19" s="336"/>
      <c r="S19" s="335"/>
      <c r="T19" s="335"/>
      <c r="U19" s="335"/>
      <c r="V19" s="335"/>
      <c r="W19" s="336"/>
      <c r="X19" s="335"/>
      <c r="Y19" s="335"/>
      <c r="Z19" s="335"/>
      <c r="AA19" s="335"/>
      <c r="AB19" s="336"/>
      <c r="AC19" s="335"/>
      <c r="AD19" s="335"/>
      <c r="AE19" s="335"/>
      <c r="AF19" s="335"/>
      <c r="AG19" s="336"/>
      <c r="AH19" s="335"/>
      <c r="AI19" s="335"/>
      <c r="AJ19" s="335"/>
      <c r="AK19" s="335"/>
      <c r="AL19" s="336"/>
      <c r="AM19" s="335"/>
      <c r="AN19" s="335"/>
      <c r="AO19" s="335"/>
      <c r="AP19" s="335"/>
      <c r="AQ19" s="336"/>
      <c r="AR19" s="335"/>
      <c r="AS19" s="335"/>
      <c r="AT19" s="335"/>
      <c r="AU19" s="335"/>
      <c r="AV19" s="336"/>
      <c r="AW19" s="335"/>
      <c r="AX19" s="335"/>
      <c r="AY19" s="335"/>
      <c r="AZ19" s="335"/>
      <c r="BA19" s="336"/>
      <c r="BB19" s="335"/>
      <c r="BC19" s="335"/>
      <c r="BD19" s="335"/>
      <c r="BE19" s="335"/>
      <c r="BF19" s="336"/>
      <c r="BG19" s="335"/>
      <c r="BH19" s="335"/>
      <c r="BI19" s="335"/>
      <c r="BJ19" s="335"/>
      <c r="BK19" s="336"/>
      <c r="BL19" s="335"/>
      <c r="BM19" s="335"/>
      <c r="BN19" s="335"/>
      <c r="BO19" s="335"/>
      <c r="BP19" s="336"/>
    </row>
    <row r="20" spans="1:68" s="348" customFormat="1" hidden="1" outlineLevel="1">
      <c r="A20" s="343"/>
      <c r="B20" s="344" t="s">
        <v>218</v>
      </c>
      <c r="C20" s="345"/>
      <c r="D20" s="346" t="str" cm="1">
        <f t="array" ref="D20">_xlfn.SINGLE(IF(ISERROR(_xll.FDSB($C$2,"FE_ESTIMATE(SUBSCRIBERS_NB,MEAN,QUARTERLY_ROLL,"&amp;D$9&amp;","&amp;$C$5&amp;",,,'')")), "--", _xll.FDSB($C$2,"FE_ESTIMATE(SUBSCRIBERS_NB,MEAN,QUARTERLY_ROLL,"&amp;D$9&amp;","&amp;$C$5&amp;",,,'')")))</f>
        <v/>
      </c>
      <c r="E20" s="346" t="str" cm="1">
        <f t="array" ref="E20">_xlfn.SINGLE(IF(ISERROR(_xll.FDSB($C$2,"FE_ESTIMATE(SUBSCRIBERS_NB,MEAN,QUARTERLY_ROLL,"&amp;E$9&amp;","&amp;$C$5&amp;",,,'')")), "--", _xll.FDSB($C$2,"FE_ESTIMATE(SUBSCRIBERS_NB,MEAN,QUARTERLY_ROLL,"&amp;E$9&amp;","&amp;$C$5&amp;",,,'')")))</f>
        <v/>
      </c>
      <c r="F20" s="346" t="str" cm="1">
        <f t="array" ref="F20">_xlfn.SINGLE(IF(ISERROR(_xll.FDSB($C$2,"FE_ESTIMATE(SUBSCRIBERS_NB,MEAN,QUARTERLY_ROLL,"&amp;F$9&amp;","&amp;$C$5&amp;",,,'')")), "--", _xll.FDSB($C$2,"FE_ESTIMATE(SUBSCRIBERS_NB,MEAN,QUARTERLY_ROLL,"&amp;F$9&amp;","&amp;$C$5&amp;",,,'')")))</f>
        <v/>
      </c>
      <c r="G20" s="346" t="str" cm="1">
        <f t="array" ref="G20">_xlfn.SINGLE(IF(ISERROR(_xll.FDSB($C$2,"FE_ESTIMATE(SUBSCRIBERS_NB,MEAN,QUARTERLY_ROLL,"&amp;G$9&amp;","&amp;$C$5&amp;",,,'')")), "--", _xll.FDSB($C$2,"FE_ESTIMATE(SUBSCRIBERS_NB,MEAN,QUARTERLY_ROLL,"&amp;G$9&amp;","&amp;$C$5&amp;",,,'')")))</f>
        <v/>
      </c>
      <c r="H20" s="347" t="str" cm="1">
        <f t="array" ref="H20">_xlfn.SINGLE(IF(ISERROR(_xll.FDSB($C$2,"FE_ESTIMATE(SUBSCRIBERS_NB,MEAN,annual_ROLL,"&amp;H$9&amp;","&amp;$C$5&amp;",,,'')")), "--", _xll.FDSB($C$2,"FE_ESTIMATE(SUBSCRIBERS_NB,MEAN,ANNUAL_ROLL,"&amp;H$9&amp;","&amp;$C$5&amp;",,,'')")))</f>
        <v/>
      </c>
      <c r="I20" s="346" t="str" cm="1">
        <f t="array" ref="I20">_xlfn.SINGLE(IF(ISERROR(_xll.FDSB($C$2,"FE_ESTIMATE(SUBSCRIBERS_NB,MEAN,QUARTERLY_ROLL,"&amp;I$9&amp;","&amp;$C$5&amp;",,,'')")), "--", _xll.FDSB($C$2,"FE_ESTIMATE(SUBSCRIBERS_NB,MEAN,QUARTERLY_ROLL,"&amp;I$9&amp;","&amp;$C$5&amp;",,,'')")))</f>
        <v/>
      </c>
      <c r="J20" s="346" t="str" cm="1">
        <f t="array" ref="J20">_xlfn.SINGLE(IF(ISERROR(_xll.FDSB($C$2,"FE_ESTIMATE(SUBSCRIBERS_NB,MEAN,QUARTERLY_ROLL,"&amp;J$9&amp;","&amp;$C$5&amp;",,,'')")), "--", _xll.FDSB($C$2,"FE_ESTIMATE(SUBSCRIBERS_NB,MEAN,QUARTERLY_ROLL,"&amp;J$9&amp;","&amp;$C$5&amp;",,,'')")))</f>
        <v/>
      </c>
      <c r="K20" s="346" t="str" cm="1">
        <f t="array" ref="K20">_xlfn.SINGLE(IF(ISERROR(_xll.FDSB($C$2,"FE_ESTIMATE(SUBSCRIBERS_NB,MEAN,QUARTERLY_ROLL,"&amp;K$9&amp;","&amp;$C$5&amp;",,,'')")), "--", _xll.FDSB($C$2,"FE_ESTIMATE(SUBSCRIBERS_NB,MEAN,QUARTERLY_ROLL,"&amp;K$9&amp;","&amp;$C$5&amp;",,,'')")))</f>
        <v/>
      </c>
      <c r="L20" s="346" t="str" cm="1">
        <f t="array" ref="L20">_xlfn.SINGLE(IF(ISERROR(_xll.FDSB($C$2,"FE_ESTIMATE(SUBSCRIBERS_NB,MEAN,QUARTERLY_ROLL,"&amp;L$9&amp;","&amp;$C$5&amp;",,,'')")), "--", _xll.FDSB($C$2,"FE_ESTIMATE(SUBSCRIBERS_NB,MEAN,QUARTERLY_ROLL,"&amp;L$9&amp;","&amp;$C$5&amp;",,,'')")))</f>
        <v/>
      </c>
      <c r="M20" s="347" t="str" cm="1">
        <f t="array" ref="M20">_xlfn.SINGLE(IF(ISERROR(_xll.FDSB($C$2,"FE_ESTIMATE(SUBSCRIBERS_NB,MEAN,ANNUAL_ROLL,"&amp;M$9&amp;","&amp;$C$5&amp;",,,'')")), "--", _xll.FDSB($C$2,"FE_ESTIMATE(SUBSCRIBERS_NB,MEAN,ANNUAL_ROLL,"&amp;M$9&amp;","&amp;$C$5&amp;",,,'')")))</f>
        <v/>
      </c>
      <c r="N20" s="346" t="str" cm="1">
        <f t="array" ref="N20">_xlfn.SINGLE(IF(ISERROR(_xll.FDSB($C$2,"FE_ESTIMATE(SUBSCRIBERS_NB,MEAN,QUARTERLY_ROLL,"&amp;N$9&amp;","&amp;$C$5&amp;",,,'')")), "--", _xll.FDSB($C$2,"FE_ESTIMATE(SUBSCRIBERS_NB,MEAN,QUARTERLY_ROLL,"&amp;N$9&amp;","&amp;$C$5&amp;",,,'')")))</f>
        <v/>
      </c>
      <c r="O20" s="346" t="str" cm="1">
        <f t="array" ref="O20">_xlfn.SINGLE(IF(ISERROR(_xll.FDSB($C$2,"FE_ESTIMATE(SUBSCRIBERS_NB,MEAN,QUARTERLY_ROLL,"&amp;O$9&amp;","&amp;$C$5&amp;",,,'')")), "--", _xll.FDSB($C$2,"FE_ESTIMATE(SUBSCRIBERS_NB,MEAN,QUARTERLY_ROLL,"&amp;O$9&amp;","&amp;$C$5&amp;",,,'')")))</f>
        <v/>
      </c>
      <c r="P20" s="346" t="str" cm="1">
        <f t="array" ref="P20">_xlfn.SINGLE(IF(ISERROR(_xll.FDSB($C$2,"FE_ESTIMATE(SUBSCRIBERS_NB,MEAN,QUARTERLY_ROLL,"&amp;P$9&amp;","&amp;$C$5&amp;",,,'')")), "--", _xll.FDSB($C$2,"FE_ESTIMATE(SUBSCRIBERS_NB,MEAN,QUARTERLY_ROLL,"&amp;P$9&amp;","&amp;$C$5&amp;",,,'')")))</f>
        <v/>
      </c>
      <c r="Q20" s="346" t="str" cm="1">
        <f t="array" ref="Q20">_xlfn.SINGLE(IF(ISERROR(_xll.FDSB($C$2,"FE_ESTIMATE(SUBSCRIBERS_NB,MEAN,QUARTERLY_ROLL,"&amp;Q$9&amp;","&amp;$C$5&amp;",,,'')")), "--", _xll.FDSB($C$2,"FE_ESTIMATE(SUBSCRIBERS_NB,MEAN,QUARTERLY_ROLL,"&amp;Q$9&amp;","&amp;$C$5&amp;",,,'')")))</f>
        <v/>
      </c>
      <c r="R20" s="347" t="str" cm="1">
        <f t="array" ref="R20">_xlfn.SINGLE(IF(ISERROR(_xll.FDSB($C$2,"FE_ESTIMATE(SUBSCRIBERS_NB,MEAN,ANNUAL_ROLL,"&amp;R$9&amp;","&amp;$C$5&amp;",,,'')")), "--", _xll.FDSB($C$2,"FE_ESTIMATE(SUBSCRIBERS_NB,MEAN,ANNUAL_ROLL,"&amp;R$9&amp;","&amp;$C$5&amp;",,,'')")))</f>
        <v/>
      </c>
      <c r="S20" s="346" t="str" cm="1">
        <f t="array" ref="S20">_xlfn.SINGLE(IF(ISERROR(_xll.FDSB($C$2,"FE_ESTIMATE(SUBSCRIBERS_NB,MEAN,QUARTERLY_ROLL,"&amp;S$9&amp;","&amp;$C$5&amp;",,,'')")), "--", _xll.FDSB($C$2,"FE_ESTIMATE(SUBSCRIBERS_NB,MEAN,QUARTERLY_ROLL,"&amp;S$9&amp;","&amp;$C$5&amp;",,,'')")))</f>
        <v/>
      </c>
      <c r="T20" s="346" t="str" cm="1">
        <f t="array" ref="T20">_xlfn.SINGLE(IF(ISERROR(_xll.FDSB($C$2,"FE_ESTIMATE(SUBSCRIBERS_NB,MEAN,QUARTERLY_ROLL,"&amp;T$9&amp;","&amp;$C$5&amp;",,,'')")), "--", _xll.FDSB($C$2,"FE_ESTIMATE(SUBSCRIBERS_NB,MEAN,QUARTERLY_ROLL,"&amp;T$9&amp;","&amp;$C$5&amp;",,,'')")))</f>
        <v/>
      </c>
      <c r="U20" s="346" t="str" cm="1">
        <f t="array" ref="U20">_xlfn.SINGLE(IF(ISERROR(_xll.FDSB($C$2,"FE_ESTIMATE(SUBSCRIBERS_NB,MEAN,QUARTERLY_ROLL,"&amp;U$9&amp;","&amp;$C$5&amp;",,,'')")), "--", _xll.FDSB($C$2,"FE_ESTIMATE(SUBSCRIBERS_NB,MEAN,QUARTERLY_ROLL,"&amp;U$9&amp;","&amp;$C$5&amp;",,,'')")))</f>
        <v/>
      </c>
      <c r="V20" s="346" t="str" cm="1">
        <f t="array" ref="V20">_xlfn.SINGLE(IF(ISERROR(_xll.FDSB($C$2,"FE_ESTIMATE(SUBSCRIBERS_NB,MEAN,QUARTERLY_ROLL,"&amp;V$9&amp;","&amp;$C$5&amp;",,,'')")), "--", _xll.FDSB($C$2,"FE_ESTIMATE(SUBSCRIBERS_NB,MEAN,QUARTERLY_ROLL,"&amp;V$9&amp;","&amp;$C$5&amp;",,,'')")))</f>
        <v/>
      </c>
      <c r="W20" s="347" t="str" cm="1">
        <f t="array" ref="W20">_xlfn.SINGLE(IF(ISERROR(_xll.FDSB($C$2,"FE_ESTIMATE(SUBSCRIBERS_NB,MEAN,ANNUAL_ROLL,"&amp;W$9&amp;","&amp;$C$5&amp;",,,'')")), "--", _xll.FDSB($C$2,"FE_ESTIMATE(SUBSCRIBERS_NB,MEAN,ANNUAL_ROLL,"&amp;W$9&amp;","&amp;$C$5&amp;",,,'')")))</f>
        <v/>
      </c>
      <c r="X20" s="346" t="str" cm="1">
        <f t="array" ref="X20">_xlfn.SINGLE(IF(ISERROR(_xll.FDSB($C$2,"FE_ESTIMATE(SUBSCRIBERS_NB,MEAN,QUARTERLY_ROLL,"&amp;X$9&amp;","&amp;$C$5&amp;",,,'')")), "--", _xll.FDSB($C$2,"FE_ESTIMATE(SUBSCRIBERS_NB,MEAN,QUARTERLY_ROLL,"&amp;X$9&amp;","&amp;$C$5&amp;",,,'')")))</f>
        <v/>
      </c>
      <c r="Y20" s="346" t="str" cm="1">
        <f t="array" ref="Y20">_xlfn.SINGLE(IF(ISERROR(_xll.FDSB($C$2,"FE_ESTIMATE(SUBSCRIBERS_NB,MEAN,QUARTERLY_ROLL,"&amp;Y$9&amp;","&amp;$C$5&amp;",,,'')")), "--", _xll.FDSB($C$2,"FE_ESTIMATE(SUBSCRIBERS_NB,MEAN,QUARTERLY_ROLL,"&amp;Y$9&amp;","&amp;$C$5&amp;",,,'')")))</f>
        <v/>
      </c>
      <c r="Z20" s="346" t="str" cm="1">
        <f t="array" ref="Z20">_xlfn.SINGLE(IF(ISERROR(_xll.FDSB($C$2,"FE_ESTIMATE(SUBSCRIBERS_NB,MEAN,QUARTERLY_ROLL,"&amp;Z$9&amp;","&amp;$C$5&amp;",,,'')")), "--", _xll.FDSB($C$2,"FE_ESTIMATE(SUBSCRIBERS_NB,MEAN,QUARTERLY_ROLL,"&amp;Z$9&amp;","&amp;$C$5&amp;",,,'')")))</f>
        <v/>
      </c>
      <c r="AA20" s="346" t="str" cm="1">
        <f t="array" ref="AA20">_xlfn.SINGLE(IF(ISERROR(_xll.FDSB($C$2,"FE_ESTIMATE(SUBSCRIBERS_NB,MEAN,QUARTERLY_ROLL,"&amp;AA$9&amp;","&amp;$C$5&amp;",,,'')")), "--", _xll.FDSB($C$2,"FE_ESTIMATE(SUBSCRIBERS_NB,MEAN,QUARTERLY_ROLL,"&amp;AA$9&amp;","&amp;$C$5&amp;",,,'')")))</f>
        <v/>
      </c>
      <c r="AB20" s="347" t="str" cm="1">
        <f t="array" ref="AB20">_xlfn.SINGLE(IF(ISERROR(_xll.FDSB($C$2,"FE_ESTIMATE(SUBSCRIBERS_NB,MEAN,ANNUAL_ROLL,"&amp;AB$9&amp;","&amp;$C$5&amp;",,,'')")), "--", _xll.FDSB($C$2,"FE_ESTIMATE(SUBSCRIBERS_NB,MEAN,ANNUAL_ROLL,"&amp;AB$9&amp;","&amp;$C$5&amp;",,,'')")))</f>
        <v/>
      </c>
      <c r="AC20" s="346" t="str" cm="1">
        <f t="array" ref="AC20">_xlfn.SINGLE(IF(ISERROR(_xll.FDSB($C$2,"FE_ESTIMATE(SUBSCRIBERS_NB,MEAN,QUARTERLY_ROLL,"&amp;AC$9&amp;","&amp;$C$5&amp;",,,'')")), "--", _xll.FDSB($C$2,"FE_ESTIMATE(SUBSCRIBERS_NB,MEAN,QUARTERLY_ROLL,"&amp;AC$9&amp;","&amp;$C$5&amp;",,,'')")))</f>
        <v/>
      </c>
      <c r="AD20" s="346" cm="1">
        <f t="array" ref="AD20">_xlfn.SINGLE(IF(ISERROR(_xll.FDSB($C$2,"FE_ESTIMATE(SUBSCRIBERS_NB,MEAN,QUARTERLY_ROLL,"&amp;AD$9&amp;","&amp;$C$5&amp;",,,'')")), "--", _xll.FDSB($C$2,"FE_ESTIMATE(SUBSCRIBERS_NB,MEAN,QUARTERLY_ROLL,"&amp;AD$9&amp;","&amp;$C$5&amp;",,,'')")))</f>
        <v>3116</v>
      </c>
      <c r="AE20" s="346" cm="1">
        <f t="array" ref="AE20">_xlfn.SINGLE(IF(ISERROR(_xll.FDSB($C$2,"FE_ESTIMATE(SUBSCRIBERS_NB,MEAN,QUARTERLY_ROLL,"&amp;AE$9&amp;","&amp;$C$5&amp;",,,'')")), "--", _xll.FDSB($C$2,"FE_ESTIMATE(SUBSCRIBERS_NB,MEAN,QUARTERLY_ROLL,"&amp;AE$9&amp;","&amp;$C$5&amp;",,,'')")))</f>
        <v>3554</v>
      </c>
      <c r="AF20" s="346" cm="1">
        <f t="array" ref="AF20">_xlfn.SINGLE(IF(ISERROR(_xll.FDSB($C$2,"FE_ESTIMATE(SUBSCRIBERS_NB,MEAN,QUARTERLY_ROLL,"&amp;AF$9&amp;","&amp;$C$5&amp;",,,'')")), "--", _xll.FDSB($C$2,"FE_ESTIMATE(SUBSCRIBERS_NB,MEAN,QUARTERLY_ROLL,"&amp;AF$9&amp;","&amp;$C$5&amp;",,,'')")))</f>
        <v>4138.3334999999997</v>
      </c>
      <c r="AG20" s="347" cm="1">
        <f t="array" ref="AG20">_xlfn.SINGLE(IF(ISERROR(_xll.FDSB($C$2,"FE_ESTIMATE(SUBSCRIBERS_NB,MEAN,ANNUAL_ROLL,"&amp;AG$9&amp;","&amp;$C$5&amp;",,,'')")), "--", _xll.FDSB($C$2,"FE_ESTIMATE(SUBSCRIBERS_NB,MEAN,ANNUAL_ROLL,"&amp;AG$9&amp;","&amp;$C$5&amp;",,,'')")))</f>
        <v>4138.3334999999997</v>
      </c>
      <c r="AH20" s="346" cm="1">
        <f t="array" ref="AH20">_xlfn.SINGLE(IF(ISERROR(_xll.FDSB($C$2,"FE_ESTIMATE(SUBSCRIBERS_NB,MEAN,QUARTERLY_ROLL,"&amp;AH$9&amp;","&amp;$C$5&amp;",,,'')")), "--", _xll.FDSB($C$2,"FE_ESTIMATE(SUBSCRIBERS_NB,MEAN,QUARTERLY_ROLL,"&amp;AH$9&amp;","&amp;$C$5&amp;",,,'')")))</f>
        <v>4532</v>
      </c>
      <c r="AI20" s="346" cm="1">
        <f t="array" ref="AI20">_xlfn.SINGLE(IF(ISERROR(_xll.FDSB($C$2,"FE_ESTIMATE(SUBSCRIBERS_NB,MEAN,QUARTERLY_ROLL,"&amp;AI$9&amp;","&amp;$C$5&amp;",,,'')")), "--", _xll.FDSB($C$2,"FE_ESTIMATE(SUBSCRIBERS_NB,MEAN,QUARTERLY_ROLL,"&amp;AI$9&amp;","&amp;$C$5&amp;",,,'')")))</f>
        <v>4990</v>
      </c>
      <c r="AJ20" s="346" cm="1">
        <f t="array" ref="AJ20">_xlfn.SINGLE(IF(ISERROR(_xll.FDSB($C$2,"FE_ESTIMATE(SUBSCRIBERS_NB,MEAN,QUARTERLY_ROLL,"&amp;AJ$9&amp;","&amp;$C$5&amp;",,,'')")), "--", _xll.FDSB($C$2,"FE_ESTIMATE(SUBSCRIBERS_NB,MEAN,QUARTERLY_ROLL,"&amp;AJ$9&amp;","&amp;$C$5&amp;",,,'')")))</f>
        <v>5416</v>
      </c>
      <c r="AK20" s="346" cm="1">
        <f t="array" ref="AK20">_xlfn.SINGLE(IF(ISERROR(_xll.FDSB($C$2,"FE_ESTIMATE(SUBSCRIBERS_NB,MEAN,QUARTERLY_ROLL,"&amp;AK$9&amp;","&amp;$C$5&amp;",,,'')")), "--", _xll.FDSB($C$2,"FE_ESTIMATE(SUBSCRIBERS_NB,MEAN,QUARTERLY_ROLL,"&amp;AK$9&amp;","&amp;$C$5&amp;",,,'')")))</f>
        <v>5944</v>
      </c>
      <c r="AL20" s="347" cm="1">
        <f t="array" ref="AL20">_xlfn.SINGLE(IF(ISERROR(_xll.FDSB($C$2,"FE_ESTIMATE(SUBSCRIBERS_NB,MEAN,ANNUAL_ROLL,"&amp;AL$9&amp;","&amp;$C$5&amp;",,,'')")), "--", _xll.FDSB($C$2,"FE_ESTIMATE(SUBSCRIBERS_NB,MEAN,ANNUAL_ROLL,"&amp;AL$9&amp;","&amp;$C$5&amp;",,,'')")))</f>
        <v>5944</v>
      </c>
      <c r="AM20" s="346" cm="1">
        <f t="array" ref="AM20">_xlfn.SINGLE(IF(ISERROR(_xll.FDSB($C$2,"FE_ESTIMATE(SUBSCRIBERS_NB,MEAN,QUARTERLY_ROLL,"&amp;AM$9&amp;","&amp;$C$5&amp;",,,'')")), "--", _xll.FDSB($C$2,"FE_ESTIMATE(SUBSCRIBERS_NB,MEAN,QUARTERLY_ROLL,"&amp;AM$9&amp;","&amp;$C$5&amp;",,,'')")))</f>
        <v>6322</v>
      </c>
      <c r="AN20" s="346" cm="1">
        <f t="array" ref="AN20">_xlfn.SINGLE(IF(ISERROR(_xll.FDSB($C$2,"FE_ESTIMATE(SUBSCRIBERS_NB,MEAN,QUARTERLY_ROLL,"&amp;AN$9&amp;","&amp;$C$5&amp;",,,'')")), "--", _xll.FDSB($C$2,"FE_ESTIMATE(SUBSCRIBERS_NB,MEAN,QUARTERLY_ROLL,"&amp;AN$9&amp;","&amp;$C$5&amp;",,,'')")))</f>
        <v>6808</v>
      </c>
      <c r="AO20" s="346" cm="1">
        <f t="array" ref="AO20">_xlfn.SINGLE(IF(ISERROR(_xll.FDSB($C$2,"FE_ESTIMATE(SUBSCRIBERS_NB,MEAN,QUARTERLY_ROLL,"&amp;AO$9&amp;","&amp;$C$5&amp;",,,'')")), "--", _xll.FDSB($C$2,"FE_ESTIMATE(SUBSCRIBERS_NB,MEAN,QUARTERLY_ROLL,"&amp;AO$9&amp;","&amp;$C$5&amp;",,,'')")))</f>
        <v>7292</v>
      </c>
      <c r="AP20" s="346" cm="1">
        <f t="array" ref="AP20">_xlfn.SINGLE(IF(ISERROR(_xll.FDSB($C$2,"FE_ESTIMATE(SUBSCRIBERS_NB,MEAN,QUARTERLY_ROLL,"&amp;AP$9&amp;","&amp;$C$5&amp;",,,'')")), "--", _xll.FDSB($C$2,"FE_ESTIMATE(SUBSCRIBERS_NB,MEAN,QUARTERLY_ROLL,"&amp;AP$9&amp;","&amp;$C$5&amp;",,,'')")))</f>
        <v>7828</v>
      </c>
      <c r="AQ20" s="347" cm="1">
        <f t="array" ref="AQ20">_xlfn.SINGLE(IF(ISERROR(_xll.FDSB($C$2,"FE_ESTIMATE(SUBSCRIBERS_NB,MEAN,ANNUAL_ROLL,"&amp;AQ$9&amp;","&amp;$C$5&amp;",,,'')")), "--", _xll.FDSB($C$2,"FE_ESTIMATE(SUBSCRIBERS_NB,MEAN,ANNUAL_ROLL,"&amp;AQ$9&amp;","&amp;$C$5&amp;",,,'')")))</f>
        <v>7828</v>
      </c>
      <c r="AR20" s="346" cm="1">
        <f t="array" ref="AR20">_xlfn.SINGLE(IF(ISERROR(_xll.FDSB($C$2,"FE_ESTIMATE(SUBSCRIBERS_NB,MEAN,QUARTERLY_ROLL,"&amp;AR$9&amp;","&amp;$C$5&amp;",,,'')")), "--", _xll.FDSB($C$2,"FE_ESTIMATE(SUBSCRIBERS_NB,MEAN,QUARTERLY_ROLL,"&amp;AR$9&amp;","&amp;$C$5&amp;",,,'')")))</f>
        <v>8167</v>
      </c>
      <c r="AS20" s="346" cm="1">
        <f t="array" ref="AS20">_xlfn.SINGLE(IF(ISERROR(_xll.FDSB($C$2,"FE_ESTIMATE(SUBSCRIBERS_NB,MEAN,QUARTERLY_ROLL,"&amp;AS$9&amp;","&amp;$C$5&amp;",,,'')")), "--", _xll.FDSB($C$2,"FE_ESTIMATE(SUBSCRIBERS_NB,MEAN,QUARTERLY_ROLL,"&amp;AS$9&amp;","&amp;$C$5&amp;",,,'')")))</f>
        <v>8530.3330000000005</v>
      </c>
      <c r="AT20" s="346" cm="1">
        <f t="array" ref="AT20">_xlfn.SINGLE(IF(ISERROR(_xll.FDSB($C$2,"FE_ESTIMATE(SUBSCRIBERS_NB,MEAN,QUARTERLY_ROLL,"&amp;AT$9&amp;","&amp;$C$5&amp;",,,'')")), "--", _xll.FDSB($C$2,"FE_ESTIMATE(SUBSCRIBERS_NB,MEAN,QUARTERLY_ROLL,"&amp;AT$9&amp;","&amp;$C$5&amp;",,,'')")))</f>
        <v>8907</v>
      </c>
      <c r="AU20" s="346" cm="1">
        <f t="array" ref="AU20">_xlfn.SINGLE(IF(ISERROR(_xll.FDSB($C$2,"FE_ESTIMATE(SUBSCRIBERS_NB,MEAN,QUARTERLY_ROLL,"&amp;AU$9&amp;","&amp;$C$5&amp;",,,'')")), "--", _xll.FDSB($C$2,"FE_ESTIMATE(SUBSCRIBERS_NB,MEAN,QUARTERLY_ROLL,"&amp;AU$9&amp;","&amp;$C$5&amp;",,,'')")))</f>
        <v>9437</v>
      </c>
      <c r="AV20" s="347" cm="1">
        <f t="array" ref="AV20">_xlfn.SINGLE(IF(ISERROR(_xll.FDSB($C$2,"FE_ESTIMATE(SUBSCRIBERS_NB,MEAN,ANNUAL_ROLL,"&amp;AV$9&amp;","&amp;$C$5&amp;",,,'')")), "--", _xll.FDSB($C$2,"FE_ESTIMATE(SUBSCRIBERS_NB,MEAN,ANNUAL_ROLL,"&amp;AV$9&amp;","&amp;$C$5&amp;",,,'')")))</f>
        <v>9437</v>
      </c>
      <c r="AW20" s="346" cm="1">
        <f t="array" ref="AW20">_xlfn.SINGLE(IF(ISERROR(_xll.FDSB($C$2,"FE_ESTIMATE(SUBSCRIBERS_NB,MEAN,QUARTERLY_ROLL,"&amp;AW$9&amp;","&amp;$C$5&amp;",,,'')")), "--", _xll.FDSB($C$2,"FE_ESTIMATE(SUBSCRIBERS_NB,MEAN,QUARTERLY_ROLL,"&amp;AW$9&amp;","&amp;$C$5&amp;",,,'')")))</f>
        <v>9822</v>
      </c>
      <c r="AX20" s="346" cm="1">
        <f t="array" ref="AX20">_xlfn.SINGLE(IF(ISERROR(_xll.FDSB($C$2,"FE_ESTIMATE(SUBSCRIBERS_NB,MEAN,QUARTERLY_ROLL,"&amp;AX$9&amp;","&amp;$C$5&amp;",,,'')")), "--", _xll.FDSB($C$2,"FE_ESTIMATE(SUBSCRIBERS_NB,MEAN,QUARTERLY_ROLL,"&amp;AX$9&amp;","&amp;$C$5&amp;",,,'')")))</f>
        <v>10249</v>
      </c>
      <c r="AY20" s="346" cm="1">
        <f t="array" ref="AY20">_xlfn.SINGLE(IF(ISERROR(_xll.FDSB($C$2,"FE_ESTIMATE(SUBSCRIBERS_NB,MEAN,QUARTERLY_ROLL,"&amp;AY$9&amp;","&amp;$C$5&amp;",,,'')")), "--", _xll.FDSB($C$2,"FE_ESTIMATE(SUBSCRIBERS_NB,MEAN,QUARTERLY_ROLL,"&amp;AY$9&amp;","&amp;$C$5&amp;",,,'')")))</f>
        <v>10618</v>
      </c>
      <c r="AZ20" s="346" cm="1">
        <f t="array" ref="AZ20">_xlfn.SINGLE(IF(ISERROR(_xll.FDSB($C$2,"FE_ESTIMATE(SUBSCRIBERS_NB,MEAN,QUARTERLY_ROLL,"&amp;AZ$9&amp;","&amp;$C$5&amp;",,,'')")), "--", _xll.FDSB($C$2,"FE_ESTIMATE(SUBSCRIBERS_NB,MEAN,QUARTERLY_ROLL,"&amp;AZ$9&amp;","&amp;$C$5&amp;",,,'')")))</f>
        <v>11159</v>
      </c>
      <c r="BA20" s="347" cm="1">
        <f t="array" ref="BA20">_xlfn.SINGLE(IF(ISERROR(_xll.FDSB($C$2,"FE_ESTIMATE(SUBSCRIBERS_NB,MEAN,ANNUAL_ROLL,"&amp;BA$9&amp;","&amp;$C$5&amp;",,,'')")), "--", _xll.FDSB($C$2,"FE_ESTIMATE(SUBSCRIBERS_NB,MEAN,ANNUAL_ROLL,"&amp;BA$9&amp;","&amp;$C$5&amp;",,,'')")))</f>
        <v>11159</v>
      </c>
      <c r="BB20" s="346" cm="1">
        <f t="array" ref="BB20">_xlfn.SINGLE(IF(ISERROR(_xll.FDSB($C$2,"FE_ESTIMATE(SUBSCRIBERS_NB,MEAN,QUARTERLY_ROLL,"&amp;BB$9&amp;","&amp;$C$5&amp;",,,'')")), "--", _xll.FDSB($C$2,"FE_ESTIMATE(SUBSCRIBERS_NB,MEAN,QUARTERLY_ROLL,"&amp;BB$9&amp;","&amp;$C$5&amp;",,,'')")))</f>
        <v>11578</v>
      </c>
      <c r="BC20" s="346" cm="1">
        <f t="array" ref="BC20">_xlfn.SINGLE(IF(ISERROR(_xll.FDSB($C$2,"FE_ESTIMATE(SUBSCRIBERS_NB,MEAN,QUARTERLY_ROLL,"&amp;BC$9&amp;","&amp;$C$5&amp;",,,'')")), "--", _xll.FDSB($C$2,"FE_ESTIMATE(SUBSCRIBERS_NB,MEAN,QUARTERLY_ROLL,"&amp;BC$9&amp;","&amp;$C$5&amp;",,,'')")))</f>
        <v>12062</v>
      </c>
      <c r="BD20" s="346" cm="1">
        <f t="array" ref="BD20">_xlfn.SINGLE(IF(ISERROR(_xll.FDSB($C$2,"FE_ESTIMATE(SUBSCRIBERS_NB,MEAN,QUARTERLY_ROLL,"&amp;BD$9&amp;","&amp;$C$5&amp;",,,'')")), "--", _xll.FDSB($C$2,"FE_ESTIMATE(SUBSCRIBERS_NB,MEAN,QUARTERLY_ROLL,"&amp;BD$9&amp;","&amp;$C$5&amp;",,,'')")))</f>
        <v>12438.444</v>
      </c>
      <c r="BE20" s="346" cm="1">
        <f t="array" ref="BE20">_xlfn.SINGLE(IF(ISERROR(_xll.FDSB($C$2,"FE_ESTIMATE(SUBSCRIBERS_NB,MEAN,QUARTERLY_ROLL,"&amp;BE$9&amp;","&amp;$C$5&amp;",,,'')")), "--", _xll.FDSB($C$2,"FE_ESTIMATE(SUBSCRIBERS_NB,MEAN,QUARTERLY_ROLL,"&amp;BE$9&amp;","&amp;$C$5&amp;",,,'')")))</f>
        <v>12911.111000000001</v>
      </c>
      <c r="BF20" s="347" cm="1">
        <f t="array" ref="BF20">_xlfn.SINGLE(IF(ISERROR(_xll.FDSB($C$2,"FE_ESTIMATE(SUBSCRIBERS_NB,MEAN,ANNUAL_ROLL,"&amp;BF$9&amp;","&amp;$C$5&amp;",,,'')")), "--", _xll.FDSB($C$2,"FE_ESTIMATE(SUBSCRIBERS_NB,MEAN,ANNUAL_ROLL,"&amp;BF$9&amp;","&amp;$C$5&amp;",,,'')")))</f>
        <v>12874.429</v>
      </c>
      <c r="BG20" s="346" cm="1">
        <f t="array" ref="BG20">_xlfn.SINGLE(IF(ISERROR(_xll.FDSB($C$2,"FE_ESTIMATE(SUBSCRIBERS_NB,MEAN,QUARTERLY_ROLL,"&amp;BG$9&amp;","&amp;$C$5&amp;",,,'')")), "--", _xll.FDSB($C$2,"FE_ESTIMATE(SUBSCRIBERS_NB,MEAN,QUARTERLY_ROLL,"&amp;BG$9&amp;","&amp;$C$5&amp;",,,'')")))</f>
        <v>13330.166999999999</v>
      </c>
      <c r="BH20" s="346" cm="1">
        <f t="array" ref="BH20">_xlfn.SINGLE(IF(ISERROR(_xll.FDSB($C$2,"FE_ESTIMATE(SUBSCRIBERS_NB,MEAN,QUARTERLY_ROLL,"&amp;BH$9&amp;","&amp;$C$5&amp;",,,'')")), "--", _xll.FDSB($C$2,"FE_ESTIMATE(SUBSCRIBERS_NB,MEAN,QUARTERLY_ROLL,"&amp;BH$9&amp;","&amp;$C$5&amp;",,,'')")))</f>
        <v>13792.666999999999</v>
      </c>
      <c r="BI20" s="346" cm="1">
        <f t="array" ref="BI20">_xlfn.SINGLE(IF(ISERROR(_xll.FDSB($C$2,"FE_ESTIMATE(SUBSCRIBERS_NB,MEAN,QUARTERLY_ROLL,"&amp;BI$9&amp;","&amp;$C$5&amp;",,,'')")), "--", _xll.FDSB($C$2,"FE_ESTIMATE(SUBSCRIBERS_NB,MEAN,QUARTERLY_ROLL,"&amp;BI$9&amp;","&amp;$C$5&amp;",,,'')")))</f>
        <v>14144.5</v>
      </c>
      <c r="BJ20" s="346" cm="1">
        <f t="array" ref="BJ20">_xlfn.SINGLE(IF(ISERROR(_xll.FDSB($C$2,"FE_ESTIMATE(SUBSCRIBERS_NB,MEAN,QUARTERLY_ROLL,"&amp;BJ$9&amp;","&amp;$C$5&amp;",,,'')")), "--", _xll.FDSB($C$2,"FE_ESTIMATE(SUBSCRIBERS_NB,MEAN,QUARTERLY_ROLL,"&amp;BJ$9&amp;","&amp;$C$5&amp;",,,'')")))</f>
        <v>14640.5</v>
      </c>
      <c r="BK20" s="347" cm="1">
        <f t="array" ref="BK20">_xlfn.SINGLE(IF(ISERROR(_xll.FDSB($C$2,"FE_ESTIMATE(SUBSCRIBERS_NB,MEAN,ANNUAL_ROLL,"&amp;BK$9&amp;","&amp;$C$5&amp;",,,'')")), "--", _xll.FDSB($C$2,"FE_ESTIMATE(SUBSCRIBERS_NB,MEAN,ANNUAL_ROLL,"&amp;BK$9&amp;","&amp;$C$5&amp;",,,'')")))</f>
        <v>14539.143</v>
      </c>
      <c r="BL20" s="346" cm="1">
        <f t="array" ref="BL20">_xlfn.SINGLE(IF(ISERROR(_xll.FDSB($C$2,"FE_ESTIMATE(SUBSCRIBERS_NB,MEAN,QUARTERLY_ROLL,"&amp;BL$9&amp;","&amp;$C$5&amp;",,,'')")), "--", _xll.FDSB($C$2,"FE_ESTIMATE(SUBSCRIBERS_NB,MEAN,QUARTERLY_ROLL,"&amp;BL$9&amp;","&amp;$C$5&amp;",,,'')")))</f>
        <v>15122</v>
      </c>
      <c r="BM20" s="346" cm="1">
        <f t="array" ref="BM20">_xlfn.SINGLE(IF(ISERROR(_xll.FDSB($C$2,"FE_ESTIMATE(SUBSCRIBERS_NB,MEAN,QUARTERLY_ROLL,"&amp;BM$9&amp;","&amp;$C$5&amp;",,,'')")), "--", _xll.FDSB($C$2,"FE_ESTIMATE(SUBSCRIBERS_NB,MEAN,QUARTERLY_ROLL,"&amp;BM$9&amp;","&amp;$C$5&amp;",,,'')")))</f>
        <v>15722</v>
      </c>
      <c r="BN20" s="346" cm="1">
        <f t="array" ref="BN20">_xlfn.SINGLE(IF(ISERROR(_xll.FDSB($C$2,"FE_ESTIMATE(SUBSCRIBERS_NB,MEAN,QUARTERLY_ROLL,"&amp;BN$9&amp;","&amp;$C$5&amp;",,,'')")), "--", _xll.FDSB($C$2,"FE_ESTIMATE(SUBSCRIBERS_NB,MEAN,QUARTERLY_ROLL,"&amp;BN$9&amp;","&amp;$C$5&amp;",,,'')")))</f>
        <v>16322</v>
      </c>
      <c r="BO20" s="346" cm="1">
        <f t="array" ref="BO20">_xlfn.SINGLE(IF(ISERROR(_xll.FDSB($C$2,"FE_ESTIMATE(SUBSCRIBERS_NB,MEAN,QUARTERLY_ROLL,"&amp;BO$9&amp;","&amp;$C$5&amp;",,,'')")), "--", _xll.FDSB($C$2,"FE_ESTIMATE(SUBSCRIBERS_NB,MEAN,QUARTERLY_ROLL,"&amp;BO$9&amp;","&amp;$C$5&amp;",,,'')")))</f>
        <v>16922</v>
      </c>
      <c r="BP20" s="347" cm="1">
        <f t="array" ref="BP20">_xlfn.SINGLE(IF(ISERROR(_xll.FDSB($C$2,"FE_ESTIMATE(SUBSCRIBERS_NB,MEAN,ANNUAL_ROLL,"&amp;BP$9&amp;","&amp;$C$5&amp;",,,'')")), "--", _xll.FDSB($C$2,"FE_ESTIMATE(SUBSCRIBERS_NB,MEAN,ANNUAL_ROLL,"&amp;BP$9&amp;","&amp;$C$5&amp;",,,'')")))</f>
        <v>16615.5</v>
      </c>
    </row>
    <row r="21" spans="1:68" s="337" customFormat="1" hidden="1" outlineLevel="1">
      <c r="A21" s="333"/>
      <c r="B21" s="334" t="s">
        <v>32</v>
      </c>
      <c r="C21" s="334"/>
      <c r="D21" s="335"/>
      <c r="E21" s="335"/>
      <c r="F21" s="335"/>
      <c r="G21" s="335"/>
      <c r="H21" s="336"/>
      <c r="I21" s="335" t="str">
        <f t="shared" ref="I21:AN21" si="4">IFERROR(I20/D20-1,"--")</f>
        <v>--</v>
      </c>
      <c r="J21" s="335" t="str">
        <f t="shared" si="4"/>
        <v>--</v>
      </c>
      <c r="K21" s="335" t="str">
        <f t="shared" si="4"/>
        <v>--</v>
      </c>
      <c r="L21" s="335" t="str">
        <f t="shared" si="4"/>
        <v>--</v>
      </c>
      <c r="M21" s="336" t="str">
        <f t="shared" si="4"/>
        <v>--</v>
      </c>
      <c r="N21" s="335" t="str">
        <f t="shared" si="4"/>
        <v>--</v>
      </c>
      <c r="O21" s="335" t="str">
        <f t="shared" si="4"/>
        <v>--</v>
      </c>
      <c r="P21" s="335" t="str">
        <f t="shared" si="4"/>
        <v>--</v>
      </c>
      <c r="Q21" s="335" t="str">
        <f t="shared" si="4"/>
        <v>--</v>
      </c>
      <c r="R21" s="336" t="str">
        <f t="shared" si="4"/>
        <v>--</v>
      </c>
      <c r="S21" s="335" t="str">
        <f t="shared" si="4"/>
        <v>--</v>
      </c>
      <c r="T21" s="335" t="str">
        <f t="shared" si="4"/>
        <v>--</v>
      </c>
      <c r="U21" s="335" t="str">
        <f t="shared" si="4"/>
        <v>--</v>
      </c>
      <c r="V21" s="335" t="str">
        <f t="shared" si="4"/>
        <v>--</v>
      </c>
      <c r="W21" s="336" t="str">
        <f t="shared" si="4"/>
        <v>--</v>
      </c>
      <c r="X21" s="335" t="str">
        <f t="shared" si="4"/>
        <v>--</v>
      </c>
      <c r="Y21" s="335" t="str">
        <f t="shared" si="4"/>
        <v>--</v>
      </c>
      <c r="Z21" s="335" t="str">
        <f t="shared" si="4"/>
        <v>--</v>
      </c>
      <c r="AA21" s="335" t="str">
        <f t="shared" si="4"/>
        <v>--</v>
      </c>
      <c r="AB21" s="336" t="str">
        <f t="shared" si="4"/>
        <v>--</v>
      </c>
      <c r="AC21" s="335" t="str">
        <f t="shared" si="4"/>
        <v>--</v>
      </c>
      <c r="AD21" s="335" t="str">
        <f t="shared" si="4"/>
        <v>--</v>
      </c>
      <c r="AE21" s="335" t="str">
        <f t="shared" si="4"/>
        <v>--</v>
      </c>
      <c r="AF21" s="335" t="str">
        <f t="shared" si="4"/>
        <v>--</v>
      </c>
      <c r="AG21" s="336" t="str">
        <f t="shared" si="4"/>
        <v>--</v>
      </c>
      <c r="AH21" s="335" t="str">
        <f t="shared" si="4"/>
        <v>--</v>
      </c>
      <c r="AI21" s="335">
        <f t="shared" si="4"/>
        <v>0.60141206675224645</v>
      </c>
      <c r="AJ21" s="335">
        <f t="shared" si="4"/>
        <v>0.52391671356218339</v>
      </c>
      <c r="AK21" s="335">
        <f t="shared" si="4"/>
        <v>0.43632696591514453</v>
      </c>
      <c r="AL21" s="336">
        <f t="shared" si="4"/>
        <v>0.43632696591514453</v>
      </c>
      <c r="AM21" s="335">
        <f t="shared" si="4"/>
        <v>0.3949691085613416</v>
      </c>
      <c r="AN21" s="335">
        <f t="shared" si="4"/>
        <v>0.36432865731462916</v>
      </c>
      <c r="AO21" s="335">
        <f t="shared" ref="AO21:BP21" si="5">IFERROR(AO20/AJ20-1,"--")</f>
        <v>0.346381093057607</v>
      </c>
      <c r="AP21" s="335">
        <f t="shared" si="5"/>
        <v>0.3169582772543742</v>
      </c>
      <c r="AQ21" s="336">
        <f t="shared" si="5"/>
        <v>0.3169582772543742</v>
      </c>
      <c r="AR21" s="335">
        <f t="shared" si="5"/>
        <v>0.29183802594115793</v>
      </c>
      <c r="AS21" s="335">
        <f t="shared" si="5"/>
        <v>0.25298663337250304</v>
      </c>
      <c r="AT21" s="335">
        <f t="shared" si="5"/>
        <v>0.22147558968732861</v>
      </c>
      <c r="AU21" s="335">
        <f t="shared" si="5"/>
        <v>0.20554420030659171</v>
      </c>
      <c r="AV21" s="336">
        <f t="shared" si="5"/>
        <v>0.20554420030659171</v>
      </c>
      <c r="AW21" s="335">
        <f t="shared" si="5"/>
        <v>0.20264479000857105</v>
      </c>
      <c r="AX21" s="335">
        <f t="shared" si="5"/>
        <v>0.2014771287357715</v>
      </c>
      <c r="AY21" s="335">
        <f t="shared" si="5"/>
        <v>0.19209610418771761</v>
      </c>
      <c r="AZ21" s="335">
        <f t="shared" si="5"/>
        <v>0.18247324361555584</v>
      </c>
      <c r="BA21" s="336">
        <f t="shared" si="5"/>
        <v>0.18247324361555584</v>
      </c>
      <c r="BB21" s="335">
        <f t="shared" si="5"/>
        <v>0.17878232539197714</v>
      </c>
      <c r="BC21" s="335">
        <f t="shared" si="5"/>
        <v>0.17689530685920585</v>
      </c>
      <c r="BD21" s="335">
        <f t="shared" si="5"/>
        <v>0.17144886042569207</v>
      </c>
      <c r="BE21" s="335">
        <f t="shared" si="5"/>
        <v>0.15701326283717187</v>
      </c>
      <c r="BF21" s="336">
        <f t="shared" si="5"/>
        <v>0.15372605072139089</v>
      </c>
      <c r="BG21" s="335">
        <f t="shared" si="5"/>
        <v>0.15133589566419059</v>
      </c>
      <c r="BH21" s="335">
        <f t="shared" si="5"/>
        <v>0.14348093185209754</v>
      </c>
      <c r="BI21" s="335">
        <f t="shared" si="5"/>
        <v>0.1371599212891903</v>
      </c>
      <c r="BJ21" s="335">
        <f t="shared" si="5"/>
        <v>0.13394579289109965</v>
      </c>
      <c r="BK21" s="336">
        <f t="shared" si="5"/>
        <v>0.12930390932289115</v>
      </c>
      <c r="BL21" s="335">
        <f t="shared" si="5"/>
        <v>0.13441939624612353</v>
      </c>
      <c r="BM21" s="335">
        <f t="shared" si="5"/>
        <v>0.13988106868671601</v>
      </c>
      <c r="BN21" s="335">
        <f t="shared" si="5"/>
        <v>0.15394676375976535</v>
      </c>
      <c r="BO21" s="335">
        <f t="shared" si="5"/>
        <v>0.15583484170622586</v>
      </c>
      <c r="BP21" s="336">
        <f t="shared" si="5"/>
        <v>0.14281151234292144</v>
      </c>
    </row>
    <row r="22" spans="1:68" s="337" customFormat="1" hidden="1" outlineLevel="1">
      <c r="A22" s="333"/>
      <c r="B22" s="334" t="s">
        <v>33</v>
      </c>
      <c r="C22" s="334"/>
      <c r="D22" s="335"/>
      <c r="E22" s="335"/>
      <c r="F22" s="335"/>
      <c r="G22" s="335"/>
      <c r="H22" s="336"/>
      <c r="I22" s="335" t="str">
        <f>IFERROR(I20/G20-1,"--")</f>
        <v>--</v>
      </c>
      <c r="J22" s="335" t="str">
        <f>IFERROR(J20/I20-1,"--")</f>
        <v>--</v>
      </c>
      <c r="K22" s="335" t="str">
        <f>IFERROR(K20/J20-1,"--")</f>
        <v>--</v>
      </c>
      <c r="L22" s="335" t="str">
        <f>IFERROR(L20/K20-1,"--")</f>
        <v>--</v>
      </c>
      <c r="M22" s="336"/>
      <c r="N22" s="335" t="str">
        <f>IFERROR(N20/L20-1,"--")</f>
        <v>--</v>
      </c>
      <c r="O22" s="335" t="str">
        <f>IFERROR(O20/N20-1,"--")</f>
        <v>--</v>
      </c>
      <c r="P22" s="335" t="str">
        <f>IFERROR(P20/O20-1,"--")</f>
        <v>--</v>
      </c>
      <c r="Q22" s="335" t="str">
        <f>IFERROR(Q20/P20-1,"--")</f>
        <v>--</v>
      </c>
      <c r="R22" s="336"/>
      <c r="S22" s="335" t="str">
        <f>IFERROR(S20/Q20-1,"--")</f>
        <v>--</v>
      </c>
      <c r="T22" s="335" t="str">
        <f>IFERROR(T20/S20-1,"--")</f>
        <v>--</v>
      </c>
      <c r="U22" s="335" t="str">
        <f>IFERROR(U20/T20-1,"--")</f>
        <v>--</v>
      </c>
      <c r="V22" s="335" t="str">
        <f>IFERROR(V20/U20-1,"--")</f>
        <v>--</v>
      </c>
      <c r="W22" s="336"/>
      <c r="X22" s="335" t="str">
        <f>IFERROR(X20/V20-1,"--")</f>
        <v>--</v>
      </c>
      <c r="Y22" s="335" t="str">
        <f>IFERROR(Y20/X20-1,"--")</f>
        <v>--</v>
      </c>
      <c r="Z22" s="335" t="str">
        <f>IFERROR(Z20/Y20-1,"--")</f>
        <v>--</v>
      </c>
      <c r="AA22" s="335" t="str">
        <f>IFERROR(AA20/Z20-1,"--")</f>
        <v>--</v>
      </c>
      <c r="AB22" s="336"/>
      <c r="AC22" s="335" t="str">
        <f>IFERROR(AC20/AA20-1,"--")</f>
        <v>--</v>
      </c>
      <c r="AD22" s="335" t="str">
        <f>IFERROR(AD20/AC20-1,"--")</f>
        <v>--</v>
      </c>
      <c r="AE22" s="335">
        <f>IFERROR(AE20/AD20-1,"--")</f>
        <v>0.14056482670089854</v>
      </c>
      <c r="AF22" s="335">
        <f>IFERROR(AF20/AE20-1,"--")</f>
        <v>0.16441572875633081</v>
      </c>
      <c r="AG22" s="336"/>
      <c r="AH22" s="335">
        <f>IFERROR(AH20/AF20-1,"--")</f>
        <v>9.5126818561143134E-2</v>
      </c>
      <c r="AI22" s="335">
        <f>IFERROR(AI20/AH20-1,"--")</f>
        <v>0.10105913503971764</v>
      </c>
      <c r="AJ22" s="335">
        <f>IFERROR(AJ20/AI20-1,"--")</f>
        <v>8.5370741482965862E-2</v>
      </c>
      <c r="AK22" s="335">
        <f>IFERROR(AK20/AJ20-1,"--")</f>
        <v>9.748892171344159E-2</v>
      </c>
      <c r="AL22" s="336"/>
      <c r="AM22" s="335">
        <f>IFERROR(AM20/AK20-1,"--")</f>
        <v>6.3593539703903135E-2</v>
      </c>
      <c r="AN22" s="335">
        <f>IFERROR(AN20/AM20-1,"--")</f>
        <v>7.6874406833280506E-2</v>
      </c>
      <c r="AO22" s="335">
        <f>IFERROR(AO20/AN20-1,"--")</f>
        <v>7.1092831962397129E-2</v>
      </c>
      <c r="AP22" s="335">
        <f>IFERROR(AP20/AO20-1,"--")</f>
        <v>7.3505211190345587E-2</v>
      </c>
      <c r="AQ22" s="336"/>
      <c r="AR22" s="335">
        <f>IFERROR(AR20/AP20-1,"--")</f>
        <v>4.3306080735820096E-2</v>
      </c>
      <c r="AS22" s="335">
        <f>IFERROR(AS20/AR20-1,"--")</f>
        <v>4.4487939267785048E-2</v>
      </c>
      <c r="AT22" s="335">
        <f>IFERROR(AT20/AS20-1,"--")</f>
        <v>4.4156189447703831E-2</v>
      </c>
      <c r="AU22" s="335">
        <f>IFERROR(AU20/AT20-1,"--")</f>
        <v>5.9503761086785678E-2</v>
      </c>
      <c r="AV22" s="336"/>
      <c r="AW22" s="335">
        <f>IFERROR(AW20/AU20-1,"--")</f>
        <v>4.0796863409982009E-2</v>
      </c>
      <c r="AX22" s="335">
        <f>IFERROR(AX20/AW20-1,"--")</f>
        <v>4.3473834249643684E-2</v>
      </c>
      <c r="AY22" s="335">
        <f>IFERROR(AY20/AX20-1,"--")</f>
        <v>3.6003512537808646E-2</v>
      </c>
      <c r="AZ22" s="335">
        <f>IFERROR(AZ20/AY20-1,"--")</f>
        <v>5.0951214918063759E-2</v>
      </c>
      <c r="BA22" s="336"/>
      <c r="BB22" s="335">
        <f>IFERROR(BB20/AZ20-1,"--")</f>
        <v>3.7548167398512522E-2</v>
      </c>
      <c r="BC22" s="335">
        <f>IFERROR(BC20/BB20-1,"--")</f>
        <v>4.1803420279841186E-2</v>
      </c>
      <c r="BD22" s="335">
        <f>IFERROR(BD20/BC20-1,"--")</f>
        <v>3.1209086387000484E-2</v>
      </c>
      <c r="BE22" s="335">
        <f>IFERROR(BE20/BD20-1,"--")</f>
        <v>3.8000492666124597E-2</v>
      </c>
      <c r="BF22" s="336"/>
      <c r="BG22" s="335">
        <f>IFERROR(BG20/BE20-1,"--")</f>
        <v>3.2457005442831255E-2</v>
      </c>
      <c r="BH22" s="335">
        <f>IFERROR(BH20/BG20-1,"--")</f>
        <v>3.4695739370707024E-2</v>
      </c>
      <c r="BI22" s="335">
        <f>IFERROR(BI20/BH20-1,"--")</f>
        <v>2.5508699659029022E-2</v>
      </c>
      <c r="BJ22" s="335">
        <f>IFERROR(BJ20/BI20-1,"--")</f>
        <v>3.5066633673866088E-2</v>
      </c>
      <c r="BK22" s="336"/>
      <c r="BL22" s="335">
        <f>IFERROR(BL20/BJ20-1,"--")</f>
        <v>3.2888221030702436E-2</v>
      </c>
      <c r="BM22" s="335">
        <f>IFERROR(BM20/BL20-1,"--")</f>
        <v>3.9677291363576339E-2</v>
      </c>
      <c r="BN22" s="335">
        <f>IFERROR(BN20/BM20-1,"--")</f>
        <v>3.8163083577152923E-2</v>
      </c>
      <c r="BO22" s="335">
        <f>IFERROR(BO20/BN20-1,"--")</f>
        <v>3.6760200955765265E-2</v>
      </c>
      <c r="BP22" s="336"/>
    </row>
    <row r="23" spans="1:68" s="337" customFormat="1" hidden="1" outlineLevel="1">
      <c r="A23" s="333"/>
      <c r="B23" s="334"/>
      <c r="C23" s="334"/>
      <c r="D23" s="335"/>
      <c r="E23" s="335"/>
      <c r="F23" s="335"/>
      <c r="G23" s="335"/>
      <c r="H23" s="336"/>
      <c r="I23" s="335"/>
      <c r="J23" s="335"/>
      <c r="K23" s="335"/>
      <c r="L23" s="335"/>
      <c r="M23" s="336"/>
      <c r="N23" s="335"/>
      <c r="O23" s="335"/>
      <c r="P23" s="335"/>
      <c r="Q23" s="335"/>
      <c r="R23" s="336"/>
      <c r="S23" s="335"/>
      <c r="T23" s="335"/>
      <c r="U23" s="335"/>
      <c r="V23" s="335"/>
      <c r="W23" s="336"/>
      <c r="X23" s="335"/>
      <c r="Y23" s="335"/>
      <c r="Z23" s="335"/>
      <c r="AA23" s="335"/>
      <c r="AB23" s="336"/>
      <c r="AC23" s="335"/>
      <c r="AD23" s="335"/>
      <c r="AE23" s="335"/>
      <c r="AF23" s="335"/>
      <c r="AG23" s="336"/>
      <c r="AH23" s="335"/>
      <c r="AI23" s="335"/>
      <c r="AJ23" s="335"/>
      <c r="AK23" s="335"/>
      <c r="AL23" s="336"/>
      <c r="AM23" s="335"/>
      <c r="AN23" s="335"/>
      <c r="AO23" s="335"/>
      <c r="AP23" s="335"/>
      <c r="AQ23" s="336"/>
      <c r="AR23" s="335"/>
      <c r="AS23" s="335"/>
      <c r="AT23" s="335"/>
      <c r="AU23" s="335"/>
      <c r="AV23" s="336"/>
      <c r="AW23" s="335"/>
      <c r="AX23" s="335"/>
      <c r="AY23" s="335"/>
      <c r="AZ23" s="335"/>
      <c r="BA23" s="336"/>
      <c r="BB23" s="335"/>
      <c r="BC23" s="335"/>
      <c r="BD23" s="335"/>
      <c r="BE23" s="335"/>
      <c r="BF23" s="336"/>
      <c r="BG23" s="335"/>
      <c r="BH23" s="335"/>
      <c r="BI23" s="335"/>
      <c r="BJ23" s="335"/>
      <c r="BK23" s="336"/>
      <c r="BL23" s="335"/>
      <c r="BM23" s="335"/>
      <c r="BN23" s="335"/>
      <c r="BO23" s="335"/>
      <c r="BP23" s="336"/>
    </row>
    <row r="24" spans="1:68" s="306" customFormat="1" hidden="1" outlineLevel="1">
      <c r="A24" s="301"/>
      <c r="B24" s="302" t="s">
        <v>219</v>
      </c>
      <c r="C24" s="303"/>
      <c r="D24" s="304" t="str" cm="1">
        <f t="array" ref="D24">_xlfn.SINGLE(IF(ISERROR(_xll.FDSB($C$2,"FE_ESTIMATE(SPEC_GROSS_2,MEAN,QUARTERLY_ROLL,"&amp;D$9&amp;","&amp;$C$5&amp;",,,'')")), "--", _xll.FDSB($C$2,"FE_ESTIMATE(SPEC_GROSS_2,MEAN,QUARTERLY_ROLL,"&amp;D$9&amp;","&amp;$C$5&amp;",,,'')")))</f>
        <v/>
      </c>
      <c r="E24" s="304" t="str" cm="1">
        <f t="array" ref="E24">_xlfn.SINGLE(IF(ISERROR(_xll.FDSB($C$2,"FE_ESTIMATE(SPEC_GROSS_2,MEAN,QUARTERLY_ROLL,"&amp;E$9&amp;","&amp;$C$5&amp;",,,'')")), "--", _xll.FDSB($C$2,"FE_ESTIMATE(SPEC_GROSS_2,MEAN,QUARTERLY_ROLL,"&amp;E$9&amp;","&amp;$C$5&amp;",,,'')")))</f>
        <v/>
      </c>
      <c r="F24" s="304" t="str" cm="1">
        <f t="array" ref="F24">_xlfn.SINGLE(IF(ISERROR(_xll.FDSB($C$2,"FE_ESTIMATE(SPEC_GROSS_2,MEAN,QUARTERLY_ROLL,"&amp;F$9&amp;","&amp;$C$5&amp;",,,'')")), "--", _xll.FDSB($C$2,"FE_ESTIMATE(SPEC_GROSS_2,MEAN,QUARTERLY_ROLL,"&amp;F$9&amp;","&amp;$C$5&amp;",,,'')")))</f>
        <v/>
      </c>
      <c r="G24" s="304" t="str" cm="1">
        <f t="array" ref="G24">_xlfn.SINGLE(IF(ISERROR(_xll.FDSB($C$2,"FE_ESTIMATE(SPEC_GROSS_2,MEAN,QUARTERLY_ROLL,"&amp;G$9&amp;","&amp;$C$5&amp;",,,'')")), "--", _xll.FDSB($C$2,"FE_ESTIMATE(SPEC_GROSS_2,MEAN,QUARTERLY_ROLL,"&amp;G$9&amp;","&amp;$C$5&amp;",,,'')")))</f>
        <v/>
      </c>
      <c r="H24" s="305" t="str" cm="1">
        <f t="array" ref="H24">_xlfn.SINGLE(IF(ISERROR(_xll.FDSB($C$2,"FE_ESTIMATE(SPEC_GROSS_2,MEAN,annual_ROLL,"&amp;H$9&amp;","&amp;$C$5&amp;",,,'')")), "--", _xll.FDSB($C$2,"FE_ESTIMATE(SPEC_GROSS_2,MEAN,ANNUAL_ROLL,"&amp;H$9&amp;","&amp;$C$5&amp;",,,'')")))</f>
        <v/>
      </c>
      <c r="I24" s="304" t="str" cm="1">
        <f t="array" ref="I24">_xlfn.SINGLE(IF(ISERROR(_xll.FDSB($C$2,"FE_ESTIMATE(SPEC_GROSS_2,MEAN,QUARTERLY_ROLL,"&amp;I$9&amp;","&amp;$C$5&amp;",,,'')")), "--", _xll.FDSB($C$2,"FE_ESTIMATE(SPEC_GROSS_2,MEAN,QUARTERLY_ROLL,"&amp;I$9&amp;","&amp;$C$5&amp;",,,'')")))</f>
        <v/>
      </c>
      <c r="J24" s="304" t="str" cm="1">
        <f t="array" ref="J24">_xlfn.SINGLE(IF(ISERROR(_xll.FDSB($C$2,"FE_ESTIMATE(SPEC_GROSS_2,MEAN,QUARTERLY_ROLL,"&amp;J$9&amp;","&amp;$C$5&amp;",,,'')")), "--", _xll.FDSB($C$2,"FE_ESTIMATE(SPEC_GROSS_2,MEAN,QUARTERLY_ROLL,"&amp;J$9&amp;","&amp;$C$5&amp;",,,'')")))</f>
        <v/>
      </c>
      <c r="K24" s="304" t="str" cm="1">
        <f t="array" ref="K24">_xlfn.SINGLE(IF(ISERROR(_xll.FDSB($C$2,"FE_ESTIMATE(SPEC_GROSS_2,MEAN,QUARTERLY_ROLL,"&amp;K$9&amp;","&amp;$C$5&amp;",,,'')")), "--", _xll.FDSB($C$2,"FE_ESTIMATE(SPEC_GROSS_2,MEAN,QUARTERLY_ROLL,"&amp;K$9&amp;","&amp;$C$5&amp;",,,'')")))</f>
        <v/>
      </c>
      <c r="L24" s="304" t="str" cm="1">
        <f t="array" ref="L24">_xlfn.SINGLE(IF(ISERROR(_xll.FDSB($C$2,"FE_ESTIMATE(SPEC_GROSS_2,MEAN,QUARTERLY_ROLL,"&amp;L$9&amp;","&amp;$C$5&amp;",,,'')")), "--", _xll.FDSB($C$2,"FE_ESTIMATE(SPEC_GROSS_2,MEAN,QUARTERLY_ROLL,"&amp;L$9&amp;","&amp;$C$5&amp;",,,'')")))</f>
        <v/>
      </c>
      <c r="M24" s="305" t="str" cm="1">
        <f t="array" ref="M24">_xlfn.SINGLE(IF(ISERROR(_xll.FDSB($C$2,"FE_ESTIMATE(SPEC_GROSS_2,MEAN,ANNUAL_ROLL,"&amp;M$9&amp;","&amp;$C$5&amp;",,,'')")), "--", _xll.FDSB($C$2,"FE_ESTIMATE(SPEC_GROSS_2,MEAN,ANNUAL_ROLL,"&amp;M$9&amp;","&amp;$C$5&amp;",,,'')")))</f>
        <v/>
      </c>
      <c r="N24" s="304" t="str" cm="1">
        <f t="array" ref="N24">_xlfn.SINGLE(IF(ISERROR(_xll.FDSB($C$2,"FE_ESTIMATE(SPEC_GROSS_2,MEAN,QUARTERLY_ROLL,"&amp;N$9&amp;","&amp;$C$5&amp;",,,'')")), "--", _xll.FDSB($C$2,"FE_ESTIMATE(SPEC_GROSS_2,MEAN,QUARTERLY_ROLL,"&amp;N$9&amp;","&amp;$C$5&amp;",,,'')")))</f>
        <v/>
      </c>
      <c r="O24" s="304" t="str" cm="1">
        <f t="array" ref="O24">_xlfn.SINGLE(IF(ISERROR(_xll.FDSB($C$2,"FE_ESTIMATE(SPEC_GROSS_2,MEAN,QUARTERLY_ROLL,"&amp;O$9&amp;","&amp;$C$5&amp;",,,'')")), "--", _xll.FDSB($C$2,"FE_ESTIMATE(SPEC_GROSS_2,MEAN,QUARTERLY_ROLL,"&amp;O$9&amp;","&amp;$C$5&amp;",,,'')")))</f>
        <v/>
      </c>
      <c r="P24" s="304" t="str" cm="1">
        <f t="array" ref="P24">_xlfn.SINGLE(IF(ISERROR(_xll.FDSB($C$2,"FE_ESTIMATE(SPEC_GROSS_2,MEAN,QUARTERLY_ROLL,"&amp;P$9&amp;","&amp;$C$5&amp;",,,'')")), "--", _xll.FDSB($C$2,"FE_ESTIMATE(SPEC_GROSS_2,MEAN,QUARTERLY_ROLL,"&amp;P$9&amp;","&amp;$C$5&amp;",,,'')")))</f>
        <v/>
      </c>
      <c r="Q24" s="304" t="str" cm="1">
        <f t="array" ref="Q24">_xlfn.SINGLE(IF(ISERROR(_xll.FDSB($C$2,"FE_ESTIMATE(SPEC_GROSS_2,MEAN,QUARTERLY_ROLL,"&amp;Q$9&amp;","&amp;$C$5&amp;",,,'')")), "--", _xll.FDSB($C$2,"FE_ESTIMATE(SPEC_GROSS_2,MEAN,QUARTERLY_ROLL,"&amp;Q$9&amp;","&amp;$C$5&amp;",,,'')")))</f>
        <v/>
      </c>
      <c r="R24" s="305" t="str" cm="1">
        <f t="array" ref="R24">_xlfn.SINGLE(IF(ISERROR(_xll.FDSB($C$2,"FE_ESTIMATE(SPEC_GROSS_2,MEAN,ANNUAL_ROLL,"&amp;R$9&amp;","&amp;$C$5&amp;",,,'')")), "--", _xll.FDSB($C$2,"FE_ESTIMATE(SPEC_GROSS_2,MEAN,ANNUAL_ROLL,"&amp;R$9&amp;","&amp;$C$5&amp;",,,'')")))</f>
        <v/>
      </c>
      <c r="S24" s="304" t="str" cm="1">
        <f t="array" ref="S24">_xlfn.SINGLE(IF(ISERROR(_xll.FDSB($C$2,"FE_ESTIMATE(SPEC_GROSS_2,MEAN,QUARTERLY_ROLL,"&amp;S$9&amp;","&amp;$C$5&amp;",,,'')")), "--", _xll.FDSB($C$2,"FE_ESTIMATE(SPEC_GROSS_2,MEAN,QUARTERLY_ROLL,"&amp;S$9&amp;","&amp;$C$5&amp;",,,'')")))</f>
        <v/>
      </c>
      <c r="T24" s="304" t="str" cm="1">
        <f t="array" ref="T24">_xlfn.SINGLE(IF(ISERROR(_xll.FDSB($C$2,"FE_ESTIMATE(SPEC_GROSS_2,MEAN,QUARTERLY_ROLL,"&amp;T$9&amp;","&amp;$C$5&amp;",,,'')")), "--", _xll.FDSB($C$2,"FE_ESTIMATE(SPEC_GROSS_2,MEAN,QUARTERLY_ROLL,"&amp;T$9&amp;","&amp;$C$5&amp;",,,'')")))</f>
        <v/>
      </c>
      <c r="U24" s="304" t="str" cm="1">
        <f t="array" ref="U24">_xlfn.SINGLE(IF(ISERROR(_xll.FDSB($C$2,"FE_ESTIMATE(SPEC_GROSS_2,MEAN,QUARTERLY_ROLL,"&amp;U$9&amp;","&amp;$C$5&amp;",,,'')")), "--", _xll.FDSB($C$2,"FE_ESTIMATE(SPEC_GROSS_2,MEAN,QUARTERLY_ROLL,"&amp;U$9&amp;","&amp;$C$5&amp;",,,'')")))</f>
        <v/>
      </c>
      <c r="V24" s="304" t="str" cm="1">
        <f t="array" ref="V24">_xlfn.SINGLE(IF(ISERROR(_xll.FDSB($C$2,"FE_ESTIMATE(SPEC_GROSS_2,MEAN,QUARTERLY_ROLL,"&amp;V$9&amp;","&amp;$C$5&amp;",,,'')")), "--", _xll.FDSB($C$2,"FE_ESTIMATE(SPEC_GROSS_2,MEAN,QUARTERLY_ROLL,"&amp;V$9&amp;","&amp;$C$5&amp;",,,'')")))</f>
        <v/>
      </c>
      <c r="W24" s="305" t="str" cm="1">
        <f t="array" ref="W24">_xlfn.SINGLE(IF(ISERROR(_xll.FDSB($C$2,"FE_ESTIMATE(SPEC_GROSS_2,MEAN,ANNUAL_ROLL,"&amp;W$9&amp;","&amp;$C$5&amp;",,,'')")), "--", _xll.FDSB($C$2,"FE_ESTIMATE(SPEC_GROSS_2,MEAN,ANNUAL_ROLL,"&amp;W$9&amp;","&amp;$C$5&amp;",,,'')")))</f>
        <v/>
      </c>
      <c r="X24" s="304" t="str" cm="1">
        <f t="array" ref="X24">_xlfn.SINGLE(IF(ISERROR(_xll.FDSB($C$2,"FE_ESTIMATE(SPEC_GROSS_2,MEAN,QUARTERLY_ROLL,"&amp;X$9&amp;","&amp;$C$5&amp;",,,'')")), "--", _xll.FDSB($C$2,"FE_ESTIMATE(SPEC_GROSS_2,MEAN,QUARTERLY_ROLL,"&amp;X$9&amp;","&amp;$C$5&amp;",,,'')")))</f>
        <v/>
      </c>
      <c r="Y24" s="304" t="str" cm="1">
        <f t="array" ref="Y24">_xlfn.SINGLE(IF(ISERROR(_xll.FDSB($C$2,"FE_ESTIMATE(SPEC_GROSS_2,MEAN,QUARTERLY_ROLL,"&amp;Y$9&amp;","&amp;$C$5&amp;",,,'')")), "--", _xll.FDSB($C$2,"FE_ESTIMATE(SPEC_GROSS_2,MEAN,QUARTERLY_ROLL,"&amp;Y$9&amp;","&amp;$C$5&amp;",,,'')")))</f>
        <v/>
      </c>
      <c r="Z24" s="304" t="str" cm="1">
        <f t="array" ref="Z24">_xlfn.SINGLE(IF(ISERROR(_xll.FDSB($C$2,"FE_ESTIMATE(SPEC_GROSS_2,MEAN,QUARTERLY_ROLL,"&amp;Z$9&amp;","&amp;$C$5&amp;",,,'')")), "--", _xll.FDSB($C$2,"FE_ESTIMATE(SPEC_GROSS_2,MEAN,QUARTERLY_ROLL,"&amp;Z$9&amp;","&amp;$C$5&amp;",,,'')")))</f>
        <v/>
      </c>
      <c r="AA24" s="304" t="str" cm="1">
        <f t="array" ref="AA24">_xlfn.SINGLE(IF(ISERROR(_xll.FDSB($C$2,"FE_ESTIMATE(SPEC_GROSS_2,MEAN,QUARTERLY_ROLL,"&amp;AA$9&amp;","&amp;$C$5&amp;",,,'')")), "--", _xll.FDSB($C$2,"FE_ESTIMATE(SPEC_GROSS_2,MEAN,QUARTERLY_ROLL,"&amp;AA$9&amp;","&amp;$C$5&amp;",,,'')")))</f>
        <v/>
      </c>
      <c r="AB24" s="305" t="str" cm="1">
        <f t="array" ref="AB24">_xlfn.SINGLE(IF(ISERROR(_xll.FDSB($C$2,"FE_ESTIMATE(SPEC_GROSS_2,MEAN,ANNUAL_ROLL,"&amp;AB$9&amp;","&amp;$C$5&amp;",,,'')")), "--", _xll.FDSB($C$2,"FE_ESTIMATE(SPEC_GROSS_2,MEAN,ANNUAL_ROLL,"&amp;AB$9&amp;","&amp;$C$5&amp;",,,'')")))</f>
        <v/>
      </c>
      <c r="AC24" s="304" t="str" cm="1">
        <f t="array" ref="AC24">_xlfn.SINGLE(IF(ISERROR(_xll.FDSB($C$2,"FE_ESTIMATE(SPEC_GROSS_2,MEAN,QUARTERLY_ROLL,"&amp;AC$9&amp;","&amp;$C$5&amp;",,,'')")), "--", _xll.FDSB($C$2,"FE_ESTIMATE(SPEC_GROSS_2,MEAN,QUARTERLY_ROLL,"&amp;AC$9&amp;","&amp;$C$5&amp;",,,'')")))</f>
        <v/>
      </c>
      <c r="AD24" s="304" t="str" cm="1">
        <f t="array" ref="AD24">_xlfn.SINGLE(IF(ISERROR(_xll.FDSB($C$2,"FE_ESTIMATE(SPEC_GROSS_2,MEAN,QUARTERLY_ROLL,"&amp;AD$9&amp;","&amp;$C$5&amp;",,,'')")), "--", _xll.FDSB($C$2,"FE_ESTIMATE(SPEC_GROSS_2,MEAN,QUARTERLY_ROLL,"&amp;AD$9&amp;","&amp;$C$5&amp;",,,'')")))</f>
        <v/>
      </c>
      <c r="AE24" s="304" t="str" cm="1">
        <f t="array" ref="AE24">_xlfn.SINGLE(IF(ISERROR(_xll.FDSB($C$2,"FE_ESTIMATE(SPEC_GROSS_2,MEAN,QUARTERLY_ROLL,"&amp;AE$9&amp;","&amp;$C$5&amp;",,,'')")), "--", _xll.FDSB($C$2,"FE_ESTIMATE(SPEC_GROSS_2,MEAN,QUARTERLY_ROLL,"&amp;AE$9&amp;","&amp;$C$5&amp;",,,'')")))</f>
        <v/>
      </c>
      <c r="AF24" s="304" cm="1">
        <f t="array" ref="AF24">_xlfn.SINGLE(IF(ISERROR(_xll.FDSB($C$2,"FE_ESTIMATE(SPEC_GROSS_2,MEAN,QUARTERLY_ROLL,"&amp;AF$9&amp;","&amp;$C$5&amp;",,,'')")), "--", _xll.FDSB($C$2,"FE_ESTIMATE(SPEC_GROSS_2,MEAN,QUARTERLY_ROLL,"&amp;AF$9&amp;","&amp;$C$5&amp;",,,'')")))</f>
        <v>17.256</v>
      </c>
      <c r="AG24" s="305" cm="1">
        <f t="array" ref="AG24">_xlfn.SINGLE(IF(ISERROR(_xll.FDSB($C$2,"FE_ESTIMATE(SPEC_GROSS_2,MEAN,ANNUAL_ROLL,"&amp;AG$9&amp;","&amp;$C$5&amp;",,,'')")), "--", _xll.FDSB($C$2,"FE_ESTIMATE(SPEC_GROSS_2,MEAN,ANNUAL_ROLL,"&amp;AG$9&amp;","&amp;$C$5&amp;",,,'')")))</f>
        <v>-71.611000000000004</v>
      </c>
      <c r="AH24" s="304" cm="1">
        <f t="array" ref="AH24">_xlfn.SINGLE(IF(ISERROR(_xll.FDSB($C$2,"FE_ESTIMATE(SPEC_GROSS_2,MEAN,QUARTERLY_ROLL,"&amp;AH$9&amp;","&amp;$C$5&amp;",,,'')")), "--", _xll.FDSB($C$2,"FE_ESTIMATE(SPEC_GROSS_2,MEAN,QUARTERLY_ROLL,"&amp;AH$9&amp;","&amp;$C$5&amp;",,,'')")))</f>
        <v>23.388999999999999</v>
      </c>
      <c r="AI24" s="304" cm="1">
        <f t="array" ref="AI24">_xlfn.SINGLE(IF(ISERROR(_xll.FDSB($C$2,"FE_ESTIMATE(SPEC_GROSS_2,MEAN,QUARTERLY_ROLL,"&amp;AI$9&amp;","&amp;$C$5&amp;",,,'')")), "--", _xll.FDSB($C$2,"FE_ESTIMATE(SPEC_GROSS_2,MEAN,QUARTERLY_ROLL,"&amp;AI$9&amp;","&amp;$C$5&amp;",,,'')")))</f>
        <v>2.8119999999999998</v>
      </c>
      <c r="AJ24" s="304" cm="1">
        <f t="array" ref="AJ24">_xlfn.SINGLE(IF(ISERROR(_xll.FDSB($C$2,"FE_ESTIMATE(SPEC_GROSS_2,MEAN,QUARTERLY_ROLL,"&amp;AJ$9&amp;","&amp;$C$5&amp;",,,'')")), "--", _xll.FDSB($C$2,"FE_ESTIMATE(SPEC_GROSS_2,MEAN,QUARTERLY_ROLL,"&amp;AJ$9&amp;","&amp;$C$5&amp;",,,'')")))</f>
        <v>21.526</v>
      </c>
      <c r="AK24" s="304" cm="1">
        <f t="array" ref="AK24">_xlfn.SINGLE(IF(ISERROR(_xll.FDSB($C$2,"FE_ESTIMATE(SPEC_GROSS_2,MEAN,QUARTERLY_ROLL,"&amp;AK$9&amp;","&amp;$C$5&amp;",,,'')")), "--", _xll.FDSB($C$2,"FE_ESTIMATE(SPEC_GROSS_2,MEAN,QUARTERLY_ROLL,"&amp;AK$9&amp;","&amp;$C$5&amp;",,,'')")))</f>
        <v>102.104</v>
      </c>
      <c r="AL24" s="305" cm="1">
        <f t="array" ref="AL24">_xlfn.SINGLE(IF(ISERROR(_xll.FDSB($C$2,"FE_ESTIMATE(SPEC_GROSS_2,MEAN,ANNUAL_ROLL,"&amp;AL$9&amp;","&amp;$C$5&amp;",,,'')")), "--", _xll.FDSB($C$2,"FE_ESTIMATE(SPEC_GROSS_2,MEAN,ANNUAL_ROLL,"&amp;AL$9&amp;","&amp;$C$5&amp;",,,'')")))</f>
        <v>149.83099999999999</v>
      </c>
      <c r="AM24" s="304" cm="1">
        <f t="array" ref="AM24">_xlfn.SINGLE(IF(ISERROR(_xll.FDSB($C$2,"FE_ESTIMATE(SPEC_GROSS_2,MEAN,QUARTERLY_ROLL,"&amp;AM$9&amp;","&amp;$C$5&amp;",,,'')")), "--", _xll.FDSB($C$2,"FE_ESTIMATE(SPEC_GROSS_2,MEAN,QUARTERLY_ROLL,"&amp;AM$9&amp;","&amp;$C$5&amp;",,,'')")))</f>
        <v>181.4205</v>
      </c>
      <c r="AN24" s="304" cm="1">
        <f t="array" ref="AN24">_xlfn.SINGLE(IF(ISERROR(_xll.FDSB($C$2,"FE_ESTIMATE(SPEC_GROSS_2,MEAN,QUARTERLY_ROLL,"&amp;AN$9&amp;","&amp;$C$5&amp;",,,'')")), "--", _xll.FDSB($C$2,"FE_ESTIMATE(SPEC_GROSS_2,MEAN,QUARTERLY_ROLL,"&amp;AN$9&amp;","&amp;$C$5&amp;",,,'')")))</f>
        <v>60.231335000000001</v>
      </c>
      <c r="AO24" s="304" cm="1">
        <f t="array" ref="AO24">_xlfn.SINGLE(IF(ISERROR(_xll.FDSB($C$2,"FE_ESTIMATE(SPEC_GROSS_2,MEAN,QUARTERLY_ROLL,"&amp;AO$9&amp;","&amp;$C$5&amp;",,,'')")), "--", _xll.FDSB($C$2,"FE_ESTIMATE(SPEC_GROSS_2,MEAN,QUARTERLY_ROLL,"&amp;AO$9&amp;","&amp;$C$5&amp;",,,'')")))</f>
        <v>66.367570000000001</v>
      </c>
      <c r="AP24" s="304" cm="1">
        <f t="array" ref="AP24">_xlfn.SINGLE(IF(ISERROR(_xll.FDSB($C$2,"FE_ESTIMATE(SPEC_GROSS_2,MEAN,QUARTERLY_ROLL,"&amp;AP$9&amp;","&amp;$C$5&amp;",,,'')")), "--", _xll.FDSB($C$2,"FE_ESTIMATE(SPEC_GROSS_2,MEAN,QUARTERLY_ROLL,"&amp;AP$9&amp;","&amp;$C$5&amp;",,,'')")))</f>
        <v>215.2286</v>
      </c>
      <c r="AQ24" s="305" cm="1">
        <f t="array" ref="AQ24">_xlfn.SINGLE(IF(ISERROR(_xll.FDSB($C$2,"FE_ESTIMATE(SPEC_GROSS_2,MEAN,ANNUAL_ROLL,"&amp;AQ$9&amp;","&amp;$C$5&amp;",,,'')")), "--", _xll.FDSB($C$2,"FE_ESTIMATE(SPEC_GROSS_2,MEAN,ANNUAL_ROLL,"&amp;AQ$9&amp;","&amp;$C$5&amp;",,,'')")))</f>
        <v>521.75540000000001</v>
      </c>
      <c r="AR24" s="304" cm="1">
        <f t="array" ref="AR24">_xlfn.SINGLE(IF(ISERROR(_xll.FDSB($C$2,"FE_ESTIMATE(SPEC_GROSS_2,MEAN,QUARTERLY_ROLL,"&amp;AR$9&amp;","&amp;$C$5&amp;",,,'')")), "--", _xll.FDSB($C$2,"FE_ESTIMATE(SPEC_GROSS_2,MEAN,QUARTERLY_ROLL,"&amp;AR$9&amp;","&amp;$C$5&amp;",,,'')")))</f>
        <v>288.28125</v>
      </c>
      <c r="AS24" s="304" cm="1">
        <f t="array" ref="AS24">_xlfn.SINGLE(IF(ISERROR(_xll.FDSB($C$2,"FE_ESTIMATE(SPEC_GROSS_2,MEAN,QUARTERLY_ROLL,"&amp;AS$9&amp;","&amp;$C$5&amp;",,,'')")), "--", _xll.FDSB($C$2,"FE_ESTIMATE(SPEC_GROSS_2,MEAN,QUARTERLY_ROLL,"&amp;AS$9&amp;","&amp;$C$5&amp;",,,'')")))</f>
        <v>86.773124999999993</v>
      </c>
      <c r="AT24" s="304" cm="1">
        <f t="array" ref="AT24">_xlfn.SINGLE(IF(ISERROR(_xll.FDSB($C$2,"FE_ESTIMATE(SPEC_GROSS_2,MEAN,QUARTERLY_ROLL,"&amp;AT$9&amp;","&amp;$C$5&amp;",,,'')")), "--", _xll.FDSB($C$2,"FE_ESTIMATE(SPEC_GROSS_2,MEAN,QUARTERLY_ROLL,"&amp;AT$9&amp;","&amp;$C$5&amp;",,,'')")))</f>
        <v>110.98071</v>
      </c>
      <c r="AU24" s="304" cm="1">
        <f t="array" ref="AU24">_xlfn.SINGLE(IF(ISERROR(_xll.FDSB($C$2,"FE_ESTIMATE(SPEC_GROSS_2,MEAN,QUARTERLY_ROLL,"&amp;AU$9&amp;","&amp;$C$5&amp;",,,'')")), "--", _xll.FDSB($C$2,"FE_ESTIMATE(SPEC_GROSS_2,MEAN,QUARTERLY_ROLL,"&amp;AU$9&amp;","&amp;$C$5&amp;",,,'')")))</f>
        <v>326.37599999999998</v>
      </c>
      <c r="AV24" s="305" cm="1">
        <f t="array" ref="AV24">_xlfn.SINGLE(IF(ISERROR(_xll.FDSB($C$2,"FE_ESTIMATE(SPEC_GROSS_2,MEAN,ANNUAL_ROLL,"&amp;AV$9&amp;","&amp;$C$5&amp;",,,'')")), "--", _xll.FDSB($C$2,"FE_ESTIMATE(SPEC_GROSS_2,MEAN,ANNUAL_ROLL,"&amp;AV$9&amp;","&amp;$C$5&amp;",,,'')")))</f>
        <v>811.9248</v>
      </c>
      <c r="AW24" s="304" cm="1">
        <f t="array" ref="AW24">_xlfn.SINGLE(IF(ISERROR(_xll.FDSB($C$2,"FE_ESTIMATE(SPEC_GROSS_2,MEAN,QUARTERLY_ROLL,"&amp;AW$9&amp;","&amp;$C$5&amp;",,,'')")), "--", _xll.FDSB($C$2,"FE_ESTIMATE(SPEC_GROSS_2,MEAN,QUARTERLY_ROLL,"&amp;AW$9&amp;","&amp;$C$5&amp;",,,'')")))</f>
        <v>362.35687000000001</v>
      </c>
      <c r="AX24" s="304" cm="1">
        <f t="array" ref="AX24">_xlfn.SINGLE(IF(ISERROR(_xll.FDSB($C$2,"FE_ESTIMATE(SPEC_GROSS_2,MEAN,QUARTERLY_ROLL,"&amp;AX$9&amp;","&amp;$C$5&amp;",,,'')")), "--", _xll.FDSB($C$2,"FE_ESTIMATE(SPEC_GROSS_2,MEAN,QUARTERLY_ROLL,"&amp;AX$9&amp;","&amp;$C$5&amp;",,,'')")))</f>
        <v>65.664429999999996</v>
      </c>
      <c r="AY24" s="304" cm="1">
        <f t="array" ref="AY24">_xlfn.SINGLE(IF(ISERROR(_xll.FDSB($C$2,"FE_ESTIMATE(SPEC_GROSS_2,MEAN,QUARTERLY_ROLL,"&amp;AY$9&amp;","&amp;$C$5&amp;",,,'')")), "--", _xll.FDSB($C$2,"FE_ESTIMATE(SPEC_GROSS_2,MEAN,QUARTERLY_ROLL,"&amp;AY$9&amp;","&amp;$C$5&amp;",,,'')")))</f>
        <v>86.752570000000006</v>
      </c>
      <c r="AZ24" s="304" cm="1">
        <f t="array" ref="AZ24">_xlfn.SINGLE(IF(ISERROR(_xll.FDSB($C$2,"FE_ESTIMATE(SPEC_GROSS_2,MEAN,QUARTERLY_ROLL,"&amp;AZ$9&amp;","&amp;$C$5&amp;",,,'')")), "--", _xll.FDSB($C$2,"FE_ESTIMATE(SPEC_GROSS_2,MEAN,QUARTERLY_ROLL,"&amp;AZ$9&amp;","&amp;$C$5&amp;",,,'')")))</f>
        <v>422.16239999999999</v>
      </c>
      <c r="BA24" s="305" cm="1">
        <f t="array" ref="BA24">_xlfn.SINGLE(IF(ISERROR(_xll.FDSB($C$2,"FE_ESTIMATE(SPEC_GROSS_2,MEAN,ANNUAL_ROLL,"&amp;BA$9&amp;","&amp;$C$5&amp;",,,'')")), "--", _xll.FDSB($C$2,"FE_ESTIMATE(SPEC_GROSS_2,MEAN,ANNUAL_ROLL,"&amp;BA$9&amp;","&amp;$C$5&amp;",,,'')")))</f>
        <v>933.22675000000004</v>
      </c>
      <c r="BB24" s="304" cm="1">
        <f t="array" ref="BB24">_xlfn.SINGLE(IF(ISERROR(_xll.FDSB($C$2,"FE_ESTIMATE(SPEC_GROSS_2,MEAN,QUARTERLY_ROLL,"&amp;BB$9&amp;","&amp;$C$5&amp;",,,'')")), "--", _xll.FDSB($C$2,"FE_ESTIMATE(SPEC_GROSS_2,MEAN,QUARTERLY_ROLL,"&amp;BB$9&amp;","&amp;$C$5&amp;",,,'')")))</f>
        <v>203.88657000000001</v>
      </c>
      <c r="BC24" s="304" cm="1">
        <f t="array" ref="BC24">_xlfn.SINGLE(IF(ISERROR(_xll.FDSB($C$2,"FE_ESTIMATE(SPEC_GROSS_2,MEAN,QUARTERLY_ROLL,"&amp;BC$9&amp;","&amp;$C$5&amp;",,,'')")), "--", _xll.FDSB($C$2,"FE_ESTIMATE(SPEC_GROSS_2,MEAN,QUARTERLY_ROLL,"&amp;BC$9&amp;","&amp;$C$5&amp;",,,'')")))</f>
        <v>69.073499999999996</v>
      </c>
      <c r="BD24" s="304" cm="1">
        <f t="array" ref="BD24">_xlfn.SINGLE(IF(ISERROR(_xll.FDSB($C$2,"FE_ESTIMATE(SPEC_GROSS_2,MEAN,QUARTERLY_ROLL,"&amp;BD$9&amp;","&amp;$C$5&amp;",,,'')")), "--", _xll.FDSB($C$2,"FE_ESTIMATE(SPEC_GROSS_2,MEAN,QUARTERLY_ROLL,"&amp;BD$9&amp;","&amp;$C$5&amp;",,,'')")))</f>
        <v>255.22388000000001</v>
      </c>
      <c r="BE24" s="304" cm="1">
        <f t="array" ref="BE24">_xlfn.SINGLE(IF(ISERROR(_xll.FDSB($C$2,"FE_ESTIMATE(SPEC_GROSS_2,MEAN,QUARTERLY_ROLL,"&amp;BE$9&amp;","&amp;$C$5&amp;",,,'')")), "--", _xll.FDSB($C$2,"FE_ESTIMATE(SPEC_GROSS_2,MEAN,QUARTERLY_ROLL,"&amp;BE$9&amp;","&amp;$C$5&amp;",,,'')")))</f>
        <v>621.50360000000001</v>
      </c>
      <c r="BF24" s="305" cm="1">
        <f t="array" ref="BF24">_xlfn.SINGLE(IF(ISERROR(_xll.FDSB($C$2,"FE_ESTIMATE(SPEC_GROSS_2,MEAN,ANNUAL_ROLL,"&amp;BF$9&amp;","&amp;$C$5&amp;",,,'')")), "--", _xll.FDSB($C$2,"FE_ESTIMATE(SPEC_GROSS_2,MEAN,ANNUAL_ROLL,"&amp;BF$9&amp;","&amp;$C$5&amp;",,,'')")))</f>
        <v>1151.2212999999999</v>
      </c>
      <c r="BG24" s="304" cm="1">
        <f t="array" ref="BG24">_xlfn.SINGLE(IF(ISERROR(_xll.FDSB($C$2,"FE_ESTIMATE(SPEC_GROSS_2,MEAN,QUARTERLY_ROLL,"&amp;BG$9&amp;","&amp;$C$5&amp;",,,'')")), "--", _xll.FDSB($C$2,"FE_ESTIMATE(SPEC_GROSS_2,MEAN,QUARTERLY_ROLL,"&amp;BG$9&amp;","&amp;$C$5&amp;",,,'')")))</f>
        <v>399.44033999999999</v>
      </c>
      <c r="BH24" s="304" cm="1">
        <f t="array" ref="BH24">_xlfn.SINGLE(IF(ISERROR(_xll.FDSB($C$2,"FE_ESTIMATE(SPEC_GROSS_2,MEAN,QUARTERLY_ROLL,"&amp;BH$9&amp;","&amp;$C$5&amp;",,,'')")), "--", _xll.FDSB($C$2,"FE_ESTIMATE(SPEC_GROSS_2,MEAN,QUARTERLY_ROLL,"&amp;BH$9&amp;","&amp;$C$5&amp;",,,'')")))</f>
        <v>128.291</v>
      </c>
      <c r="BI24" s="304" cm="1">
        <f t="array" ref="BI24">_xlfn.SINGLE(IF(ISERROR(_xll.FDSB($C$2,"FE_ESTIMATE(SPEC_GROSS_2,MEAN,QUARTERLY_ROLL,"&amp;BI$9&amp;","&amp;$C$5&amp;",,,'')")), "--", _xll.FDSB($C$2,"FE_ESTIMATE(SPEC_GROSS_2,MEAN,QUARTERLY_ROLL,"&amp;BI$9&amp;","&amp;$C$5&amp;",,,'')")))</f>
        <v>260.79165999999998</v>
      </c>
      <c r="BJ24" s="304" cm="1">
        <f t="array" ref="BJ24">_xlfn.SINGLE(IF(ISERROR(_xll.FDSB($C$2,"FE_ESTIMATE(SPEC_GROSS_2,MEAN,QUARTERLY_ROLL,"&amp;BJ$9&amp;","&amp;$C$5&amp;",,,'')")), "--", _xll.FDSB($C$2,"FE_ESTIMATE(SPEC_GROSS_2,MEAN,QUARTERLY_ROLL,"&amp;BJ$9&amp;","&amp;$C$5&amp;",,,'')")))</f>
        <v>696.97799999999995</v>
      </c>
      <c r="BK24" s="305" cm="1">
        <f t="array" ref="BK24">_xlfn.SINGLE(IF(ISERROR(_xll.FDSB($C$2,"FE_ESTIMATE(SPEC_GROSS_2,MEAN,ANNUAL_ROLL,"&amp;BK$9&amp;","&amp;$C$5&amp;",,,'')")), "--", _xll.FDSB($C$2,"FE_ESTIMATE(SPEC_GROSS_2,MEAN,ANNUAL_ROLL,"&amp;BK$9&amp;","&amp;$C$5&amp;",,,'')")))</f>
        <v>1489.6346000000001</v>
      </c>
      <c r="BL24" s="304" cm="1">
        <f t="array" ref="BL24">_xlfn.SINGLE(IF(ISERROR(_xll.FDSB($C$2,"FE_ESTIMATE(SPEC_GROSS_2,MEAN,QUARTERLY_ROLL,"&amp;BL$9&amp;","&amp;$C$5&amp;",,,'')")), "--", _xll.FDSB($C$2,"FE_ESTIMATE(SPEC_GROSS_2,MEAN,QUARTERLY_ROLL,"&amp;BL$9&amp;","&amp;$C$5&amp;",,,'')")))</f>
        <v>584.05600000000004</v>
      </c>
      <c r="BM24" s="304" cm="1">
        <f t="array" ref="BM24">_xlfn.SINGLE(IF(ISERROR(_xll.FDSB($C$2,"FE_ESTIMATE(SPEC_GROSS_2,MEAN,QUARTERLY_ROLL,"&amp;BM$9&amp;","&amp;$C$5&amp;",,,'')")), "--", _xll.FDSB($C$2,"FE_ESTIMATE(SPEC_GROSS_2,MEAN,QUARTERLY_ROLL,"&amp;BM$9&amp;","&amp;$C$5&amp;",,,'')")))</f>
        <v>343.01</v>
      </c>
      <c r="BN24" s="304" cm="1">
        <f t="array" ref="BN24">_xlfn.SINGLE(IF(ISERROR(_xll.FDSB($C$2,"FE_ESTIMATE(SPEC_GROSS_2,MEAN,QUARTERLY_ROLL,"&amp;BN$9&amp;","&amp;$C$5&amp;",,,'')")), "--", _xll.FDSB($C$2,"FE_ESTIMATE(SPEC_GROSS_2,MEAN,QUARTERLY_ROLL,"&amp;BN$9&amp;","&amp;$C$5&amp;",,,'')")))</f>
        <v>390.41</v>
      </c>
      <c r="BO24" s="304" cm="1">
        <f t="array" ref="BO24">_xlfn.SINGLE(IF(ISERROR(_xll.FDSB($C$2,"FE_ESTIMATE(SPEC_GROSS_2,MEAN,QUARTERLY_ROLL,"&amp;BO$9&amp;","&amp;$C$5&amp;",,,'')")), "--", _xll.FDSB($C$2,"FE_ESTIMATE(SPEC_GROSS_2,MEAN,QUARTERLY_ROLL,"&amp;BO$9&amp;","&amp;$C$5&amp;",,,'')")))</f>
        <v>633.62199999999996</v>
      </c>
      <c r="BP24" s="305" cm="1">
        <f t="array" ref="BP24">_xlfn.SINGLE(IF(ISERROR(_xll.FDSB($C$2,"FE_ESTIMATE(SPEC_GROSS_2,MEAN,ANNUAL_ROLL,"&amp;BP$9&amp;","&amp;$C$5&amp;",,,'')")), "--", _xll.FDSB($C$2,"FE_ESTIMATE(SPEC_GROSS_2,MEAN,ANNUAL_ROLL,"&amp;BP$9&amp;","&amp;$C$5&amp;",,,'')")))</f>
        <v>1859.3657000000001</v>
      </c>
    </row>
    <row r="25" spans="1:68" s="337" customFormat="1" hidden="1" outlineLevel="1">
      <c r="A25" s="333"/>
      <c r="B25" s="334" t="s">
        <v>32</v>
      </c>
      <c r="C25" s="334"/>
      <c r="D25" s="335"/>
      <c r="E25" s="335"/>
      <c r="F25" s="335"/>
      <c r="G25" s="335"/>
      <c r="H25" s="336"/>
      <c r="I25" s="335" t="str">
        <f t="shared" ref="I25:AN25" si="6">IFERROR(I24/D24-1,"--")</f>
        <v>--</v>
      </c>
      <c r="J25" s="335" t="str">
        <f t="shared" si="6"/>
        <v>--</v>
      </c>
      <c r="K25" s="335" t="str">
        <f t="shared" si="6"/>
        <v>--</v>
      </c>
      <c r="L25" s="335" t="str">
        <f t="shared" si="6"/>
        <v>--</v>
      </c>
      <c r="M25" s="336" t="str">
        <f t="shared" si="6"/>
        <v>--</v>
      </c>
      <c r="N25" s="335" t="str">
        <f t="shared" si="6"/>
        <v>--</v>
      </c>
      <c r="O25" s="335" t="str">
        <f t="shared" si="6"/>
        <v>--</v>
      </c>
      <c r="P25" s="335" t="str">
        <f t="shared" si="6"/>
        <v>--</v>
      </c>
      <c r="Q25" s="335" t="str">
        <f t="shared" si="6"/>
        <v>--</v>
      </c>
      <c r="R25" s="336" t="str">
        <f t="shared" si="6"/>
        <v>--</v>
      </c>
      <c r="S25" s="335" t="str">
        <f t="shared" si="6"/>
        <v>--</v>
      </c>
      <c r="T25" s="335" t="str">
        <f t="shared" si="6"/>
        <v>--</v>
      </c>
      <c r="U25" s="335" t="str">
        <f t="shared" si="6"/>
        <v>--</v>
      </c>
      <c r="V25" s="335" t="str">
        <f t="shared" si="6"/>
        <v>--</v>
      </c>
      <c r="W25" s="336" t="str">
        <f t="shared" si="6"/>
        <v>--</v>
      </c>
      <c r="X25" s="335" t="str">
        <f t="shared" si="6"/>
        <v>--</v>
      </c>
      <c r="Y25" s="335" t="str">
        <f t="shared" si="6"/>
        <v>--</v>
      </c>
      <c r="Z25" s="335" t="str">
        <f t="shared" si="6"/>
        <v>--</v>
      </c>
      <c r="AA25" s="335" t="str">
        <f t="shared" si="6"/>
        <v>--</v>
      </c>
      <c r="AB25" s="336" t="str">
        <f t="shared" si="6"/>
        <v>--</v>
      </c>
      <c r="AC25" s="335" t="str">
        <f t="shared" si="6"/>
        <v>--</v>
      </c>
      <c r="AD25" s="335" t="str">
        <f t="shared" si="6"/>
        <v>--</v>
      </c>
      <c r="AE25" s="335" t="str">
        <f t="shared" si="6"/>
        <v>--</v>
      </c>
      <c r="AF25" s="335" t="str">
        <f t="shared" si="6"/>
        <v>--</v>
      </c>
      <c r="AG25" s="336" t="str">
        <f t="shared" si="6"/>
        <v>--</v>
      </c>
      <c r="AH25" s="335" t="str">
        <f t="shared" si="6"/>
        <v>--</v>
      </c>
      <c r="AI25" s="335" t="str">
        <f t="shared" si="6"/>
        <v>--</v>
      </c>
      <c r="AJ25" s="335" t="str">
        <f t="shared" si="6"/>
        <v>--</v>
      </c>
      <c r="AK25" s="335">
        <f t="shared" si="6"/>
        <v>4.9170143718127024</v>
      </c>
      <c r="AL25" s="336">
        <f t="shared" si="6"/>
        <v>-3.0922902905978127</v>
      </c>
      <c r="AM25" s="335">
        <f t="shared" si="6"/>
        <v>6.7566591132583698</v>
      </c>
      <c r="AN25" s="335">
        <f t="shared" si="6"/>
        <v>20.419393669985777</v>
      </c>
      <c r="AO25" s="335">
        <f t="shared" ref="AO25:BP25" si="7">IFERROR(AO24/AJ24-1,"--")</f>
        <v>2.0831352782681409</v>
      </c>
      <c r="AP25" s="335">
        <f t="shared" si="7"/>
        <v>1.1079350466191333</v>
      </c>
      <c r="AQ25" s="336">
        <f t="shared" si="7"/>
        <v>2.4822927164605457</v>
      </c>
      <c r="AR25" s="335">
        <f t="shared" si="7"/>
        <v>0.58902246438522665</v>
      </c>
      <c r="AS25" s="335">
        <f t="shared" si="7"/>
        <v>0.44066414931696252</v>
      </c>
      <c r="AT25" s="335">
        <f t="shared" si="7"/>
        <v>0.67221294978857893</v>
      </c>
      <c r="AU25" s="335">
        <f t="shared" si="7"/>
        <v>0.5164155693063095</v>
      </c>
      <c r="AV25" s="336">
        <f t="shared" si="7"/>
        <v>0.55614067434663816</v>
      </c>
      <c r="AW25" s="335">
        <f t="shared" si="7"/>
        <v>0.25695608021680227</v>
      </c>
      <c r="AX25" s="335">
        <f t="shared" si="7"/>
        <v>-0.24326304947528399</v>
      </c>
      <c r="AY25" s="335">
        <f t="shared" si="7"/>
        <v>-0.21830947017729474</v>
      </c>
      <c r="AZ25" s="335">
        <f t="shared" si="7"/>
        <v>0.29348481505993096</v>
      </c>
      <c r="BA25" s="336">
        <f t="shared" si="7"/>
        <v>0.14940047403404844</v>
      </c>
      <c r="BB25" s="335">
        <f t="shared" si="7"/>
        <v>-0.43733212509535146</v>
      </c>
      <c r="BC25" s="335">
        <f t="shared" si="7"/>
        <v>5.1916539898389402E-2</v>
      </c>
      <c r="BD25" s="335">
        <f t="shared" si="7"/>
        <v>1.9419748602260429</v>
      </c>
      <c r="BE25" s="335">
        <f t="shared" si="7"/>
        <v>0.47219079671709285</v>
      </c>
      <c r="BF25" s="336">
        <f t="shared" si="7"/>
        <v>0.23359226468808347</v>
      </c>
      <c r="BG25" s="335">
        <f t="shared" si="7"/>
        <v>0.9591302163747224</v>
      </c>
      <c r="BH25" s="335">
        <f t="shared" si="7"/>
        <v>0.85731141465250782</v>
      </c>
      <c r="BI25" s="335">
        <f t="shared" si="7"/>
        <v>2.1815278413602979E-2</v>
      </c>
      <c r="BJ25" s="335">
        <f t="shared" si="7"/>
        <v>0.12143839552980862</v>
      </c>
      <c r="BK25" s="336">
        <f t="shared" si="7"/>
        <v>0.29396024899817275</v>
      </c>
      <c r="BL25" s="335">
        <f t="shared" si="7"/>
        <v>0.4621858172862563</v>
      </c>
      <c r="BM25" s="335">
        <f t="shared" si="7"/>
        <v>1.673687164337327</v>
      </c>
      <c r="BN25" s="335">
        <f t="shared" si="7"/>
        <v>0.49701873135053498</v>
      </c>
      <c r="BO25" s="335">
        <f t="shared" si="7"/>
        <v>-9.0901004048908329E-2</v>
      </c>
      <c r="BP25" s="336">
        <f t="shared" si="7"/>
        <v>0.24820254577867606</v>
      </c>
    </row>
    <row r="26" spans="1:68" s="337" customFormat="1" hidden="1" outlineLevel="1">
      <c r="A26" s="333"/>
      <c r="B26" s="334" t="s">
        <v>33</v>
      </c>
      <c r="C26" s="334"/>
      <c r="D26" s="335"/>
      <c r="E26" s="335"/>
      <c r="F26" s="335"/>
      <c r="G26" s="335"/>
      <c r="H26" s="336"/>
      <c r="I26" s="335" t="str">
        <f>IFERROR(I24/G24-1,"--")</f>
        <v>--</v>
      </c>
      <c r="J26" s="335" t="str">
        <f>IFERROR(J24/I24-1,"--")</f>
        <v>--</v>
      </c>
      <c r="K26" s="335" t="str">
        <f>IFERROR(K24/J24-1,"--")</f>
        <v>--</v>
      </c>
      <c r="L26" s="335" t="str">
        <f>IFERROR(L24/K24-1,"--")</f>
        <v>--</v>
      </c>
      <c r="M26" s="336"/>
      <c r="N26" s="335" t="str">
        <f>IFERROR(N24/L24-1,"--")</f>
        <v>--</v>
      </c>
      <c r="O26" s="335" t="str">
        <f>IFERROR(O24/N24-1,"--")</f>
        <v>--</v>
      </c>
      <c r="P26" s="335" t="str">
        <f>IFERROR(P24/O24-1,"--")</f>
        <v>--</v>
      </c>
      <c r="Q26" s="335" t="str">
        <f>IFERROR(Q24/P24-1,"--")</f>
        <v>--</v>
      </c>
      <c r="R26" s="336"/>
      <c r="S26" s="335" t="str">
        <f>IFERROR(S24/Q24-1,"--")</f>
        <v>--</v>
      </c>
      <c r="T26" s="335" t="str">
        <f>IFERROR(T24/S24-1,"--")</f>
        <v>--</v>
      </c>
      <c r="U26" s="335" t="str">
        <f>IFERROR(U24/T24-1,"--")</f>
        <v>--</v>
      </c>
      <c r="V26" s="335" t="str">
        <f>IFERROR(V24/U24-1,"--")</f>
        <v>--</v>
      </c>
      <c r="W26" s="336"/>
      <c r="X26" s="335" t="str">
        <f>IFERROR(X24/V24-1,"--")</f>
        <v>--</v>
      </c>
      <c r="Y26" s="335" t="str">
        <f>IFERROR(Y24/X24-1,"--")</f>
        <v>--</v>
      </c>
      <c r="Z26" s="335" t="str">
        <f>IFERROR(Z24/Y24-1,"--")</f>
        <v>--</v>
      </c>
      <c r="AA26" s="335" t="str">
        <f>IFERROR(AA24/Z24-1,"--")</f>
        <v>--</v>
      </c>
      <c r="AB26" s="336"/>
      <c r="AC26" s="335" t="str">
        <f>IFERROR(AC24/AA24-1,"--")</f>
        <v>--</v>
      </c>
      <c r="AD26" s="335" t="str">
        <f>IFERROR(AD24/AC24-1,"--")</f>
        <v>--</v>
      </c>
      <c r="AE26" s="335" t="str">
        <f>IFERROR(AE24/AD24-1,"--")</f>
        <v>--</v>
      </c>
      <c r="AF26" s="335" t="str">
        <f>IFERROR(AF24/AE24-1,"--")</f>
        <v>--</v>
      </c>
      <c r="AG26" s="336"/>
      <c r="AH26" s="335">
        <f>IFERROR(AH24/AF24-1,"--")</f>
        <v>0.3554126101066295</v>
      </c>
      <c r="AI26" s="335">
        <f>IFERROR(AI24/AH24-1,"--")</f>
        <v>-0.87977254264825344</v>
      </c>
      <c r="AJ26" s="335">
        <f>IFERROR(AJ24/AI24-1,"--")</f>
        <v>6.6550497866287346</v>
      </c>
      <c r="AK26" s="335">
        <f>IFERROR(AK24/AJ24-1,"--")</f>
        <v>3.7432871875871037</v>
      </c>
      <c r="AL26" s="336"/>
      <c r="AM26" s="335">
        <f>IFERROR(AM24/AK24-1,"--")</f>
        <v>0.77682069262712528</v>
      </c>
      <c r="AN26" s="335">
        <f>IFERROR(AN24/AM24-1,"--")</f>
        <v>-0.66800149376724238</v>
      </c>
      <c r="AO26" s="335">
        <f>IFERROR(AO24/AN24-1,"--")</f>
        <v>0.10187778504328349</v>
      </c>
      <c r="AP26" s="335">
        <f>IFERROR(AP24/AO24-1,"--")</f>
        <v>2.2429784607150753</v>
      </c>
      <c r="AQ26" s="336"/>
      <c r="AR26" s="335">
        <f>IFERROR(AR24/AP24-1,"--")</f>
        <v>0.33941887834609341</v>
      </c>
      <c r="AS26" s="335">
        <f>IFERROR(AS24/AR24-1,"--")</f>
        <v>-0.69899837398373987</v>
      </c>
      <c r="AT26" s="335">
        <f>IFERROR(AT24/AS24-1,"--")</f>
        <v>0.27897560448583603</v>
      </c>
      <c r="AU26" s="335">
        <f>IFERROR(AU24/AT24-1,"--")</f>
        <v>1.9408353938265486</v>
      </c>
      <c r="AV26" s="336"/>
      <c r="AW26" s="335">
        <f>IFERROR(AW24/AU24-1,"--")</f>
        <v>0.11024361472657307</v>
      </c>
      <c r="AX26" s="335">
        <f>IFERROR(AX24/AW24-1,"--")</f>
        <v>-0.81878519372352454</v>
      </c>
      <c r="AY26" s="335">
        <f>IFERROR(AY24/AX24-1,"--")</f>
        <v>0.32115012648400376</v>
      </c>
      <c r="AZ26" s="335">
        <f>IFERROR(AZ24/AY24-1,"--")</f>
        <v>3.8662811948971649</v>
      </c>
      <c r="BA26" s="336"/>
      <c r="BB26" s="335">
        <f>IFERROR(BB24/AZ24-1,"--")</f>
        <v>-0.51704232778665271</v>
      </c>
      <c r="BC26" s="335">
        <f>IFERROR(BC24/BB24-1,"--")</f>
        <v>-0.6612160379175539</v>
      </c>
      <c r="BD26" s="335">
        <f>IFERROR(BD24/BC24-1,"--")</f>
        <v>2.6949608750099534</v>
      </c>
      <c r="BE26" s="335">
        <f>IFERROR(BE24/BD24-1,"--")</f>
        <v>1.4351310700236986</v>
      </c>
      <c r="BF26" s="336"/>
      <c r="BG26" s="335">
        <f>IFERROR(BG24/BE24-1,"--")</f>
        <v>-0.35730003816550704</v>
      </c>
      <c r="BH26" s="335">
        <f>IFERROR(BH24/BG24-1,"--")</f>
        <v>-0.67882312537586964</v>
      </c>
      <c r="BI26" s="335">
        <f>IFERROR(BI24/BH24-1,"--")</f>
        <v>1.0328133696050386</v>
      </c>
      <c r="BJ26" s="335">
        <f>IFERROR(BJ24/BI24-1,"--")</f>
        <v>1.6725471205635949</v>
      </c>
      <c r="BK26" s="336"/>
      <c r="BL26" s="335">
        <f>IFERROR(BL24/BJ24-1,"--")</f>
        <v>-0.16201659162843007</v>
      </c>
      <c r="BM26" s="335">
        <f>IFERROR(BM24/BL24-1,"--")</f>
        <v>-0.41271042502773714</v>
      </c>
      <c r="BN26" s="335">
        <f>IFERROR(BN24/BM24-1,"--")</f>
        <v>0.13818839100900848</v>
      </c>
      <c r="BO26" s="335">
        <f>IFERROR(BO24/BN24-1,"--")</f>
        <v>0.62296560026638637</v>
      </c>
      <c r="BP26" s="336"/>
    </row>
    <row r="27" spans="1:68" s="337" customFormat="1" hidden="1" outlineLevel="1">
      <c r="A27" s="333"/>
      <c r="B27" s="334" t="s">
        <v>220</v>
      </c>
      <c r="C27" s="334"/>
      <c r="D27" s="335"/>
      <c r="E27" s="335"/>
      <c r="F27" s="335"/>
      <c r="G27" s="335"/>
      <c r="H27" s="336"/>
      <c r="I27" s="335"/>
      <c r="J27" s="335"/>
      <c r="K27" s="335"/>
      <c r="L27" s="335"/>
      <c r="M27" s="336"/>
      <c r="N27" s="335"/>
      <c r="O27" s="335"/>
      <c r="P27" s="335"/>
      <c r="Q27" s="335"/>
      <c r="R27" s="336"/>
      <c r="S27" s="335"/>
      <c r="T27" s="335"/>
      <c r="U27" s="335"/>
      <c r="V27" s="335"/>
      <c r="W27" s="336"/>
      <c r="X27" s="335"/>
      <c r="Y27" s="335"/>
      <c r="Z27" s="335"/>
      <c r="AA27" s="335"/>
      <c r="AB27" s="336"/>
      <c r="AC27" s="335"/>
      <c r="AD27" s="335"/>
      <c r="AE27" s="335"/>
      <c r="AF27" s="335">
        <f>IFERROR(AF24/AF$40,"--")</f>
        <v>9.0599322710209221E-2</v>
      </c>
      <c r="AG27" s="336">
        <f>IFERROR(AG24/AG$40,"--")</f>
        <v>-0.12095451558908132</v>
      </c>
      <c r="AH27" s="335">
        <f t="shared" ref="AH27:BK27" si="8">IFERROR(AH24/AH$40,"--")</f>
        <v>0.10217374210402159</v>
      </c>
      <c r="AI27" s="335">
        <f t="shared" si="8"/>
        <v>1.0330715141183991E-2</v>
      </c>
      <c r="AJ27" s="335">
        <f t="shared" si="8"/>
        <v>6.4364118035767151E-2</v>
      </c>
      <c r="AK27" s="335">
        <f t="shared" si="8"/>
        <v>0.2660524162658231</v>
      </c>
      <c r="AL27" s="336">
        <f t="shared" si="8"/>
        <v>0.12288008056903521</v>
      </c>
      <c r="AM27" s="335">
        <f t="shared" si="8"/>
        <v>0.42952877920122362</v>
      </c>
      <c r="AN27" s="335">
        <f t="shared" si="8"/>
        <v>0.12112936603063261</v>
      </c>
      <c r="AO27" s="335">
        <f t="shared" si="8"/>
        <v>0.11914584186073231</v>
      </c>
      <c r="AP27" s="335">
        <f t="shared" si="8"/>
        <v>0.36540613773573377</v>
      </c>
      <c r="AQ27" s="336">
        <f t="shared" si="8"/>
        <v>0.25258544609734712</v>
      </c>
      <c r="AR27" s="335">
        <f t="shared" si="8"/>
        <v>0.46228626088239394</v>
      </c>
      <c r="AS27" s="335">
        <f t="shared" si="8"/>
        <v>0.12874007073995056</v>
      </c>
      <c r="AT27" s="335">
        <f t="shared" si="8"/>
        <v>0.15116424875335924</v>
      </c>
      <c r="AU27" s="335">
        <f t="shared" si="8"/>
        <v>0.42129394771388629</v>
      </c>
      <c r="AV27" s="336">
        <f t="shared" si="8"/>
        <v>0.28930268388723418</v>
      </c>
      <c r="AW27" s="335">
        <f t="shared" si="8"/>
        <v>0.4372546575456524</v>
      </c>
      <c r="AX27" s="335">
        <f t="shared" si="8"/>
        <v>7.5578604617971668E-2</v>
      </c>
      <c r="AY27" s="335">
        <f t="shared" si="8"/>
        <v>9.2084834422042808E-2</v>
      </c>
      <c r="AZ27" s="335">
        <f t="shared" si="8"/>
        <v>0.42782249156338359</v>
      </c>
      <c r="BA27" s="336">
        <f t="shared" si="8"/>
        <v>0.25734275848528398</v>
      </c>
      <c r="BB27" s="335">
        <f t="shared" si="8"/>
        <v>0.19565459842583155</v>
      </c>
      <c r="BC27" s="335">
        <f t="shared" si="8"/>
        <v>6.0327834203371442E-2</v>
      </c>
      <c r="BD27" s="335">
        <f t="shared" si="8"/>
        <v>0.21549871717646091</v>
      </c>
      <c r="BE27" s="335">
        <f t="shared" si="8"/>
        <v>0.50233404139257021</v>
      </c>
      <c r="BF27" s="336">
        <f t="shared" si="8"/>
        <v>0.24965530985896858</v>
      </c>
      <c r="BG27" s="335">
        <f t="shared" si="8"/>
        <v>0.30793656006538633</v>
      </c>
      <c r="BH27" s="335">
        <f t="shared" si="8"/>
        <v>9.1990691294366836E-2</v>
      </c>
      <c r="BI27" s="335">
        <f t="shared" si="8"/>
        <v>0.1784837403504142</v>
      </c>
      <c r="BJ27" s="335">
        <f t="shared" si="8"/>
        <v>0.45615961561481683</v>
      </c>
      <c r="BK27" s="336">
        <f t="shared" si="8"/>
        <v>0.26071985081066135</v>
      </c>
      <c r="BL27" s="335">
        <f>IFERROR(BL24/BL$40,"--")</f>
        <v>0.36425617476632777</v>
      </c>
      <c r="BM27" s="335">
        <f>IFERROR(BM24/BM$40,"--")</f>
        <v>0.20155931850021439</v>
      </c>
      <c r="BN27" s="335">
        <f>IFERROR(BN24/BN$40,"--")</f>
        <v>0.21781807780135246</v>
      </c>
      <c r="BO27" s="335">
        <f>IFERROR(BO24/BO$40,"--")</f>
        <v>0.33895051916846813</v>
      </c>
      <c r="BP27" s="336">
        <f>IFERROR(BP24/BP$40,"--")</f>
        <v>0.2624810606835955</v>
      </c>
    </row>
    <row r="28" spans="1:68" s="337" customFormat="1" collapsed="1">
      <c r="A28" s="333"/>
      <c r="B28" s="334"/>
      <c r="C28" s="334"/>
      <c r="D28" s="335"/>
      <c r="E28" s="335"/>
      <c r="F28" s="335"/>
      <c r="G28" s="335"/>
      <c r="H28" s="336"/>
      <c r="I28" s="335"/>
      <c r="J28" s="335"/>
      <c r="K28" s="335"/>
      <c r="L28" s="335"/>
      <c r="M28" s="336"/>
      <c r="N28" s="335"/>
      <c r="O28" s="335"/>
      <c r="P28" s="335"/>
      <c r="Q28" s="335"/>
      <c r="R28" s="336"/>
      <c r="S28" s="335"/>
      <c r="T28" s="335"/>
      <c r="U28" s="335"/>
      <c r="V28" s="335"/>
      <c r="W28" s="336"/>
      <c r="X28" s="335"/>
      <c r="Y28" s="335"/>
      <c r="Z28" s="335"/>
      <c r="AA28" s="335"/>
      <c r="AB28" s="336"/>
      <c r="AC28" s="335"/>
      <c r="AD28" s="335"/>
      <c r="AE28" s="335"/>
      <c r="AF28" s="335"/>
      <c r="AG28" s="336"/>
      <c r="AH28" s="335"/>
      <c r="AI28" s="335"/>
      <c r="AJ28" s="335"/>
      <c r="AK28" s="335"/>
      <c r="AL28" s="336"/>
      <c r="AM28" s="335"/>
      <c r="AN28" s="335"/>
      <c r="AO28" s="335"/>
      <c r="AP28" s="335"/>
      <c r="AQ28" s="336"/>
      <c r="AR28" s="335"/>
      <c r="AS28" s="335"/>
      <c r="AT28" s="335"/>
      <c r="AU28" s="335"/>
      <c r="AV28" s="336"/>
      <c r="AW28" s="335"/>
      <c r="AX28" s="335"/>
      <c r="AY28" s="335"/>
      <c r="AZ28" s="335"/>
      <c r="BA28" s="336"/>
      <c r="BB28" s="335"/>
      <c r="BC28" s="335"/>
      <c r="BD28" s="335"/>
      <c r="BE28" s="335"/>
      <c r="BF28" s="336"/>
      <c r="BG28" s="335"/>
      <c r="BH28" s="335"/>
      <c r="BI28" s="335"/>
      <c r="BJ28" s="335"/>
      <c r="BK28" s="336"/>
      <c r="BL28" s="335"/>
      <c r="BM28" s="335"/>
      <c r="BN28" s="335"/>
      <c r="BO28" s="335"/>
      <c r="BP28" s="336"/>
    </row>
    <row r="29" spans="1:68">
      <c r="B29" s="286" t="s">
        <v>57</v>
      </c>
      <c r="C29" s="286"/>
      <c r="D29" s="297"/>
      <c r="E29" s="297"/>
      <c r="F29" s="297"/>
      <c r="G29" s="297"/>
      <c r="H29" s="298"/>
      <c r="I29" s="299"/>
      <c r="J29" s="299"/>
      <c r="K29" s="299"/>
      <c r="L29" s="299"/>
      <c r="M29" s="300"/>
      <c r="N29" s="299"/>
      <c r="O29" s="299"/>
      <c r="P29" s="299"/>
      <c r="Q29" s="299"/>
      <c r="R29" s="300"/>
      <c r="S29" s="299"/>
      <c r="T29" s="299"/>
      <c r="U29" s="299"/>
      <c r="V29" s="299"/>
      <c r="W29" s="300"/>
      <c r="X29" s="299"/>
      <c r="Y29" s="299"/>
      <c r="Z29" s="299"/>
      <c r="AA29" s="299"/>
      <c r="AB29" s="300"/>
      <c r="AC29" s="299"/>
      <c r="AD29" s="299"/>
      <c r="AE29" s="299"/>
      <c r="AF29" s="299"/>
      <c r="AG29" s="300"/>
      <c r="AH29" s="299"/>
      <c r="AI29" s="299"/>
      <c r="AJ29" s="299"/>
      <c r="AK29" s="299"/>
      <c r="AL29" s="300"/>
      <c r="AM29" s="299"/>
      <c r="AN29" s="299"/>
      <c r="AO29" s="299"/>
      <c r="AP29" s="299"/>
      <c r="AQ29" s="300"/>
      <c r="AR29" s="299"/>
      <c r="AS29" s="299"/>
      <c r="AT29" s="299"/>
      <c r="AU29" s="299"/>
      <c r="AV29" s="300"/>
      <c r="AW29" s="299"/>
      <c r="AX29" s="299"/>
      <c r="AY29" s="299"/>
      <c r="AZ29" s="299"/>
      <c r="BA29" s="300"/>
      <c r="BB29" s="299"/>
      <c r="BC29" s="299"/>
      <c r="BD29" s="299"/>
      <c r="BE29" s="299"/>
      <c r="BF29" s="300"/>
      <c r="BG29" s="299"/>
      <c r="BH29" s="299"/>
      <c r="BI29" s="299"/>
      <c r="BJ29" s="299"/>
      <c r="BK29" s="300"/>
      <c r="BL29" s="299"/>
      <c r="BM29" s="299"/>
      <c r="BN29" s="299"/>
      <c r="BO29" s="299"/>
      <c r="BP29" s="300"/>
    </row>
    <row r="30" spans="1:68" s="306" customFormat="1" outlineLevel="1">
      <c r="A30" s="128" t="s">
        <v>58</v>
      </c>
      <c r="B30" s="342" t="s">
        <v>0</v>
      </c>
      <c r="C30" s="303"/>
      <c r="D30" s="304" t="str" cm="1">
        <f t="array" ref="D30">_xlfn.SINGLE(IF(ISERROR(_xll.FDSB($C$2,"FE_ESTIMATE(PRODLINE_SALES_1,MEAN,QUARTERLY_ROLL,"&amp;D$9&amp;","&amp;$C$5&amp;",,,'')")), "--", _xll.FDSB($C$2,"FE_ESTIMATE(PRODLINE_SALES_1,MEAN,QUARTERLY_ROLL,"&amp;D$9&amp;","&amp;$C$5&amp;",,,'')")))</f>
        <v/>
      </c>
      <c r="E30" s="304" t="str" cm="1">
        <f t="array" ref="E30">_xlfn.SINGLE(IF(ISERROR(_xll.FDSB($C$2,"FE_ESTIMATE(PRODLINE_SALES_1,MEAN,QUARTERLY_ROLL,"&amp;E$9&amp;","&amp;$C$5&amp;",,,'')")), "--", _xll.FDSB($C$2,"FE_ESTIMATE(PRODLINE_SALES_1,MEAN,QUARTERLY_ROLL,"&amp;E$9&amp;","&amp;$C$5&amp;",,,'')")))</f>
        <v/>
      </c>
      <c r="F30" s="304" t="str" cm="1">
        <f t="array" ref="F30">_xlfn.SINGLE(IF(ISERROR(_xll.FDSB($C$2,"FE_ESTIMATE(PRODLINE_SALES_1,MEAN,QUARTERLY_ROLL,"&amp;F$9&amp;","&amp;$C$5&amp;",,,'')")), "--", _xll.FDSB($C$2,"FE_ESTIMATE(PRODLINE_SALES_1,MEAN,QUARTERLY_ROLL,"&amp;F$9&amp;","&amp;$C$5&amp;",,,'')")))</f>
        <v/>
      </c>
      <c r="G30" s="304" t="str" cm="1">
        <f t="array" ref="G30">_xlfn.SINGLE(IF(ISERROR(_xll.FDSB($C$2,"FE_ESTIMATE(PRODLINE_SALES_1,MEAN,QUARTERLY_ROLL,"&amp;G$9&amp;","&amp;$C$5&amp;",,,'')")), "--", _xll.FDSB($C$2,"FE_ESTIMATE(PRODLINE_SALES_1,MEAN,QUARTERLY_ROLL,"&amp;G$9&amp;","&amp;$C$5&amp;",,,'')")))</f>
        <v/>
      </c>
      <c r="H30" s="305" t="str" cm="1">
        <f t="array" ref="H30">_xlfn.SINGLE(IF(ISERROR(_xll.FDSB($C$2,"FE_ESTIMATE(PRODLINE_SALES_1,MEAN,annual_ROLL,"&amp;H$9&amp;","&amp;$C$5&amp;",,,'')")), "--", _xll.FDSB($C$2,"FE_ESTIMATE(PRODLINE_SALES_1,MEAN,ANNUAL_ROLL,"&amp;H$9&amp;","&amp;$C$5&amp;",,,'')")))</f>
        <v/>
      </c>
      <c r="I30" s="304" t="str" cm="1">
        <f t="array" ref="I30">_xlfn.SINGLE(IF(ISERROR(_xll.FDSB($C$2,"FE_ESTIMATE(PRODLINE_SALES_1,MEAN,QUARTERLY_ROLL,"&amp;I$9&amp;","&amp;$C$5&amp;",,,'')")), "--", _xll.FDSB($C$2,"FE_ESTIMATE(PRODLINE_SALES_1,MEAN,QUARTERLY_ROLL,"&amp;I$9&amp;","&amp;$C$5&amp;",,,'')")))</f>
        <v/>
      </c>
      <c r="J30" s="304" t="str" cm="1">
        <f t="array" ref="J30">_xlfn.SINGLE(IF(ISERROR(_xll.FDSB($C$2,"FE_ESTIMATE(PRODLINE_SALES_1,MEAN,QUARTERLY_ROLL,"&amp;J$9&amp;","&amp;$C$5&amp;",,,'')")), "--", _xll.FDSB($C$2,"FE_ESTIMATE(PRODLINE_SALES_1,MEAN,QUARTERLY_ROLL,"&amp;J$9&amp;","&amp;$C$5&amp;",,,'')")))</f>
        <v/>
      </c>
      <c r="K30" s="304" t="str" cm="1">
        <f t="array" ref="K30">_xlfn.SINGLE(IF(ISERROR(_xll.FDSB($C$2,"FE_ESTIMATE(PRODLINE_SALES_1,MEAN,QUARTERLY_ROLL,"&amp;K$9&amp;","&amp;$C$5&amp;",,,'')")), "--", _xll.FDSB($C$2,"FE_ESTIMATE(PRODLINE_SALES_1,MEAN,QUARTERLY_ROLL,"&amp;K$9&amp;","&amp;$C$5&amp;",,,'')")))</f>
        <v/>
      </c>
      <c r="L30" s="304" t="str" cm="1">
        <f t="array" ref="L30">_xlfn.SINGLE(IF(ISERROR(_xll.FDSB($C$2,"FE_ESTIMATE(PRODLINE_SALES_1,MEAN,QUARTERLY_ROLL,"&amp;L$9&amp;","&amp;$C$5&amp;",,,'')")), "--", _xll.FDSB($C$2,"FE_ESTIMATE(PRODLINE_SALES_1,MEAN,QUARTERLY_ROLL,"&amp;L$9&amp;","&amp;$C$5&amp;",,,'')")))</f>
        <v/>
      </c>
      <c r="M30" s="305" t="str" cm="1">
        <f t="array" ref="M30">_xlfn.SINGLE(IF(ISERROR(_xll.FDSB($C$2,"FE_ESTIMATE(PRODLINE_SALES_1,MEAN,ANNUAL_ROLL,"&amp;M$9&amp;","&amp;$C$5&amp;",,,'')")), "--", _xll.FDSB($C$2,"FE_ESTIMATE(PRODLINE_SALES_1,MEAN,ANNUAL_ROLL,"&amp;M$9&amp;","&amp;$C$5&amp;",,,'')")))</f>
        <v/>
      </c>
      <c r="N30" s="304" t="str" cm="1">
        <f t="array" ref="N30">_xlfn.SINGLE(IF(ISERROR(_xll.FDSB($C$2,"FE_ESTIMATE(PRODLINE_SALES_1,MEAN,QUARTERLY_ROLL,"&amp;N$9&amp;","&amp;$C$5&amp;",,,'')")), "--", _xll.FDSB($C$2,"FE_ESTIMATE(PRODLINE_SALES_1,MEAN,QUARTERLY_ROLL,"&amp;N$9&amp;","&amp;$C$5&amp;",,,'')")))</f>
        <v/>
      </c>
      <c r="O30" s="304" t="str" cm="1">
        <f t="array" ref="O30">_xlfn.SINGLE(IF(ISERROR(_xll.FDSB($C$2,"FE_ESTIMATE(PRODLINE_SALES_1,MEAN,QUARTERLY_ROLL,"&amp;O$9&amp;","&amp;$C$5&amp;",,,'')")), "--", _xll.FDSB($C$2,"FE_ESTIMATE(PRODLINE_SALES_1,MEAN,QUARTERLY_ROLL,"&amp;O$9&amp;","&amp;$C$5&amp;",,,'')")))</f>
        <v/>
      </c>
      <c r="P30" s="304" t="str" cm="1">
        <f t="array" ref="P30">_xlfn.SINGLE(IF(ISERROR(_xll.FDSB($C$2,"FE_ESTIMATE(PRODLINE_SALES_1,MEAN,QUARTERLY_ROLL,"&amp;P$9&amp;","&amp;$C$5&amp;",,,'')")), "--", _xll.FDSB($C$2,"FE_ESTIMATE(PRODLINE_SALES_1,MEAN,QUARTERLY_ROLL,"&amp;P$9&amp;","&amp;$C$5&amp;",,,'')")))</f>
        <v/>
      </c>
      <c r="Q30" s="304" t="str" cm="1">
        <f t="array" ref="Q30">_xlfn.SINGLE(IF(ISERROR(_xll.FDSB($C$2,"FE_ESTIMATE(PRODLINE_SALES_1,MEAN,QUARTERLY_ROLL,"&amp;Q$9&amp;","&amp;$C$5&amp;",,,'')")), "--", _xll.FDSB($C$2,"FE_ESTIMATE(PRODLINE_SALES_1,MEAN,QUARTERLY_ROLL,"&amp;Q$9&amp;","&amp;$C$5&amp;",,,'')")))</f>
        <v/>
      </c>
      <c r="R30" s="305" t="str" cm="1">
        <f t="array" ref="R30">_xlfn.SINGLE(IF(ISERROR(_xll.FDSB($C$2,"FE_ESTIMATE(PRODLINE_SALES_1,MEAN,ANNUAL_ROLL,"&amp;R$9&amp;","&amp;$C$5&amp;",,,'')")), "--", _xll.FDSB($C$2,"FE_ESTIMATE(PRODLINE_SALES_1,MEAN,ANNUAL_ROLL,"&amp;R$9&amp;","&amp;$C$5&amp;",,,'')")))</f>
        <v/>
      </c>
      <c r="S30" s="304" t="str" cm="1">
        <f t="array" ref="S30">_xlfn.SINGLE(IF(ISERROR(_xll.FDSB($C$2,"FE_ESTIMATE(PRODLINE_SALES_1,MEAN,QUARTERLY_ROLL,"&amp;S$9&amp;","&amp;$C$5&amp;",,,'')")), "--", _xll.FDSB($C$2,"FE_ESTIMATE(PRODLINE_SALES_1,MEAN,QUARTERLY_ROLL,"&amp;S$9&amp;","&amp;$C$5&amp;",,,'')")))</f>
        <v/>
      </c>
      <c r="T30" s="304" t="str" cm="1">
        <f t="array" ref="T30">_xlfn.SINGLE(IF(ISERROR(_xll.FDSB($C$2,"FE_ESTIMATE(PRODLINE_SALES_1,MEAN,QUARTERLY_ROLL,"&amp;T$9&amp;","&amp;$C$5&amp;",,,'')")), "--", _xll.FDSB($C$2,"FE_ESTIMATE(PRODLINE_SALES_1,MEAN,QUARTERLY_ROLL,"&amp;T$9&amp;","&amp;$C$5&amp;",,,'')")))</f>
        <v/>
      </c>
      <c r="U30" s="304" t="str" cm="1">
        <f t="array" ref="U30">_xlfn.SINGLE(IF(ISERROR(_xll.FDSB($C$2,"FE_ESTIMATE(PRODLINE_SALES_1,MEAN,QUARTERLY_ROLL,"&amp;U$9&amp;","&amp;$C$5&amp;",,,'')")), "--", _xll.FDSB($C$2,"FE_ESTIMATE(PRODLINE_SALES_1,MEAN,QUARTERLY_ROLL,"&amp;U$9&amp;","&amp;$C$5&amp;",,,'')")))</f>
        <v/>
      </c>
      <c r="V30" s="304" t="str" cm="1">
        <f t="array" ref="V30">_xlfn.SINGLE(IF(ISERROR(_xll.FDSB($C$2,"FE_ESTIMATE(PRODLINE_SALES_1,MEAN,QUARTERLY_ROLL,"&amp;V$9&amp;","&amp;$C$5&amp;",,,'')")), "--", _xll.FDSB($C$2,"FE_ESTIMATE(PRODLINE_SALES_1,MEAN,QUARTERLY_ROLL,"&amp;V$9&amp;","&amp;$C$5&amp;",,,'')")))</f>
        <v/>
      </c>
      <c r="W30" s="305" t="str" cm="1">
        <f t="array" ref="W30">_xlfn.SINGLE(IF(ISERROR(_xll.FDSB($C$2,"FE_ESTIMATE(PRODLINE_SALES_1,MEAN,ANNUAL_ROLL,"&amp;W$9&amp;","&amp;$C$5&amp;",,,'')")), "--", _xll.FDSB($C$2,"FE_ESTIMATE(PRODLINE_SALES_1,MEAN,ANNUAL_ROLL,"&amp;W$9&amp;","&amp;$C$5&amp;",,,'')")))</f>
        <v/>
      </c>
      <c r="X30" s="304" t="str" cm="1">
        <f t="array" ref="X30">_xlfn.SINGLE(IF(ISERROR(_xll.FDSB($C$2,"FE_ESTIMATE(PRODLINE_SALES_1,MEAN,QUARTERLY_ROLL,"&amp;X$9&amp;","&amp;$C$5&amp;",,,'')")), "--", _xll.FDSB($C$2,"FE_ESTIMATE(PRODLINE_SALES_1,MEAN,QUARTERLY_ROLL,"&amp;X$9&amp;","&amp;$C$5&amp;",,,'')")))</f>
        <v/>
      </c>
      <c r="Y30" s="304" t="str" cm="1">
        <f t="array" ref="Y30">_xlfn.SINGLE(IF(ISERROR(_xll.FDSB($C$2,"FE_ESTIMATE(PRODLINE_SALES_1,MEAN,QUARTERLY_ROLL,"&amp;Y$9&amp;","&amp;$C$5&amp;",,,'')")), "--", _xll.FDSB($C$2,"FE_ESTIMATE(PRODLINE_SALES_1,MEAN,QUARTERLY_ROLL,"&amp;Y$9&amp;","&amp;$C$5&amp;",,,'')")))</f>
        <v/>
      </c>
      <c r="Z30" s="304" t="str" cm="1">
        <f t="array" ref="Z30">_xlfn.SINGLE(IF(ISERROR(_xll.FDSB($C$2,"FE_ESTIMATE(PRODLINE_SALES_1,MEAN,QUARTERLY_ROLL,"&amp;Z$9&amp;","&amp;$C$5&amp;",,,'')")), "--", _xll.FDSB($C$2,"FE_ESTIMATE(PRODLINE_SALES_1,MEAN,QUARTERLY_ROLL,"&amp;Z$9&amp;","&amp;$C$5&amp;",,,'')")))</f>
        <v/>
      </c>
      <c r="AA30" s="304" t="str" cm="1">
        <f t="array" ref="AA30">_xlfn.SINGLE(IF(ISERROR(_xll.FDSB($C$2,"FE_ESTIMATE(PRODLINE_SALES_1,MEAN,QUARTERLY_ROLL,"&amp;AA$9&amp;","&amp;$C$5&amp;",,,'')")), "--", _xll.FDSB($C$2,"FE_ESTIMATE(PRODLINE_SALES_1,MEAN,QUARTERLY_ROLL,"&amp;AA$9&amp;","&amp;$C$5&amp;",,,'')")))</f>
        <v/>
      </c>
      <c r="AB30" s="305" t="str" cm="1">
        <f t="array" ref="AB30">_xlfn.SINGLE(IF(ISERROR(_xll.FDSB($C$2,"FE_ESTIMATE(PRODLINE_SALES_1,MEAN,ANNUAL_ROLL,"&amp;AB$9&amp;","&amp;$C$5&amp;",,,'')")), "--", _xll.FDSB($C$2,"FE_ESTIMATE(PRODLINE_SALES_1,MEAN,ANNUAL_ROLL,"&amp;AB$9&amp;","&amp;$C$5&amp;",,,'')")))</f>
        <v/>
      </c>
      <c r="AC30" s="304" t="str" cm="1">
        <f t="array" ref="AC30">_xlfn.SINGLE(IF(ISERROR(_xll.FDSB($C$2,"FE_ESTIMATE(PRODLINE_SALES_1,MEAN,QUARTERLY_ROLL,"&amp;AC$9&amp;","&amp;$C$5&amp;",,,'')")), "--", _xll.FDSB($C$2,"FE_ESTIMATE(PRODLINE_SALES_1,MEAN,QUARTERLY_ROLL,"&amp;AC$9&amp;","&amp;$C$5&amp;",,,'')")))</f>
        <v/>
      </c>
      <c r="AD30" s="304" cm="1">
        <f t="array" ref="AD30">_xlfn.SINGLE(IF(ISERROR(_xll.FDSB($C$2,"FE_ESTIMATE(PRODLINE_SALES_1,MEAN,QUARTERLY_ROLL,"&amp;AD$9&amp;","&amp;$C$5&amp;",,,'')")), "--", _xll.FDSB($C$2,"FE_ESTIMATE(PRODLINE_SALES_1,MEAN,QUARTERLY_ROLL,"&amp;AD$9&amp;","&amp;$C$5&amp;",,,'')")))</f>
        <v>125.20435999999999</v>
      </c>
      <c r="AE30" s="304" cm="1">
        <f t="array" ref="AE30">_xlfn.SINGLE(IF(ISERROR(_xll.FDSB($C$2,"FE_ESTIMATE(PRODLINE_SALES_1,MEAN,QUARTERLY_ROLL,"&amp;AE$9&amp;","&amp;$C$5&amp;",,,'')")), "--", _xll.FDSB($C$2,"FE_ESTIMATE(PRODLINE_SALES_1,MEAN,QUARTERLY_ROLL,"&amp;AE$9&amp;","&amp;$C$5&amp;",,,'')")))</f>
        <v>148.5</v>
      </c>
      <c r="AF30" s="304" cm="1">
        <f t="array" ref="AF30">_xlfn.SINGLE(IF(ISERROR(_xll.FDSB($C$2,"FE_ESTIMATE(PRODLINE_SALES_1,MEAN,QUARTERLY_ROLL,"&amp;AF$9&amp;","&amp;$C$5&amp;",,,'')")), "--", _xll.FDSB($C$2,"FE_ESTIMATE(PRODLINE_SALES_1,MEAN,QUARTERLY_ROLL,"&amp;AF$9&amp;","&amp;$C$5&amp;",,,'')")))</f>
        <v>178.3</v>
      </c>
      <c r="AG30" s="305" cm="1">
        <f t="array" ref="AG30">_xlfn.SINGLE(IF(ISERROR(_xll.FDSB($C$2,"FE_ESTIMATE(PRODLINE_SALES_1,MEAN,ANNUAL_ROLL,"&amp;AG$9&amp;","&amp;$C$5&amp;",,,'')")), "--", _xll.FDSB($C$2,"FE_ESTIMATE(PRODLINE_SALES_1,MEAN,ANNUAL_ROLL,"&amp;AG$9&amp;","&amp;$C$5&amp;",,,'')")))</f>
        <v>553.79399999999998</v>
      </c>
      <c r="AH30" s="304" cm="1">
        <f t="array" ref="AH30">_xlfn.SINGLE(IF(ISERROR(_xll.FDSB($C$2,"FE_ESTIMATE(PRODLINE_SALES_1,MEAN,QUARTERLY_ROLL,"&amp;AH$9&amp;","&amp;$C$5&amp;",,,'')")), "--", _xll.FDSB($C$2,"FE_ESTIMATE(PRODLINE_SALES_1,MEAN,QUARTERLY_ROLL,"&amp;AH$9&amp;","&amp;$C$5&amp;",,,'')")))</f>
        <v>213.83</v>
      </c>
      <c r="AI30" s="304" cm="1">
        <f t="array" ref="AI30">_xlfn.SINGLE(IF(ISERROR(_xll.FDSB($C$2,"FE_ESTIMATE(PRODLINE_SALES_1,MEAN,QUARTERLY_ROLL,"&amp;AI$9&amp;","&amp;$C$5&amp;",,,'')")), "--", _xll.FDSB($C$2,"FE_ESTIMATE(PRODLINE_SALES_1,MEAN,QUARTERLY_ROLL,"&amp;AI$9&amp;","&amp;$C$5&amp;",,,'')")))</f>
        <v>254.62299999999999</v>
      </c>
      <c r="AJ30" s="304" cm="1">
        <f t="array" ref="AJ30">_xlfn.SINGLE(IF(ISERROR(_xll.FDSB($C$2,"FE_ESTIMATE(PRODLINE_SALES_1,MEAN,QUARTERLY_ROLL,"&amp;AJ$9&amp;","&amp;$C$5&amp;",,,'')")), "--", _xll.FDSB($C$2,"FE_ESTIMATE(PRODLINE_SALES_1,MEAN,QUARTERLY_ROLL,"&amp;AJ$9&amp;","&amp;$C$5&amp;",,,'')")))</f>
        <v>312.45800000000003</v>
      </c>
      <c r="AK30" s="304" cm="1">
        <f t="array" ref="AK30">_xlfn.SINGLE(IF(ISERROR(_xll.FDSB($C$2,"FE_ESTIMATE(PRODLINE_SALES_1,MEAN,QUARTERLY_ROLL,"&amp;AK$9&amp;","&amp;$C$5&amp;",,,'')")), "--", _xll.FDSB($C$2,"FE_ESTIMATE(PRODLINE_SALES_1,MEAN,QUARTERLY_ROLL,"&amp;AK$9&amp;","&amp;$C$5&amp;",,,'')")))</f>
        <v>359.55799999999999</v>
      </c>
      <c r="AL30" s="305" cm="1">
        <f t="array" ref="AL30">_xlfn.SINGLE(IF(ISERROR(_xll.FDSB($C$2,"FE_ESTIMATE(PRODLINE_SALES_1,MEAN,ANNUAL_ROLL,"&amp;AL$9&amp;","&amp;$C$5&amp;",,,'')")), "--", _xll.FDSB($C$2,"FE_ESTIMATE(PRODLINE_SALES_1,MEAN,ANNUAL_ROLL,"&amp;AL$9&amp;","&amp;$C$5&amp;",,,'')")))</f>
        <v>1140.4690000000001</v>
      </c>
      <c r="AM30" s="304" cm="1">
        <f t="array" ref="AM30">_xlfn.SINGLE(IF(ISERROR(_xll.FDSB($C$2,"FE_ESTIMATE(PRODLINE_SALES_1,MEAN,QUARTERLY_ROLL,"&amp;AM$9&amp;","&amp;$C$5&amp;",,,'')")), "--", _xll.FDSB($C$2,"FE_ESTIMATE(PRODLINE_SALES_1,MEAN,QUARTERLY_ROLL,"&amp;AM$9&amp;","&amp;$C$5&amp;",,,'')")))</f>
        <v>394.43400000000003</v>
      </c>
      <c r="AN30" s="304" cm="1">
        <f t="array" ref="AN30">_xlfn.SINGLE(IF(ISERROR(_xll.FDSB($C$2,"FE_ESTIMATE(PRODLINE_SALES_1,MEAN,QUARTERLY_ROLL,"&amp;AN$9&amp;","&amp;$C$5&amp;",,,'')")), "--", _xll.FDSB($C$2,"FE_ESTIMATE(PRODLINE_SALES_1,MEAN,QUARTERLY_ROLL,"&amp;AN$9&amp;","&amp;$C$5&amp;",,,'')")))</f>
        <v>466.26799999999997</v>
      </c>
      <c r="AO30" s="304" cm="1">
        <f t="array" ref="AO30">_xlfn.SINGLE(IF(ISERROR(_xll.FDSB($C$2,"FE_ESTIMATE(PRODLINE_SALES_1,MEAN,QUARTERLY_ROLL,"&amp;AO$9&amp;","&amp;$C$5&amp;",,,'')")), "--", _xll.FDSB($C$2,"FE_ESTIMATE(PRODLINE_SALES_1,MEAN,QUARTERLY_ROLL,"&amp;AO$9&amp;","&amp;$C$5&amp;",,,'')")))</f>
        <v>522.75199999999995</v>
      </c>
      <c r="AP30" s="304" cm="1">
        <f t="array" ref="AP30">_xlfn.SINGLE(IF(ISERROR(_xll.FDSB($C$2,"FE_ESTIMATE(PRODLINE_SALES_1,MEAN,QUARTERLY_ROLL,"&amp;AP$9&amp;","&amp;$C$5&amp;",,,'')")), "--", _xll.FDSB($C$2,"FE_ESTIMATE(PRODLINE_SALES_1,MEAN,QUARTERLY_ROLL,"&amp;AP$9&amp;","&amp;$C$5&amp;",,,'')")))</f>
        <v>555.32899999999995</v>
      </c>
      <c r="AQ30" s="305" cm="1">
        <f t="array" ref="AQ30">_xlfn.SINGLE(IF(ISERROR(_xll.FDSB($C$2,"FE_ESTIMATE(PRODLINE_SALES_1,MEAN,ANNUAL_ROLL,"&amp;AQ$9&amp;","&amp;$C$5&amp;",,,'')")), "--", _xll.FDSB($C$2,"FE_ESTIMATE(PRODLINE_SALES_1,MEAN,ANNUAL_ROLL,"&amp;AQ$9&amp;","&amp;$C$5&amp;",,,'')")))</f>
        <v>1938.7829999999999</v>
      </c>
      <c r="AR30" s="304" cm="1">
        <f t="array" ref="AR30">_xlfn.SINGLE(IF(ISERROR(_xll.FDSB($C$2,"FE_ESTIMATE(PRODLINE_SALES_1,MEAN,QUARTERLY_ROLL,"&amp;AR$9&amp;","&amp;$C$5&amp;",,,'')")), "--", _xll.FDSB($C$2,"FE_ESTIMATE(PRODLINE_SALES_1,MEAN,QUARTERLY_ROLL,"&amp;AR$9&amp;","&amp;$C$5&amp;",,,'')")))</f>
        <v>590.072</v>
      </c>
      <c r="AS30" s="304" cm="1">
        <f t="array" ref="AS30">_xlfn.SINGLE(IF(ISERROR(_xll.FDSB($C$2,"FE_ESTIMATE(PRODLINE_SALES_1,MEAN,QUARTERLY_ROLL,"&amp;AS$9&amp;","&amp;$C$5&amp;",,,'')")), "--", _xll.FDSB($C$2,"FE_ESTIMATE(PRODLINE_SALES_1,MEAN,QUARTERLY_ROLL,"&amp;AS$9&amp;","&amp;$C$5&amp;",,,'')")))</f>
        <v>640.20899999999995</v>
      </c>
      <c r="AT30" s="304" cm="1">
        <f t="array" ref="AT30">_xlfn.SINGLE(IF(ISERROR(_xll.FDSB($C$2,"FE_ESTIMATE(PRODLINE_SALES_1,MEAN,QUARTERLY_ROLL,"&amp;AT$9&amp;","&amp;$C$5&amp;",,,'')")), "--", _xll.FDSB($C$2,"FE_ESTIMATE(PRODLINE_SALES_1,MEAN,QUARTERLY_ROLL,"&amp;AT$9&amp;","&amp;$C$5&amp;",,,'')")))</f>
        <v>698.47799999999995</v>
      </c>
      <c r="AU30" s="304" cm="1">
        <f t="array" ref="AU30">_xlfn.SINGLE(IF(ISERROR(_xll.FDSB($C$2,"FE_ESTIMATE(PRODLINE_SALES_1,MEAN,QUARTERLY_ROLL,"&amp;AU$9&amp;","&amp;$C$5&amp;",,,'')")), "--", _xll.FDSB($C$2,"FE_ESTIMATE(PRODLINE_SALES_1,MEAN,QUARTERLY_ROLL,"&amp;AU$9&amp;","&amp;$C$5&amp;",,,'')")))</f>
        <v>738.09</v>
      </c>
      <c r="AV30" s="305" cm="1">
        <f t="array" ref="AV30">_xlfn.SINGLE(IF(ISERROR(_xll.FDSB($C$2,"FE_ESTIMATE(PRODLINE_SALES_1,MEAN,ANNUAL_ROLL,"&amp;AV$9&amp;","&amp;$C$5&amp;",,,'')")), "--", _xll.FDSB($C$2,"FE_ESTIMATE(PRODLINE_SALES_1,MEAN,ANNUAL_ROLL,"&amp;AV$9&amp;","&amp;$C$5&amp;",,,'')")))</f>
        <v>2666.8490000000002</v>
      </c>
      <c r="AW30" s="304" cm="1">
        <f t="array" ref="AW30">_xlfn.SINGLE(IF(ISERROR(_xll.FDSB($C$2,"FE_ESTIMATE(PRODLINE_SALES_1,MEAN,QUARTERLY_ROLL,"&amp;AW$9&amp;","&amp;$C$5&amp;",,,'')")), "--", _xll.FDSB($C$2,"FE_ESTIMATE(PRODLINE_SALES_1,MEAN,QUARTERLY_ROLL,"&amp;AW$9&amp;","&amp;$C$5&amp;",,,'')")))</f>
        <v>789.58699999999999</v>
      </c>
      <c r="AX30" s="304" cm="1">
        <f t="array" ref="AX30">_xlfn.SINGLE(IF(ISERROR(_xll.FDSB($C$2,"FE_ESTIMATE(PRODLINE_SALES_1,MEAN,QUARTERLY_ROLL,"&amp;AX$9&amp;","&amp;$C$5&amp;",,,'')")), "--", _xll.FDSB($C$2,"FE_ESTIMATE(PRODLINE_SALES_1,MEAN,QUARTERLY_ROLL,"&amp;AX$9&amp;","&amp;$C$5&amp;",,,'')")))</f>
        <v>829.25</v>
      </c>
      <c r="AY30" s="304" cm="1">
        <f t="array" ref="AY30">_xlfn.SINGLE(IF(ISERROR(_xll.FDSB($C$2,"FE_ESTIMATE(PRODLINE_SALES_1,MEAN,QUARTERLY_ROLL,"&amp;AY$9&amp;","&amp;$C$5&amp;",,,'')")), "--", _xll.FDSB($C$2,"FE_ESTIMATE(PRODLINE_SALES_1,MEAN,QUARTERLY_ROLL,"&amp;AY$9&amp;","&amp;$C$5&amp;",,,'')")))</f>
        <v>900.28200000000004</v>
      </c>
      <c r="AZ30" s="304" cm="1">
        <f t="array" ref="AZ30">_xlfn.SINGLE(IF(ISERROR(_xll.FDSB($C$2,"FE_ESTIMATE(PRODLINE_SALES_1,MEAN,QUARTERLY_ROLL,"&amp;AZ$9&amp;","&amp;$C$5&amp;",,,'')")), "--", _xll.FDSB($C$2,"FE_ESTIMATE(PRODLINE_SALES_1,MEAN,QUARTERLY_ROLL,"&amp;AZ$9&amp;","&amp;$C$5&amp;",,,'')")))</f>
        <v>943.303</v>
      </c>
      <c r="BA30" s="305" cm="1">
        <f t="array" ref="BA30">_xlfn.SINGLE(IF(ISERROR(_xll.FDSB($C$2,"FE_ESTIMATE(PRODLINE_SALES_1,MEAN,ANNUAL_ROLL,"&amp;BA$9&amp;","&amp;$C$5&amp;",,,'')")), "--", _xll.FDSB($C$2,"FE_ESTIMATE(PRODLINE_SALES_1,MEAN,ANNUAL_ROLL,"&amp;BA$9&amp;","&amp;$C$5&amp;",,,'')")))</f>
        <v>3462.422</v>
      </c>
      <c r="BB30" s="304" cm="1">
        <f t="array" ref="BB30">_xlfn.SINGLE(IF(ISERROR(_xll.FDSB($C$2,"FE_ESTIMATE(PRODLINE_SALES_1,MEAN,QUARTERLY_ROLL,"&amp;BB$9&amp;","&amp;$C$5&amp;",,,'')")), "--", _xll.FDSB($C$2,"FE_ESTIMATE(PRODLINE_SALES_1,MEAN,QUARTERLY_ROLL,"&amp;BB$9&amp;","&amp;$C$5&amp;",,,'')")))</f>
        <v>996.81299999999999</v>
      </c>
      <c r="BC30" s="304" cm="1">
        <f t="array" ref="BC30">_xlfn.SINGLE(IF(ISERROR(_xll.FDSB($C$2,"FE_ESTIMATE(PRODLINE_SALES_1,MEAN,QUARTERLY_ROLL,"&amp;BC$9&amp;","&amp;$C$5&amp;",,,'')")), "--", _xll.FDSB($C$2,"FE_ESTIMATE(PRODLINE_SALES_1,MEAN,QUARTERLY_ROLL,"&amp;BC$9&amp;","&amp;$C$5&amp;",,,'')")))</f>
        <v>1090.4960000000001</v>
      </c>
      <c r="BD30" s="304" cm="1">
        <f t="array" ref="BD30">_xlfn.SINGLE(IF(ISERROR(_xll.FDSB($C$2,"FE_ESTIMATE(PRODLINE_SALES_1,MEAN,QUARTERLY_ROLL,"&amp;BD$9&amp;","&amp;$C$5&amp;",,,'')")), "--", _xll.FDSB($C$2,"FE_ESTIMATE(PRODLINE_SALES_1,MEAN,QUARTERLY_ROLL,"&amp;BD$9&amp;","&amp;$C$5&amp;",,,'')")))</f>
        <v>1131.9456</v>
      </c>
      <c r="BE30" s="304" cm="1">
        <f t="array" ref="BE30">_xlfn.SINGLE(IF(ISERROR(_xll.FDSB($C$2,"FE_ESTIMATE(PRODLINE_SALES_1,MEAN,QUARTERLY_ROLL,"&amp;BE$9&amp;","&amp;$C$5&amp;",,,'')")), "--", _xll.FDSB($C$2,"FE_ESTIMATE(PRODLINE_SALES_1,MEAN,QUARTERLY_ROLL,"&amp;BE$9&amp;","&amp;$C$5&amp;",,,'')")))</f>
        <v>1184.0984000000001</v>
      </c>
      <c r="BF30" s="305" cm="1">
        <f t="array" ref="BF30">_xlfn.SINGLE(IF(ISERROR(_xll.FDSB($C$2,"FE_ESTIMATE(PRODLINE_SALES_1,MEAN,ANNUAL_ROLL,"&amp;BF$9&amp;","&amp;$C$5&amp;",,,'')")), "--", _xll.FDSB($C$2,"FE_ESTIMATE(PRODLINE_SALES_1,MEAN,ANNUAL_ROLL,"&amp;BF$9&amp;","&amp;$C$5&amp;",,,'')")))</f>
        <v>4408.2533999999996</v>
      </c>
      <c r="BG30" s="304" cm="1">
        <f t="array" ref="BG30">_xlfn.SINGLE(IF(ISERROR(_xll.FDSB($C$2,"FE_ESTIMATE(PRODLINE_SALES_1,MEAN,QUARTERLY_ROLL,"&amp;BG$9&amp;","&amp;$C$5&amp;",,,'')")), "--", _xll.FDSB($C$2,"FE_ESTIMATE(PRODLINE_SALES_1,MEAN,QUARTERLY_ROLL,"&amp;BG$9&amp;","&amp;$C$5&amp;",,,'')")))</f>
        <v>1244.5923</v>
      </c>
      <c r="BH30" s="304" cm="1">
        <f t="array" ref="BH30">_xlfn.SINGLE(IF(ISERROR(_xll.FDSB($C$2,"FE_ESTIMATE(PRODLINE_SALES_1,MEAN,QUARTERLY_ROLL,"&amp;BH$9&amp;","&amp;$C$5&amp;",,,'')")), "--", _xll.FDSB($C$2,"FE_ESTIMATE(PRODLINE_SALES_1,MEAN,QUARTERLY_ROLL,"&amp;BH$9&amp;","&amp;$C$5&amp;",,,'')")))</f>
        <v>1334.2819999999999</v>
      </c>
      <c r="BI30" s="304" cm="1">
        <f t="array" ref="BI30">_xlfn.SINGLE(IF(ISERROR(_xll.FDSB($C$2,"FE_ESTIMATE(PRODLINE_SALES_1,MEAN,QUARTERLY_ROLL,"&amp;BI$9&amp;","&amp;$C$5&amp;",,,'')")), "--", _xll.FDSB($C$2,"FE_ESTIMATE(PRODLINE_SALES_1,MEAN,QUARTERLY_ROLL,"&amp;BI$9&amp;","&amp;$C$5&amp;",,,'')")))</f>
        <v>1405.2795000000001</v>
      </c>
      <c r="BJ30" s="304" cm="1">
        <f t="array" ref="BJ30">_xlfn.SINGLE(IF(ISERROR(_xll.FDSB($C$2,"FE_ESTIMATE(PRODLINE_SALES_1,MEAN,QUARTERLY_ROLL,"&amp;BJ$9&amp;","&amp;$C$5&amp;",,,'')")), "--", _xll.FDSB($C$2,"FE_ESTIMATE(PRODLINE_SALES_1,MEAN,QUARTERLY_ROLL,"&amp;BJ$9&amp;","&amp;$C$5&amp;",,,'')")))</f>
        <v>1470.9059999999999</v>
      </c>
      <c r="BK30" s="305" cm="1">
        <f t="array" ref="BK30">_xlfn.SINGLE(IF(ISERROR(_xll.FDSB($C$2,"FE_ESTIMATE(PRODLINE_SALES_1,MEAN,ANNUAL_ROLL,"&amp;BK$9&amp;","&amp;$C$5&amp;",,,'')")), "--", _xll.FDSB($C$2,"FE_ESTIMATE(PRODLINE_SALES_1,MEAN,ANNUAL_ROLL,"&amp;BK$9&amp;","&amp;$C$5&amp;",,,'')")))</f>
        <v>5481.1949999999997</v>
      </c>
      <c r="BL30" s="304" cm="1">
        <f t="array" ref="BL30">_xlfn.SINGLE(IF(ISERROR(_xll.FDSB($C$2,"FE_ESTIMATE(PRODLINE_SALES_1,MEAN,QUARTERLY_ROLL,"&amp;BL$9&amp;","&amp;$C$5&amp;",,,'')")), "--", _xll.FDSB($C$2,"FE_ESTIMATE(PRODLINE_SALES_1,MEAN,QUARTERLY_ROLL,"&amp;BL$9&amp;","&amp;$C$5&amp;",,,'')")))</f>
        <v>1548.4911999999999</v>
      </c>
      <c r="BM30" s="304" cm="1">
        <f t="array" ref="BM30">_xlfn.SINGLE(IF(ISERROR(_xll.FDSB($C$2,"FE_ESTIMATE(PRODLINE_SALES_1,MEAN,QUARTERLY_ROLL,"&amp;BM$9&amp;","&amp;$C$5&amp;",,,'')")), "--", _xll.FDSB($C$2,"FE_ESTIMATE(PRODLINE_SALES_1,MEAN,QUARTERLY_ROLL,"&amp;BM$9&amp;","&amp;$C$5&amp;",,,'')")))</f>
        <v>1654.8357000000001</v>
      </c>
      <c r="BN30" s="304" cm="1">
        <f t="array" ref="BN30">_xlfn.SINGLE(IF(ISERROR(_xll.FDSB($C$2,"FE_ESTIMATE(PRODLINE_SALES_1,MEAN,QUARTERLY_ROLL,"&amp;BN$9&amp;","&amp;$C$5&amp;",,,'')")), "--", _xll.FDSB($C$2,"FE_ESTIMATE(PRODLINE_SALES_1,MEAN,QUARTERLY_ROLL,"&amp;BN$9&amp;","&amp;$C$5&amp;",,,'')")))</f>
        <v>1730.1794</v>
      </c>
      <c r="BO30" s="304" cm="1">
        <f t="array" ref="BO30">_xlfn.SINGLE(IF(ISERROR(_xll.FDSB($C$2,"FE_ESTIMATE(PRODLINE_SALES_1,MEAN,QUARTERLY_ROLL,"&amp;BO$9&amp;","&amp;$C$5&amp;",,,'')")), "--", _xll.FDSB($C$2,"FE_ESTIMATE(PRODLINE_SALES_1,MEAN,QUARTERLY_ROLL,"&amp;BO$9&amp;","&amp;$C$5&amp;",,,'')")))</f>
        <v>1812.4437</v>
      </c>
      <c r="BP30" s="305" cm="1">
        <f t="array" ref="BP30">_xlfn.SINGLE(IF(ISERROR(_xll.FDSB($C$2,"FE_ESTIMATE(PRODLINE_SALES_1,MEAN,ANNUAL_ROLL,"&amp;BP$9&amp;","&amp;$C$5&amp;",,,'')")), "--", _xll.FDSB($C$2,"FE_ESTIMATE(PRODLINE_SALES_1,MEAN,ANNUAL_ROLL,"&amp;BP$9&amp;","&amp;$C$5&amp;",,,'')")))</f>
        <v>6820.86</v>
      </c>
    </row>
    <row r="31" spans="1:68" s="1254" customFormat="1" outlineLevel="1">
      <c r="A31" s="1255" t="s">
        <v>61</v>
      </c>
      <c r="B31" s="1251" t="s">
        <v>32</v>
      </c>
      <c r="C31" s="1251"/>
      <c r="D31" s="1252"/>
      <c r="E31" s="1252"/>
      <c r="F31" s="1252"/>
      <c r="G31" s="1252"/>
      <c r="H31" s="1253"/>
      <c r="I31" s="1252" t="str">
        <f t="shared" ref="I31:AN31" si="9">IFERROR(I30/D30-1,"--")</f>
        <v>--</v>
      </c>
      <c r="J31" s="1252" t="str">
        <f t="shared" si="9"/>
        <v>--</v>
      </c>
      <c r="K31" s="1252" t="str">
        <f t="shared" si="9"/>
        <v>--</v>
      </c>
      <c r="L31" s="1252" t="str">
        <f t="shared" si="9"/>
        <v>--</v>
      </c>
      <c r="M31" s="1253" t="str">
        <f t="shared" si="9"/>
        <v>--</v>
      </c>
      <c r="N31" s="1252" t="str">
        <f t="shared" si="9"/>
        <v>--</v>
      </c>
      <c r="O31" s="1252" t="str">
        <f t="shared" si="9"/>
        <v>--</v>
      </c>
      <c r="P31" s="1252" t="str">
        <f t="shared" si="9"/>
        <v>--</v>
      </c>
      <c r="Q31" s="1252" t="str">
        <f t="shared" si="9"/>
        <v>--</v>
      </c>
      <c r="R31" s="1253" t="str">
        <f t="shared" si="9"/>
        <v>--</v>
      </c>
      <c r="S31" s="1252" t="str">
        <f t="shared" si="9"/>
        <v>--</v>
      </c>
      <c r="T31" s="1252" t="str">
        <f t="shared" si="9"/>
        <v>--</v>
      </c>
      <c r="U31" s="1252" t="str">
        <f t="shared" si="9"/>
        <v>--</v>
      </c>
      <c r="V31" s="1252" t="str">
        <f t="shared" si="9"/>
        <v>--</v>
      </c>
      <c r="W31" s="1253" t="str">
        <f t="shared" si="9"/>
        <v>--</v>
      </c>
      <c r="X31" s="1252" t="str">
        <f t="shared" si="9"/>
        <v>--</v>
      </c>
      <c r="Y31" s="1252" t="str">
        <f t="shared" si="9"/>
        <v>--</v>
      </c>
      <c r="Z31" s="1252" t="str">
        <f t="shared" si="9"/>
        <v>--</v>
      </c>
      <c r="AA31" s="1252" t="str">
        <f t="shared" si="9"/>
        <v>--</v>
      </c>
      <c r="AB31" s="1253" t="str">
        <f t="shared" si="9"/>
        <v>--</v>
      </c>
      <c r="AC31" s="1252" t="str">
        <f t="shared" si="9"/>
        <v>--</v>
      </c>
      <c r="AD31" s="1252" t="str">
        <f t="shared" si="9"/>
        <v>--</v>
      </c>
      <c r="AE31" s="1252" t="str">
        <f t="shared" si="9"/>
        <v>--</v>
      </c>
      <c r="AF31" s="1252" t="str">
        <f t="shared" si="9"/>
        <v>--</v>
      </c>
      <c r="AG31" s="1253" t="str">
        <f t="shared" si="9"/>
        <v>--</v>
      </c>
      <c r="AH31" s="1252" t="str">
        <f t="shared" si="9"/>
        <v>--</v>
      </c>
      <c r="AI31" s="1252">
        <f t="shared" si="9"/>
        <v>1.0336592112287462</v>
      </c>
      <c r="AJ31" s="1252">
        <f t="shared" si="9"/>
        <v>1.1040942760942762</v>
      </c>
      <c r="AK31" s="1252">
        <f t="shared" si="9"/>
        <v>1.0165900168255746</v>
      </c>
      <c r="AL31" s="1253">
        <f t="shared" si="9"/>
        <v>1.0593740632798481</v>
      </c>
      <c r="AM31" s="1252">
        <f t="shared" si="9"/>
        <v>0.84461488098021786</v>
      </c>
      <c r="AN31" s="1252">
        <f t="shared" si="9"/>
        <v>0.83120927803065703</v>
      </c>
      <c r="AO31" s="1252">
        <f t="shared" ref="AO31:BP31" si="10">IFERROR(AO30/AJ30-1,"--")</f>
        <v>0.67303125540072561</v>
      </c>
      <c r="AP31" s="1252">
        <f t="shared" si="10"/>
        <v>0.54447682988558155</v>
      </c>
      <c r="AQ31" s="1253">
        <f t="shared" si="10"/>
        <v>0.69998746129881639</v>
      </c>
      <c r="AR31" s="1252">
        <f t="shared" si="10"/>
        <v>0.49599679540810371</v>
      </c>
      <c r="AS31" s="1252">
        <f t="shared" si="10"/>
        <v>0.37304940506318252</v>
      </c>
      <c r="AT31" s="1252">
        <f t="shared" si="10"/>
        <v>0.3361555766405484</v>
      </c>
      <c r="AU31" s="1252">
        <f t="shared" si="10"/>
        <v>0.32910400861471323</v>
      </c>
      <c r="AV31" s="1253">
        <f t="shared" si="10"/>
        <v>0.37552732822600587</v>
      </c>
      <c r="AW31" s="1252">
        <f t="shared" si="10"/>
        <v>0.33811975487737089</v>
      </c>
      <c r="AX31" s="1252">
        <f t="shared" si="10"/>
        <v>0.2952801350808878</v>
      </c>
      <c r="AY31" s="1252">
        <f t="shared" si="10"/>
        <v>0.28891962237894409</v>
      </c>
      <c r="AZ31" s="1252">
        <f t="shared" si="10"/>
        <v>0.27803248926282698</v>
      </c>
      <c r="BA31" s="1253">
        <f t="shared" si="10"/>
        <v>0.29831947740573228</v>
      </c>
      <c r="BB31" s="1252">
        <f t="shared" si="10"/>
        <v>0.26244859654477604</v>
      </c>
      <c r="BC31" s="1252">
        <f t="shared" si="10"/>
        <v>0.31503889056376244</v>
      </c>
      <c r="BD31" s="1252">
        <f t="shared" si="10"/>
        <v>0.25732337201010336</v>
      </c>
      <c r="BE31" s="1252">
        <f t="shared" si="10"/>
        <v>0.25526834961830946</v>
      </c>
      <c r="BF31" s="1253">
        <f t="shared" si="10"/>
        <v>0.27317045698069142</v>
      </c>
      <c r="BG31" s="1252">
        <f t="shared" si="10"/>
        <v>0.24857149736209294</v>
      </c>
      <c r="BH31" s="1252">
        <f t="shared" si="10"/>
        <v>0.22355515288455874</v>
      </c>
      <c r="BI31" s="1252">
        <f t="shared" si="10"/>
        <v>0.24147264674203428</v>
      </c>
      <c r="BJ31" s="1252">
        <f t="shared" si="10"/>
        <v>0.24221601853359465</v>
      </c>
      <c r="BK31" s="1253">
        <f t="shared" si="10"/>
        <v>0.24339381216152423</v>
      </c>
      <c r="BL31" s="1252">
        <f t="shared" si="10"/>
        <v>0.24417546211719277</v>
      </c>
      <c r="BM31" s="1252">
        <f t="shared" si="10"/>
        <v>0.24024434115127091</v>
      </c>
      <c r="BN31" s="1252">
        <f t="shared" si="10"/>
        <v>0.23119948736176665</v>
      </c>
      <c r="BO31" s="1252">
        <f t="shared" si="10"/>
        <v>0.23219546320431084</v>
      </c>
      <c r="BP31" s="1253">
        <f t="shared" si="10"/>
        <v>0.24441111837838281</v>
      </c>
    </row>
    <row r="32" spans="1:68" s="337" customFormat="1" outlineLevel="1">
      <c r="A32" s="128" t="s">
        <v>62</v>
      </c>
      <c r="B32" s="334" t="s">
        <v>33</v>
      </c>
      <c r="C32" s="334"/>
      <c r="D32" s="335"/>
      <c r="E32" s="335"/>
      <c r="F32" s="335"/>
      <c r="G32" s="335"/>
      <c r="H32" s="336"/>
      <c r="I32" s="335" t="str">
        <f>IFERROR(I30/G30-1,"--")</f>
        <v>--</v>
      </c>
      <c r="J32" s="335" t="str">
        <f>IFERROR(J30/I30-1,"--")</f>
        <v>--</v>
      </c>
      <c r="K32" s="335" t="str">
        <f>IFERROR(K30/J30-1,"--")</f>
        <v>--</v>
      </c>
      <c r="L32" s="335" t="str">
        <f>IFERROR(L30/K30-1,"--")</f>
        <v>--</v>
      </c>
      <c r="M32" s="336"/>
      <c r="N32" s="335" t="str">
        <f>IFERROR(N30/L30-1,"--")</f>
        <v>--</v>
      </c>
      <c r="O32" s="335" t="str">
        <f>IFERROR(O30/N30-1,"--")</f>
        <v>--</v>
      </c>
      <c r="P32" s="335" t="str">
        <f>IFERROR(P30/O30-1,"--")</f>
        <v>--</v>
      </c>
      <c r="Q32" s="335" t="str">
        <f>IFERROR(Q30/P30-1,"--")</f>
        <v>--</v>
      </c>
      <c r="R32" s="336"/>
      <c r="S32" s="335" t="str">
        <f>IFERROR(S30/Q30-1,"--")</f>
        <v>--</v>
      </c>
      <c r="T32" s="335" t="str">
        <f>IFERROR(T30/S30-1,"--")</f>
        <v>--</v>
      </c>
      <c r="U32" s="335" t="str">
        <f>IFERROR(U30/T30-1,"--")</f>
        <v>--</v>
      </c>
      <c r="V32" s="335" t="str">
        <f>IFERROR(V30/U30-1,"--")</f>
        <v>--</v>
      </c>
      <c r="W32" s="336"/>
      <c r="X32" s="335" t="str">
        <f>IFERROR(X30/V30-1,"--")</f>
        <v>--</v>
      </c>
      <c r="Y32" s="335" t="str">
        <f>IFERROR(Y30/X30-1,"--")</f>
        <v>--</v>
      </c>
      <c r="Z32" s="335" t="str">
        <f>IFERROR(Z30/Y30-1,"--")</f>
        <v>--</v>
      </c>
      <c r="AA32" s="335" t="str">
        <f>IFERROR(AA30/Z30-1,"--")</f>
        <v>--</v>
      </c>
      <c r="AB32" s="336"/>
      <c r="AC32" s="335" t="str">
        <f>IFERROR(AC30/AA30-1,"--")</f>
        <v>--</v>
      </c>
      <c r="AD32" s="335" t="str">
        <f>IFERROR(AD30/AC30-1,"--")</f>
        <v>--</v>
      </c>
      <c r="AE32" s="335">
        <f>IFERROR(AE30/AD30-1,"--")</f>
        <v>0.1860609327023437</v>
      </c>
      <c r="AF32" s="335">
        <f>IFERROR(AF30/AE30-1,"--")</f>
        <v>0.20067340067340078</v>
      </c>
      <c r="AG32" s="336"/>
      <c r="AH32" s="335">
        <f>IFERROR(AH30/AF30-1,"--")</f>
        <v>0.19927089175546842</v>
      </c>
      <c r="AI32" s="335">
        <f>IFERROR(AI30/AH30-1,"--")</f>
        <v>0.1907730440069213</v>
      </c>
      <c r="AJ32" s="335">
        <f>IFERROR(AJ30/AI30-1,"--")</f>
        <v>0.2271397320744788</v>
      </c>
      <c r="AK32" s="335">
        <f>IFERROR(AK30/AJ30-1,"--")</f>
        <v>0.15074025949087555</v>
      </c>
      <c r="AL32" s="336"/>
      <c r="AM32" s="335">
        <f>IFERROR(AM30/AK30-1,"--")</f>
        <v>9.6996868377285494E-2</v>
      </c>
      <c r="AN32" s="335">
        <f>IFERROR(AN30/AM30-1,"--")</f>
        <v>0.18211918850808995</v>
      </c>
      <c r="AO32" s="335">
        <f>IFERROR(AO30/AN30-1,"--")</f>
        <v>0.12114063156811095</v>
      </c>
      <c r="AP32" s="335">
        <f>IFERROR(AP30/AO30-1,"--")</f>
        <v>6.2318269466209664E-2</v>
      </c>
      <c r="AQ32" s="336"/>
      <c r="AR32" s="335">
        <f>IFERROR(AR30/AP30-1,"--")</f>
        <v>6.2562913155985056E-2</v>
      </c>
      <c r="AS32" s="335">
        <f>IFERROR(AS30/AR30-1,"--")</f>
        <v>8.4967597174582021E-2</v>
      </c>
      <c r="AT32" s="335">
        <f>IFERROR(AT30/AS30-1,"--")</f>
        <v>9.1015590221318332E-2</v>
      </c>
      <c r="AU32" s="335">
        <f>IFERROR(AU30/AT30-1,"--")</f>
        <v>5.6711879257471454E-2</v>
      </c>
      <c r="AV32" s="336"/>
      <c r="AW32" s="335">
        <f>IFERROR(AW30/AU30-1,"--")</f>
        <v>6.977062417862312E-2</v>
      </c>
      <c r="AX32" s="335">
        <f>IFERROR(AX30/AW30-1,"--")</f>
        <v>5.0232589948922657E-2</v>
      </c>
      <c r="AY32" s="335">
        <f>IFERROR(AY30/AX30-1,"--")</f>
        <v>8.5658124811576863E-2</v>
      </c>
      <c r="AZ32" s="335">
        <f>IFERROR(AZ30/AY30-1,"--")</f>
        <v>4.7786138121166388E-2</v>
      </c>
      <c r="BA32" s="336"/>
      <c r="BB32" s="335">
        <f>IFERROR(BB30/AZ30-1,"--")</f>
        <v>5.6726205683645725E-2</v>
      </c>
      <c r="BC32" s="335">
        <f>IFERROR(BC30/BB30-1,"--")</f>
        <v>9.398252229856574E-2</v>
      </c>
      <c r="BD32" s="335">
        <f>IFERROR(BD30/BC30-1,"--")</f>
        <v>3.8009859733552309E-2</v>
      </c>
      <c r="BE32" s="335">
        <f>IFERROR(BE30/BD30-1,"--")</f>
        <v>4.6073592229167293E-2</v>
      </c>
      <c r="BF32" s="336"/>
      <c r="BG32" s="335">
        <f>IFERROR(BG30/BE30-1,"--")</f>
        <v>5.1088575071125852E-2</v>
      </c>
      <c r="BH32" s="335">
        <f>IFERROR(BH30/BG30-1,"--")</f>
        <v>7.2063518310373498E-2</v>
      </c>
      <c r="BI32" s="335">
        <f>IFERROR(BI30/BH30-1,"--")</f>
        <v>5.3210265895815345E-2</v>
      </c>
      <c r="BJ32" s="335">
        <f>IFERROR(BJ30/BI30-1,"--")</f>
        <v>4.6699962534143546E-2</v>
      </c>
      <c r="BK32" s="336"/>
      <c r="BL32" s="335">
        <f>IFERROR(BL30/BJ30-1,"--")</f>
        <v>5.2746538527954856E-2</v>
      </c>
      <c r="BM32" s="335">
        <f>IFERROR(BM30/BL30-1,"--")</f>
        <v>6.8676205586444494E-2</v>
      </c>
      <c r="BN32" s="335">
        <f>IFERROR(BN30/BM30-1,"--")</f>
        <v>4.5529414188973494E-2</v>
      </c>
      <c r="BO32" s="335">
        <f>IFERROR(BO30/BN30-1,"--")</f>
        <v>4.7546687933054832E-2</v>
      </c>
      <c r="BP32" s="336"/>
    </row>
    <row r="33" spans="1:68" s="337" customFormat="1" outlineLevel="1">
      <c r="A33" s="341"/>
      <c r="B33" s="334" t="s">
        <v>35</v>
      </c>
      <c r="C33" s="340"/>
      <c r="D33" s="335" t="str">
        <f>IFERROR(D30/D$40,"--")</f>
        <v>--</v>
      </c>
      <c r="E33" s="335" t="str">
        <f t="shared" ref="E33:BK33" si="11">IFERROR(E30/E$40,"--")</f>
        <v>--</v>
      </c>
      <c r="F33" s="335" t="str">
        <f t="shared" si="11"/>
        <v>--</v>
      </c>
      <c r="G33" s="335" t="str">
        <f t="shared" si="11"/>
        <v>--</v>
      </c>
      <c r="H33" s="336" t="str">
        <f t="shared" si="11"/>
        <v>--</v>
      </c>
      <c r="I33" s="335" t="str">
        <f>IFERROR(I30/I$40,"--")</f>
        <v>--</v>
      </c>
      <c r="J33" s="335" t="str">
        <f>IFERROR(J30/J$40,"--")</f>
        <v>--</v>
      </c>
      <c r="K33" s="335" t="str">
        <f>IFERROR(K30/K$40,"--")</f>
        <v>--</v>
      </c>
      <c r="L33" s="335" t="str">
        <f>IFERROR(L30/L$40,"--")</f>
        <v>--</v>
      </c>
      <c r="M33" s="336" t="str">
        <f>IFERROR(M30/M$40,"--")</f>
        <v>--</v>
      </c>
      <c r="N33" s="335" t="str">
        <f t="shared" ref="N33:AB33" si="12">IFERROR(N30/N$40,"--")</f>
        <v>--</v>
      </c>
      <c r="O33" s="335" t="str">
        <f t="shared" si="12"/>
        <v>--</v>
      </c>
      <c r="P33" s="335" t="str">
        <f t="shared" si="12"/>
        <v>--</v>
      </c>
      <c r="Q33" s="335" t="str">
        <f t="shared" si="12"/>
        <v>--</v>
      </c>
      <c r="R33" s="336" t="str">
        <f t="shared" si="12"/>
        <v>--</v>
      </c>
      <c r="S33" s="335" t="str">
        <f t="shared" si="12"/>
        <v>--</v>
      </c>
      <c r="T33" s="335" t="str">
        <f t="shared" si="12"/>
        <v>--</v>
      </c>
      <c r="U33" s="335" t="str">
        <f t="shared" si="12"/>
        <v>--</v>
      </c>
      <c r="V33" s="335" t="str">
        <f t="shared" si="12"/>
        <v>--</v>
      </c>
      <c r="W33" s="336" t="str">
        <f t="shared" si="12"/>
        <v>--</v>
      </c>
      <c r="X33" s="335" t="str">
        <f t="shared" si="12"/>
        <v>--</v>
      </c>
      <c r="Y33" s="335" t="str">
        <f t="shared" si="12"/>
        <v>--</v>
      </c>
      <c r="Z33" s="335" t="str">
        <f t="shared" si="12"/>
        <v>--</v>
      </c>
      <c r="AA33" s="335" t="str">
        <f t="shared" si="12"/>
        <v>--</v>
      </c>
      <c r="AB33" s="336" t="str">
        <f t="shared" si="12"/>
        <v>--</v>
      </c>
      <c r="AC33" s="335" t="str">
        <f t="shared" si="11"/>
        <v>--</v>
      </c>
      <c r="AD33" s="335">
        <f t="shared" si="11"/>
        <v>0.94058398164632973</v>
      </c>
      <c r="AE33" s="335">
        <f t="shared" si="11"/>
        <v>0.93031123139377536</v>
      </c>
      <c r="AF33" s="335">
        <f t="shared" si="11"/>
        <v>0.93612999763736127</v>
      </c>
      <c r="AG33" s="336">
        <f t="shared" si="11"/>
        <v>0.93538541573417067</v>
      </c>
      <c r="AH33" s="335">
        <f t="shared" si="11"/>
        <v>0.93410625824545468</v>
      </c>
      <c r="AI33" s="335">
        <f t="shared" si="11"/>
        <v>0.93543303036760006</v>
      </c>
      <c r="AJ33" s="335">
        <f t="shared" si="11"/>
        <v>0.93426942270834035</v>
      </c>
      <c r="AK33" s="335">
        <f t="shared" si="11"/>
        <v>0.93690036323461201</v>
      </c>
      <c r="AL33" s="336">
        <f t="shared" si="11"/>
        <v>0.93532661870031586</v>
      </c>
      <c r="AM33" s="335">
        <f t="shared" si="11"/>
        <v>0.93385672785300133</v>
      </c>
      <c r="AN33" s="335">
        <f t="shared" si="11"/>
        <v>0.93769708475448865</v>
      </c>
      <c r="AO33" s="335">
        <f t="shared" si="11"/>
        <v>0.93846628894777273</v>
      </c>
      <c r="AP33" s="335">
        <f t="shared" si="11"/>
        <v>0.94281440785586712</v>
      </c>
      <c r="AQ33" s="336">
        <f t="shared" si="11"/>
        <v>0.9385784391324995</v>
      </c>
      <c r="AR33" s="335">
        <f t="shared" si="11"/>
        <v>0.94623628325253883</v>
      </c>
      <c r="AS33" s="335">
        <f t="shared" si="11"/>
        <v>0.94983961852650811</v>
      </c>
      <c r="AT33" s="335">
        <f t="shared" si="11"/>
        <v>0.95138066913384167</v>
      </c>
      <c r="AU33" s="335">
        <f t="shared" si="11"/>
        <v>0.95274422711272388</v>
      </c>
      <c r="AV33" s="336">
        <f t="shared" si="11"/>
        <v>0.95024388123381209</v>
      </c>
      <c r="AW33" s="335">
        <f t="shared" si="11"/>
        <v>0.95279163132052391</v>
      </c>
      <c r="AX33" s="335">
        <f t="shared" si="11"/>
        <v>0.95445217265196713</v>
      </c>
      <c r="AY33" s="335">
        <f t="shared" si="11"/>
        <v>0.9556180168857884</v>
      </c>
      <c r="AZ33" s="335">
        <f t="shared" si="11"/>
        <v>0.95595022142951247</v>
      </c>
      <c r="BA33" s="336">
        <f t="shared" si="11"/>
        <v>0.95478320624664259</v>
      </c>
      <c r="BB33" s="335">
        <f t="shared" si="11"/>
        <v>0.95656642426545513</v>
      </c>
      <c r="BC33" s="335">
        <f t="shared" si="11"/>
        <v>0.9524240394281418</v>
      </c>
      <c r="BD33" s="335">
        <f t="shared" si="11"/>
        <v>0.95576019263377443</v>
      </c>
      <c r="BE33" s="335">
        <f t="shared" si="11"/>
        <v>0.95705468910956615</v>
      </c>
      <c r="BF33" s="336">
        <f t="shared" si="11"/>
        <v>0.95597941813085952</v>
      </c>
      <c r="BG33" s="335">
        <f t="shared" si="11"/>
        <v>0.95948113689735837</v>
      </c>
      <c r="BH33" s="335">
        <f t="shared" si="11"/>
        <v>0.9567430572809501</v>
      </c>
      <c r="BI33" s="335">
        <f t="shared" si="11"/>
        <v>0.96176212612688583</v>
      </c>
      <c r="BJ33" s="335">
        <f t="shared" si="11"/>
        <v>0.96268162777810462</v>
      </c>
      <c r="BK33" s="336">
        <f t="shared" si="11"/>
        <v>0.95933347860216378</v>
      </c>
      <c r="BL33" s="335">
        <f>IFERROR(BL30/BL$40,"--")</f>
        <v>0.96574212262406434</v>
      </c>
      <c r="BM33" s="335">
        <f>IFERROR(BM30/BM$40,"--")</f>
        <v>0.97241350375156776</v>
      </c>
      <c r="BN33" s="335">
        <f>IFERROR(BN30/BN$40,"--")</f>
        <v>0.96530404231320222</v>
      </c>
      <c r="BO33" s="335">
        <f>IFERROR(BO30/BO$40,"--")</f>
        <v>0.96955082537951542</v>
      </c>
      <c r="BP33" s="336">
        <f>IFERROR(BP30/BP$40,"--")</f>
        <v>0.962880280933605</v>
      </c>
    </row>
    <row r="34" spans="1:68" outlineLevel="1">
      <c r="B34" s="307"/>
      <c r="C34" s="286"/>
      <c r="D34" s="297"/>
      <c r="E34" s="297"/>
      <c r="F34" s="297"/>
      <c r="G34" s="297"/>
      <c r="H34" s="298"/>
      <c r="I34" s="299"/>
      <c r="J34" s="299"/>
      <c r="K34" s="299"/>
      <c r="L34" s="299"/>
      <c r="M34" s="300"/>
      <c r="N34" s="299"/>
      <c r="O34" s="299"/>
      <c r="P34" s="299"/>
      <c r="Q34" s="299"/>
      <c r="R34" s="300"/>
      <c r="S34" s="299"/>
      <c r="T34" s="299"/>
      <c r="U34" s="299"/>
      <c r="V34" s="299"/>
      <c r="W34" s="300"/>
      <c r="X34" s="299"/>
      <c r="Y34" s="299"/>
      <c r="Z34" s="299"/>
      <c r="AA34" s="299"/>
      <c r="AB34" s="300"/>
      <c r="AC34" s="299"/>
      <c r="AD34" s="299"/>
      <c r="AE34" s="299"/>
      <c r="AF34" s="299"/>
      <c r="AG34" s="300"/>
      <c r="AH34" s="299"/>
      <c r="AI34" s="299"/>
      <c r="AJ34" s="299"/>
      <c r="AK34" s="299"/>
      <c r="AL34" s="300"/>
      <c r="AM34" s="299"/>
      <c r="AN34" s="299"/>
      <c r="AO34" s="299"/>
      <c r="AP34" s="299"/>
      <c r="AQ34" s="300"/>
      <c r="AR34" s="299"/>
      <c r="AS34" s="299"/>
      <c r="AT34" s="299"/>
      <c r="AU34" s="299"/>
      <c r="AV34" s="300"/>
      <c r="AW34" s="299"/>
      <c r="AX34" s="299"/>
      <c r="AY34" s="299"/>
      <c r="AZ34" s="299"/>
      <c r="BA34" s="300"/>
      <c r="BB34" s="299"/>
      <c r="BC34" s="299"/>
      <c r="BD34" s="299"/>
      <c r="BE34" s="299"/>
      <c r="BF34" s="300"/>
      <c r="BG34" s="299"/>
      <c r="BH34" s="299"/>
      <c r="BI34" s="299"/>
      <c r="BJ34" s="299"/>
      <c r="BK34" s="300"/>
      <c r="BL34" s="299"/>
      <c r="BM34" s="299"/>
      <c r="BN34" s="299"/>
      <c r="BO34" s="299"/>
      <c r="BP34" s="300"/>
    </row>
    <row r="35" spans="1:68" s="306" customFormat="1" outlineLevel="1">
      <c r="A35" s="128" t="s">
        <v>75</v>
      </c>
      <c r="B35" s="342" t="s">
        <v>1</v>
      </c>
      <c r="C35" s="303"/>
      <c r="D35" s="304" t="str" cm="1">
        <f t="array" ref="D35">_xlfn.SINGLE(IF(ISERROR(_xll.FDSB($C$2,"FE_ESTIMATE(PRODLINE_SALES_2,MEAN,QUARTERLY_ROLL,"&amp;D$9&amp;","&amp;$C$5&amp;",,,'')")), "--", _xll.FDSB($C$2,"FE_ESTIMATE(PRODLINE_SALES_2,MEAN,QUARTERLY_ROLL,"&amp;D$9&amp;","&amp;$C$5&amp;",,,'')")))</f>
        <v/>
      </c>
      <c r="E35" s="304" t="str" cm="1">
        <f t="array" ref="E35">_xlfn.SINGLE(IF(ISERROR(_xll.FDSB($C$2,"FE_ESTIMATE(PRODLINE_SALES_2,MEAN,QUARTERLY_ROLL,"&amp;E$9&amp;","&amp;$C$5&amp;",,,'')")), "--", _xll.FDSB($C$2,"FE_ESTIMATE(PRODLINE_SALES_2,MEAN,QUARTERLY_ROLL,"&amp;E$9&amp;","&amp;$C$5&amp;",,,'')")))</f>
        <v/>
      </c>
      <c r="F35" s="304" t="str" cm="1">
        <f t="array" ref="F35">_xlfn.SINGLE(IF(ISERROR(_xll.FDSB($C$2,"FE_ESTIMATE(PRODLINE_SALES_2,MEAN,QUARTERLY_ROLL,"&amp;F$9&amp;","&amp;$C$5&amp;",,,'')")), "--", _xll.FDSB($C$2,"FE_ESTIMATE(PRODLINE_SALES_2,MEAN,QUARTERLY_ROLL,"&amp;F$9&amp;","&amp;$C$5&amp;",,,'')")))</f>
        <v/>
      </c>
      <c r="G35" s="304" t="str" cm="1">
        <f t="array" ref="G35">_xlfn.SINGLE(IF(ISERROR(_xll.FDSB($C$2,"FE_ESTIMATE(PRODLINE_SALES_2,MEAN,QUARTERLY_ROLL,"&amp;G$9&amp;","&amp;$C$5&amp;",,,'')")), "--", _xll.FDSB($C$2,"FE_ESTIMATE(PRODLINE_SALES_2,MEAN,QUARTERLY_ROLL,"&amp;G$9&amp;","&amp;$C$5&amp;",,,'')")))</f>
        <v/>
      </c>
      <c r="H35" s="305" t="str" cm="1">
        <f t="array" ref="H35">_xlfn.SINGLE(IF(ISERROR(_xll.FDSB($C$2,"FE_ESTIMATE(PRODLINE_SALES_2,MEAN,annual_ROLL,"&amp;H$9&amp;","&amp;$C$5&amp;",,,'')")), "--", _xll.FDSB($C$2,"FE_ESTIMATE(PRODLINE_SALES_2,MEAN,ANNUAL_ROLL,"&amp;H$9&amp;","&amp;$C$5&amp;",,,'')")))</f>
        <v/>
      </c>
      <c r="I35" s="304" t="str" cm="1">
        <f t="array" ref="I35">_xlfn.SINGLE(IF(ISERROR(_xll.FDSB($C$2,"FE_ESTIMATE(PRODLINE_SALES_2,MEAN,QUARTERLY_ROLL,"&amp;I$9&amp;","&amp;$C$5&amp;",,,'')")), "--", _xll.FDSB($C$2,"FE_ESTIMATE(PRODLINE_SALES_2,MEAN,QUARTERLY_ROLL,"&amp;I$9&amp;","&amp;$C$5&amp;",,,'')")))</f>
        <v/>
      </c>
      <c r="J35" s="304" t="str" cm="1">
        <f t="array" ref="J35">_xlfn.SINGLE(IF(ISERROR(_xll.FDSB($C$2,"FE_ESTIMATE(PRODLINE_SALES_2,MEAN,QUARTERLY_ROLL,"&amp;J$9&amp;","&amp;$C$5&amp;",,,'')")), "--", _xll.FDSB($C$2,"FE_ESTIMATE(PRODLINE_SALES_2,MEAN,QUARTERLY_ROLL,"&amp;J$9&amp;","&amp;$C$5&amp;",,,'')")))</f>
        <v/>
      </c>
      <c r="K35" s="304" t="str" cm="1">
        <f t="array" ref="K35">_xlfn.SINGLE(IF(ISERROR(_xll.FDSB($C$2,"FE_ESTIMATE(PRODLINE_SALES_2,MEAN,QUARTERLY_ROLL,"&amp;K$9&amp;","&amp;$C$5&amp;",,,'')")), "--", _xll.FDSB($C$2,"FE_ESTIMATE(PRODLINE_SALES_2,MEAN,QUARTERLY_ROLL,"&amp;K$9&amp;","&amp;$C$5&amp;",,,'')")))</f>
        <v/>
      </c>
      <c r="L35" s="304" t="str" cm="1">
        <f t="array" ref="L35">_xlfn.SINGLE(IF(ISERROR(_xll.FDSB($C$2,"FE_ESTIMATE(PRODLINE_SALES_2,MEAN,QUARTERLY_ROLL,"&amp;L$9&amp;","&amp;$C$5&amp;",,,'')")), "--", _xll.FDSB($C$2,"FE_ESTIMATE(PRODLINE_SALES_2,MEAN,QUARTERLY_ROLL,"&amp;L$9&amp;","&amp;$C$5&amp;",,,'')")))</f>
        <v/>
      </c>
      <c r="M35" s="305" t="str" cm="1">
        <f t="array" ref="M35">_xlfn.SINGLE(IF(ISERROR(_xll.FDSB($C$2,"FE_ESTIMATE(PRODLINE_SALES_2,MEAN,ANNUAL_ROLL,"&amp;M$9&amp;","&amp;$C$5&amp;",,,'')")), "--", _xll.FDSB($C$2,"FE_ESTIMATE(PRODLINE_SALES_2,MEAN,ANNUAL_ROLL,"&amp;M$9&amp;","&amp;$C$5&amp;",,,'')")))</f>
        <v/>
      </c>
      <c r="N35" s="304" t="str" cm="1">
        <f t="array" ref="N35">_xlfn.SINGLE(IF(ISERROR(_xll.FDSB($C$2,"FE_ESTIMATE(PRODLINE_SALES_2,MEAN,QUARTERLY_ROLL,"&amp;N$9&amp;","&amp;$C$5&amp;",,,'')")), "--", _xll.FDSB($C$2,"FE_ESTIMATE(PRODLINE_SALES_2,MEAN,QUARTERLY_ROLL,"&amp;N$9&amp;","&amp;$C$5&amp;",,,'')")))</f>
        <v/>
      </c>
      <c r="O35" s="304" t="str" cm="1">
        <f t="array" ref="O35">_xlfn.SINGLE(IF(ISERROR(_xll.FDSB($C$2,"FE_ESTIMATE(PRODLINE_SALES_2,MEAN,QUARTERLY_ROLL,"&amp;O$9&amp;","&amp;$C$5&amp;",,,'')")), "--", _xll.FDSB($C$2,"FE_ESTIMATE(PRODLINE_SALES_2,MEAN,QUARTERLY_ROLL,"&amp;O$9&amp;","&amp;$C$5&amp;",,,'')")))</f>
        <v/>
      </c>
      <c r="P35" s="304" t="str" cm="1">
        <f t="array" ref="P35">_xlfn.SINGLE(IF(ISERROR(_xll.FDSB($C$2,"FE_ESTIMATE(PRODLINE_SALES_2,MEAN,QUARTERLY_ROLL,"&amp;P$9&amp;","&amp;$C$5&amp;",,,'')")), "--", _xll.FDSB($C$2,"FE_ESTIMATE(PRODLINE_SALES_2,MEAN,QUARTERLY_ROLL,"&amp;P$9&amp;","&amp;$C$5&amp;",,,'')")))</f>
        <v/>
      </c>
      <c r="Q35" s="304" t="str" cm="1">
        <f t="array" ref="Q35">_xlfn.SINGLE(IF(ISERROR(_xll.FDSB($C$2,"FE_ESTIMATE(PRODLINE_SALES_2,MEAN,QUARTERLY_ROLL,"&amp;Q$9&amp;","&amp;$C$5&amp;",,,'')")), "--", _xll.FDSB($C$2,"FE_ESTIMATE(PRODLINE_SALES_2,MEAN,QUARTERLY_ROLL,"&amp;Q$9&amp;","&amp;$C$5&amp;",,,'')")))</f>
        <v/>
      </c>
      <c r="R35" s="305" t="str" cm="1">
        <f t="array" ref="R35">_xlfn.SINGLE(IF(ISERROR(_xll.FDSB($C$2,"FE_ESTIMATE(PRODLINE_SALES_2,MEAN,ANNUAL_ROLL,"&amp;R$9&amp;","&amp;$C$5&amp;",,,'')")), "--", _xll.FDSB($C$2,"FE_ESTIMATE(PRODLINE_SALES_2,MEAN,ANNUAL_ROLL,"&amp;R$9&amp;","&amp;$C$5&amp;",,,'')")))</f>
        <v/>
      </c>
      <c r="S35" s="304" t="str" cm="1">
        <f t="array" ref="S35">_xlfn.SINGLE(IF(ISERROR(_xll.FDSB($C$2,"FE_ESTIMATE(PRODLINE_SALES_2,MEAN,QUARTERLY_ROLL,"&amp;S$9&amp;","&amp;$C$5&amp;",,,'')")), "--", _xll.FDSB($C$2,"FE_ESTIMATE(PRODLINE_SALES_2,MEAN,QUARTERLY_ROLL,"&amp;S$9&amp;","&amp;$C$5&amp;",,,'')")))</f>
        <v/>
      </c>
      <c r="T35" s="304" t="str" cm="1">
        <f t="array" ref="T35">_xlfn.SINGLE(IF(ISERROR(_xll.FDSB($C$2,"FE_ESTIMATE(PRODLINE_SALES_2,MEAN,QUARTERLY_ROLL,"&amp;T$9&amp;","&amp;$C$5&amp;",,,'')")), "--", _xll.FDSB($C$2,"FE_ESTIMATE(PRODLINE_SALES_2,MEAN,QUARTERLY_ROLL,"&amp;T$9&amp;","&amp;$C$5&amp;",,,'')")))</f>
        <v/>
      </c>
      <c r="U35" s="304" t="str" cm="1">
        <f t="array" ref="U35">_xlfn.SINGLE(IF(ISERROR(_xll.FDSB($C$2,"FE_ESTIMATE(PRODLINE_SALES_2,MEAN,QUARTERLY_ROLL,"&amp;U$9&amp;","&amp;$C$5&amp;",,,'')")), "--", _xll.FDSB($C$2,"FE_ESTIMATE(PRODLINE_SALES_2,MEAN,QUARTERLY_ROLL,"&amp;U$9&amp;","&amp;$C$5&amp;",,,'')")))</f>
        <v/>
      </c>
      <c r="V35" s="304" t="str" cm="1">
        <f t="array" ref="V35">_xlfn.SINGLE(IF(ISERROR(_xll.FDSB($C$2,"FE_ESTIMATE(PRODLINE_SALES_2,MEAN,QUARTERLY_ROLL,"&amp;V$9&amp;","&amp;$C$5&amp;",,,'')")), "--", _xll.FDSB($C$2,"FE_ESTIMATE(PRODLINE_SALES_2,MEAN,QUARTERLY_ROLL,"&amp;V$9&amp;","&amp;$C$5&amp;",,,'')")))</f>
        <v/>
      </c>
      <c r="W35" s="305" t="str" cm="1">
        <f t="array" ref="W35">_xlfn.SINGLE(IF(ISERROR(_xll.FDSB($C$2,"FE_ESTIMATE(PRODLINE_SALES_2,MEAN,ANNUAL_ROLL,"&amp;W$9&amp;","&amp;$C$5&amp;",,,'')")), "--", _xll.FDSB($C$2,"FE_ESTIMATE(PRODLINE_SALES_2,MEAN,ANNUAL_ROLL,"&amp;W$9&amp;","&amp;$C$5&amp;",,,'')")))</f>
        <v/>
      </c>
      <c r="X35" s="304" t="str" cm="1">
        <f t="array" ref="X35">_xlfn.SINGLE(IF(ISERROR(_xll.FDSB($C$2,"FE_ESTIMATE(PRODLINE_SALES_2,MEAN,QUARTERLY_ROLL,"&amp;X$9&amp;","&amp;$C$5&amp;",,,'')")), "--", _xll.FDSB($C$2,"FE_ESTIMATE(PRODLINE_SALES_2,MEAN,QUARTERLY_ROLL,"&amp;X$9&amp;","&amp;$C$5&amp;",,,'')")))</f>
        <v/>
      </c>
      <c r="Y35" s="304" t="str" cm="1">
        <f t="array" ref="Y35">_xlfn.SINGLE(IF(ISERROR(_xll.FDSB($C$2,"FE_ESTIMATE(PRODLINE_SALES_2,MEAN,QUARTERLY_ROLL,"&amp;Y$9&amp;","&amp;$C$5&amp;",,,'')")), "--", _xll.FDSB($C$2,"FE_ESTIMATE(PRODLINE_SALES_2,MEAN,QUARTERLY_ROLL,"&amp;Y$9&amp;","&amp;$C$5&amp;",,,'')")))</f>
        <v/>
      </c>
      <c r="Z35" s="304" t="str" cm="1">
        <f t="array" ref="Z35">_xlfn.SINGLE(IF(ISERROR(_xll.FDSB($C$2,"FE_ESTIMATE(PRODLINE_SALES_2,MEAN,QUARTERLY_ROLL,"&amp;Z$9&amp;","&amp;$C$5&amp;",,,'')")), "--", _xll.FDSB($C$2,"FE_ESTIMATE(PRODLINE_SALES_2,MEAN,QUARTERLY_ROLL,"&amp;Z$9&amp;","&amp;$C$5&amp;",,,'')")))</f>
        <v/>
      </c>
      <c r="AA35" s="304" t="str" cm="1">
        <f t="array" ref="AA35">_xlfn.SINGLE(IF(ISERROR(_xll.FDSB($C$2,"FE_ESTIMATE(PRODLINE_SALES_2,MEAN,QUARTERLY_ROLL,"&amp;AA$9&amp;","&amp;$C$5&amp;",,,'')")), "--", _xll.FDSB($C$2,"FE_ESTIMATE(PRODLINE_SALES_2,MEAN,QUARTERLY_ROLL,"&amp;AA$9&amp;","&amp;$C$5&amp;",,,'')")))</f>
        <v/>
      </c>
      <c r="AB35" s="305" t="str" cm="1">
        <f t="array" ref="AB35">_xlfn.SINGLE(IF(ISERROR(_xll.FDSB($C$2,"FE_ESTIMATE(PRODLINE_SALES_2,MEAN,ANNUAL_ROLL,"&amp;AB$9&amp;","&amp;$C$5&amp;",,,'')")), "--", _xll.FDSB($C$2,"FE_ESTIMATE(PRODLINE_SALES_2,MEAN,ANNUAL_ROLL,"&amp;AB$9&amp;","&amp;$C$5&amp;",,,'')")))</f>
        <v/>
      </c>
      <c r="AC35" s="304" t="str" cm="1">
        <f t="array" ref="AC35">_xlfn.SINGLE(IF(ISERROR(_xll.FDSB($C$2,"FE_ESTIMATE(PRODLINE_SALES_2,MEAN,QUARTERLY_ROLL,"&amp;AC$9&amp;","&amp;$C$5&amp;",,,'')")), "--", _xll.FDSB($C$2,"FE_ESTIMATE(PRODLINE_SALES_2,MEAN,QUARTERLY_ROLL,"&amp;AC$9&amp;","&amp;$C$5&amp;",,,'')")))</f>
        <v/>
      </c>
      <c r="AD35" s="304" cm="1">
        <f t="array" ref="AD35">_xlfn.SINGLE(IF(ISERROR(_xll.FDSB($C$2,"FE_ESTIMATE(PRODLINE_SALES_2,MEAN,QUARTERLY_ROLL,"&amp;AD$9&amp;","&amp;$C$5&amp;",,,'')")), "--", _xll.FDSB($C$2,"FE_ESTIMATE(PRODLINE_SALES_2,MEAN,QUARTERLY_ROLL,"&amp;AD$9&amp;","&amp;$C$5&amp;",,,'')")))</f>
        <v>7.9079090000000001</v>
      </c>
      <c r="AE35" s="304" cm="1">
        <f t="array" ref="AE35">_xlfn.SINGLE(IF(ISERROR(_xll.FDSB($C$2,"FE_ESTIMATE(PRODLINE_SALES_2,MEAN,QUARTERLY_ROLL,"&amp;AE$9&amp;","&amp;$C$5&amp;",,,'')")), "--", _xll.FDSB($C$2,"FE_ESTIMATE(PRODLINE_SALES_2,MEAN,QUARTERLY_ROLL,"&amp;AE$9&amp;","&amp;$C$5&amp;",,,'')")))</f>
        <v>11.182357</v>
      </c>
      <c r="AF35" s="304" cm="1">
        <f t="array" ref="AF35">_xlfn.SINGLE(IF(ISERROR(_xll.FDSB($C$2,"FE_ESTIMATE(PRODLINE_SALES_2,MEAN,QUARTERLY_ROLL,"&amp;AF$9&amp;","&amp;$C$5&amp;",,,'')")), "--", _xll.FDSB($C$2,"FE_ESTIMATE(PRODLINE_SALES_2,MEAN,QUARTERLY_ROLL,"&amp;AF$9&amp;","&amp;$C$5&amp;",,,'')")))</f>
        <v>12.177</v>
      </c>
      <c r="AG35" s="305" cm="1">
        <f t="array" ref="AG35">_xlfn.SINGLE(IF(ISERROR(_xll.FDSB($C$2,"FE_ESTIMATE(PRODLINE_SALES_2,MEAN,ANNUAL_ROLL,"&amp;AG$9&amp;","&amp;$C$5&amp;",,,'')")), "--", _xll.FDSB($C$2,"FE_ESTIMATE(PRODLINE_SALES_2,MEAN,ANNUAL_ROLL,"&amp;AG$9&amp;","&amp;$C$5&amp;",,,'')")))</f>
        <v>38.255000000000003</v>
      </c>
      <c r="AH35" s="304" cm="1">
        <f t="array" ref="AH35">_xlfn.SINGLE(IF(ISERROR(_xll.FDSB($C$2,"FE_ESTIMATE(PRODLINE_SALES_2,MEAN,QUARTERLY_ROLL,"&amp;AH$9&amp;","&amp;$C$5&amp;",,,'')")), "--", _xll.FDSB($C$2,"FE_ESTIMATE(PRODLINE_SALES_2,MEAN,QUARTERLY_ROLL,"&amp;AH$9&amp;","&amp;$C$5&amp;",,,'')")))</f>
        <v>15.084</v>
      </c>
      <c r="AI35" s="304" cm="1">
        <f t="array" ref="AI35">_xlfn.SINGLE(IF(ISERROR(_xll.FDSB($C$2,"FE_ESTIMATE(PRODLINE_SALES_2,MEAN,QUARTERLY_ROLL,"&amp;AI$9&amp;","&amp;$C$5&amp;",,,'')")), "--", _xll.FDSB($C$2,"FE_ESTIMATE(PRODLINE_SALES_2,MEAN,QUARTERLY_ROLL,"&amp;AI$9&amp;","&amp;$C$5&amp;",,,'')")))</f>
        <v>17.574999999999999</v>
      </c>
      <c r="AJ35" s="304" cm="1">
        <f t="array" ref="AJ35">_xlfn.SINGLE(IF(ISERROR(_xll.FDSB($C$2,"FE_ESTIMATE(PRODLINE_SALES_2,MEAN,QUARTERLY_ROLL,"&amp;AJ$9&amp;","&amp;$C$5&amp;",,,'')")), "--", _xll.FDSB($C$2,"FE_ESTIMATE(PRODLINE_SALES_2,MEAN,QUARTERLY_ROLL,"&amp;AJ$9&amp;","&amp;$C$5&amp;",,,'')")))</f>
        <v>21.983000000000001</v>
      </c>
      <c r="AK35" s="304" cm="1">
        <f t="array" ref="AK35">_xlfn.SINGLE(IF(ISERROR(_xll.FDSB($C$2,"FE_ESTIMATE(PRODLINE_SALES_2,MEAN,QUARTERLY_ROLL,"&amp;AK$9&amp;","&amp;$C$5&amp;",,,'')")), "--", _xll.FDSB($C$2,"FE_ESTIMATE(PRODLINE_SALES_2,MEAN,QUARTERLY_ROLL,"&amp;AK$9&amp;","&amp;$C$5&amp;",,,'')")))</f>
        <v>24.216000000000001</v>
      </c>
      <c r="AL35" s="305" cm="1">
        <f t="array" ref="AL35">_xlfn.SINGLE(IF(ISERROR(_xll.FDSB($C$2,"FE_ESTIMATE(PRODLINE_SALES_2,MEAN,ANNUAL_ROLL,"&amp;AL$9&amp;","&amp;$C$5&amp;",,,'')")), "--", _xll.FDSB($C$2,"FE_ESTIMATE(PRODLINE_SALES_2,MEAN,ANNUAL_ROLL,"&amp;AL$9&amp;","&amp;$C$5&amp;",,,'')")))</f>
        <v>78.858000000000004</v>
      </c>
      <c r="AM35" s="304" cm="1">
        <f t="array" ref="AM35">_xlfn.SINGLE(IF(ISERROR(_xll.FDSB($C$2,"FE_ESTIMATE(PRODLINE_SALES_2,MEAN,QUARTERLY_ROLL,"&amp;AM$9&amp;","&amp;$C$5&amp;",,,'')")), "--", _xll.FDSB($C$2,"FE_ESTIMATE(PRODLINE_SALES_2,MEAN,QUARTERLY_ROLL,"&amp;AM$9&amp;","&amp;$C$5&amp;",,,'')")))</f>
        <v>27.937000000000001</v>
      </c>
      <c r="AN35" s="304" cm="1">
        <f t="array" ref="AN35">_xlfn.SINGLE(IF(ISERROR(_xll.FDSB($C$2,"FE_ESTIMATE(PRODLINE_SALES_2,MEAN,QUARTERLY_ROLL,"&amp;AN$9&amp;","&amp;$C$5&amp;",,,'')")), "--", _xll.FDSB($C$2,"FE_ESTIMATE(PRODLINE_SALES_2,MEAN,QUARTERLY_ROLL,"&amp;AN$9&amp;","&amp;$C$5&amp;",,,'')")))</f>
        <v>30.98</v>
      </c>
      <c r="AO35" s="304" cm="1">
        <f t="array" ref="AO35">_xlfn.SINGLE(IF(ISERROR(_xll.FDSB($C$2,"FE_ESTIMATE(PRODLINE_SALES_2,MEAN,QUARTERLY_ROLL,"&amp;AO$9&amp;","&amp;$C$5&amp;",,,'')")), "--", _xll.FDSB($C$2,"FE_ESTIMATE(PRODLINE_SALES_2,MEAN,QUARTERLY_ROLL,"&amp;AO$9&amp;","&amp;$C$5&amp;",,,'')")))</f>
        <v>34.276000000000003</v>
      </c>
      <c r="AP35" s="304" cm="1">
        <f t="array" ref="AP35">_xlfn.SINGLE(IF(ISERROR(_xll.FDSB($C$2,"FE_ESTIMATE(PRODLINE_SALES_2,MEAN,QUARTERLY_ROLL,"&amp;AP$9&amp;","&amp;$C$5&amp;",,,'')")), "--", _xll.FDSB($C$2,"FE_ESTIMATE(PRODLINE_SALES_2,MEAN,QUARTERLY_ROLL,"&amp;AP$9&amp;","&amp;$C$5&amp;",,,'')")))</f>
        <v>33.683</v>
      </c>
      <c r="AQ35" s="305" cm="1">
        <f t="array" ref="AQ35">_xlfn.SINGLE(IF(ISERROR(_xll.FDSB($C$2,"FE_ESTIMATE(PRODLINE_SALES_2,MEAN,ANNUAL_ROLL,"&amp;AQ$9&amp;","&amp;$C$5&amp;",,,'')")), "--", _xll.FDSB($C$2,"FE_ESTIMATE(PRODLINE_SALES_2,MEAN,ANNUAL_ROLL,"&amp;AQ$9&amp;","&amp;$C$5&amp;",,,'')")))</f>
        <v>126.876</v>
      </c>
      <c r="AR35" s="304" cm="1">
        <f t="array" ref="AR35">_xlfn.SINGLE(IF(ISERROR(_xll.FDSB($C$2,"FE_ESTIMATE(PRODLINE_SALES_2,MEAN,QUARTERLY_ROLL,"&amp;AR$9&amp;","&amp;$C$5&amp;",,,'')")), "--", _xll.FDSB($C$2,"FE_ESTIMATE(PRODLINE_SALES_2,MEAN,QUARTERLY_ROLL,"&amp;AR$9&amp;","&amp;$C$5&amp;",,,'')")))</f>
        <v>33.527000000000001</v>
      </c>
      <c r="AS35" s="304" cm="1">
        <f t="array" ref="AS35">_xlfn.SINGLE(IF(ISERROR(_xll.FDSB($C$2,"FE_ESTIMATE(PRODLINE_SALES_2,MEAN,QUARTERLY_ROLL,"&amp;AS$9&amp;","&amp;$C$5&amp;",,,'')")), "--", _xll.FDSB($C$2,"FE_ESTIMATE(PRODLINE_SALES_2,MEAN,QUARTERLY_ROLL,"&amp;AS$9&amp;","&amp;$C$5&amp;",,,'')")))</f>
        <v>33.808999999999997</v>
      </c>
      <c r="AT35" s="304" cm="1">
        <f t="array" ref="AT35">_xlfn.SINGLE(IF(ISERROR(_xll.FDSB($C$2,"FE_ESTIMATE(PRODLINE_SALES_2,MEAN,QUARTERLY_ROLL,"&amp;AT$9&amp;","&amp;$C$5&amp;",,,'')")), "--", _xll.FDSB($C$2,"FE_ESTIMATE(PRODLINE_SALES_2,MEAN,QUARTERLY_ROLL,"&amp;AT$9&amp;","&amp;$C$5&amp;",,,'')")))</f>
        <v>35.695</v>
      </c>
      <c r="AU35" s="304" cm="1">
        <f t="array" ref="AU35">_xlfn.SINGLE(IF(ISERROR(_xll.FDSB($C$2,"FE_ESTIMATE(PRODLINE_SALES_2,MEAN,QUARTERLY_ROLL,"&amp;AU$9&amp;","&amp;$C$5&amp;",,,'')")), "--", _xll.FDSB($C$2,"FE_ESTIMATE(PRODLINE_SALES_2,MEAN,QUARTERLY_ROLL,"&amp;AU$9&amp;","&amp;$C$5&amp;",,,'')")))</f>
        <v>36.609000000000002</v>
      </c>
      <c r="AV35" s="305" cm="1">
        <f t="array" ref="AV35">_xlfn.SINGLE(IF(ISERROR(_xll.FDSB($C$2,"FE_ESTIMATE(PRODLINE_SALES_2,MEAN,ANNUAL_ROLL,"&amp;AV$9&amp;","&amp;$C$5&amp;",,,'')")), "--", _xll.FDSB($C$2,"FE_ESTIMATE(PRODLINE_SALES_2,MEAN,ANNUAL_ROLL,"&amp;AV$9&amp;","&amp;$C$5&amp;",,,'')")))</f>
        <v>139.63999999999999</v>
      </c>
      <c r="AW35" s="304" cm="1">
        <f t="array" ref="AW35">_xlfn.SINGLE(IF(ISERROR(_xll.FDSB($C$2,"FE_ESTIMATE(PRODLINE_SALES_2,MEAN,QUARTERLY_ROLL,"&amp;AW$9&amp;","&amp;$C$5&amp;",,,'')")), "--", _xll.FDSB($C$2,"FE_ESTIMATE(PRODLINE_SALES_2,MEAN,QUARTERLY_ROLL,"&amp;AW$9&amp;","&amp;$C$5&amp;",,,'')")))</f>
        <v>39.122</v>
      </c>
      <c r="AX35" s="304" cm="1">
        <f t="array" ref="AX35">_xlfn.SINGLE(IF(ISERROR(_xll.FDSB($C$2,"FE_ESTIMATE(PRODLINE_SALES_2,MEAN,QUARTERLY_ROLL,"&amp;AX$9&amp;","&amp;$C$5&amp;",,,'')")), "--", _xll.FDSB($C$2,"FE_ESTIMATE(PRODLINE_SALES_2,MEAN,QUARTERLY_ROLL,"&amp;AX$9&amp;","&amp;$C$5&amp;",,,'')")))</f>
        <v>39.573</v>
      </c>
      <c r="AY35" s="304" cm="1">
        <f t="array" ref="AY35">_xlfn.SINGLE(IF(ISERROR(_xll.FDSB($C$2,"FE_ESTIMATE(PRODLINE_SALES_2,MEAN,QUARTERLY_ROLL,"&amp;AY$9&amp;","&amp;$C$5&amp;",,,'')")), "--", _xll.FDSB($C$2,"FE_ESTIMATE(PRODLINE_SALES_2,MEAN,QUARTERLY_ROLL,"&amp;AY$9&amp;","&amp;$C$5&amp;",,,'')")))</f>
        <v>41.811999999999998</v>
      </c>
      <c r="AZ35" s="304" cm="1">
        <f t="array" ref="AZ35">_xlfn.SINGLE(IF(ISERROR(_xll.FDSB($C$2,"FE_ESTIMATE(PRODLINE_SALES_2,MEAN,QUARTERLY_ROLL,"&amp;AZ$9&amp;","&amp;$C$5&amp;",,,'')")), "--", _xll.FDSB($C$2,"FE_ESTIMATE(PRODLINE_SALES_2,MEAN,QUARTERLY_ROLL,"&amp;AZ$9&amp;","&amp;$C$5&amp;",,,'')")))</f>
        <v>43.466999999999999</v>
      </c>
      <c r="BA35" s="305" cm="1">
        <f t="array" ref="BA35">_xlfn.SINGLE(IF(ISERROR(_xll.FDSB($C$2,"FE_ESTIMATE(PRODLINE_SALES_2,MEAN,ANNUAL_ROLL,"&amp;BA$9&amp;","&amp;$C$5&amp;",,,'')")), "--", _xll.FDSB($C$2,"FE_ESTIMATE(PRODLINE_SALES_2,MEAN,ANNUAL_ROLL,"&amp;BA$9&amp;","&amp;$C$5&amp;",,,'')")))</f>
        <v>163.97399999999999</v>
      </c>
      <c r="BB35" s="304" cm="1">
        <f t="array" ref="BB35">_xlfn.SINGLE(IF(ISERROR(_xll.FDSB($C$2,"FE_ESTIMATE(PRODLINE_SALES_2,MEAN,QUARTERLY_ROLL,"&amp;BB$9&amp;","&amp;$C$5&amp;",,,'')")), "--", _xll.FDSB($C$2,"FE_ESTIMATE(PRODLINE_SALES_2,MEAN,QUARTERLY_ROLL,"&amp;BB$9&amp;","&amp;$C$5&amp;",,,'')")))</f>
        <v>45.261000000000003</v>
      </c>
      <c r="BC35" s="304" cm="1">
        <f t="array" ref="BC35">_xlfn.SINGLE(IF(ISERROR(_xll.FDSB($C$2,"FE_ESTIMATE(PRODLINE_SALES_2,MEAN,QUARTERLY_ROLL,"&amp;BC$9&amp;","&amp;$C$5&amp;",,,'')")), "--", _xll.FDSB($C$2,"FE_ESTIMATE(PRODLINE_SALES_2,MEAN,QUARTERLY_ROLL,"&amp;BC$9&amp;","&amp;$C$5&amp;",,,'')")))</f>
        <v>54.472999999999999</v>
      </c>
      <c r="BD35" s="304" cm="1">
        <f t="array" ref="BD35">_xlfn.SINGLE(IF(ISERROR(_xll.FDSB($C$2,"FE_ESTIMATE(PRODLINE_SALES_2,MEAN,QUARTERLY_ROLL,"&amp;BD$9&amp;","&amp;$C$5&amp;",,,'')")), "--", _xll.FDSB($C$2,"FE_ESTIMATE(PRODLINE_SALES_2,MEAN,QUARTERLY_ROLL,"&amp;BD$9&amp;","&amp;$C$5&amp;",,,'')")))</f>
        <v>51.013039999999997</v>
      </c>
      <c r="BE35" s="304" cm="1">
        <f t="array" ref="BE35">_xlfn.SINGLE(IF(ISERROR(_xll.FDSB($C$2,"FE_ESTIMATE(PRODLINE_SALES_2,MEAN,QUARTERLY_ROLL,"&amp;BE$9&amp;","&amp;$C$5&amp;",,,'')")), "--", _xll.FDSB($C$2,"FE_ESTIMATE(PRODLINE_SALES_2,MEAN,QUARTERLY_ROLL,"&amp;BE$9&amp;","&amp;$C$5&amp;",,,'')")))</f>
        <v>52.479840000000003</v>
      </c>
      <c r="BF35" s="305" cm="1">
        <f t="array" ref="BF35">_xlfn.SINGLE(IF(ISERROR(_xll.FDSB($C$2,"FE_ESTIMATE(PRODLINE_SALES_2,MEAN,ANNUAL_ROLL,"&amp;BF$9&amp;","&amp;$C$5&amp;",,,'')")), "--", _xll.FDSB($C$2,"FE_ESTIMATE(PRODLINE_SALES_2,MEAN,ANNUAL_ROLL,"&amp;BF$9&amp;","&amp;$C$5&amp;",,,'')")))</f>
        <v>204.04507000000001</v>
      </c>
      <c r="BG35" s="304" cm="1">
        <f t="array" ref="BG35">_xlfn.SINGLE(IF(ISERROR(_xll.FDSB($C$2,"FE_ESTIMATE(PRODLINE_SALES_2,MEAN,QUARTERLY_ROLL,"&amp;BG$9&amp;","&amp;$C$5&amp;",,,'')")), "--", _xll.FDSB($C$2,"FE_ESTIMATE(PRODLINE_SALES_2,MEAN,QUARTERLY_ROLL,"&amp;BG$9&amp;","&amp;$C$5&amp;",,,'')")))</f>
        <v>54.177250000000001</v>
      </c>
      <c r="BH35" s="304" cm="1">
        <f t="array" ref="BH35">_xlfn.SINGLE(IF(ISERROR(_xll.FDSB($C$2,"FE_ESTIMATE(PRODLINE_SALES_2,MEAN,QUARTERLY_ROLL,"&amp;BH$9&amp;","&amp;$C$5&amp;",,,'')")), "--", _xll.FDSB($C$2,"FE_ESTIMATE(PRODLINE_SALES_2,MEAN,QUARTERLY_ROLL,"&amp;BH$9&amp;","&amp;$C$5&amp;",,,'')")))</f>
        <v>59.527054</v>
      </c>
      <c r="BI35" s="304" cm="1">
        <f t="array" ref="BI35">_xlfn.SINGLE(IF(ISERROR(_xll.FDSB($C$2,"FE_ESTIMATE(PRODLINE_SALES_2,MEAN,QUARTERLY_ROLL,"&amp;BI$9&amp;","&amp;$C$5&amp;",,,'')")), "--", _xll.FDSB($C$2,"FE_ESTIMATE(PRODLINE_SALES_2,MEAN,QUARTERLY_ROLL,"&amp;BI$9&amp;","&amp;$C$5&amp;",,,'')")))</f>
        <v>58.462578000000001</v>
      </c>
      <c r="BJ35" s="304" cm="1">
        <f t="array" ref="BJ35">_xlfn.SINGLE(IF(ISERROR(_xll.FDSB($C$2,"FE_ESTIMATE(PRODLINE_SALES_2,MEAN,QUARTERLY_ROLL,"&amp;BJ$9&amp;","&amp;$C$5&amp;",,,'')")), "--", _xll.FDSB($C$2,"FE_ESTIMATE(PRODLINE_SALES_2,MEAN,QUARTERLY_ROLL,"&amp;BJ$9&amp;","&amp;$C$5&amp;",,,'')")))</f>
        <v>59.992103999999998</v>
      </c>
      <c r="BK35" s="305" cm="1">
        <f t="array" ref="BK35">_xlfn.SINGLE(IF(ISERROR(_xll.FDSB($C$2,"FE_ESTIMATE(PRODLINE_SALES_2,MEAN,ANNUAL_ROLL,"&amp;BK$9&amp;","&amp;$C$5&amp;",,,'')")), "--", _xll.FDSB($C$2,"FE_ESTIMATE(PRODLINE_SALES_2,MEAN,ANNUAL_ROLL,"&amp;BK$9&amp;","&amp;$C$5&amp;",,,'')")))</f>
        <v>232.7028</v>
      </c>
      <c r="BL35" s="304" cm="1">
        <f t="array" ref="BL35">_xlfn.SINGLE(IF(ISERROR(_xll.FDSB($C$2,"FE_ESTIMATE(PRODLINE_SALES_2,MEAN,QUARTERLY_ROLL,"&amp;BL$9&amp;","&amp;$C$5&amp;",,,'')")), "--", _xll.FDSB($C$2,"FE_ESTIMATE(PRODLINE_SALES_2,MEAN,QUARTERLY_ROLL,"&amp;BL$9&amp;","&amp;$C$5&amp;",,,'')")))</f>
        <v>60.55</v>
      </c>
      <c r="BM35" s="304" cm="1">
        <f t="array" ref="BM35">_xlfn.SINGLE(IF(ISERROR(_xll.FDSB($C$2,"FE_ESTIMATE(PRODLINE_SALES_2,MEAN,QUARTERLY_ROLL,"&amp;BM$9&amp;","&amp;$C$5&amp;",,,'')")), "--", _xll.FDSB($C$2,"FE_ESTIMATE(PRODLINE_SALES_2,MEAN,QUARTERLY_ROLL,"&amp;BM$9&amp;","&amp;$C$5&amp;",,,'')")))</f>
        <v>61.674999999999997</v>
      </c>
      <c r="BN35" s="304" cm="1">
        <f t="array" ref="BN35">_xlfn.SINGLE(IF(ISERROR(_xll.FDSB($C$2,"FE_ESTIMATE(PRODLINE_SALES_2,MEAN,QUARTERLY_ROLL,"&amp;BN$9&amp;","&amp;$C$5&amp;",,,'')")), "--", _xll.FDSB($C$2,"FE_ESTIMATE(PRODLINE_SALES_2,MEAN,QUARTERLY_ROLL,"&amp;BN$9&amp;","&amp;$C$5&amp;",,,'')")))</f>
        <v>64.075000000000003</v>
      </c>
      <c r="BO35" s="304" cm="1">
        <f t="array" ref="BO35">_xlfn.SINGLE(IF(ISERROR(_xll.FDSB($C$2,"FE_ESTIMATE(PRODLINE_SALES_2,MEAN,QUARTERLY_ROLL,"&amp;BO$9&amp;","&amp;$C$5&amp;",,,'')")), "--", _xll.FDSB($C$2,"FE_ESTIMATE(PRODLINE_SALES_2,MEAN,QUARTERLY_ROLL,"&amp;BO$9&amp;","&amp;$C$5&amp;",,,'')")))</f>
        <v>65.924999999999997</v>
      </c>
      <c r="BP35" s="305" cm="1">
        <f t="array" ref="BP35">_xlfn.SINGLE(IF(ISERROR(_xll.FDSB($C$2,"FE_ESTIMATE(PRODLINE_SALES_2,MEAN,ANNUAL_ROLL,"&amp;BP$9&amp;","&amp;$C$5&amp;",,,'')")), "--", _xll.FDSB($C$2,"FE_ESTIMATE(PRODLINE_SALES_2,MEAN,ANNUAL_ROLL,"&amp;BP$9&amp;","&amp;$C$5&amp;",,,'')")))</f>
        <v>250.87143</v>
      </c>
    </row>
    <row r="36" spans="1:68" s="337" customFormat="1" outlineLevel="1">
      <c r="A36" s="128" t="s">
        <v>63</v>
      </c>
      <c r="B36" s="334" t="s">
        <v>32</v>
      </c>
      <c r="C36" s="334"/>
      <c r="D36" s="335"/>
      <c r="E36" s="335"/>
      <c r="F36" s="335"/>
      <c r="G36" s="335"/>
      <c r="H36" s="336"/>
      <c r="I36" s="335" t="str">
        <f t="shared" ref="I36:AN36" si="13">IFERROR(I35/D35-1,"--")</f>
        <v>--</v>
      </c>
      <c r="J36" s="335" t="str">
        <f t="shared" si="13"/>
        <v>--</v>
      </c>
      <c r="K36" s="335" t="str">
        <f t="shared" si="13"/>
        <v>--</v>
      </c>
      <c r="L36" s="335" t="str">
        <f t="shared" si="13"/>
        <v>--</v>
      </c>
      <c r="M36" s="336" t="str">
        <f t="shared" si="13"/>
        <v>--</v>
      </c>
      <c r="N36" s="335" t="str">
        <f t="shared" si="13"/>
        <v>--</v>
      </c>
      <c r="O36" s="335" t="str">
        <f t="shared" si="13"/>
        <v>--</v>
      </c>
      <c r="P36" s="335" t="str">
        <f t="shared" si="13"/>
        <v>--</v>
      </c>
      <c r="Q36" s="335" t="str">
        <f t="shared" si="13"/>
        <v>--</v>
      </c>
      <c r="R36" s="336" t="str">
        <f t="shared" si="13"/>
        <v>--</v>
      </c>
      <c r="S36" s="335" t="str">
        <f t="shared" si="13"/>
        <v>--</v>
      </c>
      <c r="T36" s="335" t="str">
        <f t="shared" si="13"/>
        <v>--</v>
      </c>
      <c r="U36" s="335" t="str">
        <f t="shared" si="13"/>
        <v>--</v>
      </c>
      <c r="V36" s="335" t="str">
        <f t="shared" si="13"/>
        <v>--</v>
      </c>
      <c r="W36" s="336" t="str">
        <f t="shared" si="13"/>
        <v>--</v>
      </c>
      <c r="X36" s="335" t="str">
        <f t="shared" si="13"/>
        <v>--</v>
      </c>
      <c r="Y36" s="335" t="str">
        <f t="shared" si="13"/>
        <v>--</v>
      </c>
      <c r="Z36" s="335" t="str">
        <f t="shared" si="13"/>
        <v>--</v>
      </c>
      <c r="AA36" s="335" t="str">
        <f t="shared" si="13"/>
        <v>--</v>
      </c>
      <c r="AB36" s="336" t="str">
        <f t="shared" si="13"/>
        <v>--</v>
      </c>
      <c r="AC36" s="335" t="str">
        <f t="shared" si="13"/>
        <v>--</v>
      </c>
      <c r="AD36" s="335" t="str">
        <f t="shared" si="13"/>
        <v>--</v>
      </c>
      <c r="AE36" s="335" t="str">
        <f t="shared" si="13"/>
        <v>--</v>
      </c>
      <c r="AF36" s="335" t="str">
        <f t="shared" si="13"/>
        <v>--</v>
      </c>
      <c r="AG36" s="336" t="str">
        <f t="shared" si="13"/>
        <v>--</v>
      </c>
      <c r="AH36" s="335" t="str">
        <f t="shared" si="13"/>
        <v>--</v>
      </c>
      <c r="AI36" s="335">
        <f t="shared" si="13"/>
        <v>1.2224585538351542</v>
      </c>
      <c r="AJ36" s="335">
        <f t="shared" si="13"/>
        <v>0.96586462049101107</v>
      </c>
      <c r="AK36" s="335">
        <f t="shared" si="13"/>
        <v>0.98866715939886696</v>
      </c>
      <c r="AL36" s="336">
        <f t="shared" si="13"/>
        <v>1.0613775976996469</v>
      </c>
      <c r="AM36" s="335">
        <f t="shared" si="13"/>
        <v>0.85209493503049605</v>
      </c>
      <c r="AN36" s="335">
        <f t="shared" si="13"/>
        <v>0.76273115220483656</v>
      </c>
      <c r="AO36" s="335">
        <f t="shared" ref="AO36:BP36" si="14">IFERROR(AO35/AJ35-1,"--")</f>
        <v>0.55920484010371663</v>
      </c>
      <c r="AP36" s="335">
        <f t="shared" si="14"/>
        <v>0.39093987446316469</v>
      </c>
      <c r="AQ36" s="336">
        <f t="shared" si="14"/>
        <v>0.60891729437723496</v>
      </c>
      <c r="AR36" s="335">
        <f t="shared" si="14"/>
        <v>0.20009306654257797</v>
      </c>
      <c r="AS36" s="335">
        <f t="shared" si="14"/>
        <v>9.1316978695932693E-2</v>
      </c>
      <c r="AT36" s="335">
        <f t="shared" si="14"/>
        <v>4.1399229781771352E-2</v>
      </c>
      <c r="AU36" s="335">
        <f t="shared" si="14"/>
        <v>8.6868746845589762E-2</v>
      </c>
      <c r="AV36" s="336">
        <f t="shared" si="14"/>
        <v>0.1006021627415743</v>
      </c>
      <c r="AW36" s="335">
        <f t="shared" si="14"/>
        <v>0.16688042473230524</v>
      </c>
      <c r="AX36" s="335">
        <f t="shared" si="14"/>
        <v>0.17048714839243995</v>
      </c>
      <c r="AY36" s="335">
        <f t="shared" si="14"/>
        <v>0.17136853901106597</v>
      </c>
      <c r="AZ36" s="335">
        <f t="shared" si="14"/>
        <v>0.18733098418421701</v>
      </c>
      <c r="BA36" s="336">
        <f t="shared" si="14"/>
        <v>0.17426238900028657</v>
      </c>
      <c r="BB36" s="335">
        <f t="shared" si="14"/>
        <v>0.15691938039977504</v>
      </c>
      <c r="BC36" s="335">
        <f t="shared" si="14"/>
        <v>0.37651934399716969</v>
      </c>
      <c r="BD36" s="335">
        <f t="shared" si="14"/>
        <v>0.22005739978953409</v>
      </c>
      <c r="BE36" s="335">
        <f t="shared" si="14"/>
        <v>0.20734902339705985</v>
      </c>
      <c r="BF36" s="336">
        <f t="shared" si="14"/>
        <v>0.24437453498725414</v>
      </c>
      <c r="BG36" s="335">
        <f t="shared" si="14"/>
        <v>0.19699631028921138</v>
      </c>
      <c r="BH36" s="335">
        <f t="shared" si="14"/>
        <v>9.2780900629669816E-2</v>
      </c>
      <c r="BI36" s="335">
        <f t="shared" si="14"/>
        <v>0.14603203416224564</v>
      </c>
      <c r="BJ36" s="335">
        <f t="shared" si="14"/>
        <v>0.14314571081009375</v>
      </c>
      <c r="BK36" s="336">
        <f t="shared" si="14"/>
        <v>0.14044803924936766</v>
      </c>
      <c r="BL36" s="335">
        <f t="shared" si="14"/>
        <v>0.11762778657093143</v>
      </c>
      <c r="BM36" s="335">
        <f t="shared" si="14"/>
        <v>3.6083525988032328E-2</v>
      </c>
      <c r="BN36" s="335">
        <f t="shared" si="14"/>
        <v>9.600024822716513E-2</v>
      </c>
      <c r="BO36" s="335">
        <f t="shared" si="14"/>
        <v>9.8894614531272351E-2</v>
      </c>
      <c r="BP36" s="336">
        <f t="shared" si="14"/>
        <v>7.807654226764793E-2</v>
      </c>
    </row>
    <row r="37" spans="1:68" s="337" customFormat="1" outlineLevel="1">
      <c r="A37" s="128" t="s">
        <v>64</v>
      </c>
      <c r="B37" s="334" t="s">
        <v>33</v>
      </c>
      <c r="C37" s="334"/>
      <c r="D37" s="335"/>
      <c r="E37" s="335"/>
      <c r="F37" s="335"/>
      <c r="G37" s="335"/>
      <c r="H37" s="336"/>
      <c r="I37" s="335" t="str">
        <f>IFERROR(I35/G35-1,"--")</f>
        <v>--</v>
      </c>
      <c r="J37" s="335" t="str">
        <f>IFERROR(J35/I35-1,"--")</f>
        <v>--</v>
      </c>
      <c r="K37" s="335" t="str">
        <f>IFERROR(K35/J35-1,"--")</f>
        <v>--</v>
      </c>
      <c r="L37" s="335" t="str">
        <f>IFERROR(L35/K35-1,"--")</f>
        <v>--</v>
      </c>
      <c r="M37" s="336"/>
      <c r="N37" s="335" t="str">
        <f>IFERROR(N35/L35-1,"--")</f>
        <v>--</v>
      </c>
      <c r="O37" s="335" t="str">
        <f>IFERROR(O35/N35-1,"--")</f>
        <v>--</v>
      </c>
      <c r="P37" s="335" t="str">
        <f>IFERROR(P35/O35-1,"--")</f>
        <v>--</v>
      </c>
      <c r="Q37" s="335" t="str">
        <f>IFERROR(Q35/P35-1,"--")</f>
        <v>--</v>
      </c>
      <c r="R37" s="336"/>
      <c r="S37" s="335" t="str">
        <f>IFERROR(S35/Q35-1,"--")</f>
        <v>--</v>
      </c>
      <c r="T37" s="335" t="str">
        <f>IFERROR(T35/S35-1,"--")</f>
        <v>--</v>
      </c>
      <c r="U37" s="335" t="str">
        <f>IFERROR(U35/T35-1,"--")</f>
        <v>--</v>
      </c>
      <c r="V37" s="335" t="str">
        <f>IFERROR(V35/U35-1,"--")</f>
        <v>--</v>
      </c>
      <c r="W37" s="336"/>
      <c r="X37" s="335" t="str">
        <f>IFERROR(X35/V35-1,"--")</f>
        <v>--</v>
      </c>
      <c r="Y37" s="335" t="str">
        <f>IFERROR(Y35/X35-1,"--")</f>
        <v>--</v>
      </c>
      <c r="Z37" s="335" t="str">
        <f>IFERROR(Z35/Y35-1,"--")</f>
        <v>--</v>
      </c>
      <c r="AA37" s="335" t="str">
        <f>IFERROR(AA35/Z35-1,"--")</f>
        <v>--</v>
      </c>
      <c r="AB37" s="336"/>
      <c r="AC37" s="335" t="str">
        <f>IFERROR(AC35/AA35-1,"--")</f>
        <v>--</v>
      </c>
      <c r="AD37" s="335" t="str">
        <f>IFERROR(AD35/AC35-1,"--")</f>
        <v>--</v>
      </c>
      <c r="AE37" s="335">
        <f>IFERROR(AE35/AD35-1,"--")</f>
        <v>0.41407254433504481</v>
      </c>
      <c r="AF37" s="335">
        <f>IFERROR(AF35/AE35-1,"--")</f>
        <v>8.8947526894374684E-2</v>
      </c>
      <c r="AG37" s="336"/>
      <c r="AH37" s="335">
        <f>IFERROR(AH35/AF35-1,"--")</f>
        <v>0.23872875092387291</v>
      </c>
      <c r="AI37" s="335">
        <f>IFERROR(AI35/AH35-1,"--")</f>
        <v>0.16514187218244492</v>
      </c>
      <c r="AJ37" s="335">
        <f>IFERROR(AJ35/AI35-1,"--")</f>
        <v>0.25081081081081091</v>
      </c>
      <c r="AK37" s="335">
        <f>IFERROR(AK35/AJ35-1,"--")</f>
        <v>0.10157849247145534</v>
      </c>
      <c r="AL37" s="336"/>
      <c r="AM37" s="335">
        <f>IFERROR(AM35/AK35-1,"--")</f>
        <v>0.15365873802444674</v>
      </c>
      <c r="AN37" s="335">
        <f>IFERROR(AN35/AM35-1,"--")</f>
        <v>0.10892364964026191</v>
      </c>
      <c r="AO37" s="335">
        <f>IFERROR(AO35/AN35-1,"--")</f>
        <v>0.10639122014202718</v>
      </c>
      <c r="AP37" s="335">
        <f>IFERROR(AP35/AO35-1,"--")</f>
        <v>-1.7300735208309104E-2</v>
      </c>
      <c r="AQ37" s="336"/>
      <c r="AR37" s="335">
        <f>IFERROR(AR35/AP35-1,"--")</f>
        <v>-4.6314164415283132E-3</v>
      </c>
      <c r="AS37" s="335">
        <f>IFERROR(AS35/AR35-1,"--")</f>
        <v>8.4111313269901178E-3</v>
      </c>
      <c r="AT37" s="335">
        <f>IFERROR(AT35/AS35-1,"--")</f>
        <v>5.5783962850128654E-2</v>
      </c>
      <c r="AU37" s="335">
        <f>IFERROR(AU35/AT35-1,"--")</f>
        <v>2.5605827146659266E-2</v>
      </c>
      <c r="AV37" s="336"/>
      <c r="AW37" s="335">
        <f>IFERROR(AW35/AU35-1,"--")</f>
        <v>6.8644322434374017E-2</v>
      </c>
      <c r="AX37" s="335">
        <f>IFERROR(AX35/AW35-1,"--")</f>
        <v>1.1528040488727687E-2</v>
      </c>
      <c r="AY37" s="335">
        <f>IFERROR(AY35/AX35-1,"--")</f>
        <v>5.6578980618098074E-2</v>
      </c>
      <c r="AZ37" s="335">
        <f>IFERROR(AZ35/AY35-1,"--")</f>
        <v>3.9581938199559907E-2</v>
      </c>
      <c r="BA37" s="336"/>
      <c r="BB37" s="335">
        <f>IFERROR(BB35/AZ35-1,"--")</f>
        <v>4.1272689626613346E-2</v>
      </c>
      <c r="BC37" s="335">
        <f>IFERROR(BC35/BB35-1,"--")</f>
        <v>0.20353063343717537</v>
      </c>
      <c r="BD37" s="335">
        <f>IFERROR(BD35/BC35-1,"--")</f>
        <v>-6.3516971710755876E-2</v>
      </c>
      <c r="BE37" s="335">
        <f>IFERROR(BE35/BD35-1,"--")</f>
        <v>2.8753432455701722E-2</v>
      </c>
      <c r="BF37" s="336"/>
      <c r="BG37" s="335">
        <f>IFERROR(BG35/BE35-1,"--")</f>
        <v>3.2344039158656024E-2</v>
      </c>
      <c r="BH37" s="335">
        <f>IFERROR(BH35/BG35-1,"--")</f>
        <v>9.8746318796173682E-2</v>
      </c>
      <c r="BI37" s="335">
        <f>IFERROR(BI35/BH35-1,"--")</f>
        <v>-1.7882222090144118E-2</v>
      </c>
      <c r="BJ37" s="335">
        <f>IFERROR(BJ35/BI35-1,"--")</f>
        <v>2.6162479526646854E-2</v>
      </c>
      <c r="BK37" s="336"/>
      <c r="BL37" s="335">
        <f>IFERROR(BL35/BJ35-1,"--")</f>
        <v>9.299490479613759E-3</v>
      </c>
      <c r="BM37" s="335">
        <f>IFERROR(BM35/BL35-1,"--")</f>
        <v>1.857968620974404E-2</v>
      </c>
      <c r="BN37" s="335">
        <f>IFERROR(BN35/BM35-1,"--")</f>
        <v>3.8913660316173493E-2</v>
      </c>
      <c r="BO37" s="335">
        <f>IFERROR(BO35/BN35-1,"--")</f>
        <v>2.8872415138509577E-2</v>
      </c>
      <c r="BP37" s="336"/>
    </row>
    <row r="38" spans="1:68" s="337" customFormat="1" outlineLevel="1">
      <c r="A38" s="341"/>
      <c r="B38" s="334" t="s">
        <v>35</v>
      </c>
      <c r="C38" s="340"/>
      <c r="D38" s="335" t="str">
        <f>IFERROR(D35/D$40,"--")</f>
        <v>--</v>
      </c>
      <c r="E38" s="335" t="str">
        <f t="shared" ref="E38:BK38" si="15">IFERROR(E35/E$40,"--")</f>
        <v>--</v>
      </c>
      <c r="F38" s="335" t="str">
        <f t="shared" si="15"/>
        <v>--</v>
      </c>
      <c r="G38" s="335" t="str">
        <f t="shared" si="15"/>
        <v>--</v>
      </c>
      <c r="H38" s="336" t="str">
        <f t="shared" si="15"/>
        <v>--</v>
      </c>
      <c r="I38" s="335" t="str">
        <f>IFERROR(I35/I$40,"--")</f>
        <v>--</v>
      </c>
      <c r="J38" s="335" t="str">
        <f>IFERROR(J35/J$40,"--")</f>
        <v>--</v>
      </c>
      <c r="K38" s="335" t="str">
        <f>IFERROR(K35/K$40,"--")</f>
        <v>--</v>
      </c>
      <c r="L38" s="335" t="str">
        <f>IFERROR(L35/L$40,"--")</f>
        <v>--</v>
      </c>
      <c r="M38" s="336" t="str">
        <f>IFERROR(M35/M$40,"--")</f>
        <v>--</v>
      </c>
      <c r="N38" s="335" t="str">
        <f t="shared" ref="N38:AB38" si="16">IFERROR(N35/N$40,"--")</f>
        <v>--</v>
      </c>
      <c r="O38" s="335" t="str">
        <f t="shared" si="16"/>
        <v>--</v>
      </c>
      <c r="P38" s="335" t="str">
        <f t="shared" si="16"/>
        <v>--</v>
      </c>
      <c r="Q38" s="335" t="str">
        <f t="shared" si="16"/>
        <v>--</v>
      </c>
      <c r="R38" s="336" t="str">
        <f t="shared" si="16"/>
        <v>--</v>
      </c>
      <c r="S38" s="335" t="str">
        <f t="shared" si="16"/>
        <v>--</v>
      </c>
      <c r="T38" s="335" t="str">
        <f t="shared" si="16"/>
        <v>--</v>
      </c>
      <c r="U38" s="335" t="str">
        <f t="shared" si="16"/>
        <v>--</v>
      </c>
      <c r="V38" s="335" t="str">
        <f t="shared" si="16"/>
        <v>--</v>
      </c>
      <c r="W38" s="336" t="str">
        <f t="shared" si="16"/>
        <v>--</v>
      </c>
      <c r="X38" s="335" t="str">
        <f t="shared" si="16"/>
        <v>--</v>
      </c>
      <c r="Y38" s="335" t="str">
        <f t="shared" si="16"/>
        <v>--</v>
      </c>
      <c r="Z38" s="335" t="str">
        <f t="shared" si="16"/>
        <v>--</v>
      </c>
      <c r="AA38" s="335" t="str">
        <f t="shared" si="16"/>
        <v>--</v>
      </c>
      <c r="AB38" s="336" t="str">
        <f t="shared" si="16"/>
        <v>--</v>
      </c>
      <c r="AC38" s="335" t="str">
        <f t="shared" si="15"/>
        <v>--</v>
      </c>
      <c r="AD38" s="335">
        <f t="shared" si="15"/>
        <v>5.9407296468883722E-2</v>
      </c>
      <c r="AE38" s="335">
        <f t="shared" si="15"/>
        <v>7.0054358993635046E-2</v>
      </c>
      <c r="AF38" s="335">
        <f t="shared" si="15"/>
        <v>6.3933006064106263E-2</v>
      </c>
      <c r="AG38" s="336">
        <f t="shared" si="15"/>
        <v>6.4614584265829361E-2</v>
      </c>
      <c r="AH38" s="335">
        <f t="shared" si="15"/>
        <v>6.5893741754545376E-2</v>
      </c>
      <c r="AI38" s="335">
        <f t="shared" si="15"/>
        <v>6.456696963239994E-2</v>
      </c>
      <c r="AJ38" s="335">
        <f t="shared" si="15"/>
        <v>6.573057729165982E-2</v>
      </c>
      <c r="AK38" s="335">
        <f t="shared" si="15"/>
        <v>6.3099636765387962E-2</v>
      </c>
      <c r="AL38" s="336">
        <f t="shared" si="15"/>
        <v>6.4673381299684168E-2</v>
      </c>
      <c r="AM38" s="335">
        <f t="shared" si="15"/>
        <v>6.6143272146998736E-2</v>
      </c>
      <c r="AN38" s="335">
        <f t="shared" si="15"/>
        <v>6.2302915245511299E-2</v>
      </c>
      <c r="AO38" s="335">
        <f t="shared" si="15"/>
        <v>6.1533711052227179E-2</v>
      </c>
      <c r="AP38" s="335">
        <f t="shared" si="15"/>
        <v>5.7185592144132893E-2</v>
      </c>
      <c r="AQ38" s="336">
        <f t="shared" si="15"/>
        <v>6.1421560867500398E-2</v>
      </c>
      <c r="AR38" s="335">
        <f t="shared" si="15"/>
        <v>5.3763716747461103E-2</v>
      </c>
      <c r="AS38" s="335">
        <f t="shared" si="15"/>
        <v>5.0160381473491798E-2</v>
      </c>
      <c r="AT38" s="335">
        <f t="shared" si="15"/>
        <v>4.8619330866158252E-2</v>
      </c>
      <c r="AU38" s="335">
        <f t="shared" si="15"/>
        <v>4.7255772887276226E-2</v>
      </c>
      <c r="AV38" s="336">
        <f t="shared" si="15"/>
        <v>4.9756118766187928E-2</v>
      </c>
      <c r="AW38" s="335">
        <f t="shared" si="15"/>
        <v>4.720836867947615E-2</v>
      </c>
      <c r="AX38" s="335">
        <f t="shared" si="15"/>
        <v>4.5547827348032914E-2</v>
      </c>
      <c r="AY38" s="335">
        <f t="shared" si="15"/>
        <v>4.4381983114211529E-2</v>
      </c>
      <c r="AZ38" s="335">
        <f t="shared" si="15"/>
        <v>4.4049778570487551E-2</v>
      </c>
      <c r="BA38" s="336">
        <f t="shared" si="15"/>
        <v>4.5216793753357319E-2</v>
      </c>
      <c r="BB38" s="335">
        <f t="shared" si="15"/>
        <v>4.343357573454476E-2</v>
      </c>
      <c r="BC38" s="335">
        <f t="shared" si="15"/>
        <v>4.7575960571858276E-2</v>
      </c>
      <c r="BD38" s="335">
        <f t="shared" si="15"/>
        <v>4.3072947089713882E-2</v>
      </c>
      <c r="BE38" s="335">
        <f t="shared" si="15"/>
        <v>4.2417147895580112E-2</v>
      </c>
      <c r="BF38" s="336">
        <f t="shared" si="15"/>
        <v>4.4249472430752404E-2</v>
      </c>
      <c r="BG38" s="335">
        <f t="shared" si="15"/>
        <v>4.1766327353923376E-2</v>
      </c>
      <c r="BH38" s="335">
        <f t="shared" si="15"/>
        <v>4.2683702271999628E-2</v>
      </c>
      <c r="BI38" s="335">
        <f t="shared" si="15"/>
        <v>4.0011323950957016E-2</v>
      </c>
      <c r="BJ38" s="335">
        <f t="shared" si="15"/>
        <v>3.9263757393438695E-2</v>
      </c>
      <c r="BK38" s="336">
        <f t="shared" si="15"/>
        <v>4.0728269401921223E-2</v>
      </c>
      <c r="BL38" s="335">
        <f>IFERROR(BL35/BL$40,"--")</f>
        <v>3.7763007968587163E-2</v>
      </c>
      <c r="BM38" s="335">
        <f>IFERROR(BM35/BM$40,"--")</f>
        <v>3.6241424356434862E-2</v>
      </c>
      <c r="BN38" s="335">
        <f>IFERROR(BN35/BN$40,"--")</f>
        <v>3.5748811083531826E-2</v>
      </c>
      <c r="BO38" s="335">
        <f>IFERROR(BO35/BO$40,"--")</f>
        <v>3.526599924904953E-2</v>
      </c>
      <c r="BP38" s="336">
        <f>IFERROR(BP35/BP$40,"--")</f>
        <v>3.5414764853202566E-2</v>
      </c>
    </row>
    <row r="39" spans="1:68" outlineLevel="1">
      <c r="B39" s="286"/>
      <c r="C39" s="286"/>
      <c r="D39" s="297"/>
      <c r="E39" s="297"/>
      <c r="F39" s="297"/>
      <c r="G39" s="297"/>
      <c r="H39" s="298"/>
      <c r="I39" s="299"/>
      <c r="J39" s="299"/>
      <c r="K39" s="299"/>
      <c r="L39" s="299"/>
      <c r="M39" s="300"/>
      <c r="N39" s="299"/>
      <c r="O39" s="299"/>
      <c r="P39" s="299"/>
      <c r="Q39" s="299"/>
      <c r="R39" s="300"/>
      <c r="S39" s="299"/>
      <c r="T39" s="299"/>
      <c r="U39" s="299"/>
      <c r="V39" s="299"/>
      <c r="W39" s="300"/>
      <c r="X39" s="299"/>
      <c r="Y39" s="299"/>
      <c r="Z39" s="299"/>
      <c r="AA39" s="299"/>
      <c r="AB39" s="300"/>
      <c r="AC39" s="299"/>
      <c r="AD39" s="299"/>
      <c r="AE39" s="299"/>
      <c r="AF39" s="299"/>
      <c r="AG39" s="300"/>
      <c r="AH39" s="299"/>
      <c r="AI39" s="299"/>
      <c r="AJ39" s="299"/>
      <c r="AK39" s="299"/>
      <c r="AL39" s="300"/>
      <c r="AM39" s="299"/>
      <c r="AN39" s="299"/>
      <c r="AO39" s="299"/>
      <c r="AP39" s="299"/>
      <c r="AQ39" s="300"/>
      <c r="AR39" s="299"/>
      <c r="AS39" s="299"/>
      <c r="AT39" s="299"/>
      <c r="AU39" s="299"/>
      <c r="AV39" s="300"/>
      <c r="AW39" s="299"/>
      <c r="AX39" s="299"/>
      <c r="AY39" s="299"/>
      <c r="AZ39" s="299"/>
      <c r="BA39" s="300"/>
      <c r="BB39" s="299"/>
      <c r="BC39" s="299"/>
      <c r="BD39" s="299"/>
      <c r="BE39" s="299"/>
      <c r="BF39" s="300"/>
      <c r="BG39" s="299"/>
      <c r="BH39" s="299"/>
      <c r="BI39" s="299"/>
      <c r="BJ39" s="299"/>
      <c r="BK39" s="300"/>
      <c r="BL39" s="299"/>
      <c r="BM39" s="299"/>
      <c r="BN39" s="299"/>
      <c r="BO39" s="299"/>
      <c r="BP39" s="300"/>
    </row>
    <row r="40" spans="1:68" s="306" customFormat="1" outlineLevel="1">
      <c r="A40" s="245" t="s">
        <v>59</v>
      </c>
      <c r="B40" s="302" t="s">
        <v>2</v>
      </c>
      <c r="C40" s="303"/>
      <c r="D40" s="304" t="str" cm="1">
        <f t="array" ref="D40">_xlfn.SINGLE(IF(ISERROR(_xll.FDSB($C$2,"FE_ESTIMATE(SALES,MEAN,QUARTERLY_ROLL,"&amp;D$9&amp;","&amp;$C$5&amp;",,,'')")), "--", _xll.FDSB($C$2,"FE_ESTIMATE(SALES,MEAN,QUARTERLY_ROLL,"&amp;D$9&amp;","&amp;$C$5&amp;",,,'')")))</f>
        <v/>
      </c>
      <c r="E40" s="304" t="str" cm="1">
        <f t="array" ref="E40">_xlfn.SINGLE(IF(ISERROR(_xll.FDSB($C$2,"FE_ESTIMATE(SALES,MEAN,QUARTERLY_ROLL,"&amp;E$9&amp;","&amp;$C$5&amp;",,,'')")), "--", _xll.FDSB($C$2,"FE_ESTIMATE(SALES,MEAN,QUARTERLY_ROLL,"&amp;E$9&amp;","&amp;$C$5&amp;",,,'')")))</f>
        <v/>
      </c>
      <c r="F40" s="304" t="str" cm="1">
        <f t="array" ref="F40">_xlfn.SINGLE(IF(ISERROR(_xll.FDSB($C$2,"FE_ESTIMATE(SALES,MEAN,QUARTERLY_ROLL,"&amp;F$9&amp;","&amp;$C$5&amp;",,,'')")), "--", _xll.FDSB($C$2,"FE_ESTIMATE(SALES,MEAN,QUARTERLY_ROLL,"&amp;F$9&amp;","&amp;$C$5&amp;",,,'')")))</f>
        <v/>
      </c>
      <c r="G40" s="304" t="str" cm="1">
        <f t="array" ref="G40">_xlfn.SINGLE(IF(ISERROR(_xll.FDSB($C$2,"FE_ESTIMATE(SALES,MEAN,QUARTERLY_ROLL,"&amp;G$9&amp;","&amp;$C$5&amp;",,,'')")), "--", _xll.FDSB($C$2,"FE_ESTIMATE(SALES,MEAN,QUARTERLY_ROLL,"&amp;G$9&amp;","&amp;$C$5&amp;",,,'')")))</f>
        <v/>
      </c>
      <c r="H40" s="305" t="str" cm="1">
        <f t="array" ref="H40">_xlfn.SINGLE(IF(ISERROR(_xll.FDSB($C$2,"FE_ESTIMATE(SALES,MEAN,annual_ROLL,"&amp;H$9&amp;","&amp;$C$5&amp;",,,'')")), "--", _xll.FDSB($C$2,"FE_ESTIMATE(SALES,MEAN,ANNUAL_ROLL,"&amp;H$9&amp;","&amp;$C$5&amp;",,,'')")))</f>
        <v/>
      </c>
      <c r="I40" s="304" t="str" cm="1">
        <f t="array" ref="I40">_xlfn.SINGLE(IF(ISERROR(_xll.FDSB($C$2,"FE_ESTIMATE(SALES,MEAN,QUARTERLY_ROLL,"&amp;I$9&amp;","&amp;$C$5&amp;",,,'')")), "--", _xll.FDSB($C$2,"FE_ESTIMATE(SALES,MEAN,QUARTERLY_ROLL,"&amp;I$9&amp;","&amp;$C$5&amp;",,,'')")))</f>
        <v/>
      </c>
      <c r="J40" s="304" t="str" cm="1">
        <f t="array" ref="J40">_xlfn.SINGLE(IF(ISERROR(_xll.FDSB($C$2,"FE_ESTIMATE(SALES,MEAN,QUARTERLY_ROLL,"&amp;J$9&amp;","&amp;$C$5&amp;",,,'')")), "--", _xll.FDSB($C$2,"FE_ESTIMATE(SALES,MEAN,QUARTERLY_ROLL,"&amp;J$9&amp;","&amp;$C$5&amp;",,,'')")))</f>
        <v/>
      </c>
      <c r="K40" s="304" t="str" cm="1">
        <f t="array" ref="K40">_xlfn.SINGLE(IF(ISERROR(_xll.FDSB($C$2,"FE_ESTIMATE(SALES,MEAN,QUARTERLY_ROLL,"&amp;K$9&amp;","&amp;$C$5&amp;",,,'')")), "--", _xll.FDSB($C$2,"FE_ESTIMATE(SALES,MEAN,QUARTERLY_ROLL,"&amp;K$9&amp;","&amp;$C$5&amp;",,,'')")))</f>
        <v/>
      </c>
      <c r="L40" s="304" t="str" cm="1">
        <f t="array" ref="L40">_xlfn.SINGLE(IF(ISERROR(_xll.FDSB($C$2,"FE_ESTIMATE(SALES,MEAN,QUARTERLY_ROLL,"&amp;L$9&amp;","&amp;$C$5&amp;",,,'')")), "--", _xll.FDSB($C$2,"FE_ESTIMATE(SALES,MEAN,QUARTERLY_ROLL,"&amp;L$9&amp;","&amp;$C$5&amp;",,,'')")))</f>
        <v/>
      </c>
      <c r="M40" s="305" t="str" cm="1">
        <f t="array" ref="M40">_xlfn.SINGLE(IF(ISERROR(_xll.FDSB($C$2,"FE_ESTIMATE(SALES,MEAN,ANNUAL_ROLL,"&amp;M$9&amp;","&amp;$C$5&amp;",,,'')")), "--", _xll.FDSB($C$2,"FE_ESTIMATE(SALES,MEAN,ANNUAL_ROLL,"&amp;M$9&amp;","&amp;$C$5&amp;",,,'')")))</f>
        <v/>
      </c>
      <c r="N40" s="304" t="str" cm="1">
        <f t="array" ref="N40">_xlfn.SINGLE(IF(ISERROR(_xll.FDSB($C$2,"FE_ESTIMATE(SALES,MEAN,QUARTERLY_ROLL,"&amp;N$9&amp;","&amp;$C$5&amp;",,,'')")), "--", _xll.FDSB($C$2,"FE_ESTIMATE(SALES,MEAN,QUARTERLY_ROLL,"&amp;N$9&amp;","&amp;$C$5&amp;",,,'')")))</f>
        <v/>
      </c>
      <c r="O40" s="304" t="str" cm="1">
        <f t="array" ref="O40">_xlfn.SINGLE(IF(ISERROR(_xll.FDSB($C$2,"FE_ESTIMATE(SALES,MEAN,QUARTERLY_ROLL,"&amp;O$9&amp;","&amp;$C$5&amp;",,,'')")), "--", _xll.FDSB($C$2,"FE_ESTIMATE(SALES,MEAN,QUARTERLY_ROLL,"&amp;O$9&amp;","&amp;$C$5&amp;",,,'')")))</f>
        <v/>
      </c>
      <c r="P40" s="304" t="str" cm="1">
        <f t="array" ref="P40">_xlfn.SINGLE(IF(ISERROR(_xll.FDSB($C$2,"FE_ESTIMATE(SALES,MEAN,QUARTERLY_ROLL,"&amp;P$9&amp;","&amp;$C$5&amp;",,,'')")), "--", _xll.FDSB($C$2,"FE_ESTIMATE(SALES,MEAN,QUARTERLY_ROLL,"&amp;P$9&amp;","&amp;$C$5&amp;",,,'')")))</f>
        <v/>
      </c>
      <c r="Q40" s="304" t="str" cm="1">
        <f t="array" ref="Q40">_xlfn.SINGLE(IF(ISERROR(_xll.FDSB($C$2,"FE_ESTIMATE(SALES,MEAN,QUARTERLY_ROLL,"&amp;Q$9&amp;","&amp;$C$5&amp;",,,'')")), "--", _xll.FDSB($C$2,"FE_ESTIMATE(SALES,MEAN,QUARTERLY_ROLL,"&amp;Q$9&amp;","&amp;$C$5&amp;",,,'')")))</f>
        <v/>
      </c>
      <c r="R40" s="305" t="str" cm="1">
        <f t="array" ref="R40">_xlfn.SINGLE(IF(ISERROR(_xll.FDSB($C$2,"FE_ESTIMATE(SALES,MEAN,ANNUAL_ROLL,"&amp;R$9&amp;","&amp;$C$5&amp;",,,'')")), "--", _xll.FDSB($C$2,"FE_ESTIMATE(SALES,MEAN,ANNUAL_ROLL,"&amp;R$9&amp;","&amp;$C$5&amp;",,,'')")))</f>
        <v/>
      </c>
      <c r="S40" s="304" t="str" cm="1">
        <f t="array" ref="S40">_xlfn.SINGLE(IF(ISERROR(_xll.FDSB($C$2,"FE_ESTIMATE(SALES,MEAN,QUARTERLY_ROLL,"&amp;S$9&amp;","&amp;$C$5&amp;",,,'')")), "--", _xll.FDSB($C$2,"FE_ESTIMATE(SALES,MEAN,QUARTERLY_ROLL,"&amp;S$9&amp;","&amp;$C$5&amp;",,,'')")))</f>
        <v/>
      </c>
      <c r="T40" s="304" t="str" cm="1">
        <f t="array" ref="T40">_xlfn.SINGLE(IF(ISERROR(_xll.FDSB($C$2,"FE_ESTIMATE(SALES,MEAN,QUARTERLY_ROLL,"&amp;T$9&amp;","&amp;$C$5&amp;",,,'')")), "--", _xll.FDSB($C$2,"FE_ESTIMATE(SALES,MEAN,QUARTERLY_ROLL,"&amp;T$9&amp;","&amp;$C$5&amp;",,,'')")))</f>
        <v/>
      </c>
      <c r="U40" s="304" t="str" cm="1">
        <f t="array" ref="U40">_xlfn.SINGLE(IF(ISERROR(_xll.FDSB($C$2,"FE_ESTIMATE(SALES,MEAN,QUARTERLY_ROLL,"&amp;U$9&amp;","&amp;$C$5&amp;",,,'')")), "--", _xll.FDSB($C$2,"FE_ESTIMATE(SALES,MEAN,QUARTERLY_ROLL,"&amp;U$9&amp;","&amp;$C$5&amp;",,,'')")))</f>
        <v/>
      </c>
      <c r="V40" s="304" t="str" cm="1">
        <f t="array" ref="V40">_xlfn.SINGLE(IF(ISERROR(_xll.FDSB($C$2,"FE_ESTIMATE(SALES,MEAN,QUARTERLY_ROLL,"&amp;V$9&amp;","&amp;$C$5&amp;",,,'')")), "--", _xll.FDSB($C$2,"FE_ESTIMATE(SALES,MEAN,QUARTERLY_ROLL,"&amp;V$9&amp;","&amp;$C$5&amp;",,,'')")))</f>
        <v/>
      </c>
      <c r="W40" s="305" t="str" cm="1">
        <f t="array" ref="W40">_xlfn.SINGLE(IF(ISERROR(_xll.FDSB($C$2,"FE_ESTIMATE(SALES,MEAN,ANNUAL_ROLL,"&amp;W$9&amp;","&amp;$C$5&amp;",,,'')")), "--", _xll.FDSB($C$2,"FE_ESTIMATE(SALES,MEAN,ANNUAL_ROLL,"&amp;W$9&amp;","&amp;$C$5&amp;",,,'')")))</f>
        <v/>
      </c>
      <c r="X40" s="304" t="str" cm="1">
        <f t="array" ref="X40">_xlfn.SINGLE(IF(ISERROR(_xll.FDSB($C$2,"FE_ESTIMATE(SALES,MEAN,QUARTERLY_ROLL,"&amp;X$9&amp;","&amp;$C$5&amp;",,,'')")), "--", _xll.FDSB($C$2,"FE_ESTIMATE(SALES,MEAN,QUARTERLY_ROLL,"&amp;X$9&amp;","&amp;$C$5&amp;",,,'')")))</f>
        <v/>
      </c>
      <c r="Y40" s="304" t="str" cm="1">
        <f t="array" ref="Y40">_xlfn.SINGLE(IF(ISERROR(_xll.FDSB($C$2,"FE_ESTIMATE(SALES,MEAN,QUARTERLY_ROLL,"&amp;Y$9&amp;","&amp;$C$5&amp;",,,'')")), "--", _xll.FDSB($C$2,"FE_ESTIMATE(SALES,MEAN,QUARTERLY_ROLL,"&amp;Y$9&amp;","&amp;$C$5&amp;",,,'')")))</f>
        <v/>
      </c>
      <c r="Z40" s="304" t="str" cm="1">
        <f t="array" ref="Z40">_xlfn.SINGLE(IF(ISERROR(_xll.FDSB($C$2,"FE_ESTIMATE(SALES,MEAN,QUARTERLY_ROLL,"&amp;Z$9&amp;","&amp;$C$5&amp;",,,'')")), "--", _xll.FDSB($C$2,"FE_ESTIMATE(SALES,MEAN,QUARTERLY_ROLL,"&amp;Z$9&amp;","&amp;$C$5&amp;",,,'')")))</f>
        <v/>
      </c>
      <c r="AA40" s="304" t="str" cm="1">
        <f t="array" ref="AA40">_xlfn.SINGLE(IF(ISERROR(_xll.FDSB($C$2,"FE_ESTIMATE(SALES,MEAN,QUARTERLY_ROLL,"&amp;AA$9&amp;","&amp;$C$5&amp;",,,'')")), "--", _xll.FDSB($C$2,"FE_ESTIMATE(SALES,MEAN,QUARTERLY_ROLL,"&amp;AA$9&amp;","&amp;$C$5&amp;",,,'')")))</f>
        <v/>
      </c>
      <c r="AB40" s="305" t="str" cm="1">
        <f t="array" ref="AB40">_xlfn.SINGLE(IF(ISERROR(_xll.FDSB($C$2,"FE_ESTIMATE(SALES,MEAN,ANNUAL_ROLL,"&amp;AB$9&amp;","&amp;$C$5&amp;",,,'')")), "--", _xll.FDSB($C$2,"FE_ESTIMATE(SALES,MEAN,ANNUAL_ROLL,"&amp;AB$9&amp;","&amp;$C$5&amp;",,,'')")))</f>
        <v/>
      </c>
      <c r="AC40" s="304" cm="1">
        <f t="array" ref="AC40">_xlfn.SINGLE(IF(ISERROR(_xll.FDSB($C$2,"FE_ESTIMATE(SALES,MEAN,QUARTERLY_ROLL,"&amp;AC$9&amp;","&amp;$C$5&amp;",,,'')")), "--", _xll.FDSB($C$2,"FE_ESTIMATE(SALES,MEAN,QUARTERLY_ROLL,"&amp;AC$9&amp;","&amp;$C$5&amp;",,,'')")))</f>
        <v>108.80374999999999</v>
      </c>
      <c r="AD40" s="304" cm="1">
        <f t="array" ref="AD40">_xlfn.SINGLE(IF(ISERROR(_xll.FDSB($C$2,"FE_ESTIMATE(SALES,MEAN,QUARTERLY_ROLL,"&amp;AD$9&amp;","&amp;$C$5&amp;",,,'')")), "--", _xll.FDSB($C$2,"FE_ESTIMATE(SALES,MEAN,QUARTERLY_ROLL,"&amp;AD$9&amp;","&amp;$C$5&amp;",,,'')")))</f>
        <v>133.11342999999999</v>
      </c>
      <c r="AE40" s="304" cm="1">
        <f t="array" ref="AE40">_xlfn.SINGLE(IF(ISERROR(_xll.FDSB($C$2,"FE_ESTIMATE(SALES,MEAN,QUARTERLY_ROLL,"&amp;AE$9&amp;","&amp;$C$5&amp;",,,'')")), "--", _xll.FDSB($C$2,"FE_ESTIMATE(SALES,MEAN,QUARTERLY_ROLL,"&amp;AE$9&amp;","&amp;$C$5&amp;",,,'')")))</f>
        <v>159.624</v>
      </c>
      <c r="AF40" s="304" cm="1">
        <f t="array" ref="AF40">_xlfn.SINGLE(IF(ISERROR(_xll.FDSB($C$2,"FE_ESTIMATE(SALES,MEAN,QUARTERLY_ROLL,"&amp;AF$9&amp;","&amp;$C$5&amp;",,,'')")), "--", _xll.FDSB($C$2,"FE_ESTIMATE(SALES,MEAN,QUARTERLY_ROLL,"&amp;AF$9&amp;","&amp;$C$5&amp;",,,'')")))</f>
        <v>190.465</v>
      </c>
      <c r="AG40" s="305" cm="1">
        <f t="array" ref="AG40">_xlfn.SINGLE(IF(ISERROR(_xll.FDSB($C$2,"FE_ESTIMATE(SALES,MEAN,ANNUAL_ROLL,"&amp;AG$9&amp;","&amp;$C$5&amp;",,,'')")), "--", _xll.FDSB($C$2,"FE_ESTIMATE(SALES,MEAN,ANNUAL_ROLL,"&amp;AG$9&amp;","&amp;$C$5&amp;",,,'')")))</f>
        <v>592.04899999999998</v>
      </c>
      <c r="AH40" s="304" cm="1">
        <f t="array" ref="AH40">_xlfn.SINGLE(IF(ISERROR(_xll.FDSB($C$2,"FE_ESTIMATE(SALES,MEAN,QUARTERLY_ROLL,"&amp;AH$9&amp;","&amp;$C$5&amp;",,,'')")), "--", _xll.FDSB($C$2,"FE_ESTIMATE(SALES,MEAN,QUARTERLY_ROLL,"&amp;AH$9&amp;","&amp;$C$5&amp;",,,'')")))</f>
        <v>228.91399999999999</v>
      </c>
      <c r="AI40" s="304" cm="1">
        <f t="array" ref="AI40">_xlfn.SINGLE(IF(ISERROR(_xll.FDSB($C$2,"FE_ESTIMATE(SALES,MEAN,QUARTERLY_ROLL,"&amp;AI$9&amp;","&amp;$C$5&amp;",,,'')")), "--", _xll.FDSB($C$2,"FE_ESTIMATE(SALES,MEAN,QUARTERLY_ROLL,"&amp;AI$9&amp;","&amp;$C$5&amp;",,,'')")))</f>
        <v>272.19799999999998</v>
      </c>
      <c r="AJ40" s="304" cm="1">
        <f t="array" ref="AJ40">_xlfn.SINGLE(IF(ISERROR(_xll.FDSB($C$2,"FE_ESTIMATE(SALES,MEAN,QUARTERLY_ROLL,"&amp;AJ$9&amp;","&amp;$C$5&amp;",,,'')")), "--", _xll.FDSB($C$2,"FE_ESTIMATE(SALES,MEAN,QUARTERLY_ROLL,"&amp;AJ$9&amp;","&amp;$C$5&amp;",,,'')")))</f>
        <v>334.44099999999997</v>
      </c>
      <c r="AK40" s="304" cm="1">
        <f t="array" ref="AK40">_xlfn.SINGLE(IF(ISERROR(_xll.FDSB($C$2,"FE_ESTIMATE(SALES,MEAN,QUARTERLY_ROLL,"&amp;AK$9&amp;","&amp;$C$5&amp;",,,'')")), "--", _xll.FDSB($C$2,"FE_ESTIMATE(SALES,MEAN,QUARTERLY_ROLL,"&amp;AK$9&amp;","&amp;$C$5&amp;",,,'')")))</f>
        <v>383.774</v>
      </c>
      <c r="AL40" s="305" cm="1">
        <f t="array" ref="AL40">_xlfn.SINGLE(IF(ISERROR(_xll.FDSB($C$2,"FE_ESTIMATE(SALES,MEAN,ANNUAL_ROLL,"&amp;AL$9&amp;","&amp;$C$5&amp;",,,'')")), "--", _xll.FDSB($C$2,"FE_ESTIMATE(SALES,MEAN,ANNUAL_ROLL,"&amp;AL$9&amp;","&amp;$C$5&amp;",,,'')")))</f>
        <v>1219.327</v>
      </c>
      <c r="AM40" s="304" cm="1">
        <f t="array" ref="AM40">_xlfn.SINGLE(IF(ISERROR(_xll.FDSB($C$2,"FE_ESTIMATE(SALES,MEAN,QUARTERLY_ROLL,"&amp;AM$9&amp;","&amp;$C$5&amp;",,,'')")), "--", _xll.FDSB($C$2,"FE_ESTIMATE(SALES,MEAN,QUARTERLY_ROLL,"&amp;AM$9&amp;","&amp;$C$5&amp;",,,'')")))</f>
        <v>422.37099999999998</v>
      </c>
      <c r="AN40" s="304" cm="1">
        <f t="array" ref="AN40">_xlfn.SINGLE(IF(ISERROR(_xll.FDSB($C$2,"FE_ESTIMATE(SALES,MEAN,QUARTERLY_ROLL,"&amp;AN$9&amp;","&amp;$C$5&amp;",,,'')")), "--", _xll.FDSB($C$2,"FE_ESTIMATE(SALES,MEAN,QUARTERLY_ROLL,"&amp;AN$9&amp;","&amp;$C$5&amp;",,,'')")))</f>
        <v>497.24799999999999</v>
      </c>
      <c r="AO40" s="304" cm="1">
        <f t="array" ref="AO40">_xlfn.SINGLE(IF(ISERROR(_xll.FDSB($C$2,"FE_ESTIMATE(SALES,MEAN,QUARTERLY_ROLL,"&amp;AO$9&amp;","&amp;$C$5&amp;",,,'')")), "--", _xll.FDSB($C$2,"FE_ESTIMATE(SALES,MEAN,QUARTERLY_ROLL,"&amp;AO$9&amp;","&amp;$C$5&amp;",,,'')")))</f>
        <v>557.02800000000002</v>
      </c>
      <c r="AP40" s="304" cm="1">
        <f t="array" ref="AP40">_xlfn.SINGLE(IF(ISERROR(_xll.FDSB($C$2,"FE_ESTIMATE(SALES,MEAN,QUARTERLY_ROLL,"&amp;AP$9&amp;","&amp;$C$5&amp;",,,'')")), "--", _xll.FDSB($C$2,"FE_ESTIMATE(SALES,MEAN,QUARTERLY_ROLL,"&amp;AP$9&amp;","&amp;$C$5&amp;",,,'')")))</f>
        <v>589.01199999999994</v>
      </c>
      <c r="AQ40" s="305" cm="1">
        <f t="array" ref="AQ40">_xlfn.SINGLE(IF(ISERROR(_xll.FDSB($C$2,"FE_ESTIMATE(SALES,MEAN,ANNUAL_ROLL,"&amp;AQ$9&amp;","&amp;$C$5&amp;",,,'')")), "--", _xll.FDSB($C$2,"FE_ESTIMATE(SALES,MEAN,ANNUAL_ROLL,"&amp;AQ$9&amp;","&amp;$C$5&amp;",,,'')")))</f>
        <v>2065.6590000000001</v>
      </c>
      <c r="AR40" s="304" cm="1">
        <f t="array" ref="AR40">_xlfn.SINGLE(IF(ISERROR(_xll.FDSB($C$2,"FE_ESTIMATE(SALES,MEAN,QUARTERLY_ROLL,"&amp;AR$9&amp;","&amp;$C$5&amp;",,,'')")), "--", _xll.FDSB($C$2,"FE_ESTIMATE(SALES,MEAN,QUARTERLY_ROLL,"&amp;AR$9&amp;","&amp;$C$5&amp;",,,'')")))</f>
        <v>623.59900000000005</v>
      </c>
      <c r="AS40" s="304" cm="1">
        <f t="array" ref="AS40">_xlfn.SINGLE(IF(ISERROR(_xll.FDSB($C$2,"FE_ESTIMATE(SALES,MEAN,QUARTERLY_ROLL,"&amp;AS$9&amp;","&amp;$C$5&amp;",,,'')")), "--", _xll.FDSB($C$2,"FE_ESTIMATE(SALES,MEAN,QUARTERLY_ROLL,"&amp;AS$9&amp;","&amp;$C$5&amp;",,,'')")))</f>
        <v>674.01800000000003</v>
      </c>
      <c r="AT40" s="304" cm="1">
        <f t="array" ref="AT40">_xlfn.SINGLE(IF(ISERROR(_xll.FDSB($C$2,"FE_ESTIMATE(SALES,MEAN,QUARTERLY_ROLL,"&amp;AT$9&amp;","&amp;$C$5&amp;",,,'')")), "--", _xll.FDSB($C$2,"FE_ESTIMATE(SALES,MEAN,QUARTERLY_ROLL,"&amp;AT$9&amp;","&amp;$C$5&amp;",,,'')")))</f>
        <v>734.173</v>
      </c>
      <c r="AU40" s="304" cm="1">
        <f t="array" ref="AU40">_xlfn.SINGLE(IF(ISERROR(_xll.FDSB($C$2,"FE_ESTIMATE(SALES,MEAN,QUARTERLY_ROLL,"&amp;AU$9&amp;","&amp;$C$5&amp;",,,'')")), "--", _xll.FDSB($C$2,"FE_ESTIMATE(SALES,MEAN,QUARTERLY_ROLL,"&amp;AU$9&amp;","&amp;$C$5&amp;",,,'')")))</f>
        <v>774.69899999999996</v>
      </c>
      <c r="AV40" s="305" cm="1">
        <f t="array" ref="AV40">_xlfn.SINGLE(IF(ISERROR(_xll.FDSB($C$2,"FE_ESTIMATE(SALES,MEAN,ANNUAL_ROLL,"&amp;AV$9&amp;","&amp;$C$5&amp;",,,'')")), "--", _xll.FDSB($C$2,"FE_ESTIMATE(SALES,MEAN,ANNUAL_ROLL,"&amp;AV$9&amp;","&amp;$C$5&amp;",,,'')")))</f>
        <v>2806.489</v>
      </c>
      <c r="AW40" s="304" cm="1">
        <f t="array" ref="AW40">_xlfn.SINGLE(IF(ISERROR(_xll.FDSB($C$2,"FE_ESTIMATE(SALES,MEAN,QUARTERLY_ROLL,"&amp;AW$9&amp;","&amp;$C$5&amp;",,,'')")), "--", _xll.FDSB($C$2,"FE_ESTIMATE(SALES,MEAN,QUARTERLY_ROLL,"&amp;AW$9&amp;","&amp;$C$5&amp;",,,'')")))</f>
        <v>828.70899999999995</v>
      </c>
      <c r="AX40" s="304" cm="1">
        <f t="array" ref="AX40">_xlfn.SINGLE(IF(ISERROR(_xll.FDSB($C$2,"FE_ESTIMATE(SALES,MEAN,QUARTERLY_ROLL,"&amp;AX$9&amp;","&amp;$C$5&amp;",,,'')")), "--", _xll.FDSB($C$2,"FE_ESTIMATE(SALES,MEAN,QUARTERLY_ROLL,"&amp;AX$9&amp;","&amp;$C$5&amp;",,,'')")))</f>
        <v>868.82299999999998</v>
      </c>
      <c r="AY40" s="304" cm="1">
        <f t="array" ref="AY40">_xlfn.SINGLE(IF(ISERROR(_xll.FDSB($C$2,"FE_ESTIMATE(SALES,MEAN,QUARTERLY_ROLL,"&amp;AY$9&amp;","&amp;$C$5&amp;",,,'')")), "--", _xll.FDSB($C$2,"FE_ESTIMATE(SALES,MEAN,QUARTERLY_ROLL,"&amp;AY$9&amp;","&amp;$C$5&amp;",,,'')")))</f>
        <v>942.09400000000005</v>
      </c>
      <c r="AZ40" s="304" cm="1">
        <f t="array" ref="AZ40">_xlfn.SINGLE(IF(ISERROR(_xll.FDSB($C$2,"FE_ESTIMATE(SALES,MEAN,QUARTERLY_ROLL,"&amp;AZ$9&amp;","&amp;$C$5&amp;",,,'')")), "--", _xll.FDSB($C$2,"FE_ESTIMATE(SALES,MEAN,QUARTERLY_ROLL,"&amp;AZ$9&amp;","&amp;$C$5&amp;",,,'')")))</f>
        <v>986.77</v>
      </c>
      <c r="BA40" s="305" cm="1">
        <f t="array" ref="BA40">_xlfn.SINGLE(IF(ISERROR(_xll.FDSB($C$2,"FE_ESTIMATE(SALES,MEAN,ANNUAL_ROLL,"&amp;BA$9&amp;","&amp;$C$5&amp;",,,'')")), "--", _xll.FDSB($C$2,"FE_ESTIMATE(SALES,MEAN,ANNUAL_ROLL,"&amp;BA$9&amp;","&amp;$C$5&amp;",,,'')")))</f>
        <v>3626.3960000000002</v>
      </c>
      <c r="BB40" s="304" cm="1">
        <f t="array" ref="BB40">_xlfn.SINGLE(IF(ISERROR(_xll.FDSB($C$2,"FE_ESTIMATE(SALES,MEAN,QUARTERLY_ROLL,"&amp;BB$9&amp;","&amp;$C$5&amp;",,,'')")), "--", _xll.FDSB($C$2,"FE_ESTIMATE(SALES,MEAN,QUARTERLY_ROLL,"&amp;BB$9&amp;","&amp;$C$5&amp;",,,'')")))</f>
        <v>1042.0740000000001</v>
      </c>
      <c r="BC40" s="304" cm="1">
        <f t="array" ref="BC40">_xlfn.SINGLE(IF(ISERROR(_xll.FDSB($C$2,"FE_ESTIMATE(SALES,MEAN,QUARTERLY_ROLL,"&amp;BC$9&amp;","&amp;$C$5&amp;",,,'')")), "--", _xll.FDSB($C$2,"FE_ESTIMATE(SALES,MEAN,QUARTERLY_ROLL,"&amp;BC$9&amp;","&amp;$C$5&amp;",,,'')")))</f>
        <v>1144.9690000000001</v>
      </c>
      <c r="BD40" s="304" cm="1">
        <f t="array" ref="BD40">_xlfn.SINGLE(IF(ISERROR(_xll.FDSB($C$2,"FE_ESTIMATE(SALES,MEAN,QUARTERLY_ROLL,"&amp;BD$9&amp;","&amp;$C$5&amp;",,,'')")), "--", _xll.FDSB($C$2,"FE_ESTIMATE(SALES,MEAN,QUARTERLY_ROLL,"&amp;BD$9&amp;","&amp;$C$5&amp;",,,'')")))</f>
        <v>1184.3406</v>
      </c>
      <c r="BE40" s="304" cm="1">
        <f t="array" ref="BE40">_xlfn.SINGLE(IF(ISERROR(_xll.FDSB($C$2,"FE_ESTIMATE(SALES,MEAN,QUARTERLY_ROLL,"&amp;BE$9&amp;","&amp;$C$5&amp;",,,'')")), "--", _xll.FDSB($C$2,"FE_ESTIMATE(SALES,MEAN,QUARTERLY_ROLL,"&amp;BE$9&amp;","&amp;$C$5&amp;",,,'')")))</f>
        <v>1237.2317</v>
      </c>
      <c r="BF40" s="305" cm="1">
        <f t="array" ref="BF40">_xlfn.SINGLE(IF(ISERROR(_xll.FDSB($C$2,"FE_ESTIMATE(SALES,MEAN,ANNUAL_ROLL,"&amp;BF$9&amp;","&amp;$C$5&amp;",,,'')")), "--", _xll.FDSB($C$2,"FE_ESTIMATE(SALES,MEAN,ANNUAL_ROLL,"&amp;BF$9&amp;","&amp;$C$5&amp;",,,'')")))</f>
        <v>4611.2430000000004</v>
      </c>
      <c r="BG40" s="304" cm="1">
        <f t="array" ref="BG40">_xlfn.SINGLE(IF(ISERROR(_xll.FDSB($C$2,"FE_ESTIMATE(SALES,MEAN,QUARTERLY_ROLL,"&amp;BG$9&amp;","&amp;$C$5&amp;",,,'')")), "--", _xll.FDSB($C$2,"FE_ESTIMATE(SALES,MEAN,QUARTERLY_ROLL,"&amp;BG$9&amp;","&amp;$C$5&amp;",,,'')")))</f>
        <v>1297.1514</v>
      </c>
      <c r="BH40" s="304" cm="1">
        <f t="array" ref="BH40">_xlfn.SINGLE(IF(ISERROR(_xll.FDSB($C$2,"FE_ESTIMATE(SALES,MEAN,QUARTERLY_ROLL,"&amp;BH$9&amp;","&amp;$C$5&amp;",,,'')")), "--", _xll.FDSB($C$2,"FE_ESTIMATE(SALES,MEAN,QUARTERLY_ROLL,"&amp;BH$9&amp;","&amp;$C$5&amp;",,,'')")))</f>
        <v>1394.6085</v>
      </c>
      <c r="BI40" s="304" cm="1">
        <f t="array" ref="BI40">_xlfn.SINGLE(IF(ISERROR(_xll.FDSB($C$2,"FE_ESTIMATE(SALES,MEAN,QUARTERLY_ROLL,"&amp;BI$9&amp;","&amp;$C$5&amp;",,,'')")), "--", _xll.FDSB($C$2,"FE_ESTIMATE(SALES,MEAN,QUARTERLY_ROLL,"&amp;BI$9&amp;","&amp;$C$5&amp;",,,'')")))</f>
        <v>1461.1507999999999</v>
      </c>
      <c r="BJ40" s="304" cm="1">
        <f t="array" ref="BJ40">_xlfn.SINGLE(IF(ISERROR(_xll.FDSB($C$2,"FE_ESTIMATE(SALES,MEAN,QUARTERLY_ROLL,"&amp;BJ$9&amp;","&amp;$C$5&amp;",,,'')")), "--", _xll.FDSB($C$2,"FE_ESTIMATE(SALES,MEAN,QUARTERLY_ROLL,"&amp;BJ$9&amp;","&amp;$C$5&amp;",,,'')")))</f>
        <v>1527.9257</v>
      </c>
      <c r="BK40" s="305" cm="1">
        <f t="array" ref="BK40">_xlfn.SINGLE(IF(ISERROR(_xll.FDSB($C$2,"FE_ESTIMATE(SALES,MEAN,ANNUAL_ROLL,"&amp;BK$9&amp;","&amp;$C$5&amp;",,,'')")), "--", _xll.FDSB($C$2,"FE_ESTIMATE(SALES,MEAN,ANNUAL_ROLL,"&amp;BK$9&amp;","&amp;$C$5&amp;",,,'')")))</f>
        <v>5713.5450000000001</v>
      </c>
      <c r="BL40" s="304" cm="1">
        <f t="array" ref="BL40">_xlfn.SINGLE(IF(ISERROR(_xll.FDSB($C$2,"FE_ESTIMATE(SALES,MEAN,QUARTERLY_ROLL,"&amp;BL$9&amp;","&amp;$C$5&amp;",,,'')")), "--", _xll.FDSB($C$2,"FE_ESTIMATE(SALES,MEAN,QUARTERLY_ROLL,"&amp;BL$9&amp;","&amp;$C$5&amp;",,,'')")))</f>
        <v>1603.421</v>
      </c>
      <c r="BM40" s="304" cm="1">
        <f t="array" ref="BM40">_xlfn.SINGLE(IF(ISERROR(_xll.FDSB($C$2,"FE_ESTIMATE(SALES,MEAN,QUARTERLY_ROLL,"&amp;BM$9&amp;","&amp;$C$5&amp;",,,'')")), "--", _xll.FDSB($C$2,"FE_ESTIMATE(SALES,MEAN,QUARTERLY_ROLL,"&amp;BM$9&amp;","&amp;$C$5&amp;",,,'')")))</f>
        <v>1701.7819</v>
      </c>
      <c r="BN40" s="304" cm="1">
        <f t="array" ref="BN40">_xlfn.SINGLE(IF(ISERROR(_xll.FDSB($C$2,"FE_ESTIMATE(SALES,MEAN,QUARTERLY_ROLL,"&amp;BN$9&amp;","&amp;$C$5&amp;",,,'')")), "--", _xll.FDSB($C$2,"FE_ESTIMATE(SALES,MEAN,QUARTERLY_ROLL,"&amp;BN$9&amp;","&amp;$C$5&amp;",,,'')")))</f>
        <v>1792.3672999999999</v>
      </c>
      <c r="BO40" s="304" cm="1">
        <f t="array" ref="BO40">_xlfn.SINGLE(IF(ISERROR(_xll.FDSB($C$2,"FE_ESTIMATE(SALES,MEAN,QUARTERLY_ROLL,"&amp;BO$9&amp;","&amp;$C$5&amp;",,,'')")), "--", _xll.FDSB($C$2,"FE_ESTIMATE(SALES,MEAN,QUARTERLY_ROLL,"&amp;BO$9&amp;","&amp;$C$5&amp;",,,'')")))</f>
        <v>1869.3643</v>
      </c>
      <c r="BP40" s="305" cm="1">
        <f t="array" ref="BP40">_xlfn.SINGLE(IF(ISERROR(_xll.FDSB($C$2,"FE_ESTIMATE(SALES,MEAN,ANNUAL_ROLL,"&amp;BP$9&amp;","&amp;$C$5&amp;",,,'')")), "--", _xll.FDSB($C$2,"FE_ESTIMATE(SALES,MEAN,ANNUAL_ROLL,"&amp;BP$9&amp;","&amp;$C$5&amp;",,,'')")))</f>
        <v>7083.8090000000002</v>
      </c>
    </row>
    <row r="41" spans="1:68" s="310" customFormat="1" outlineLevel="1">
      <c r="A41" s="245" t="s">
        <v>81</v>
      </c>
      <c r="B41" s="307" t="s">
        <v>32</v>
      </c>
      <c r="C41" s="307"/>
      <c r="D41" s="308"/>
      <c r="E41" s="308"/>
      <c r="F41" s="308"/>
      <c r="G41" s="308"/>
      <c r="H41" s="309"/>
      <c r="I41" s="308" t="str">
        <f t="shared" ref="I41:AN41" si="17">IFERROR(I40/D40-1,"--")</f>
        <v>--</v>
      </c>
      <c r="J41" s="308" t="str">
        <f t="shared" si="17"/>
        <v>--</v>
      </c>
      <c r="K41" s="308" t="str">
        <f t="shared" si="17"/>
        <v>--</v>
      </c>
      <c r="L41" s="308" t="str">
        <f t="shared" si="17"/>
        <v>--</v>
      </c>
      <c r="M41" s="309" t="str">
        <f t="shared" si="17"/>
        <v>--</v>
      </c>
      <c r="N41" s="308" t="str">
        <f t="shared" si="17"/>
        <v>--</v>
      </c>
      <c r="O41" s="308" t="str">
        <f t="shared" si="17"/>
        <v>--</v>
      </c>
      <c r="P41" s="308" t="str">
        <f t="shared" si="17"/>
        <v>--</v>
      </c>
      <c r="Q41" s="308" t="str">
        <f t="shared" si="17"/>
        <v>--</v>
      </c>
      <c r="R41" s="309" t="str">
        <f t="shared" si="17"/>
        <v>--</v>
      </c>
      <c r="S41" s="308" t="str">
        <f t="shared" si="17"/>
        <v>--</v>
      </c>
      <c r="T41" s="308" t="str">
        <f t="shared" si="17"/>
        <v>--</v>
      </c>
      <c r="U41" s="308" t="str">
        <f t="shared" si="17"/>
        <v>--</v>
      </c>
      <c r="V41" s="308" t="str">
        <f t="shared" si="17"/>
        <v>--</v>
      </c>
      <c r="W41" s="309" t="str">
        <f t="shared" si="17"/>
        <v>--</v>
      </c>
      <c r="X41" s="308" t="str">
        <f t="shared" si="17"/>
        <v>--</v>
      </c>
      <c r="Y41" s="308" t="str">
        <f t="shared" si="17"/>
        <v>--</v>
      </c>
      <c r="Z41" s="308" t="str">
        <f t="shared" si="17"/>
        <v>--</v>
      </c>
      <c r="AA41" s="308" t="str">
        <f t="shared" si="17"/>
        <v>--</v>
      </c>
      <c r="AB41" s="309" t="str">
        <f t="shared" si="17"/>
        <v>--</v>
      </c>
      <c r="AC41" s="308" t="str">
        <f t="shared" si="17"/>
        <v>--</v>
      </c>
      <c r="AD41" s="308" t="str">
        <f t="shared" si="17"/>
        <v>--</v>
      </c>
      <c r="AE41" s="308" t="str">
        <f t="shared" si="17"/>
        <v>--</v>
      </c>
      <c r="AF41" s="308" t="str">
        <f t="shared" si="17"/>
        <v>--</v>
      </c>
      <c r="AG41" s="309" t="str">
        <f t="shared" si="17"/>
        <v>--</v>
      </c>
      <c r="AH41" s="308">
        <f t="shared" si="17"/>
        <v>1.1039164550854177</v>
      </c>
      <c r="AI41" s="308">
        <f t="shared" si="17"/>
        <v>1.0448575324067599</v>
      </c>
      <c r="AJ41" s="308">
        <f t="shared" si="17"/>
        <v>1.0951799228186236</v>
      </c>
      <c r="AK41" s="308">
        <f t="shared" si="17"/>
        <v>1.0149318772477884</v>
      </c>
      <c r="AL41" s="309">
        <f t="shared" si="17"/>
        <v>1.0595035208234456</v>
      </c>
      <c r="AM41" s="308">
        <f t="shared" si="17"/>
        <v>0.84510776973011703</v>
      </c>
      <c r="AN41" s="308">
        <f t="shared" si="17"/>
        <v>0.8267878529599777</v>
      </c>
      <c r="AO41" s="308">
        <f t="shared" ref="AO41:BP41" si="18">IFERROR(AO40/AJ40-1,"--")</f>
        <v>0.66554937941221337</v>
      </c>
      <c r="AP41" s="308">
        <f t="shared" si="18"/>
        <v>0.53478870376836363</v>
      </c>
      <c r="AQ41" s="309">
        <f t="shared" si="18"/>
        <v>0.69409764566847132</v>
      </c>
      <c r="AR41" s="308">
        <f t="shared" si="18"/>
        <v>0.47642475454043964</v>
      </c>
      <c r="AS41" s="308">
        <f t="shared" si="18"/>
        <v>0.35549665358131155</v>
      </c>
      <c r="AT41" s="308">
        <f t="shared" si="18"/>
        <v>0.31801812476213032</v>
      </c>
      <c r="AU41" s="308">
        <f t="shared" si="18"/>
        <v>0.31525164173225684</v>
      </c>
      <c r="AV41" s="309">
        <f t="shared" si="18"/>
        <v>0.35864099544019612</v>
      </c>
      <c r="AW41" s="308">
        <f t="shared" si="18"/>
        <v>0.32891329203542652</v>
      </c>
      <c r="AX41" s="308">
        <f t="shared" si="18"/>
        <v>0.2890204712633786</v>
      </c>
      <c r="AY41" s="308">
        <f t="shared" si="18"/>
        <v>0.2832043673630058</v>
      </c>
      <c r="AZ41" s="308">
        <f t="shared" si="18"/>
        <v>0.27374631953829809</v>
      </c>
      <c r="BA41" s="309">
        <f t="shared" si="18"/>
        <v>0.29214687818124352</v>
      </c>
      <c r="BB41" s="308">
        <f t="shared" si="18"/>
        <v>0.25746673440254675</v>
      </c>
      <c r="BC41" s="308">
        <f t="shared" si="18"/>
        <v>0.31783919164202623</v>
      </c>
      <c r="BD41" s="308">
        <f t="shared" si="18"/>
        <v>0.25713633671374603</v>
      </c>
      <c r="BE41" s="308">
        <f t="shared" si="18"/>
        <v>0.25381973509531108</v>
      </c>
      <c r="BF41" s="309">
        <f t="shared" si="18"/>
        <v>0.2715773456621946</v>
      </c>
      <c r="BG41" s="308">
        <f t="shared" si="18"/>
        <v>0.24477858578181566</v>
      </c>
      <c r="BH41" s="308">
        <f t="shared" si="18"/>
        <v>0.2180316672329119</v>
      </c>
      <c r="BI41" s="308">
        <f t="shared" si="18"/>
        <v>0.23372516318363146</v>
      </c>
      <c r="BJ41" s="308">
        <f t="shared" si="18"/>
        <v>0.23495518260645931</v>
      </c>
      <c r="BK41" s="309">
        <f t="shared" si="18"/>
        <v>0.23904660847411408</v>
      </c>
      <c r="BL41" s="308">
        <f t="shared" si="18"/>
        <v>0.23610937011670341</v>
      </c>
      <c r="BM41" s="308">
        <f t="shared" si="18"/>
        <v>0.2202577999488744</v>
      </c>
      <c r="BN41" s="308">
        <f t="shared" si="18"/>
        <v>0.22668194138483178</v>
      </c>
      <c r="BO41" s="308">
        <f t="shared" si="18"/>
        <v>0.2234654473054547</v>
      </c>
      <c r="BP41" s="309">
        <f t="shared" si="18"/>
        <v>0.23982728761215677</v>
      </c>
    </row>
    <row r="42" spans="1:68" s="310" customFormat="1" outlineLevel="1">
      <c r="A42" s="245" t="s">
        <v>87</v>
      </c>
      <c r="B42" s="307" t="s">
        <v>33</v>
      </c>
      <c r="C42" s="307"/>
      <c r="D42" s="308"/>
      <c r="E42" s="308"/>
      <c r="F42" s="308"/>
      <c r="G42" s="308"/>
      <c r="H42" s="311"/>
      <c r="I42" s="308" t="str">
        <f>IFERROR(I40/G40-1,"--")</f>
        <v>--</v>
      </c>
      <c r="J42" s="308" t="str">
        <f>IFERROR(J40/I40-1,"--")</f>
        <v>--</v>
      </c>
      <c r="K42" s="308" t="str">
        <f>IFERROR(K40/J40-1,"--")</f>
        <v>--</v>
      </c>
      <c r="L42" s="308" t="str">
        <f>IFERROR(L40/K40-1,"--")</f>
        <v>--</v>
      </c>
      <c r="M42" s="311"/>
      <c r="N42" s="308" t="str">
        <f>IFERROR(N40/L40-1,"--")</f>
        <v>--</v>
      </c>
      <c r="O42" s="308" t="str">
        <f>IFERROR(O40/N40-1,"--")</f>
        <v>--</v>
      </c>
      <c r="P42" s="308" t="str">
        <f>IFERROR(P40/O40-1,"--")</f>
        <v>--</v>
      </c>
      <c r="Q42" s="308" t="str">
        <f>IFERROR(Q40/P40-1,"--")</f>
        <v>--</v>
      </c>
      <c r="R42" s="311"/>
      <c r="S42" s="308" t="str">
        <f>IFERROR(S40/Q40-1,"--")</f>
        <v>--</v>
      </c>
      <c r="T42" s="308" t="str">
        <f>IFERROR(T40/S40-1,"--")</f>
        <v>--</v>
      </c>
      <c r="U42" s="308" t="str">
        <f>IFERROR(U40/T40-1,"--")</f>
        <v>--</v>
      </c>
      <c r="V42" s="308" t="str">
        <f>IFERROR(V40/U40-1,"--")</f>
        <v>--</v>
      </c>
      <c r="W42" s="311"/>
      <c r="X42" s="308" t="str">
        <f>IFERROR(X40/V40-1,"--")</f>
        <v>--</v>
      </c>
      <c r="Y42" s="308" t="str">
        <f>IFERROR(Y40/X40-1,"--")</f>
        <v>--</v>
      </c>
      <c r="Z42" s="308" t="str">
        <f>IFERROR(Z40/Y40-1,"--")</f>
        <v>--</v>
      </c>
      <c r="AA42" s="308" t="str">
        <f>IFERROR(AA40/Z40-1,"--")</f>
        <v>--</v>
      </c>
      <c r="AB42" s="311"/>
      <c r="AC42" s="308" t="str">
        <f>IFERROR(AC40/AA40-1,"--")</f>
        <v>--</v>
      </c>
      <c r="AD42" s="308">
        <f>IFERROR(AD40/AC40-1,"--")</f>
        <v>0.22342685798972917</v>
      </c>
      <c r="AE42" s="308">
        <f>IFERROR(AE40/AD40-1,"--")</f>
        <v>0.1991577408830949</v>
      </c>
      <c r="AF42" s="308">
        <f>IFERROR(AF40/AE40-1,"--")</f>
        <v>0.19321029419134983</v>
      </c>
      <c r="AG42" s="311"/>
      <c r="AH42" s="308">
        <f>IFERROR(AH40/AF40-1,"--")</f>
        <v>0.20186910981020123</v>
      </c>
      <c r="AI42" s="308">
        <f>IFERROR(AI40/AH40-1,"--")</f>
        <v>0.18908411018985283</v>
      </c>
      <c r="AJ42" s="308">
        <f>IFERROR(AJ40/AI40-1,"--")</f>
        <v>0.22866810189641362</v>
      </c>
      <c r="AK42" s="308">
        <f>IFERROR(AK40/AJ40-1,"--")</f>
        <v>0.14750882816401112</v>
      </c>
      <c r="AL42" s="311"/>
      <c r="AM42" s="308">
        <f>IFERROR(AM40/AK40-1,"--")</f>
        <v>0.10057221177046904</v>
      </c>
      <c r="AN42" s="308">
        <f>IFERROR(AN40/AM40-1,"--")</f>
        <v>0.17727779606080918</v>
      </c>
      <c r="AO42" s="308">
        <f>IFERROR(AO40/AN40-1,"--")</f>
        <v>0.12022170023811052</v>
      </c>
      <c r="AP42" s="308">
        <f>IFERROR(AP40/AO40-1,"--")</f>
        <v>5.7419016638301734E-2</v>
      </c>
      <c r="AQ42" s="311"/>
      <c r="AR42" s="308">
        <f>IFERROR(AR40/AP40-1,"--")</f>
        <v>5.8720365629223448E-2</v>
      </c>
      <c r="AS42" s="308">
        <f>IFERROR(AS40/AR40-1,"--")</f>
        <v>8.0851637029565548E-2</v>
      </c>
      <c r="AT42" s="308">
        <f>IFERROR(AT40/AS40-1,"--")</f>
        <v>8.9248358352447488E-2</v>
      </c>
      <c r="AU42" s="308">
        <f>IFERROR(AU40/AT40-1,"--")</f>
        <v>5.5199523817955676E-2</v>
      </c>
      <c r="AV42" s="311"/>
      <c r="AW42" s="308">
        <f>IFERROR(AW40/AU40-1,"--")</f>
        <v>6.9717399919194456E-2</v>
      </c>
      <c r="AX42" s="308">
        <f>IFERROR(AX40/AW40-1,"--")</f>
        <v>4.84054113084329E-2</v>
      </c>
      <c r="AY42" s="308">
        <f>IFERROR(AY40/AX40-1,"--")</f>
        <v>8.43336329724238E-2</v>
      </c>
      <c r="AZ42" s="308">
        <f>IFERROR(AZ40/AY40-1,"--")</f>
        <v>4.7422019458779996E-2</v>
      </c>
      <c r="BA42" s="311"/>
      <c r="BB42" s="308">
        <f>IFERROR(BB40/AZ40-1,"--")</f>
        <v>5.6045481723197899E-2</v>
      </c>
      <c r="BC42" s="308">
        <f>IFERROR(BC40/BB40-1,"--")</f>
        <v>9.8740588480280556E-2</v>
      </c>
      <c r="BD42" s="308">
        <f>IFERROR(BD40/BC40-1,"--")</f>
        <v>3.438660784702452E-2</v>
      </c>
      <c r="BE42" s="308">
        <f>IFERROR(BE40/BD40-1,"--")</f>
        <v>4.4658690245019006E-2</v>
      </c>
      <c r="BF42" s="311"/>
      <c r="BG42" s="308">
        <f>IFERROR(BG40/BE40-1,"--")</f>
        <v>4.8430459710982143E-2</v>
      </c>
      <c r="BH42" s="308">
        <f>IFERROR(BH40/BG40-1,"--")</f>
        <v>7.5131630741022359E-2</v>
      </c>
      <c r="BI42" s="308">
        <f>IFERROR(BI40/BH40-1,"--")</f>
        <v>4.7713964169872725E-2</v>
      </c>
      <c r="BJ42" s="308">
        <f>IFERROR(BJ40/BI40-1,"--")</f>
        <v>4.5700211093885779E-2</v>
      </c>
      <c r="BK42" s="311"/>
      <c r="BL42" s="308">
        <f>IFERROR(BL40/BJ40-1,"--")</f>
        <v>4.9410321457385109E-2</v>
      </c>
      <c r="BM42" s="308">
        <f>IFERROR(BM40/BL40-1,"--")</f>
        <v>6.1344400503672958E-2</v>
      </c>
      <c r="BN42" s="308">
        <f>IFERROR(BN40/BM40-1,"--")</f>
        <v>5.3229735255734045E-2</v>
      </c>
      <c r="BO42" s="308">
        <f>IFERROR(BO40/BN40-1,"--")</f>
        <v>4.2958270885660621E-2</v>
      </c>
      <c r="BP42" s="311"/>
    </row>
    <row r="43" spans="1:68" s="310" customFormat="1" outlineLevel="1">
      <c r="A43" s="293"/>
      <c r="B43" s="307"/>
      <c r="C43" s="307"/>
      <c r="D43" s="308"/>
      <c r="E43" s="308"/>
      <c r="F43" s="308"/>
      <c r="G43" s="308"/>
      <c r="H43" s="311"/>
      <c r="I43" s="308"/>
      <c r="J43" s="308"/>
      <c r="K43" s="308"/>
      <c r="L43" s="308"/>
      <c r="M43" s="311"/>
      <c r="N43" s="308"/>
      <c r="O43" s="308"/>
      <c r="P43" s="308"/>
      <c r="Q43" s="308"/>
      <c r="R43" s="311"/>
      <c r="S43" s="308"/>
      <c r="T43" s="308"/>
      <c r="U43" s="308"/>
      <c r="V43" s="308"/>
      <c r="W43" s="311"/>
      <c r="X43" s="308"/>
      <c r="Y43" s="308"/>
      <c r="Z43" s="308"/>
      <c r="AA43" s="308"/>
      <c r="AB43" s="311"/>
      <c r="AC43" s="308"/>
      <c r="AD43" s="308"/>
      <c r="AE43" s="308"/>
      <c r="AF43" s="308"/>
      <c r="AG43" s="311"/>
      <c r="AH43" s="308"/>
      <c r="AI43" s="308"/>
      <c r="AJ43" s="308"/>
      <c r="AK43" s="308"/>
      <c r="AL43" s="311"/>
      <c r="AM43" s="308"/>
      <c r="AN43" s="308"/>
      <c r="AO43" s="308"/>
      <c r="AP43" s="308"/>
      <c r="AQ43" s="311"/>
      <c r="AR43" s="308"/>
      <c r="AS43" s="308"/>
      <c r="AT43" s="308"/>
      <c r="AU43" s="308"/>
      <c r="AV43" s="311"/>
      <c r="AW43" s="308"/>
      <c r="AX43" s="308"/>
      <c r="AY43" s="308"/>
      <c r="AZ43" s="308"/>
      <c r="BA43" s="311"/>
      <c r="BB43" s="308"/>
      <c r="BC43" s="308"/>
      <c r="BD43" s="308"/>
      <c r="BE43" s="308"/>
      <c r="BF43" s="311"/>
      <c r="BG43" s="308"/>
      <c r="BH43" s="308"/>
      <c r="BI43" s="308"/>
      <c r="BJ43" s="308"/>
      <c r="BK43" s="311"/>
      <c r="BL43" s="308"/>
      <c r="BM43" s="308"/>
      <c r="BN43" s="308"/>
      <c r="BO43" s="308"/>
      <c r="BP43" s="311"/>
    </row>
    <row r="44" spans="1:68" s="306" customFormat="1" outlineLevel="1">
      <c r="A44" s="301"/>
      <c r="B44" s="342" t="s">
        <v>150</v>
      </c>
      <c r="C44" s="303"/>
      <c r="D44" s="304" t="str" cm="1">
        <f t="array" ref="D44">_xlfn.SINGLE(IF(ISERROR(_xll.FDSB($C$2,"FE_ESTIMATE(PL_COS_1,MEAN,QUARTERLY_ROLL,"&amp;D$9&amp;","&amp;$C$5&amp;",,,'')")), "--", _xll.FDSB($C$2,"FE_ESTIMATE(PL_COS_1,MEAN,QUARTERLY_ROLL,"&amp;D$9&amp;","&amp;$C$5&amp;",,,'')")))</f>
        <v/>
      </c>
      <c r="E44" s="304" t="str" cm="1">
        <f t="array" ref="E44">_xlfn.SINGLE(IF(ISERROR(_xll.FDSB($C$2,"FE_ESTIMATE(PL_COS_1,MEAN,QUARTERLY_ROLL,"&amp;E$9&amp;","&amp;$C$5&amp;",,,'')")), "--", _xll.FDSB($C$2,"FE_ESTIMATE(PL_COS_1,MEAN,QUARTERLY_ROLL,"&amp;E$9&amp;","&amp;$C$5&amp;",,,'')")))</f>
        <v/>
      </c>
      <c r="F44" s="304" t="str" cm="1">
        <f t="array" ref="F44">_xlfn.SINGLE(IF(ISERROR(_xll.FDSB($C$2,"FE_ESTIMATE(PL_COS_1,MEAN,QUARTERLY_ROLL,"&amp;F$9&amp;","&amp;$C$5&amp;",,,'')")), "--", _xll.FDSB($C$2,"FE_ESTIMATE(PL_COS_1,MEAN,QUARTERLY_ROLL,"&amp;F$9&amp;","&amp;$C$5&amp;",,,'')")))</f>
        <v/>
      </c>
      <c r="G44" s="304" t="str" cm="1">
        <f t="array" ref="G44">_xlfn.SINGLE(IF(ISERROR(_xll.FDSB($C$2,"FE_ESTIMATE(PL_COS_1,MEAN,QUARTERLY_ROLL,"&amp;G$9&amp;","&amp;$C$5&amp;",,,'')")), "--", _xll.FDSB($C$2,"FE_ESTIMATE(PL_COS_1,MEAN,QUARTERLY_ROLL,"&amp;G$9&amp;","&amp;$C$5&amp;",,,'')")))</f>
        <v/>
      </c>
      <c r="H44" s="305" t="str" cm="1">
        <f t="array" ref="H44">_xlfn.SINGLE(IF(ISERROR(_xll.FDSB($C$2,"FE_ESTIMATE(PL_COS_1,MEAN,annual_ROLL,"&amp;H$9&amp;","&amp;$C$5&amp;",,,'')")), "--", _xll.FDSB($C$2,"FE_ESTIMATE(PL_COS_1,MEAN,ANNUAL_ROLL,"&amp;H$9&amp;","&amp;$C$5&amp;",,,'')")))</f>
        <v/>
      </c>
      <c r="I44" s="304" t="str" cm="1">
        <f t="array" ref="I44">_xlfn.SINGLE(IF(ISERROR(_xll.FDSB($C$2,"FE_ESTIMATE(PL_COS_1,MEAN,QUARTERLY_ROLL,"&amp;I$9&amp;","&amp;$C$5&amp;",,,'')")), "--", _xll.FDSB($C$2,"FE_ESTIMATE(PL_COS_1,MEAN,QUARTERLY_ROLL,"&amp;I$9&amp;","&amp;$C$5&amp;",,,'')")))</f>
        <v/>
      </c>
      <c r="J44" s="304" t="str" cm="1">
        <f t="array" ref="J44">_xlfn.SINGLE(IF(ISERROR(_xll.FDSB($C$2,"FE_ESTIMATE(PL_COS_1,MEAN,QUARTERLY_ROLL,"&amp;J$9&amp;","&amp;$C$5&amp;",,,'')")), "--", _xll.FDSB($C$2,"FE_ESTIMATE(PL_COS_1,MEAN,QUARTERLY_ROLL,"&amp;J$9&amp;","&amp;$C$5&amp;",,,'')")))</f>
        <v/>
      </c>
      <c r="K44" s="304" t="str" cm="1">
        <f t="array" ref="K44">_xlfn.SINGLE(IF(ISERROR(_xll.FDSB($C$2,"FE_ESTIMATE(PL_COS_1,MEAN,QUARTERLY_ROLL,"&amp;K$9&amp;","&amp;$C$5&amp;",,,'')")), "--", _xll.FDSB($C$2,"FE_ESTIMATE(PL_COS_1,MEAN,QUARTERLY_ROLL,"&amp;K$9&amp;","&amp;$C$5&amp;",,,'')")))</f>
        <v/>
      </c>
      <c r="L44" s="304" t="str" cm="1">
        <f t="array" ref="L44">_xlfn.SINGLE(IF(ISERROR(_xll.FDSB($C$2,"FE_ESTIMATE(PL_COS_1,MEAN,QUARTERLY_ROLL,"&amp;L$9&amp;","&amp;$C$5&amp;",,,'')")), "--", _xll.FDSB($C$2,"FE_ESTIMATE(PL_COS_1,MEAN,QUARTERLY_ROLL,"&amp;L$9&amp;","&amp;$C$5&amp;",,,'')")))</f>
        <v/>
      </c>
      <c r="M44" s="305" t="str" cm="1">
        <f t="array" ref="M44">_xlfn.SINGLE(IF(ISERROR(_xll.FDSB($C$2,"FE_ESTIMATE(PL_COS_1,MEAN,ANNUAL_ROLL,"&amp;M$9&amp;","&amp;$C$5&amp;",,,'')")), "--", _xll.FDSB($C$2,"FE_ESTIMATE(PL_COS_1,MEAN,ANNUAL_ROLL,"&amp;M$9&amp;","&amp;$C$5&amp;",,,'')")))</f>
        <v/>
      </c>
      <c r="N44" s="304" t="str" cm="1">
        <f t="array" ref="N44">_xlfn.SINGLE(IF(ISERROR(_xll.FDSB($C$2,"FE_ESTIMATE(PL_COS_1,MEAN,QUARTERLY_ROLL,"&amp;N$9&amp;","&amp;$C$5&amp;",,,'')")), "--", _xll.FDSB($C$2,"FE_ESTIMATE(PL_COS_1,MEAN,QUARTERLY_ROLL,"&amp;N$9&amp;","&amp;$C$5&amp;",,,'')")))</f>
        <v/>
      </c>
      <c r="O44" s="304" t="str" cm="1">
        <f t="array" ref="O44">_xlfn.SINGLE(IF(ISERROR(_xll.FDSB($C$2,"FE_ESTIMATE(PL_COS_1,MEAN,QUARTERLY_ROLL,"&amp;O$9&amp;","&amp;$C$5&amp;",,,'')")), "--", _xll.FDSB($C$2,"FE_ESTIMATE(PL_COS_1,MEAN,QUARTERLY_ROLL,"&amp;O$9&amp;","&amp;$C$5&amp;",,,'')")))</f>
        <v/>
      </c>
      <c r="P44" s="304" t="str" cm="1">
        <f t="array" ref="P44">_xlfn.SINGLE(IF(ISERROR(_xll.FDSB($C$2,"FE_ESTIMATE(PL_COS_1,MEAN,QUARTERLY_ROLL,"&amp;P$9&amp;","&amp;$C$5&amp;",,,'')")), "--", _xll.FDSB($C$2,"FE_ESTIMATE(PL_COS_1,MEAN,QUARTERLY_ROLL,"&amp;P$9&amp;","&amp;$C$5&amp;",,,'')")))</f>
        <v/>
      </c>
      <c r="Q44" s="304" t="str" cm="1">
        <f t="array" ref="Q44">_xlfn.SINGLE(IF(ISERROR(_xll.FDSB($C$2,"FE_ESTIMATE(PL_COS_1,MEAN,QUARTERLY_ROLL,"&amp;Q$9&amp;","&amp;$C$5&amp;",,,'')")), "--", _xll.FDSB($C$2,"FE_ESTIMATE(PL_COS_1,MEAN,QUARTERLY_ROLL,"&amp;Q$9&amp;","&amp;$C$5&amp;",,,'')")))</f>
        <v/>
      </c>
      <c r="R44" s="305" t="str" cm="1">
        <f t="array" ref="R44">_xlfn.SINGLE(IF(ISERROR(_xll.FDSB($C$2,"FE_ESTIMATE(PL_COS_1,MEAN,ANNUAL_ROLL,"&amp;R$9&amp;","&amp;$C$5&amp;",,,'')")), "--", _xll.FDSB($C$2,"FE_ESTIMATE(PL_COS_1,MEAN,ANNUAL_ROLL,"&amp;R$9&amp;","&amp;$C$5&amp;",,,'')")))</f>
        <v/>
      </c>
      <c r="S44" s="304" t="str" cm="1">
        <f t="array" ref="S44">_xlfn.SINGLE(IF(ISERROR(_xll.FDSB($C$2,"FE_ESTIMATE(PL_COS_1,MEAN,QUARTERLY_ROLL,"&amp;S$9&amp;","&amp;$C$5&amp;",,,'')")), "--", _xll.FDSB($C$2,"FE_ESTIMATE(PL_COS_1,MEAN,QUARTERLY_ROLL,"&amp;S$9&amp;","&amp;$C$5&amp;",,,'')")))</f>
        <v/>
      </c>
      <c r="T44" s="304" t="str" cm="1">
        <f t="array" ref="T44">_xlfn.SINGLE(IF(ISERROR(_xll.FDSB($C$2,"FE_ESTIMATE(PL_COS_1,MEAN,QUARTERLY_ROLL,"&amp;T$9&amp;","&amp;$C$5&amp;",,,'')")), "--", _xll.FDSB($C$2,"FE_ESTIMATE(PL_COS_1,MEAN,QUARTERLY_ROLL,"&amp;T$9&amp;","&amp;$C$5&amp;",,,'')")))</f>
        <v/>
      </c>
      <c r="U44" s="304" t="str" cm="1">
        <f t="array" ref="U44">_xlfn.SINGLE(IF(ISERROR(_xll.FDSB($C$2,"FE_ESTIMATE(PL_COS_1,MEAN,QUARTERLY_ROLL,"&amp;U$9&amp;","&amp;$C$5&amp;",,,'')")), "--", _xll.FDSB($C$2,"FE_ESTIMATE(PL_COS_1,MEAN,QUARTERLY_ROLL,"&amp;U$9&amp;","&amp;$C$5&amp;",,,'')")))</f>
        <v/>
      </c>
      <c r="V44" s="304" t="str" cm="1">
        <f t="array" ref="V44">_xlfn.SINGLE(IF(ISERROR(_xll.FDSB($C$2,"FE_ESTIMATE(PL_COS_1,MEAN,QUARTERLY_ROLL,"&amp;V$9&amp;","&amp;$C$5&amp;",,,'')")), "--", _xll.FDSB($C$2,"FE_ESTIMATE(PL_COS_1,MEAN,QUARTERLY_ROLL,"&amp;V$9&amp;","&amp;$C$5&amp;",,,'')")))</f>
        <v/>
      </c>
      <c r="W44" s="305" t="str" cm="1">
        <f t="array" ref="W44">_xlfn.SINGLE(IF(ISERROR(_xll.FDSB($C$2,"FE_ESTIMATE(PL_COS_1,MEAN,ANNUAL_ROLL,"&amp;W$9&amp;","&amp;$C$5&amp;",,,'')")), "--", _xll.FDSB($C$2,"FE_ESTIMATE(PL_COS_1,MEAN,ANNUAL_ROLL,"&amp;W$9&amp;","&amp;$C$5&amp;",,,'')")))</f>
        <v/>
      </c>
      <c r="X44" s="304" t="str" cm="1">
        <f t="array" ref="X44">_xlfn.SINGLE(IF(ISERROR(_xll.FDSB($C$2,"FE_ESTIMATE(PL_COS_1,MEAN,QUARTERLY_ROLL,"&amp;X$9&amp;","&amp;$C$5&amp;",,,'')")), "--", _xll.FDSB($C$2,"FE_ESTIMATE(PL_COS_1,MEAN,QUARTERLY_ROLL,"&amp;X$9&amp;","&amp;$C$5&amp;",,,'')")))</f>
        <v/>
      </c>
      <c r="Y44" s="304" t="str" cm="1">
        <f t="array" ref="Y44">_xlfn.SINGLE(IF(ISERROR(_xll.FDSB($C$2,"FE_ESTIMATE(PL_COS_1,MEAN,QUARTERLY_ROLL,"&amp;Y$9&amp;","&amp;$C$5&amp;",,,'')")), "--", _xll.FDSB($C$2,"FE_ESTIMATE(PL_COS_1,MEAN,QUARTERLY_ROLL,"&amp;Y$9&amp;","&amp;$C$5&amp;",,,'')")))</f>
        <v/>
      </c>
      <c r="Z44" s="304" t="str" cm="1">
        <f t="array" ref="Z44">_xlfn.SINGLE(IF(ISERROR(_xll.FDSB($C$2,"FE_ESTIMATE(PL_COS_1,MEAN,QUARTERLY_ROLL,"&amp;Z$9&amp;","&amp;$C$5&amp;",,,'')")), "--", _xll.FDSB($C$2,"FE_ESTIMATE(PL_COS_1,MEAN,QUARTERLY_ROLL,"&amp;Z$9&amp;","&amp;$C$5&amp;",,,'')")))</f>
        <v/>
      </c>
      <c r="AA44" s="304" t="str" cm="1">
        <f t="array" ref="AA44">_xlfn.SINGLE(IF(ISERROR(_xll.FDSB($C$2,"FE_ESTIMATE(PL_COS_1,MEAN,QUARTERLY_ROLL,"&amp;AA$9&amp;","&amp;$C$5&amp;",,,'')")), "--", _xll.FDSB($C$2,"FE_ESTIMATE(PL_COS_1,MEAN,QUARTERLY_ROLL,"&amp;AA$9&amp;","&amp;$C$5&amp;",,,'')")))</f>
        <v/>
      </c>
      <c r="AB44" s="305" t="str" cm="1">
        <f t="array" ref="AB44">_xlfn.SINGLE(IF(ISERROR(_xll.FDSB($C$2,"FE_ESTIMATE(PL_COS_1,MEAN,ANNUAL_ROLL,"&amp;AB$9&amp;","&amp;$C$5&amp;",,,'')")), "--", _xll.FDSB($C$2,"FE_ESTIMATE(PL_COS_1,MEAN,ANNUAL_ROLL,"&amp;AB$9&amp;","&amp;$C$5&amp;",,,'')")))</f>
        <v/>
      </c>
      <c r="AC44" s="304" t="str" cm="1">
        <f t="array" ref="AC44">_xlfn.SINGLE(IF(ISERROR(_xll.FDSB($C$2,"FE_ESTIMATE(PL_COS_1,MEAN,QUARTERLY_ROLL,"&amp;AC$9&amp;","&amp;$C$5&amp;",,,'')")), "--", _xll.FDSB($C$2,"FE_ESTIMATE(PL_COS_1,MEAN,QUARTERLY_ROLL,"&amp;AC$9&amp;","&amp;$C$5&amp;",,,'')")))</f>
        <v/>
      </c>
      <c r="AD44" s="304" cm="1">
        <f t="array" ref="AD44">_xlfn.SINGLE(IF(ISERROR(_xll.FDSB($C$2,"FE_ESTIMATE(PL_COS_1,MEAN,QUARTERLY_ROLL,"&amp;AD$9&amp;","&amp;$C$5&amp;",,,'')")), "--", _xll.FDSB($C$2,"FE_ESTIMATE(PL_COS_1,MEAN,QUARTERLY_ROLL,"&amp;AD$9&amp;","&amp;$C$5&amp;",,,'')")))</f>
        <v>41.80489</v>
      </c>
      <c r="AE44" s="304" cm="1">
        <f t="array" ref="AE44">_xlfn.SINGLE(IF(ISERROR(_xll.FDSB($C$2,"FE_ESTIMATE(PL_COS_1,MEAN,QUARTERLY_ROLL,"&amp;AE$9&amp;","&amp;$C$5&amp;",,,'')")), "--", _xll.FDSB($C$2,"FE_ESTIMATE(PL_COS_1,MEAN,QUARTERLY_ROLL,"&amp;AE$9&amp;","&amp;$C$5&amp;",,,'')")))</f>
        <v>43.904366000000003</v>
      </c>
      <c r="AF44" s="304" cm="1">
        <f t="array" ref="AF44">_xlfn.SINGLE(IF(ISERROR(_xll.FDSB($C$2,"FE_ESTIMATE(PL_COS_1,MEAN,QUARTERLY_ROLL,"&amp;AF$9&amp;","&amp;$C$5&amp;",,,'')")), "--", _xll.FDSB($C$2,"FE_ESTIMATE(PL_COS_1,MEAN,QUARTERLY_ROLL,"&amp;AF$9&amp;","&amp;$C$5&amp;",,,'')")))</f>
        <v>54.207332999999998</v>
      </c>
      <c r="AG44" s="305" cm="1">
        <f t="array" ref="AG44">_xlfn.SINGLE(IF(ISERROR(_xll.FDSB($C$2,"FE_ESTIMATE(PL_COS_1,MEAN,ANNUAL_ROLL,"&amp;AG$9&amp;","&amp;$C$5&amp;",,,'')")), "--", _xll.FDSB($C$2,"FE_ESTIMATE(PL_COS_1,MEAN,ANNUAL_ROLL,"&amp;AG$9&amp;","&amp;$C$5&amp;",,,'')")))</f>
        <v>173.40333999999999</v>
      </c>
      <c r="AH44" s="304" cm="1">
        <f t="array" ref="AH44">_xlfn.SINGLE(IF(ISERROR(_xll.FDSB($C$2,"FE_ESTIMATE(PL_COS_1,MEAN,QUARTERLY_ROLL,"&amp;AH$9&amp;","&amp;$C$5&amp;",,,'')")), "--", _xll.FDSB($C$2,"FE_ESTIMATE(PL_COS_1,MEAN,QUARTERLY_ROLL,"&amp;AH$9&amp;","&amp;$C$5&amp;",,,'')")))</f>
        <v>59.308999999999997</v>
      </c>
      <c r="AI44" s="304" cm="1">
        <f t="array" ref="AI44">_xlfn.SINGLE(IF(ISERROR(_xll.FDSB($C$2,"FE_ESTIMATE(PL_COS_1,MEAN,QUARTERLY_ROLL,"&amp;AI$9&amp;","&amp;$C$5&amp;",,,'')")), "--", _xll.FDSB($C$2,"FE_ESTIMATE(PL_COS_1,MEAN,QUARTERLY_ROLL,"&amp;AI$9&amp;","&amp;$C$5&amp;",,,'')")))</f>
        <v>67.293719999999993</v>
      </c>
      <c r="AJ44" s="304" cm="1">
        <f t="array" ref="AJ44">_xlfn.SINGLE(IF(ISERROR(_xll.FDSB($C$2,"FE_ESTIMATE(PL_COS_1,MEAN,QUARTERLY_ROLL,"&amp;AJ$9&amp;","&amp;$C$5&amp;",,,'')")), "--", _xll.FDSB($C$2,"FE_ESTIMATE(PL_COS_1,MEAN,QUARTERLY_ROLL,"&amp;AJ$9&amp;","&amp;$C$5&amp;",,,'')")))</f>
        <v>79.268000000000001</v>
      </c>
      <c r="AK44" s="304" cm="1">
        <f t="array" ref="AK44">_xlfn.SINGLE(IF(ISERROR(_xll.FDSB($C$2,"FE_ESTIMATE(PL_COS_1,MEAN,QUARTERLY_ROLL,"&amp;AK$9&amp;","&amp;$C$5&amp;",,,'')")), "--", _xll.FDSB($C$2,"FE_ESTIMATE(PL_COS_1,MEAN,QUARTERLY_ROLL,"&amp;AK$9&amp;","&amp;$C$5&amp;",,,'')")))</f>
        <v>89.928820000000002</v>
      </c>
      <c r="AL44" s="305" cm="1">
        <f t="array" ref="AL44">_xlfn.SINGLE(IF(ISERROR(_xll.FDSB($C$2,"FE_ESTIMATE(PL_COS_1,MEAN,ANNUAL_ROLL,"&amp;AL$9&amp;","&amp;$C$5&amp;",,,'')")), "--", _xll.FDSB($C$2,"FE_ESTIMATE(PL_COS_1,MEAN,ANNUAL_ROLL,"&amp;AL$9&amp;","&amp;$C$5&amp;",,,'')")))</f>
        <v>295.83071999999999</v>
      </c>
      <c r="AM44" s="304" cm="1">
        <f t="array" ref="AM44">_xlfn.SINGLE(IF(ISERROR(_xll.FDSB($C$2,"FE_ESTIMATE(PL_COS_1,MEAN,QUARTERLY_ROLL,"&amp;AM$9&amp;","&amp;$C$5&amp;",,,'')")), "--", _xll.FDSB($C$2,"FE_ESTIMATE(PL_COS_1,MEAN,QUARTERLY_ROLL,"&amp;AM$9&amp;","&amp;$C$5&amp;",,,'')")))</f>
        <v>98.867419999999996</v>
      </c>
      <c r="AN44" s="304" cm="1">
        <f t="array" ref="AN44">_xlfn.SINGLE(IF(ISERROR(_xll.FDSB($C$2,"FE_ESTIMATE(PL_COS_1,MEAN,QUARTERLY_ROLL,"&amp;AN$9&amp;","&amp;$C$5&amp;",,,'')")), "--", _xll.FDSB($C$2,"FE_ESTIMATE(PL_COS_1,MEAN,QUARTERLY_ROLL,"&amp;AN$9&amp;","&amp;$C$5&amp;",,,'')")))</f>
        <v>115.91433000000001</v>
      </c>
      <c r="AO44" s="304" cm="1">
        <f t="array" ref="AO44">_xlfn.SINGLE(IF(ISERROR(_xll.FDSB($C$2,"FE_ESTIMATE(PL_COS_1,MEAN,QUARTERLY_ROLL,"&amp;AO$9&amp;","&amp;$C$5&amp;",,,'')")), "--", _xll.FDSB($C$2,"FE_ESTIMATE(PL_COS_1,MEAN,QUARTERLY_ROLL,"&amp;AO$9&amp;","&amp;$C$5&amp;",,,'')")))</f>
        <v>128.82560000000001</v>
      </c>
      <c r="AP44" s="304" cm="1">
        <f t="array" ref="AP44">_xlfn.SINGLE(IF(ISERROR(_xll.FDSB($C$2,"FE_ESTIMATE(PL_COS_1,MEAN,QUARTERLY_ROLL,"&amp;AP$9&amp;","&amp;$C$5&amp;",,,'')")), "--", _xll.FDSB($C$2,"FE_ESTIMATE(PL_COS_1,MEAN,QUARTERLY_ROLL,"&amp;AP$9&amp;","&amp;$C$5&amp;",,,'')")))</f>
        <v>138.90907000000001</v>
      </c>
      <c r="AQ44" s="305" cm="1">
        <f t="array" ref="AQ44">_xlfn.SINGLE(IF(ISERROR(_xll.FDSB($C$2,"FE_ESTIMATE(PL_COS_1,MEAN,ANNUAL_ROLL,"&amp;AQ$9&amp;","&amp;$C$5&amp;",,,'')")), "--", _xll.FDSB($C$2,"FE_ESTIMATE(PL_COS_1,MEAN,ANNUAL_ROLL,"&amp;AQ$9&amp;","&amp;$C$5&amp;",,,'')")))</f>
        <v>481.26693999999998</v>
      </c>
      <c r="AR44" s="304" cm="1">
        <f t="array" ref="AR44">_xlfn.SINGLE(IF(ISERROR(_xll.FDSB($C$2,"FE_ESTIMATE(PL_COS_1,MEAN,QUARTERLY_ROLL,"&amp;AR$9&amp;","&amp;$C$5&amp;",,,'')")), "--", _xll.FDSB($C$2,"FE_ESTIMATE(PL_COS_1,MEAN,QUARTERLY_ROLL,"&amp;AR$9&amp;","&amp;$C$5&amp;",,,'')")))</f>
        <v>135.89913999999999</v>
      </c>
      <c r="AS44" s="304" cm="1">
        <f t="array" ref="AS44">_xlfn.SINGLE(IF(ISERROR(_xll.FDSB($C$2,"FE_ESTIMATE(PL_COS_1,MEAN,QUARTERLY_ROLL,"&amp;AS$9&amp;","&amp;$C$5&amp;",,,'')")), "--", _xll.FDSB($C$2,"FE_ESTIMATE(PL_COS_1,MEAN,QUARTERLY_ROLL,"&amp;AS$9&amp;","&amp;$C$5&amp;",,,'')")))</f>
        <v>141.38028</v>
      </c>
      <c r="AT44" s="304" cm="1">
        <f t="array" ref="AT44">_xlfn.SINGLE(IF(ISERROR(_xll.FDSB($C$2,"FE_ESTIMATE(PL_COS_1,MEAN,QUARTERLY_ROLL,"&amp;AT$9&amp;","&amp;$C$5&amp;",,,'')")), "--", _xll.FDSB($C$2,"FE_ESTIMATE(PL_COS_1,MEAN,QUARTERLY_ROLL,"&amp;AT$9&amp;","&amp;$C$5&amp;",,,'')")))</f>
        <v>151.39525</v>
      </c>
      <c r="AU44" s="304" cm="1">
        <f t="array" ref="AU44">_xlfn.SINGLE(IF(ISERROR(_xll.FDSB($C$2,"FE_ESTIMATE(PL_COS_1,MEAN,QUARTERLY_ROLL,"&amp;AU$9&amp;","&amp;$C$5&amp;",,,'')")), "--", _xll.FDSB($C$2,"FE_ESTIMATE(PL_COS_1,MEAN,QUARTERLY_ROLL,"&amp;AU$9&amp;","&amp;$C$5&amp;",,,'')")))</f>
        <v>162.0968</v>
      </c>
      <c r="AV44" s="305" cm="1">
        <f t="array" ref="AV44">_xlfn.SINGLE(IF(ISERROR(_xll.FDSB($C$2,"FE_ESTIMATE(PL_COS_1,MEAN,ANNUAL_ROLL,"&amp;AV$9&amp;","&amp;$C$5&amp;",,,'')")), "--", _xll.FDSB($C$2,"FE_ESTIMATE(PL_COS_1,MEAN,ANNUAL_ROLL,"&amp;AV$9&amp;","&amp;$C$5&amp;",,,'')")))</f>
        <v>590.73050000000001</v>
      </c>
      <c r="AW44" s="304" cm="1">
        <f t="array" ref="AW44">_xlfn.SINGLE(IF(ISERROR(_xll.FDSB($C$2,"FE_ESTIMATE(PL_COS_1,MEAN,QUARTERLY_ROLL,"&amp;AW$9&amp;","&amp;$C$5&amp;",,,'')")), "--", _xll.FDSB($C$2,"FE_ESTIMATE(PL_COS_1,MEAN,QUARTERLY_ROLL,"&amp;AW$9&amp;","&amp;$C$5&amp;",,,'')")))</f>
        <v>182.29464999999999</v>
      </c>
      <c r="AX44" s="304" cm="1">
        <f t="array" ref="AX44">_xlfn.SINGLE(IF(ISERROR(_xll.FDSB($C$2,"FE_ESTIMATE(PL_COS_1,MEAN,QUARTERLY_ROLL,"&amp;AX$9&amp;","&amp;$C$5&amp;",,,'')")), "--", _xll.FDSB($C$2,"FE_ESTIMATE(PL_COS_1,MEAN,QUARTERLY_ROLL,"&amp;AX$9&amp;","&amp;$C$5&amp;",,,'')")))</f>
        <v>195.49573000000001</v>
      </c>
      <c r="AY44" s="304" cm="1">
        <f t="array" ref="AY44">_xlfn.SINGLE(IF(ISERROR(_xll.FDSB($C$2,"FE_ESTIMATE(PL_COS_1,MEAN,QUARTERLY_ROLL,"&amp;AY$9&amp;","&amp;$C$5&amp;",,,'')")), "--", _xll.FDSB($C$2,"FE_ESTIMATE(PL_COS_1,MEAN,QUARTERLY_ROLL,"&amp;AY$9&amp;","&amp;$C$5&amp;",,,'')")))</f>
        <v>213.37277</v>
      </c>
      <c r="AZ44" s="304" cm="1">
        <f t="array" ref="AZ44">_xlfn.SINGLE(IF(ISERROR(_xll.FDSB($C$2,"FE_ESTIMATE(PL_COS_1,MEAN,QUARTERLY_ROLL,"&amp;AZ$9&amp;","&amp;$C$5&amp;",,,'')")), "--", _xll.FDSB($C$2,"FE_ESTIMATE(PL_COS_1,MEAN,QUARTERLY_ROLL,"&amp;AZ$9&amp;","&amp;$C$5&amp;",,,'')")))</f>
        <v>227.99943999999999</v>
      </c>
      <c r="BA44" s="305" cm="1">
        <f t="array" ref="BA44">_xlfn.SINGLE(IF(ISERROR(_xll.FDSB($C$2,"FE_ESTIMATE(PL_COS_1,MEAN,ANNUAL_ROLL,"&amp;BA$9&amp;","&amp;$C$5&amp;",,,'')")), "--", _xll.FDSB($C$2,"FE_ESTIMATE(PL_COS_1,MEAN,ANNUAL_ROLL,"&amp;BA$9&amp;","&amp;$C$5&amp;",,,'')")))</f>
        <v>819.09730000000002</v>
      </c>
      <c r="BB44" s="304" cm="1">
        <f t="array" ref="BB44">_xlfn.SINGLE(IF(ISERROR(_xll.FDSB($C$2,"FE_ESTIMATE(PL_COS_1,MEAN,QUARTERLY_ROLL,"&amp;BB$9&amp;","&amp;$C$5&amp;",,,'')")), "--", _xll.FDSB($C$2,"FE_ESTIMATE(PL_COS_1,MEAN,QUARTERLY_ROLL,"&amp;BB$9&amp;","&amp;$C$5&amp;",,,'')")))</f>
        <v>242.69853000000001</v>
      </c>
      <c r="BC44" s="304" cm="1">
        <f t="array" ref="BC44">_xlfn.SINGLE(IF(ISERROR(_xll.FDSB($C$2,"FE_ESTIMATE(PL_COS_1,MEAN,QUARTERLY_ROLL,"&amp;BC$9&amp;","&amp;$C$5&amp;",,,'')")), "--", _xll.FDSB($C$2,"FE_ESTIMATE(PL_COS_1,MEAN,QUARTERLY_ROLL,"&amp;BC$9&amp;","&amp;$C$5&amp;",,,'')")))</f>
        <v>256.89249999999998</v>
      </c>
      <c r="BD44" s="304" cm="1">
        <f t="array" ref="BD44">_xlfn.SINGLE(IF(ISERROR(_xll.FDSB($C$2,"FE_ESTIMATE(PL_COS_1,MEAN,QUARTERLY_ROLL,"&amp;BD$9&amp;","&amp;$C$5&amp;",,,'')")), "--", _xll.FDSB($C$2,"FE_ESTIMATE(PL_COS_1,MEAN,QUARTERLY_ROLL,"&amp;BD$9&amp;","&amp;$C$5&amp;",,,'')")))</f>
        <v>282.71042</v>
      </c>
      <c r="BE44" s="304" cm="1">
        <f t="array" ref="BE44">_xlfn.SINGLE(IF(ISERROR(_xll.FDSB($C$2,"FE_ESTIMATE(PL_COS_1,MEAN,QUARTERLY_ROLL,"&amp;BE$9&amp;","&amp;$C$5&amp;",,,'')")), "--", _xll.FDSB($C$2,"FE_ESTIMATE(PL_COS_1,MEAN,QUARTERLY_ROLL,"&amp;BE$9&amp;","&amp;$C$5&amp;",,,'')")))</f>
        <v>298.47363000000001</v>
      </c>
      <c r="BF44" s="305" cm="1">
        <f t="array" ref="BF44">_xlfn.SINGLE(IF(ISERROR(_xll.FDSB($C$2,"FE_ESTIMATE(PL_COS_1,MEAN,ANNUAL_ROLL,"&amp;BF$9&amp;","&amp;$C$5&amp;",,,'')")), "--", _xll.FDSB($C$2,"FE_ESTIMATE(PL_COS_1,MEAN,ANNUAL_ROLL,"&amp;BF$9&amp;","&amp;$C$5&amp;",,,'')")))</f>
        <v>1080.7028</v>
      </c>
      <c r="BG44" s="304" cm="1">
        <f t="array" ref="BG44">_xlfn.SINGLE(IF(ISERROR(_xll.FDSB($C$2,"FE_ESTIMATE(PL_COS_1,MEAN,QUARTERLY_ROLL,"&amp;BG$9&amp;","&amp;$C$5&amp;",,,'')")), "--", _xll.FDSB($C$2,"FE_ESTIMATE(PL_COS_1,MEAN,QUARTERLY_ROLL,"&amp;BG$9&amp;","&amp;$C$5&amp;",,,'')")))</f>
        <v>305.8449</v>
      </c>
      <c r="BH44" s="304" cm="1">
        <f t="array" ref="BH44">_xlfn.SINGLE(IF(ISERROR(_xll.FDSB($C$2,"FE_ESTIMATE(PL_COS_1,MEAN,QUARTERLY_ROLL,"&amp;BH$9&amp;","&amp;$C$5&amp;",,,'')")), "--", _xll.FDSB($C$2,"FE_ESTIMATE(PL_COS_1,MEAN,QUARTERLY_ROLL,"&amp;BH$9&amp;","&amp;$C$5&amp;",,,'')")))</f>
        <v>326.60050000000001</v>
      </c>
      <c r="BI44" s="304" cm="1">
        <f t="array" ref="BI44">_xlfn.SINGLE(IF(ISERROR(_xll.FDSB($C$2,"FE_ESTIMATE(PL_COS_1,MEAN,QUARTERLY_ROLL,"&amp;BI$9&amp;","&amp;$C$5&amp;",,,'')")), "--", _xll.FDSB($C$2,"FE_ESTIMATE(PL_COS_1,MEAN,QUARTERLY_ROLL,"&amp;BI$9&amp;","&amp;$C$5&amp;",,,'')")))</f>
        <v>343.53879999999998</v>
      </c>
      <c r="BJ44" s="304" cm="1">
        <f t="array" ref="BJ44">_xlfn.SINGLE(IF(ISERROR(_xll.FDSB($C$2,"FE_ESTIMATE(PL_COS_1,MEAN,QUARTERLY_ROLL,"&amp;BJ$9&amp;","&amp;$C$5&amp;",,,'')")), "--", _xll.FDSB($C$2,"FE_ESTIMATE(PL_COS_1,MEAN,QUARTERLY_ROLL,"&amp;BJ$9&amp;","&amp;$C$5&amp;",,,'')")))</f>
        <v>358.72329999999999</v>
      </c>
      <c r="BK44" s="305" cm="1">
        <f t="array" ref="BK44">_xlfn.SINGLE(IF(ISERROR(_xll.FDSB($C$2,"FE_ESTIMATE(PL_COS_1,MEAN,ANNUAL_ROLL,"&amp;BK$9&amp;","&amp;$C$5&amp;",,,'')")), "--", _xll.FDSB($C$2,"FE_ESTIMATE(PL_COS_1,MEAN,ANNUAL_ROLL,"&amp;BK$9&amp;","&amp;$C$5&amp;",,,'')")))</f>
        <v>1336.6338000000001</v>
      </c>
      <c r="BL44" s="304" cm="1">
        <f t="array" ref="BL44">_xlfn.SINGLE(IF(ISERROR(_xll.FDSB($C$2,"FE_ESTIMATE(PL_COS_1,MEAN,QUARTERLY_ROLL,"&amp;BL$9&amp;","&amp;$C$5&amp;",,,'')")), "--", _xll.FDSB($C$2,"FE_ESTIMATE(PL_COS_1,MEAN,QUARTERLY_ROLL,"&amp;BL$9&amp;","&amp;$C$5&amp;",,,'')")))</f>
        <v>375</v>
      </c>
      <c r="BM44" s="304" cm="1">
        <f t="array" ref="BM44">_xlfn.SINGLE(IF(ISERROR(_xll.FDSB($C$2,"FE_ESTIMATE(PL_COS_1,MEAN,QUARTERLY_ROLL,"&amp;BM$9&amp;","&amp;$C$5&amp;",,,'')")), "--", _xll.FDSB($C$2,"FE_ESTIMATE(PL_COS_1,MEAN,QUARTERLY_ROLL,"&amp;BM$9&amp;","&amp;$C$5&amp;",,,'')")))</f>
        <v>404.93331999999998</v>
      </c>
      <c r="BN44" s="304" cm="1">
        <f t="array" ref="BN44">_xlfn.SINGLE(IF(ISERROR(_xll.FDSB($C$2,"FE_ESTIMATE(PL_COS_1,MEAN,QUARTERLY_ROLL,"&amp;BN$9&amp;","&amp;$C$5&amp;",,,'')")), "--", _xll.FDSB($C$2,"FE_ESTIMATE(PL_COS_1,MEAN,QUARTERLY_ROLL,"&amp;BN$9&amp;","&amp;$C$5&amp;",,,'')")))</f>
        <v>418.1</v>
      </c>
      <c r="BO44" s="304" cm="1">
        <f t="array" ref="BO44">_xlfn.SINGLE(IF(ISERROR(_xll.FDSB($C$2,"FE_ESTIMATE(PL_COS_1,MEAN,QUARTERLY_ROLL,"&amp;BO$9&amp;","&amp;$C$5&amp;",,,'')")), "--", _xll.FDSB($C$2,"FE_ESTIMATE(PL_COS_1,MEAN,QUARTERLY_ROLL,"&amp;BO$9&amp;","&amp;$C$5&amp;",,,'')")))</f>
        <v>430.93331999999998</v>
      </c>
      <c r="BP44" s="305" cm="1">
        <f t="array" ref="BP44">_xlfn.SINGLE(IF(ISERROR(_xll.FDSB($C$2,"FE_ESTIMATE(PL_COS_1,MEAN,ANNUAL_ROLL,"&amp;BP$9&amp;","&amp;$C$5&amp;",,,'')")), "--", _xll.FDSB($C$2,"FE_ESTIMATE(PL_COS_1,MEAN,ANNUAL_ROLL,"&amp;BP$9&amp;","&amp;$C$5&amp;",,,'')")))</f>
        <v>1625.5333000000001</v>
      </c>
    </row>
    <row r="45" spans="1:68" s="337" customFormat="1" outlineLevel="1">
      <c r="A45" s="333"/>
      <c r="B45" s="334" t="s">
        <v>32</v>
      </c>
      <c r="C45" s="334"/>
      <c r="D45" s="335"/>
      <c r="E45" s="335"/>
      <c r="F45" s="335"/>
      <c r="G45" s="335"/>
      <c r="H45" s="336"/>
      <c r="I45" s="335" t="str">
        <f t="shared" ref="I45:AN45" si="19">IFERROR(I44/D44-1,"--")</f>
        <v>--</v>
      </c>
      <c r="J45" s="335" t="str">
        <f t="shared" si="19"/>
        <v>--</v>
      </c>
      <c r="K45" s="335" t="str">
        <f t="shared" si="19"/>
        <v>--</v>
      </c>
      <c r="L45" s="335" t="str">
        <f t="shared" si="19"/>
        <v>--</v>
      </c>
      <c r="M45" s="336" t="str">
        <f t="shared" si="19"/>
        <v>--</v>
      </c>
      <c r="N45" s="335" t="str">
        <f t="shared" si="19"/>
        <v>--</v>
      </c>
      <c r="O45" s="335" t="str">
        <f t="shared" si="19"/>
        <v>--</v>
      </c>
      <c r="P45" s="335" t="str">
        <f t="shared" si="19"/>
        <v>--</v>
      </c>
      <c r="Q45" s="335" t="str">
        <f t="shared" si="19"/>
        <v>--</v>
      </c>
      <c r="R45" s="336" t="str">
        <f t="shared" si="19"/>
        <v>--</v>
      </c>
      <c r="S45" s="335" t="str">
        <f t="shared" si="19"/>
        <v>--</v>
      </c>
      <c r="T45" s="335" t="str">
        <f t="shared" si="19"/>
        <v>--</v>
      </c>
      <c r="U45" s="335" t="str">
        <f t="shared" si="19"/>
        <v>--</v>
      </c>
      <c r="V45" s="335" t="str">
        <f t="shared" si="19"/>
        <v>--</v>
      </c>
      <c r="W45" s="336" t="str">
        <f t="shared" si="19"/>
        <v>--</v>
      </c>
      <c r="X45" s="335" t="str">
        <f t="shared" si="19"/>
        <v>--</v>
      </c>
      <c r="Y45" s="335" t="str">
        <f t="shared" si="19"/>
        <v>--</v>
      </c>
      <c r="Z45" s="335" t="str">
        <f t="shared" si="19"/>
        <v>--</v>
      </c>
      <c r="AA45" s="335" t="str">
        <f t="shared" si="19"/>
        <v>--</v>
      </c>
      <c r="AB45" s="336" t="str">
        <f t="shared" si="19"/>
        <v>--</v>
      </c>
      <c r="AC45" s="335" t="str">
        <f t="shared" si="19"/>
        <v>--</v>
      </c>
      <c r="AD45" s="335" t="str">
        <f t="shared" si="19"/>
        <v>--</v>
      </c>
      <c r="AE45" s="335" t="str">
        <f t="shared" si="19"/>
        <v>--</v>
      </c>
      <c r="AF45" s="335" t="str">
        <f t="shared" si="19"/>
        <v>--</v>
      </c>
      <c r="AG45" s="336" t="str">
        <f t="shared" si="19"/>
        <v>--</v>
      </c>
      <c r="AH45" s="335" t="str">
        <f t="shared" si="19"/>
        <v>--</v>
      </c>
      <c r="AI45" s="335">
        <f t="shared" si="19"/>
        <v>0.60970929477388869</v>
      </c>
      <c r="AJ45" s="335">
        <f t="shared" si="19"/>
        <v>0.80546964281411082</v>
      </c>
      <c r="AK45" s="335">
        <f t="shared" si="19"/>
        <v>0.65897886915041548</v>
      </c>
      <c r="AL45" s="336">
        <f t="shared" si="19"/>
        <v>0.70602665438854872</v>
      </c>
      <c r="AM45" s="335">
        <f t="shared" si="19"/>
        <v>0.66698848404120792</v>
      </c>
      <c r="AN45" s="335">
        <f t="shared" si="19"/>
        <v>0.72251333408228913</v>
      </c>
      <c r="AO45" s="335">
        <f t="shared" ref="AO45:BP45" si="20">IFERROR(AO44/AJ44-1,"--")</f>
        <v>0.62519049301105123</v>
      </c>
      <c r="AP45" s="335">
        <f t="shared" si="20"/>
        <v>0.54465576219058587</v>
      </c>
      <c r="AQ45" s="336">
        <f t="shared" si="20"/>
        <v>0.62683219646695254</v>
      </c>
      <c r="AR45" s="335">
        <f t="shared" si="20"/>
        <v>0.37455938467899741</v>
      </c>
      <c r="AS45" s="335">
        <f t="shared" si="20"/>
        <v>0.21969630502113069</v>
      </c>
      <c r="AT45" s="335">
        <f t="shared" si="20"/>
        <v>0.17519538042128269</v>
      </c>
      <c r="AU45" s="335">
        <f t="shared" si="20"/>
        <v>0.16692740078095691</v>
      </c>
      <c r="AV45" s="336">
        <f t="shared" si="20"/>
        <v>0.22744874185623476</v>
      </c>
      <c r="AW45" s="335">
        <f t="shared" si="20"/>
        <v>0.341396641656452</v>
      </c>
      <c r="AX45" s="335">
        <f t="shared" si="20"/>
        <v>0.38276519186409885</v>
      </c>
      <c r="AY45" s="335">
        <f t="shared" si="20"/>
        <v>0.40937559137423407</v>
      </c>
      <c r="AZ45" s="335">
        <f t="shared" si="20"/>
        <v>0.40656348552223109</v>
      </c>
      <c r="BA45" s="336">
        <f t="shared" si="20"/>
        <v>0.38658372980572353</v>
      </c>
      <c r="BB45" s="335">
        <f t="shared" si="20"/>
        <v>0.33135300459997064</v>
      </c>
      <c r="BC45" s="335">
        <f t="shared" si="20"/>
        <v>0.31405683387560424</v>
      </c>
      <c r="BD45" s="335">
        <f t="shared" si="20"/>
        <v>0.32496016244247095</v>
      </c>
      <c r="BE45" s="335">
        <f t="shared" si="20"/>
        <v>0.30909808374967951</v>
      </c>
      <c r="BF45" s="336">
        <f t="shared" si="20"/>
        <v>0.31938269116501794</v>
      </c>
      <c r="BG45" s="335">
        <f t="shared" si="20"/>
        <v>0.26018439419472372</v>
      </c>
      <c r="BH45" s="335">
        <f t="shared" si="20"/>
        <v>0.27135085687593063</v>
      </c>
      <c r="BI45" s="335">
        <f t="shared" si="20"/>
        <v>0.21516143621448403</v>
      </c>
      <c r="BJ45" s="335">
        <f t="shared" si="20"/>
        <v>0.20185927312908669</v>
      </c>
      <c r="BK45" s="336">
        <f t="shared" si="20"/>
        <v>0.23681904035040913</v>
      </c>
      <c r="BL45" s="335">
        <f t="shared" si="20"/>
        <v>0.22611166640346148</v>
      </c>
      <c r="BM45" s="335">
        <f t="shared" si="20"/>
        <v>0.23984292736845148</v>
      </c>
      <c r="BN45" s="335">
        <f t="shared" si="20"/>
        <v>0.21703865764216457</v>
      </c>
      <c r="BO45" s="335">
        <f t="shared" si="20"/>
        <v>0.20129726728093766</v>
      </c>
      <c r="BP45" s="336">
        <f t="shared" si="20"/>
        <v>0.2161396038316552</v>
      </c>
    </row>
    <row r="46" spans="1:68" s="337" customFormat="1" outlineLevel="1">
      <c r="A46" s="333"/>
      <c r="B46" s="334" t="s">
        <v>33</v>
      </c>
      <c r="C46" s="334"/>
      <c r="D46" s="335"/>
      <c r="E46" s="335"/>
      <c r="F46" s="335"/>
      <c r="G46" s="335"/>
      <c r="H46" s="336"/>
      <c r="I46" s="335" t="str">
        <f>IFERROR(I44/G44-1,"--")</f>
        <v>--</v>
      </c>
      <c r="J46" s="335" t="str">
        <f>IFERROR(J44/I44-1,"--")</f>
        <v>--</v>
      </c>
      <c r="K46" s="335" t="str">
        <f>IFERROR(K44/J44-1,"--")</f>
        <v>--</v>
      </c>
      <c r="L46" s="335" t="str">
        <f>IFERROR(L44/K44-1,"--")</f>
        <v>--</v>
      </c>
      <c r="M46" s="336"/>
      <c r="N46" s="335" t="str">
        <f>IFERROR(N44/L44-1,"--")</f>
        <v>--</v>
      </c>
      <c r="O46" s="335" t="str">
        <f>IFERROR(O44/N44-1,"--")</f>
        <v>--</v>
      </c>
      <c r="P46" s="335" t="str">
        <f>IFERROR(P44/O44-1,"--")</f>
        <v>--</v>
      </c>
      <c r="Q46" s="335" t="str">
        <f>IFERROR(Q44/P44-1,"--")</f>
        <v>--</v>
      </c>
      <c r="R46" s="336"/>
      <c r="S46" s="335" t="str">
        <f>IFERROR(S44/Q44-1,"--")</f>
        <v>--</v>
      </c>
      <c r="T46" s="335" t="str">
        <f>IFERROR(T44/S44-1,"--")</f>
        <v>--</v>
      </c>
      <c r="U46" s="335" t="str">
        <f>IFERROR(U44/T44-1,"--")</f>
        <v>--</v>
      </c>
      <c r="V46" s="335" t="str">
        <f>IFERROR(V44/U44-1,"--")</f>
        <v>--</v>
      </c>
      <c r="W46" s="336"/>
      <c r="X46" s="335" t="str">
        <f>IFERROR(X44/V44-1,"--")</f>
        <v>--</v>
      </c>
      <c r="Y46" s="335" t="str">
        <f>IFERROR(Y44/X44-1,"--")</f>
        <v>--</v>
      </c>
      <c r="Z46" s="335" t="str">
        <f>IFERROR(Z44/Y44-1,"--")</f>
        <v>--</v>
      </c>
      <c r="AA46" s="335" t="str">
        <f>IFERROR(AA44/Z44-1,"--")</f>
        <v>--</v>
      </c>
      <c r="AB46" s="336"/>
      <c r="AC46" s="335" t="str">
        <f>IFERROR(AC44/AA44-1,"--")</f>
        <v>--</v>
      </c>
      <c r="AD46" s="335" t="str">
        <f>IFERROR(AD44/AC44-1,"--")</f>
        <v>--</v>
      </c>
      <c r="AE46" s="335">
        <f>IFERROR(AE44/AD44-1,"--")</f>
        <v>5.022082344912282E-2</v>
      </c>
      <c r="AF46" s="335">
        <f>IFERROR(AF44/AE44-1,"--")</f>
        <v>0.23466839266053841</v>
      </c>
      <c r="AG46" s="336"/>
      <c r="AH46" s="335">
        <f>IFERROR(AH44/AF44-1,"--")</f>
        <v>9.4113964249080473E-2</v>
      </c>
      <c r="AI46" s="335">
        <f>IFERROR(AI44/AH44-1,"--")</f>
        <v>0.13462914566086082</v>
      </c>
      <c r="AJ46" s="335">
        <f>IFERROR(AJ44/AI44-1,"--")</f>
        <v>0.17794052699122598</v>
      </c>
      <c r="AK46" s="335">
        <f>IFERROR(AK44/AJ44-1,"--")</f>
        <v>0.13449084119695209</v>
      </c>
      <c r="AL46" s="336"/>
      <c r="AM46" s="335">
        <f>IFERROR(AM44/AK44-1,"--")</f>
        <v>9.9396389277653041E-2</v>
      </c>
      <c r="AN46" s="335">
        <f>IFERROR(AN44/AM44-1,"--")</f>
        <v>0.17242191613779356</v>
      </c>
      <c r="AO46" s="335">
        <f>IFERROR(AO44/AN44-1,"--")</f>
        <v>0.11138631435819879</v>
      </c>
      <c r="AP46" s="335">
        <f>IFERROR(AP44/AO44-1,"--")</f>
        <v>7.8272253340951004E-2</v>
      </c>
      <c r="AQ46" s="336"/>
      <c r="AR46" s="335">
        <f>IFERROR(AR44/AP44-1,"--")</f>
        <v>-2.1668347502434737E-2</v>
      </c>
      <c r="AS46" s="335">
        <f>IFERROR(AS44/AR44-1,"--")</f>
        <v>4.0332411227915088E-2</v>
      </c>
      <c r="AT46" s="335">
        <f>IFERROR(AT44/AS44-1,"--")</f>
        <v>7.0837106844037878E-2</v>
      </c>
      <c r="AU46" s="335">
        <f>IFERROR(AU44/AT44-1,"--")</f>
        <v>7.0686167498650088E-2</v>
      </c>
      <c r="AV46" s="336"/>
      <c r="AW46" s="335">
        <f>IFERROR(AW44/AU44-1,"--")</f>
        <v>0.12460363190389923</v>
      </c>
      <c r="AX46" s="335">
        <f>IFERROR(AX44/AW44-1,"--")</f>
        <v>7.241616800054218E-2</v>
      </c>
      <c r="AY46" s="335">
        <f>IFERROR(AY44/AX44-1,"--")</f>
        <v>9.1444657128828322E-2</v>
      </c>
      <c r="AZ46" s="335">
        <f>IFERROR(AZ44/AY44-1,"--")</f>
        <v>6.8549843543766142E-2</v>
      </c>
      <c r="BA46" s="336"/>
      <c r="BB46" s="335">
        <f>IFERROR(BB44/AZ44-1,"--")</f>
        <v>6.4469851329459482E-2</v>
      </c>
      <c r="BC46" s="335">
        <f>IFERROR(BC44/BB44-1,"--")</f>
        <v>5.8483955382836461E-2</v>
      </c>
      <c r="BD46" s="335">
        <f>IFERROR(BD44/BC44-1,"--")</f>
        <v>0.10050087098689153</v>
      </c>
      <c r="BE46" s="335">
        <f>IFERROR(BE44/BD44-1,"--")</f>
        <v>5.5757442544919433E-2</v>
      </c>
      <c r="BF46" s="336"/>
      <c r="BG46" s="335">
        <f>IFERROR(BG44/BE44-1,"--")</f>
        <v>2.4696553595036086E-2</v>
      </c>
      <c r="BH46" s="335">
        <f>IFERROR(BH44/BG44-1,"--")</f>
        <v>6.7863155475209824E-2</v>
      </c>
      <c r="BI46" s="335">
        <f>IFERROR(BI44/BH44-1,"--")</f>
        <v>5.186244356637526E-2</v>
      </c>
      <c r="BJ46" s="335">
        <f>IFERROR(BJ44/BI44-1,"--")</f>
        <v>4.4200247541180238E-2</v>
      </c>
      <c r="BK46" s="336"/>
      <c r="BL46" s="335">
        <f>IFERROR(BL44/BJ44-1,"--")</f>
        <v>4.5373969296112149E-2</v>
      </c>
      <c r="BM46" s="335">
        <f>IFERROR(BM44/BL44-1,"--")</f>
        <v>7.9822186666666628E-2</v>
      </c>
      <c r="BN46" s="335">
        <f>IFERROR(BN44/BM44-1,"--")</f>
        <v>3.2515674432521458E-2</v>
      </c>
      <c r="BO46" s="335">
        <f>IFERROR(BO44/BN44-1,"--")</f>
        <v>3.0694379335087119E-2</v>
      </c>
      <c r="BP46" s="336"/>
    </row>
    <row r="47" spans="1:68" s="310" customFormat="1" outlineLevel="1">
      <c r="A47" s="338"/>
      <c r="B47" s="307" t="s">
        <v>214</v>
      </c>
      <c r="C47" s="339"/>
      <c r="D47" s="335" t="str">
        <f t="shared" ref="D47:I47" si="21">IFERROR(D44/D$40,"--")</f>
        <v>--</v>
      </c>
      <c r="E47" s="335" t="str">
        <f t="shared" si="21"/>
        <v>--</v>
      </c>
      <c r="F47" s="335" t="str">
        <f t="shared" si="21"/>
        <v>--</v>
      </c>
      <c r="G47" s="335" t="str">
        <f t="shared" si="21"/>
        <v>--</v>
      </c>
      <c r="H47" s="336" t="str">
        <f t="shared" si="21"/>
        <v>--</v>
      </c>
      <c r="I47" s="335" t="str">
        <f t="shared" si="21"/>
        <v>--</v>
      </c>
      <c r="J47" s="335" t="str">
        <f>IFERROR((J30-J44)/J30,"--")</f>
        <v>--</v>
      </c>
      <c r="K47" s="335" t="str">
        <f>IFERROR((K30-K44)/K30,"--")</f>
        <v>--</v>
      </c>
      <c r="L47" s="335" t="str">
        <f>IFERROR((L30-L44)/L30,"--")</f>
        <v>--</v>
      </c>
      <c r="M47" s="336" t="str">
        <f>IFERROR((M30-M44)/M30,"--")</f>
        <v>--</v>
      </c>
      <c r="N47" s="335" t="str">
        <f>IFERROR(N44/N$40,"--")</f>
        <v>--</v>
      </c>
      <c r="O47" s="335" t="str">
        <f>IFERROR((O30-O44)/O30,"--")</f>
        <v>--</v>
      </c>
      <c r="P47" s="335" t="str">
        <f>IFERROR((P30-P44)/P30,"--")</f>
        <v>--</v>
      </c>
      <c r="Q47" s="335" t="str">
        <f>IFERROR((Q30-Q44)/Q30,"--")</f>
        <v>--</v>
      </c>
      <c r="R47" s="336" t="str">
        <f>IFERROR((R30-R44)/R30,"--")</f>
        <v>--</v>
      </c>
      <c r="S47" s="335" t="str">
        <f>IFERROR(S44/S$40,"--")</f>
        <v>--</v>
      </c>
      <c r="T47" s="335" t="str">
        <f>IFERROR((T30-T44)/T30,"--")</f>
        <v>--</v>
      </c>
      <c r="U47" s="335" t="str">
        <f>IFERROR((U30-U44)/U30,"--")</f>
        <v>--</v>
      </c>
      <c r="V47" s="335" t="str">
        <f>IFERROR((V30-V44)/V30,"--")</f>
        <v>--</v>
      </c>
      <c r="W47" s="336" t="str">
        <f>IFERROR((W30-W44)/W30,"--")</f>
        <v>--</v>
      </c>
      <c r="X47" s="335" t="str">
        <f>IFERROR(X44/X$40,"--")</f>
        <v>--</v>
      </c>
      <c r="Y47" s="335" t="str">
        <f>IFERROR((Y30-Y44)/Y30,"--")</f>
        <v>--</v>
      </c>
      <c r="Z47" s="335" t="str">
        <f>IFERROR((Z30-Z44)/Z30,"--")</f>
        <v>--</v>
      </c>
      <c r="AA47" s="335" t="str">
        <f>IFERROR((AA30-AA44)/AA30,"--")</f>
        <v>--</v>
      </c>
      <c r="AB47" s="336" t="str">
        <f>IFERROR((AB30-AB44)/AB30,"--")</f>
        <v>--</v>
      </c>
      <c r="AC47" s="335" t="str">
        <f>IFERROR(AC44/AC$40,"--")</f>
        <v>--</v>
      </c>
      <c r="AD47" s="335">
        <f>IFERROR((AD30-AD44)/AD30,"--")</f>
        <v>0.66610675538775166</v>
      </c>
      <c r="AE47" s="335">
        <f t="shared" ref="AE47:BK47" si="22">IFERROR((AE30-AE44)/AE30,"--")</f>
        <v>0.70434770370370359</v>
      </c>
      <c r="AF47" s="335">
        <f t="shared" si="22"/>
        <v>0.69597681996634886</v>
      </c>
      <c r="AG47" s="336">
        <f t="shared" si="22"/>
        <v>0.68688115075280709</v>
      </c>
      <c r="AH47" s="335">
        <f t="shared" si="22"/>
        <v>0.72263480334845442</v>
      </c>
      <c r="AI47" s="335">
        <f t="shared" si="22"/>
        <v>0.73571232763733041</v>
      </c>
      <c r="AJ47" s="335">
        <f t="shared" si="22"/>
        <v>0.74630830383603564</v>
      </c>
      <c r="AK47" s="335">
        <f t="shared" si="22"/>
        <v>0.74989064351231238</v>
      </c>
      <c r="AL47" s="336">
        <f t="shared" si="22"/>
        <v>0.740606083988254</v>
      </c>
      <c r="AM47" s="335">
        <f t="shared" si="22"/>
        <v>0.74934356571695149</v>
      </c>
      <c r="AN47" s="335">
        <f t="shared" si="22"/>
        <v>0.75139977437868344</v>
      </c>
      <c r="AO47" s="335">
        <f t="shared" si="22"/>
        <v>0.75356268364348677</v>
      </c>
      <c r="AP47" s="335">
        <f t="shared" si="22"/>
        <v>0.74986166758804229</v>
      </c>
      <c r="AQ47" s="336">
        <f t="shared" si="22"/>
        <v>0.75176853727312443</v>
      </c>
      <c r="AR47" s="335">
        <f t="shared" si="22"/>
        <v>0.76969058013259406</v>
      </c>
      <c r="AS47" s="335">
        <f t="shared" si="22"/>
        <v>0.77916542878966089</v>
      </c>
      <c r="AT47" s="335">
        <f t="shared" si="22"/>
        <v>0.78324979455330013</v>
      </c>
      <c r="AU47" s="335">
        <f t="shared" si="22"/>
        <v>0.78038342207589861</v>
      </c>
      <c r="AV47" s="336">
        <f t="shared" si="22"/>
        <v>0.77849120816364181</v>
      </c>
      <c r="AW47" s="335">
        <f t="shared" si="22"/>
        <v>0.76912658136468803</v>
      </c>
      <c r="AX47" s="335">
        <f t="shared" si="22"/>
        <v>0.76424994874886953</v>
      </c>
      <c r="AY47" s="335">
        <f t="shared" si="22"/>
        <v>0.76299340651040448</v>
      </c>
      <c r="AZ47" s="335">
        <f t="shared" si="22"/>
        <v>0.75829670848073216</v>
      </c>
      <c r="BA47" s="336">
        <f t="shared" si="22"/>
        <v>0.76343227370898181</v>
      </c>
      <c r="BB47" s="335">
        <f t="shared" si="22"/>
        <v>0.75652551682211211</v>
      </c>
      <c r="BC47" s="335">
        <f t="shared" si="22"/>
        <v>0.7644260043136335</v>
      </c>
      <c r="BD47" s="335">
        <f t="shared" si="22"/>
        <v>0.75024381030325138</v>
      </c>
      <c r="BE47" s="335">
        <f t="shared" si="22"/>
        <v>0.747931734389642</v>
      </c>
      <c r="BF47" s="336">
        <f t="shared" si="22"/>
        <v>0.75484558124539758</v>
      </c>
      <c r="BG47" s="335">
        <f t="shared" si="22"/>
        <v>0.75426097365378197</v>
      </c>
      <c r="BH47" s="335">
        <f t="shared" si="22"/>
        <v>0.7552237832781975</v>
      </c>
      <c r="BI47" s="335">
        <f t="shared" si="22"/>
        <v>0.75553703017798235</v>
      </c>
      <c r="BJ47" s="335">
        <f t="shared" si="22"/>
        <v>0.756120853405996</v>
      </c>
      <c r="BK47" s="336">
        <f t="shared" si="22"/>
        <v>0.7561418997134749</v>
      </c>
      <c r="BL47" s="335">
        <f>IFERROR((BL30-BL44)/BL30,"--")</f>
        <v>0.75782878197822501</v>
      </c>
      <c r="BM47" s="335">
        <f>IFERROR((BM30-BM44)/BM30,"--")</f>
        <v>0.75530300681813911</v>
      </c>
      <c r="BN47" s="335">
        <f>IFERROR((BN30-BN44)/BN30,"--")</f>
        <v>0.75834875851602446</v>
      </c>
      <c r="BO47" s="335">
        <f>IFERROR((BO30-BO44)/BO30,"--")</f>
        <v>0.76223630008479715</v>
      </c>
      <c r="BP47" s="336">
        <f>IFERROR((BP30-BP44)/BP30,"--")</f>
        <v>0.76168206061992183</v>
      </c>
    </row>
    <row r="48" spans="1:68" outlineLevel="1">
      <c r="B48" s="307"/>
      <c r="C48" s="286"/>
      <c r="D48" s="331"/>
      <c r="E48" s="331"/>
      <c r="F48" s="331"/>
      <c r="G48" s="331"/>
      <c r="H48" s="332"/>
      <c r="I48" s="331"/>
      <c r="J48" s="331"/>
      <c r="K48" s="331"/>
      <c r="L48" s="331"/>
      <c r="M48" s="332"/>
      <c r="N48" s="331"/>
      <c r="O48" s="331"/>
      <c r="P48" s="331"/>
      <c r="Q48" s="331"/>
      <c r="R48" s="332"/>
      <c r="S48" s="331"/>
      <c r="T48" s="331"/>
      <c r="U48" s="331"/>
      <c r="V48" s="331"/>
      <c r="W48" s="332"/>
      <c r="X48" s="331"/>
      <c r="Y48" s="331"/>
      <c r="Z48" s="331"/>
      <c r="AA48" s="331"/>
      <c r="AB48" s="332"/>
      <c r="AC48" s="331"/>
      <c r="AD48" s="331"/>
      <c r="AE48" s="331"/>
      <c r="AF48" s="331"/>
      <c r="AG48" s="332"/>
      <c r="AH48" s="331"/>
      <c r="AI48" s="331"/>
      <c r="AJ48" s="331"/>
      <c r="AK48" s="331"/>
      <c r="AL48" s="332"/>
      <c r="AM48" s="331"/>
      <c r="AN48" s="331"/>
      <c r="AO48" s="331"/>
      <c r="AP48" s="331"/>
      <c r="AQ48" s="332"/>
      <c r="AR48" s="331"/>
      <c r="AS48" s="331"/>
      <c r="AT48" s="331"/>
      <c r="AU48" s="331"/>
      <c r="AV48" s="332"/>
      <c r="AW48" s="331"/>
      <c r="AX48" s="331"/>
      <c r="AY48" s="331"/>
      <c r="AZ48" s="331"/>
      <c r="BA48" s="332"/>
      <c r="BB48" s="331"/>
      <c r="BC48" s="331"/>
      <c r="BD48" s="331"/>
      <c r="BE48" s="331"/>
      <c r="BF48" s="332"/>
      <c r="BG48" s="331"/>
      <c r="BH48" s="331"/>
      <c r="BI48" s="331"/>
      <c r="BJ48" s="331"/>
      <c r="BK48" s="332"/>
      <c r="BL48" s="331"/>
      <c r="BM48" s="331"/>
      <c r="BN48" s="331"/>
      <c r="BO48" s="331"/>
      <c r="BP48" s="332"/>
    </row>
    <row r="49" spans="1:68" s="306" customFormat="1" outlineLevel="1">
      <c r="A49" s="301"/>
      <c r="B49" s="342" t="s">
        <v>215</v>
      </c>
      <c r="C49" s="303"/>
      <c r="D49" s="304" t="str" cm="1">
        <f t="array" ref="D49">_xlfn.SINGLE(IF(ISERROR(_xll.FDSB($C$2,"FE_ESTIMATE(PL_COS_2,MEAN,QUARTERLY_ROLL,"&amp;D$9&amp;","&amp;$C$5&amp;",,,'')")), "--", _xll.FDSB($C$2,"FE_ESTIMATE(PL_COS_2,MEAN,QUARTERLY_ROLL,"&amp;D$9&amp;","&amp;$C$5&amp;",,,'')")))</f>
        <v/>
      </c>
      <c r="E49" s="304" t="str" cm="1">
        <f t="array" ref="E49">_xlfn.SINGLE(IF(ISERROR(_xll.FDSB($C$2,"FE_ESTIMATE(PL_COS_2,MEAN,QUARTERLY_ROLL,"&amp;E$9&amp;","&amp;$C$5&amp;",,,'')")), "--", _xll.FDSB($C$2,"FE_ESTIMATE(PL_COS_2,MEAN,QUARTERLY_ROLL,"&amp;E$9&amp;","&amp;$C$5&amp;",,,'')")))</f>
        <v/>
      </c>
      <c r="F49" s="304" t="str" cm="1">
        <f t="array" ref="F49">_xlfn.SINGLE(IF(ISERROR(_xll.FDSB($C$2,"FE_ESTIMATE(PL_COS_2,MEAN,QUARTERLY_ROLL,"&amp;F$9&amp;","&amp;$C$5&amp;",,,'')")), "--", _xll.FDSB($C$2,"FE_ESTIMATE(PL_COS_2,MEAN,QUARTERLY_ROLL,"&amp;F$9&amp;","&amp;$C$5&amp;",,,'')")))</f>
        <v/>
      </c>
      <c r="G49" s="304" t="str" cm="1">
        <f t="array" ref="G49">_xlfn.SINGLE(IF(ISERROR(_xll.FDSB($C$2,"FE_ESTIMATE(PL_COS_2,MEAN,QUARTERLY_ROLL,"&amp;G$9&amp;","&amp;$C$5&amp;",,,'')")), "--", _xll.FDSB($C$2,"FE_ESTIMATE(PL_COS_2,MEAN,QUARTERLY_ROLL,"&amp;G$9&amp;","&amp;$C$5&amp;",,,'')")))</f>
        <v/>
      </c>
      <c r="H49" s="305" t="str" cm="1">
        <f t="array" ref="H49">_xlfn.SINGLE(IF(ISERROR(_xll.FDSB($C$2,"FE_ESTIMATE(PL_COS_2,MEAN,annual_ROLL,"&amp;H$9&amp;","&amp;$C$5&amp;",,,'')")), "--", _xll.FDSB($C$2,"FE_ESTIMATE(PL_COS_2,MEAN,ANNUAL_ROLL,"&amp;H$9&amp;","&amp;$C$5&amp;",,,'')")))</f>
        <v/>
      </c>
      <c r="I49" s="304" t="str" cm="1">
        <f t="array" ref="I49">_xlfn.SINGLE(IF(ISERROR(_xll.FDSB($C$2,"FE_ESTIMATE(PL_COS_2,MEAN,QUARTERLY_ROLL,"&amp;I$9&amp;","&amp;$C$5&amp;",,,'')")), "--", _xll.FDSB($C$2,"FE_ESTIMATE(PL_COS_2,MEAN,QUARTERLY_ROLL,"&amp;I$9&amp;","&amp;$C$5&amp;",,,'')")))</f>
        <v/>
      </c>
      <c r="J49" s="304" t="str" cm="1">
        <f t="array" ref="J49">_xlfn.SINGLE(IF(ISERROR(_xll.FDSB($C$2,"FE_ESTIMATE(PL_COS_2,MEAN,QUARTERLY_ROLL,"&amp;J$9&amp;","&amp;$C$5&amp;",,,'')")), "--", _xll.FDSB($C$2,"FE_ESTIMATE(PL_COS_2,MEAN,QUARTERLY_ROLL,"&amp;J$9&amp;","&amp;$C$5&amp;",,,'')")))</f>
        <v/>
      </c>
      <c r="K49" s="304" t="str" cm="1">
        <f t="array" ref="K49">_xlfn.SINGLE(IF(ISERROR(_xll.FDSB($C$2,"FE_ESTIMATE(PL_COS_2,MEAN,QUARTERLY_ROLL,"&amp;K$9&amp;","&amp;$C$5&amp;",,,'')")), "--", _xll.FDSB($C$2,"FE_ESTIMATE(PL_COS_2,MEAN,QUARTERLY_ROLL,"&amp;K$9&amp;","&amp;$C$5&amp;",,,'')")))</f>
        <v/>
      </c>
      <c r="L49" s="304" t="str" cm="1">
        <f t="array" ref="L49">_xlfn.SINGLE(IF(ISERROR(_xll.FDSB($C$2,"FE_ESTIMATE(PL_COS_2,MEAN,QUARTERLY_ROLL,"&amp;L$9&amp;","&amp;$C$5&amp;",,,'')")), "--", _xll.FDSB($C$2,"FE_ESTIMATE(PL_COS_2,MEAN,QUARTERLY_ROLL,"&amp;L$9&amp;","&amp;$C$5&amp;",,,'')")))</f>
        <v/>
      </c>
      <c r="M49" s="305" t="str" cm="1">
        <f t="array" ref="M49">_xlfn.SINGLE(IF(ISERROR(_xll.FDSB($C$2,"FE_ESTIMATE(PL_COS_2,MEAN,ANNUAL_ROLL,"&amp;M$9&amp;","&amp;$C$5&amp;",,,'')")), "--", _xll.FDSB($C$2,"FE_ESTIMATE(PL_COS_2,MEAN,ANNUAL_ROLL,"&amp;M$9&amp;","&amp;$C$5&amp;",,,'')")))</f>
        <v/>
      </c>
      <c r="N49" s="304" t="str" cm="1">
        <f t="array" ref="N49">_xlfn.SINGLE(IF(ISERROR(_xll.FDSB($C$2,"FE_ESTIMATE(PL_COS_2,MEAN,QUARTERLY_ROLL,"&amp;N$9&amp;","&amp;$C$5&amp;",,,'')")), "--", _xll.FDSB($C$2,"FE_ESTIMATE(PL_COS_2,MEAN,QUARTERLY_ROLL,"&amp;N$9&amp;","&amp;$C$5&amp;",,,'')")))</f>
        <v/>
      </c>
      <c r="O49" s="304" t="str" cm="1">
        <f t="array" ref="O49">_xlfn.SINGLE(IF(ISERROR(_xll.FDSB($C$2,"FE_ESTIMATE(PL_COS_2,MEAN,QUARTERLY_ROLL,"&amp;O$9&amp;","&amp;$C$5&amp;",,,'')")), "--", _xll.FDSB($C$2,"FE_ESTIMATE(PL_COS_2,MEAN,QUARTERLY_ROLL,"&amp;O$9&amp;","&amp;$C$5&amp;",,,'')")))</f>
        <v/>
      </c>
      <c r="P49" s="304" t="str" cm="1">
        <f t="array" ref="P49">_xlfn.SINGLE(IF(ISERROR(_xll.FDSB($C$2,"FE_ESTIMATE(PL_COS_2,MEAN,QUARTERLY_ROLL,"&amp;P$9&amp;","&amp;$C$5&amp;",,,'')")), "--", _xll.FDSB($C$2,"FE_ESTIMATE(PL_COS_2,MEAN,QUARTERLY_ROLL,"&amp;P$9&amp;","&amp;$C$5&amp;",,,'')")))</f>
        <v/>
      </c>
      <c r="Q49" s="304" t="str" cm="1">
        <f t="array" ref="Q49">_xlfn.SINGLE(IF(ISERROR(_xll.FDSB($C$2,"FE_ESTIMATE(PL_COS_2,MEAN,QUARTERLY_ROLL,"&amp;Q$9&amp;","&amp;$C$5&amp;",,,'')")), "--", _xll.FDSB($C$2,"FE_ESTIMATE(PL_COS_2,MEAN,QUARTERLY_ROLL,"&amp;Q$9&amp;","&amp;$C$5&amp;",,,'')")))</f>
        <v/>
      </c>
      <c r="R49" s="305" t="str" cm="1">
        <f t="array" ref="R49">_xlfn.SINGLE(IF(ISERROR(_xll.FDSB($C$2,"FE_ESTIMATE(PL_COS_2,MEAN,ANNUAL_ROLL,"&amp;R$9&amp;","&amp;$C$5&amp;",,,'')")), "--", _xll.FDSB($C$2,"FE_ESTIMATE(PL_COS_2,MEAN,ANNUAL_ROLL,"&amp;R$9&amp;","&amp;$C$5&amp;",,,'')")))</f>
        <v/>
      </c>
      <c r="S49" s="304" t="str" cm="1">
        <f t="array" ref="S49">_xlfn.SINGLE(IF(ISERROR(_xll.FDSB($C$2,"FE_ESTIMATE(PL_COS_2,MEAN,QUARTERLY_ROLL,"&amp;S$9&amp;","&amp;$C$5&amp;",,,'')")), "--", _xll.FDSB($C$2,"FE_ESTIMATE(PL_COS_2,MEAN,QUARTERLY_ROLL,"&amp;S$9&amp;","&amp;$C$5&amp;",,,'')")))</f>
        <v/>
      </c>
      <c r="T49" s="304" t="str" cm="1">
        <f t="array" ref="T49">_xlfn.SINGLE(IF(ISERROR(_xll.FDSB($C$2,"FE_ESTIMATE(PL_COS_2,MEAN,QUARTERLY_ROLL,"&amp;T$9&amp;","&amp;$C$5&amp;",,,'')")), "--", _xll.FDSB($C$2,"FE_ESTIMATE(PL_COS_2,MEAN,QUARTERLY_ROLL,"&amp;T$9&amp;","&amp;$C$5&amp;",,,'')")))</f>
        <v/>
      </c>
      <c r="U49" s="304" t="str" cm="1">
        <f t="array" ref="U49">_xlfn.SINGLE(IF(ISERROR(_xll.FDSB($C$2,"FE_ESTIMATE(PL_COS_2,MEAN,QUARTERLY_ROLL,"&amp;U$9&amp;","&amp;$C$5&amp;",,,'')")), "--", _xll.FDSB($C$2,"FE_ESTIMATE(PL_COS_2,MEAN,QUARTERLY_ROLL,"&amp;U$9&amp;","&amp;$C$5&amp;",,,'')")))</f>
        <v/>
      </c>
      <c r="V49" s="304" t="str" cm="1">
        <f t="array" ref="V49">_xlfn.SINGLE(IF(ISERROR(_xll.FDSB($C$2,"FE_ESTIMATE(PL_COS_2,MEAN,QUARTERLY_ROLL,"&amp;V$9&amp;","&amp;$C$5&amp;",,,'')")), "--", _xll.FDSB($C$2,"FE_ESTIMATE(PL_COS_2,MEAN,QUARTERLY_ROLL,"&amp;V$9&amp;","&amp;$C$5&amp;",,,'')")))</f>
        <v/>
      </c>
      <c r="W49" s="305" t="str" cm="1">
        <f t="array" ref="W49">_xlfn.SINGLE(IF(ISERROR(_xll.FDSB($C$2,"FE_ESTIMATE(PL_COS_2,MEAN,ANNUAL_ROLL,"&amp;W$9&amp;","&amp;$C$5&amp;",,,'')")), "--", _xll.FDSB($C$2,"FE_ESTIMATE(PL_COS_2,MEAN,ANNUAL_ROLL,"&amp;W$9&amp;","&amp;$C$5&amp;",,,'')")))</f>
        <v/>
      </c>
      <c r="X49" s="304" t="str" cm="1">
        <f t="array" ref="X49">_xlfn.SINGLE(IF(ISERROR(_xll.FDSB($C$2,"FE_ESTIMATE(PL_COS_2,MEAN,QUARTERLY_ROLL,"&amp;X$9&amp;","&amp;$C$5&amp;",,,'')")), "--", _xll.FDSB($C$2,"FE_ESTIMATE(PL_COS_2,MEAN,QUARTERLY_ROLL,"&amp;X$9&amp;","&amp;$C$5&amp;",,,'')")))</f>
        <v/>
      </c>
      <c r="Y49" s="304" t="str" cm="1">
        <f t="array" ref="Y49">_xlfn.SINGLE(IF(ISERROR(_xll.FDSB($C$2,"FE_ESTIMATE(PL_COS_2,MEAN,QUARTERLY_ROLL,"&amp;Y$9&amp;","&amp;$C$5&amp;",,,'')")), "--", _xll.FDSB($C$2,"FE_ESTIMATE(PL_COS_2,MEAN,QUARTERLY_ROLL,"&amp;Y$9&amp;","&amp;$C$5&amp;",,,'')")))</f>
        <v/>
      </c>
      <c r="Z49" s="304" t="str" cm="1">
        <f t="array" ref="Z49">_xlfn.SINGLE(IF(ISERROR(_xll.FDSB($C$2,"FE_ESTIMATE(PL_COS_2,MEAN,QUARTERLY_ROLL,"&amp;Z$9&amp;","&amp;$C$5&amp;",,,'')")), "--", _xll.FDSB($C$2,"FE_ESTIMATE(PL_COS_2,MEAN,QUARTERLY_ROLL,"&amp;Z$9&amp;","&amp;$C$5&amp;",,,'')")))</f>
        <v/>
      </c>
      <c r="AA49" s="304" t="str" cm="1">
        <f t="array" ref="AA49">_xlfn.SINGLE(IF(ISERROR(_xll.FDSB($C$2,"FE_ESTIMATE(PL_COS_2,MEAN,QUARTERLY_ROLL,"&amp;AA$9&amp;","&amp;$C$5&amp;",,,'')")), "--", _xll.FDSB($C$2,"FE_ESTIMATE(PL_COS_2,MEAN,QUARTERLY_ROLL,"&amp;AA$9&amp;","&amp;$C$5&amp;",,,'')")))</f>
        <v/>
      </c>
      <c r="AB49" s="305" t="str" cm="1">
        <f t="array" ref="AB49">_xlfn.SINGLE(IF(ISERROR(_xll.FDSB($C$2,"FE_ESTIMATE(PL_COS_2,MEAN,ANNUAL_ROLL,"&amp;AB$9&amp;","&amp;$C$5&amp;",,,'')")), "--", _xll.FDSB($C$2,"FE_ESTIMATE(PL_COS_2,MEAN,ANNUAL_ROLL,"&amp;AB$9&amp;","&amp;$C$5&amp;",,,'')")))</f>
        <v/>
      </c>
      <c r="AC49" s="304" t="str" cm="1">
        <f t="array" ref="AC49">_xlfn.SINGLE(IF(ISERROR(_xll.FDSB($C$2,"FE_ESTIMATE(PL_COS_2,MEAN,QUARTERLY_ROLL,"&amp;AC$9&amp;","&amp;$C$5&amp;",,,'')")), "--", _xll.FDSB($C$2,"FE_ESTIMATE(PL_COS_2,MEAN,QUARTERLY_ROLL,"&amp;AC$9&amp;","&amp;$C$5&amp;",,,'')")))</f>
        <v/>
      </c>
      <c r="AD49" s="304" cm="1">
        <f t="array" ref="AD49">_xlfn.SINGLE(IF(ISERROR(_xll.FDSB($C$2,"FE_ESTIMATE(PL_COS_2,MEAN,QUARTERLY_ROLL,"&amp;AD$9&amp;","&amp;$C$5&amp;",,,'')")), "--", _xll.FDSB($C$2,"FE_ESTIMATE(PL_COS_2,MEAN,QUARTERLY_ROLL,"&amp;AD$9&amp;","&amp;$C$5&amp;",,,'')")))</f>
        <v>7.1833334000000004</v>
      </c>
      <c r="AE49" s="304" cm="1">
        <f t="array" ref="AE49">_xlfn.SINGLE(IF(ISERROR(_xll.FDSB($C$2,"FE_ESTIMATE(PL_COS_2,MEAN,QUARTERLY_ROLL,"&amp;AE$9&amp;","&amp;$C$5&amp;",,,'')")), "--", _xll.FDSB($C$2,"FE_ESTIMATE(PL_COS_2,MEAN,QUARTERLY_ROLL,"&amp;AE$9&amp;","&amp;$C$5&amp;",,,'')")))</f>
        <v>8.6930899999999998</v>
      </c>
      <c r="AF49" s="304" cm="1">
        <f t="array" ref="AF49">_xlfn.SINGLE(IF(ISERROR(_xll.FDSB($C$2,"FE_ESTIMATE(PL_COS_2,MEAN,QUARTERLY_ROLL,"&amp;AF$9&amp;","&amp;$C$5&amp;",,,'')")), "--", _xll.FDSB($C$2,"FE_ESTIMATE(PL_COS_2,MEAN,QUARTERLY_ROLL,"&amp;AF$9&amp;","&amp;$C$5&amp;",,,'')")))</f>
        <v>11.373777</v>
      </c>
      <c r="AG49" s="305" cm="1">
        <f t="array" ref="AG49">_xlfn.SINGLE(IF(ISERROR(_xll.FDSB($C$2,"FE_ESTIMATE(PL_COS_2,MEAN,ANNUAL_ROLL,"&amp;AG$9&amp;","&amp;$C$5&amp;",,,'')")), "--", _xll.FDSB($C$2,"FE_ESTIMATE(PL_COS_2,MEAN,ANNUAL_ROLL,"&amp;AG$9&amp;","&amp;$C$5&amp;",,,'')")))</f>
        <v>32.610889999999998</v>
      </c>
      <c r="AH49" s="304" cm="1">
        <f t="array" ref="AH49">_xlfn.SINGLE(IF(ISERROR(_xll.FDSB($C$2,"FE_ESTIMATE(PL_COS_2,MEAN,QUARTERLY_ROLL,"&amp;AH$9&amp;","&amp;$C$5&amp;",,,'')")), "--", _xll.FDSB($C$2,"FE_ESTIMATE(PL_COS_2,MEAN,QUARTERLY_ROLL,"&amp;AH$9&amp;","&amp;$C$5&amp;",,,'')")))</f>
        <v>13.102221999999999</v>
      </c>
      <c r="AI49" s="304" cm="1">
        <f t="array" ref="AI49">_xlfn.SINGLE(IF(ISERROR(_xll.FDSB($C$2,"FE_ESTIMATE(PL_COS_2,MEAN,QUARTERLY_ROLL,"&amp;AI$9&amp;","&amp;$C$5&amp;",,,'')")), "--", _xll.FDSB($C$2,"FE_ESTIMATE(PL_COS_2,MEAN,QUARTERLY_ROLL,"&amp;AI$9&amp;","&amp;$C$5&amp;",,,'')")))</f>
        <v>15.199429</v>
      </c>
      <c r="AJ49" s="304" cm="1">
        <f t="array" ref="AJ49">_xlfn.SINGLE(IF(ISERROR(_xll.FDSB($C$2,"FE_ESTIMATE(PL_COS_2,MEAN,QUARTERLY_ROLL,"&amp;AJ$9&amp;","&amp;$C$5&amp;",,,'')")), "--", _xll.FDSB($C$2,"FE_ESTIMATE(PL_COS_2,MEAN,QUARTERLY_ROLL,"&amp;AJ$9&amp;","&amp;$C$5&amp;",,,'')")))</f>
        <v>18.641332999999999</v>
      </c>
      <c r="AK49" s="304" cm="1">
        <f t="array" ref="AK49">_xlfn.SINGLE(IF(ISERROR(_xll.FDSB($C$2,"FE_ESTIMATE(PL_COS_2,MEAN,QUARTERLY_ROLL,"&amp;AK$9&amp;","&amp;$C$5&amp;",,,'')")), "--", _xll.FDSB($C$2,"FE_ESTIMATE(PL_COS_2,MEAN,QUARTERLY_ROLL,"&amp;AK$9&amp;","&amp;$C$5&amp;",,,'')")))</f>
        <v>21.232907999999998</v>
      </c>
      <c r="AL49" s="305" cm="1">
        <f t="array" ref="AL49">_xlfn.SINGLE(IF(ISERROR(_xll.FDSB($C$2,"FE_ESTIMATE(PL_COS_2,MEAN,ANNUAL_ROLL,"&amp;AL$9&amp;","&amp;$C$5&amp;",,,'')")), "--", _xll.FDSB($C$2,"FE_ESTIMATE(PL_COS_2,MEAN,ANNUAL_ROLL,"&amp;AL$9&amp;","&amp;$C$5&amp;",,,'')")))</f>
        <v>68.103454999999997</v>
      </c>
      <c r="AM49" s="304" cm="1">
        <f t="array" ref="AM49">_xlfn.SINGLE(IF(ISERROR(_xll.FDSB($C$2,"FE_ESTIMATE(PL_COS_2,MEAN,QUARTERLY_ROLL,"&amp;AM$9&amp;","&amp;$C$5&amp;",,,'')")), "--", _xll.FDSB($C$2,"FE_ESTIMATE(PL_COS_2,MEAN,QUARTERLY_ROLL,"&amp;AM$9&amp;","&amp;$C$5&amp;",,,'')")))</f>
        <v>25.708462000000001</v>
      </c>
      <c r="AN49" s="304" cm="1">
        <f t="array" ref="AN49">_xlfn.SINGLE(IF(ISERROR(_xll.FDSB($C$2,"FE_ESTIMATE(PL_COS_2,MEAN,QUARTERLY_ROLL,"&amp;AN$9&amp;","&amp;$C$5&amp;",,,'')")), "--", _xll.FDSB($C$2,"FE_ESTIMATE(PL_COS_2,MEAN,QUARTERLY_ROLL,"&amp;AN$9&amp;","&amp;$C$5&amp;",,,'')")))</f>
        <v>29.076333999999999</v>
      </c>
      <c r="AO49" s="304" cm="1">
        <f t="array" ref="AO49">_xlfn.SINGLE(IF(ISERROR(_xll.FDSB($C$2,"FE_ESTIMATE(PL_COS_2,MEAN,QUARTERLY_ROLL,"&amp;AO$9&amp;","&amp;$C$5&amp;",,,'')")), "--", _xll.FDSB($C$2,"FE_ESTIMATE(PL_COS_2,MEAN,QUARTERLY_ROLL,"&amp;AO$9&amp;","&amp;$C$5&amp;",,,'')")))</f>
        <v>31.010400000000001</v>
      </c>
      <c r="AP49" s="304" cm="1">
        <f t="array" ref="AP49">_xlfn.SINGLE(IF(ISERROR(_xll.FDSB($C$2,"FE_ESTIMATE(PL_COS_2,MEAN,QUARTERLY_ROLL,"&amp;AP$9&amp;","&amp;$C$5&amp;",,,'')")), "--", _xll.FDSB($C$2,"FE_ESTIMATE(PL_COS_2,MEAN,QUARTERLY_ROLL,"&amp;AP$9&amp;","&amp;$C$5&amp;",,,'')")))</f>
        <v>32.801600000000001</v>
      </c>
      <c r="AQ49" s="305" cm="1">
        <f t="array" ref="AQ49">_xlfn.SINGLE(IF(ISERROR(_xll.FDSB($C$2,"FE_ESTIMATE(PL_COS_2,MEAN,ANNUAL_ROLL,"&amp;AQ$9&amp;","&amp;$C$5&amp;",,,'')")), "--", _xll.FDSB($C$2,"FE_ESTIMATE(PL_COS_2,MEAN,ANNUAL_ROLL,"&amp;AQ$9&amp;","&amp;$C$5&amp;",,,'')")))</f>
        <v>117.6784</v>
      </c>
      <c r="AR49" s="304" cm="1">
        <f t="array" ref="AR49">_xlfn.SINGLE(IF(ISERROR(_xll.FDSB($C$2,"FE_ESTIMATE(PL_COS_2,MEAN,QUARTERLY_ROLL,"&amp;AR$9&amp;","&amp;$C$5&amp;",,,'')")), "--", _xll.FDSB($C$2,"FE_ESTIMATE(PL_COS_2,MEAN,QUARTERLY_ROLL,"&amp;AR$9&amp;","&amp;$C$5&amp;",,,'')")))</f>
        <v>33.812860000000001</v>
      </c>
      <c r="AS49" s="304" cm="1">
        <f t="array" ref="AS49">_xlfn.SINGLE(IF(ISERROR(_xll.FDSB($C$2,"FE_ESTIMATE(PL_COS_2,MEAN,QUARTERLY_ROLL,"&amp;AS$9&amp;","&amp;$C$5&amp;",,,'')")), "--", _xll.FDSB($C$2,"FE_ESTIMATE(PL_COS_2,MEAN,QUARTERLY_ROLL,"&amp;AS$9&amp;","&amp;$C$5&amp;",,,'')")))</f>
        <v>32.177999999999997</v>
      </c>
      <c r="AT49" s="304" cm="1">
        <f t="array" ref="AT49">_xlfn.SINGLE(IF(ISERROR(_xll.FDSB($C$2,"FE_ESTIMATE(PL_COS_2,MEAN,QUARTERLY_ROLL,"&amp;AT$9&amp;","&amp;$C$5&amp;",,,'')")), "--", _xll.FDSB($C$2,"FE_ESTIMATE(PL_COS_2,MEAN,QUARTERLY_ROLL,"&amp;AT$9&amp;","&amp;$C$5&amp;",,,'')")))</f>
        <v>32.891249999999999</v>
      </c>
      <c r="AU49" s="304" cm="1">
        <f t="array" ref="AU49">_xlfn.SINGLE(IF(ISERROR(_xll.FDSB($C$2,"FE_ESTIMATE(PL_COS_2,MEAN,QUARTERLY_ROLL,"&amp;AU$9&amp;","&amp;$C$5&amp;",,,'')")), "--", _xll.FDSB($C$2,"FE_ESTIMATE(PL_COS_2,MEAN,QUARTERLY_ROLL,"&amp;AU$9&amp;","&amp;$C$5&amp;",,,'')")))</f>
        <v>33.996000000000002</v>
      </c>
      <c r="AV49" s="305" cm="1">
        <f t="array" ref="AV49">_xlfn.SINGLE(IF(ISERROR(_xll.FDSB($C$2,"FE_ESTIMATE(PL_COS_2,MEAN,ANNUAL_ROLL,"&amp;AV$9&amp;","&amp;$C$5&amp;",,,'')")), "--", _xll.FDSB($C$2,"FE_ESTIMATE(PL_COS_2,MEAN,ANNUAL_ROLL,"&amp;AV$9&amp;","&amp;$C$5&amp;",,,'')")))</f>
        <v>132.87325000000001</v>
      </c>
      <c r="AW49" s="304" cm="1">
        <f t="array" ref="AW49">_xlfn.SINGLE(IF(ISERROR(_xll.FDSB($C$2,"FE_ESTIMATE(PL_COS_2,MEAN,QUARTERLY_ROLL,"&amp;AW$9&amp;","&amp;$C$5&amp;",,,'')")), "--", _xll.FDSB($C$2,"FE_ESTIMATE(PL_COS_2,MEAN,QUARTERLY_ROLL,"&amp;AW$9&amp;","&amp;$C$5&amp;",,,'')")))</f>
        <v>38.343600000000002</v>
      </c>
      <c r="AX49" s="304" cm="1">
        <f t="array" ref="AX49">_xlfn.SINGLE(IF(ISERROR(_xll.FDSB($C$2,"FE_ESTIMATE(PL_COS_2,MEAN,QUARTERLY_ROLL,"&amp;AX$9&amp;","&amp;$C$5&amp;",,,'')")), "--", _xll.FDSB($C$2,"FE_ESTIMATE(PL_COS_2,MEAN,QUARTERLY_ROLL,"&amp;AX$9&amp;","&amp;$C$5&amp;",,,'')")))</f>
        <v>37.106430000000003</v>
      </c>
      <c r="AY49" s="304" cm="1">
        <f t="array" ref="AY49">_xlfn.SINGLE(IF(ISERROR(_xll.FDSB($C$2,"FE_ESTIMATE(PL_COS_2,MEAN,QUARTERLY_ROLL,"&amp;AY$9&amp;","&amp;$C$5&amp;",,,'')")), "--", _xll.FDSB($C$2,"FE_ESTIMATE(PL_COS_2,MEAN,QUARTERLY_ROLL,"&amp;AY$9&amp;","&amp;$C$5&amp;",,,'')")))</f>
        <v>41.536822999999998</v>
      </c>
      <c r="AZ49" s="304" cm="1">
        <f t="array" ref="AZ49">_xlfn.SINGLE(IF(ISERROR(_xll.FDSB($C$2,"FE_ESTIMATE(PL_COS_2,MEAN,QUARTERLY_ROLL,"&amp;AZ$9&amp;","&amp;$C$5&amp;",,,'')")), "--", _xll.FDSB($C$2,"FE_ESTIMATE(PL_COS_2,MEAN,QUARTERLY_ROLL,"&amp;AZ$9&amp;","&amp;$C$5&amp;",,,'')")))</f>
        <v>42.617686999999997</v>
      </c>
      <c r="BA49" s="305" cm="1">
        <f t="array" ref="BA49">_xlfn.SINGLE(IF(ISERROR(_xll.FDSB($C$2,"FE_ESTIMATE(PL_COS_2,MEAN,ANNUAL_ROLL,"&amp;BA$9&amp;","&amp;$C$5&amp;",,,'')")), "--", _xll.FDSB($C$2,"FE_ESTIMATE(PL_COS_2,MEAN,ANNUAL_ROLL,"&amp;BA$9&amp;","&amp;$C$5&amp;",,,'')")))</f>
        <v>158.59362999999999</v>
      </c>
      <c r="BB49" s="304" cm="1">
        <f t="array" ref="BB49">_xlfn.SINGLE(IF(ISERROR(_xll.FDSB($C$2,"FE_ESTIMATE(PL_COS_2,MEAN,QUARTERLY_ROLL,"&amp;BB$9&amp;","&amp;$C$5&amp;",,,'')")), "--", _xll.FDSB($C$2,"FE_ESTIMATE(PL_COS_2,MEAN,QUARTERLY_ROLL,"&amp;BB$9&amp;","&amp;$C$5&amp;",,,'')")))</f>
        <v>47.294800000000002</v>
      </c>
      <c r="BC49" s="304" cm="1">
        <f t="array" ref="BC49">_xlfn.SINGLE(IF(ISERROR(_xll.FDSB($C$2,"FE_ESTIMATE(PL_COS_2,MEAN,QUARTERLY_ROLL,"&amp;BC$9&amp;","&amp;$C$5&amp;",,,'')")), "--", _xll.FDSB($C$2,"FE_ESTIMATE(PL_COS_2,MEAN,QUARTERLY_ROLL,"&amp;BC$9&amp;","&amp;$C$5&amp;",,,'')")))</f>
        <v>52.803642000000004</v>
      </c>
      <c r="BD49" s="304" cm="1">
        <f t="array" ref="BD49">_xlfn.SINGLE(IF(ISERROR(_xll.FDSB($C$2,"FE_ESTIMATE(PL_COS_2,MEAN,QUARTERLY_ROLL,"&amp;BD$9&amp;","&amp;$C$5&amp;",,,'')")), "--", _xll.FDSB($C$2,"FE_ESTIMATE(PL_COS_2,MEAN,QUARTERLY_ROLL,"&amp;BD$9&amp;","&amp;$C$5&amp;",,,'')")))</f>
        <v>49.545284000000002</v>
      </c>
      <c r="BE49" s="304" cm="1">
        <f t="array" ref="BE49">_xlfn.SINGLE(IF(ISERROR(_xll.FDSB($C$2,"FE_ESTIMATE(PL_COS_2,MEAN,QUARTERLY_ROLL,"&amp;BE$9&amp;","&amp;$C$5&amp;",,,'')")), "--", _xll.FDSB($C$2,"FE_ESTIMATE(PL_COS_2,MEAN,QUARTERLY_ROLL,"&amp;BE$9&amp;","&amp;$C$5&amp;",,,'')")))</f>
        <v>50.797927999999999</v>
      </c>
      <c r="BF49" s="305" cm="1">
        <f t="array" ref="BF49">_xlfn.SINGLE(IF(ISERROR(_xll.FDSB($C$2,"FE_ESTIMATE(PL_COS_2,MEAN,ANNUAL_ROLL,"&amp;BF$9&amp;","&amp;$C$5&amp;",,,'')")), "--", _xll.FDSB($C$2,"FE_ESTIMATE(PL_COS_2,MEAN,ANNUAL_ROLL,"&amp;BF$9&amp;","&amp;$C$5&amp;",,,'')")))</f>
        <v>200.41707</v>
      </c>
      <c r="BG49" s="304" cm="1">
        <f t="array" ref="BG49">_xlfn.SINGLE(IF(ISERROR(_xll.FDSB($C$2,"FE_ESTIMATE(PL_COS_2,MEAN,QUARTERLY_ROLL,"&amp;BG$9&amp;","&amp;$C$5&amp;",,,'')")), "--", _xll.FDSB($C$2,"FE_ESTIMATE(PL_COS_2,MEAN,QUARTERLY_ROLL,"&amp;BG$9&amp;","&amp;$C$5&amp;",,,'')")))</f>
        <v>53.435899999999997</v>
      </c>
      <c r="BH49" s="304" cm="1">
        <f t="array" ref="BH49">_xlfn.SINGLE(IF(ISERROR(_xll.FDSB($C$2,"FE_ESTIMATE(PL_COS_2,MEAN,QUARTERLY_ROLL,"&amp;BH$9&amp;","&amp;$C$5&amp;",,,'')")), "--", _xll.FDSB($C$2,"FE_ESTIMATE(PL_COS_2,MEAN,QUARTERLY_ROLL,"&amp;BH$9&amp;","&amp;$C$5&amp;",,,'')")))</f>
        <v>56.121400000000001</v>
      </c>
      <c r="BI49" s="304" cm="1">
        <f t="array" ref="BI49">_xlfn.SINGLE(IF(ISERROR(_xll.FDSB($C$2,"FE_ESTIMATE(PL_COS_2,MEAN,QUARTERLY_ROLL,"&amp;BI$9&amp;","&amp;$C$5&amp;",,,'')")), "--", _xll.FDSB($C$2,"FE_ESTIMATE(PL_COS_2,MEAN,QUARTERLY_ROLL,"&amp;BI$9&amp;","&amp;$C$5&amp;",,,'')")))</f>
        <v>56.294400000000003</v>
      </c>
      <c r="BJ49" s="304" cm="1">
        <f t="array" ref="BJ49">_xlfn.SINGLE(IF(ISERROR(_xll.FDSB($C$2,"FE_ESTIMATE(PL_COS_2,MEAN,QUARTERLY_ROLL,"&amp;BJ$9&amp;","&amp;$C$5&amp;",,,'')")), "--", _xll.FDSB($C$2,"FE_ESTIMATE(PL_COS_2,MEAN,QUARTERLY_ROLL,"&amp;BJ$9&amp;","&amp;$C$5&amp;",,,'')")))</f>
        <v>57.761800000000001</v>
      </c>
      <c r="BK49" s="305" cm="1">
        <f t="array" ref="BK49">_xlfn.SINGLE(IF(ISERROR(_xll.FDSB($C$2,"FE_ESTIMATE(PL_COS_2,MEAN,ANNUAL_ROLL,"&amp;BK$9&amp;","&amp;$C$5&amp;",,,'')")), "--", _xll.FDSB($C$2,"FE_ESTIMATE(PL_COS_2,MEAN,ANNUAL_ROLL,"&amp;BK$9&amp;","&amp;$C$5&amp;",,,'')")))</f>
        <v>221.46672000000001</v>
      </c>
      <c r="BL49" s="304" cm="1">
        <f t="array" ref="BL49">_xlfn.SINGLE(IF(ISERROR(_xll.FDSB($C$2,"FE_ESTIMATE(PL_COS_2,MEAN,QUARTERLY_ROLL,"&amp;BL$9&amp;","&amp;$C$5&amp;",,,'')")), "--", _xll.FDSB($C$2,"FE_ESTIMATE(PL_COS_2,MEAN,QUARTERLY_ROLL,"&amp;BL$9&amp;","&amp;$C$5&amp;",,,'')")))</f>
        <v>60</v>
      </c>
      <c r="BM49" s="304" cm="1">
        <f t="array" ref="BM49">_xlfn.SINGLE(IF(ISERROR(_xll.FDSB($C$2,"FE_ESTIMATE(PL_COS_2,MEAN,QUARTERLY_ROLL,"&amp;BM$9&amp;","&amp;$C$5&amp;",,,'')")), "--", _xll.FDSB($C$2,"FE_ESTIMATE(PL_COS_2,MEAN,QUARTERLY_ROLL,"&amp;BM$9&amp;","&amp;$C$5&amp;",,,'')")))</f>
        <v>63.4</v>
      </c>
      <c r="BN49" s="304" cm="1">
        <f t="array" ref="BN49">_xlfn.SINGLE(IF(ISERROR(_xll.FDSB($C$2,"FE_ESTIMATE(PL_COS_2,MEAN,QUARTERLY_ROLL,"&amp;BN$9&amp;","&amp;$C$5&amp;",,,'')")), "--", _xll.FDSB($C$2,"FE_ESTIMATE(PL_COS_2,MEAN,QUARTERLY_ROLL,"&amp;BN$9&amp;","&amp;$C$5&amp;",,,'')")))</f>
        <v>62.633335000000002</v>
      </c>
      <c r="BO49" s="304" cm="1">
        <f t="array" ref="BO49">_xlfn.SINGLE(IF(ISERROR(_xll.FDSB($C$2,"FE_ESTIMATE(PL_COS_2,MEAN,QUARTERLY_ROLL,"&amp;BO$9&amp;","&amp;$C$5&amp;",,,'')")), "--", _xll.FDSB($C$2,"FE_ESTIMATE(PL_COS_2,MEAN,QUARTERLY_ROLL,"&amp;BO$9&amp;","&amp;$C$5&amp;",,,'')")))</f>
        <v>64.400000000000006</v>
      </c>
      <c r="BP49" s="305" cm="1">
        <f t="array" ref="BP49">_xlfn.SINGLE(IF(ISERROR(_xll.FDSB($C$2,"FE_ESTIMATE(PL_COS_2,MEAN,ANNUAL_ROLL,"&amp;BP$9&amp;","&amp;$C$5&amp;",,,'')")), "--", _xll.FDSB($C$2,"FE_ESTIMATE(PL_COS_2,MEAN,ANNUAL_ROLL,"&amp;BP$9&amp;","&amp;$C$5&amp;",,,'')")))</f>
        <v>244.71109999999999</v>
      </c>
    </row>
    <row r="50" spans="1:68" s="337" customFormat="1" outlineLevel="1">
      <c r="A50" s="333"/>
      <c r="B50" s="334" t="s">
        <v>32</v>
      </c>
      <c r="C50" s="334"/>
      <c r="D50" s="335"/>
      <c r="E50" s="335"/>
      <c r="F50" s="335"/>
      <c r="G50" s="335"/>
      <c r="H50" s="336"/>
      <c r="I50" s="335" t="str">
        <f t="shared" ref="I50:AN50" si="23">IFERROR(I49/D49-1,"--")</f>
        <v>--</v>
      </c>
      <c r="J50" s="335" t="str">
        <f t="shared" si="23"/>
        <v>--</v>
      </c>
      <c r="K50" s="335" t="str">
        <f t="shared" si="23"/>
        <v>--</v>
      </c>
      <c r="L50" s="335" t="str">
        <f t="shared" si="23"/>
        <v>--</v>
      </c>
      <c r="M50" s="336" t="str">
        <f t="shared" si="23"/>
        <v>--</v>
      </c>
      <c r="N50" s="335" t="str">
        <f t="shared" si="23"/>
        <v>--</v>
      </c>
      <c r="O50" s="335" t="str">
        <f t="shared" si="23"/>
        <v>--</v>
      </c>
      <c r="P50" s="335" t="str">
        <f t="shared" si="23"/>
        <v>--</v>
      </c>
      <c r="Q50" s="335" t="str">
        <f t="shared" si="23"/>
        <v>--</v>
      </c>
      <c r="R50" s="336" t="str">
        <f t="shared" si="23"/>
        <v>--</v>
      </c>
      <c r="S50" s="335" t="str">
        <f t="shared" si="23"/>
        <v>--</v>
      </c>
      <c r="T50" s="335" t="str">
        <f t="shared" si="23"/>
        <v>--</v>
      </c>
      <c r="U50" s="335" t="str">
        <f t="shared" si="23"/>
        <v>--</v>
      </c>
      <c r="V50" s="335" t="str">
        <f t="shared" si="23"/>
        <v>--</v>
      </c>
      <c r="W50" s="336" t="str">
        <f t="shared" si="23"/>
        <v>--</v>
      </c>
      <c r="X50" s="335" t="str">
        <f t="shared" si="23"/>
        <v>--</v>
      </c>
      <c r="Y50" s="335" t="str">
        <f t="shared" si="23"/>
        <v>--</v>
      </c>
      <c r="Z50" s="335" t="str">
        <f t="shared" si="23"/>
        <v>--</v>
      </c>
      <c r="AA50" s="335" t="str">
        <f t="shared" si="23"/>
        <v>--</v>
      </c>
      <c r="AB50" s="336" t="str">
        <f t="shared" si="23"/>
        <v>--</v>
      </c>
      <c r="AC50" s="335" t="str">
        <f t="shared" si="23"/>
        <v>--</v>
      </c>
      <c r="AD50" s="335" t="str">
        <f t="shared" si="23"/>
        <v>--</v>
      </c>
      <c r="AE50" s="335" t="str">
        <f t="shared" si="23"/>
        <v>--</v>
      </c>
      <c r="AF50" s="335" t="str">
        <f t="shared" si="23"/>
        <v>--</v>
      </c>
      <c r="AG50" s="336" t="str">
        <f t="shared" si="23"/>
        <v>--</v>
      </c>
      <c r="AH50" s="335" t="str">
        <f t="shared" si="23"/>
        <v>--</v>
      </c>
      <c r="AI50" s="335">
        <f t="shared" si="23"/>
        <v>1.1159297715458951</v>
      </c>
      <c r="AJ50" s="335">
        <f t="shared" si="23"/>
        <v>1.1443851380809353</v>
      </c>
      <c r="AK50" s="335">
        <f t="shared" si="23"/>
        <v>0.86682998972109249</v>
      </c>
      <c r="AL50" s="336">
        <f t="shared" si="23"/>
        <v>1.0883654202629858</v>
      </c>
      <c r="AM50" s="335">
        <f t="shared" si="23"/>
        <v>0.96214519949364319</v>
      </c>
      <c r="AN50" s="335">
        <f t="shared" si="23"/>
        <v>0.91298857345233153</v>
      </c>
      <c r="AO50" s="335">
        <f t="shared" ref="AO50:BP50" si="24">IFERROR(AO49/AJ49-1,"--")</f>
        <v>0.66352910491969652</v>
      </c>
      <c r="AP50" s="335">
        <f t="shared" si="24"/>
        <v>0.54484727197989091</v>
      </c>
      <c r="AQ50" s="336">
        <f t="shared" si="24"/>
        <v>0.72793582939367774</v>
      </c>
      <c r="AR50" s="335">
        <f t="shared" si="24"/>
        <v>0.31524242873805508</v>
      </c>
      <c r="AS50" s="335">
        <f t="shared" si="24"/>
        <v>0.1066732140303519</v>
      </c>
      <c r="AT50" s="335">
        <f t="shared" si="24"/>
        <v>6.0652232799318861E-2</v>
      </c>
      <c r="AU50" s="335">
        <f t="shared" si="24"/>
        <v>3.6412857909370322E-2</v>
      </c>
      <c r="AV50" s="336">
        <f t="shared" si="24"/>
        <v>0.12912182694530183</v>
      </c>
      <c r="AW50" s="335">
        <f t="shared" si="24"/>
        <v>0.13399458076010129</v>
      </c>
      <c r="AX50" s="335">
        <f t="shared" si="24"/>
        <v>0.1531614767853815</v>
      </c>
      <c r="AY50" s="335">
        <f t="shared" si="24"/>
        <v>0.2628532816478546</v>
      </c>
      <c r="AZ50" s="335">
        <f t="shared" si="24"/>
        <v>0.25360886574891151</v>
      </c>
      <c r="BA50" s="336">
        <f t="shared" si="24"/>
        <v>0.19357079020796109</v>
      </c>
      <c r="BB50" s="335">
        <f t="shared" si="24"/>
        <v>0.23344704200961819</v>
      </c>
      <c r="BC50" s="335">
        <f t="shared" si="24"/>
        <v>0.42303212677694946</v>
      </c>
      <c r="BD50" s="335">
        <f t="shared" si="24"/>
        <v>0.19280388873265553</v>
      </c>
      <c r="BE50" s="335">
        <f t="shared" si="24"/>
        <v>0.19194474350520241</v>
      </c>
      <c r="BF50" s="336">
        <f t="shared" si="24"/>
        <v>0.26371450101747462</v>
      </c>
      <c r="BG50" s="335">
        <f t="shared" si="24"/>
        <v>0.12984725593511315</v>
      </c>
      <c r="BH50" s="335">
        <f t="shared" si="24"/>
        <v>6.2831991778142804E-2</v>
      </c>
      <c r="BI50" s="335">
        <f t="shared" si="24"/>
        <v>0.13622115880897967</v>
      </c>
      <c r="BJ50" s="335">
        <f t="shared" si="24"/>
        <v>0.13708968602026439</v>
      </c>
      <c r="BK50" s="336">
        <f t="shared" si="24"/>
        <v>0.10502922730084818</v>
      </c>
      <c r="BL50" s="335">
        <f t="shared" si="24"/>
        <v>0.12284063709977766</v>
      </c>
      <c r="BM50" s="335">
        <f t="shared" si="24"/>
        <v>0.1296938422776337</v>
      </c>
      <c r="BN50" s="335">
        <f t="shared" si="24"/>
        <v>0.11260329624261023</v>
      </c>
      <c r="BO50" s="335">
        <f t="shared" si="24"/>
        <v>0.11492370390119433</v>
      </c>
      <c r="BP50" s="336">
        <f t="shared" si="24"/>
        <v>0.10495653703635455</v>
      </c>
    </row>
    <row r="51" spans="1:68" s="337" customFormat="1" outlineLevel="1">
      <c r="A51" s="333"/>
      <c r="B51" s="334" t="s">
        <v>33</v>
      </c>
      <c r="C51" s="334"/>
      <c r="D51" s="335"/>
      <c r="E51" s="335"/>
      <c r="F51" s="335"/>
      <c r="G51" s="335"/>
      <c r="H51" s="336"/>
      <c r="I51" s="335" t="str">
        <f>IFERROR(I49/G49-1,"--")</f>
        <v>--</v>
      </c>
      <c r="J51" s="335" t="str">
        <f>IFERROR(J49/I49-1,"--")</f>
        <v>--</v>
      </c>
      <c r="K51" s="335" t="str">
        <f>IFERROR(K49/J49-1,"--")</f>
        <v>--</v>
      </c>
      <c r="L51" s="335" t="str">
        <f>IFERROR(L49/K49-1,"--")</f>
        <v>--</v>
      </c>
      <c r="M51" s="336"/>
      <c r="N51" s="335" t="str">
        <f>IFERROR(N49/L49-1,"--")</f>
        <v>--</v>
      </c>
      <c r="O51" s="335" t="str">
        <f>IFERROR(O49/N49-1,"--")</f>
        <v>--</v>
      </c>
      <c r="P51" s="335" t="str">
        <f>IFERROR(P49/O49-1,"--")</f>
        <v>--</v>
      </c>
      <c r="Q51" s="335" t="str">
        <f>IFERROR(Q49/P49-1,"--")</f>
        <v>--</v>
      </c>
      <c r="R51" s="336"/>
      <c r="S51" s="335" t="str">
        <f>IFERROR(S49/Q49-1,"--")</f>
        <v>--</v>
      </c>
      <c r="T51" s="335" t="str">
        <f>IFERROR(T49/S49-1,"--")</f>
        <v>--</v>
      </c>
      <c r="U51" s="335" t="str">
        <f>IFERROR(U49/T49-1,"--")</f>
        <v>--</v>
      </c>
      <c r="V51" s="335" t="str">
        <f>IFERROR(V49/U49-1,"--")</f>
        <v>--</v>
      </c>
      <c r="W51" s="336"/>
      <c r="X51" s="335" t="str">
        <f>IFERROR(X49/V49-1,"--")</f>
        <v>--</v>
      </c>
      <c r="Y51" s="335" t="str">
        <f>IFERROR(Y49/X49-1,"--")</f>
        <v>--</v>
      </c>
      <c r="Z51" s="335" t="str">
        <f>IFERROR(Z49/Y49-1,"--")</f>
        <v>--</v>
      </c>
      <c r="AA51" s="335" t="str">
        <f>IFERROR(AA49/Z49-1,"--")</f>
        <v>--</v>
      </c>
      <c r="AB51" s="336"/>
      <c r="AC51" s="335" t="str">
        <f>IFERROR(AC49/AA49-1,"--")</f>
        <v>--</v>
      </c>
      <c r="AD51" s="335" t="str">
        <f>IFERROR(AD49/AC49-1,"--")</f>
        <v>--</v>
      </c>
      <c r="AE51" s="335">
        <f>IFERROR(AE49/AD49-1,"--")</f>
        <v>0.2101749307640377</v>
      </c>
      <c r="AF51" s="335">
        <f>IFERROR(AF49/AE49-1,"--")</f>
        <v>0.30836986618107032</v>
      </c>
      <c r="AG51" s="336"/>
      <c r="AH51" s="335">
        <f>IFERROR(AH49/AF49-1,"--")</f>
        <v>0.1519675478075575</v>
      </c>
      <c r="AI51" s="335">
        <f>IFERROR(AI49/AH49-1,"--")</f>
        <v>0.16006498745022046</v>
      </c>
      <c r="AJ51" s="335">
        <f>IFERROR(AJ49/AI49-1,"--")</f>
        <v>0.22644955938805333</v>
      </c>
      <c r="AK51" s="335">
        <f>IFERROR(AK49/AJ49-1,"--")</f>
        <v>0.13902305162404427</v>
      </c>
      <c r="AL51" s="336"/>
      <c r="AM51" s="335">
        <f>IFERROR(AM49/AK49-1,"--")</f>
        <v>0.21078384552883689</v>
      </c>
      <c r="AN51" s="335">
        <f>IFERROR(AN49/AM49-1,"--")</f>
        <v>0.13100246914809599</v>
      </c>
      <c r="AO51" s="335">
        <f>IFERROR(AO49/AN49-1,"--")</f>
        <v>6.6516844936504116E-2</v>
      </c>
      <c r="AP51" s="335">
        <f>IFERROR(AP49/AO49-1,"--")</f>
        <v>5.7761267187782073E-2</v>
      </c>
      <c r="AQ51" s="336"/>
      <c r="AR51" s="335">
        <f>IFERROR(AR49/AP49-1,"--")</f>
        <v>3.0829593678357137E-2</v>
      </c>
      <c r="AS51" s="335">
        <f>IFERROR(AS49/AR49-1,"--")</f>
        <v>-4.8350243073197685E-2</v>
      </c>
      <c r="AT51" s="335">
        <f>IFERROR(AT49/AS49-1,"--")</f>
        <v>2.2165765429796869E-2</v>
      </c>
      <c r="AU51" s="335">
        <f>IFERROR(AU49/AT49-1,"--")</f>
        <v>3.3587960323794297E-2</v>
      </c>
      <c r="AV51" s="336"/>
      <c r="AW51" s="335">
        <f>IFERROR(AW49/AU49-1,"--")</f>
        <v>0.12788563360395333</v>
      </c>
      <c r="AX51" s="335">
        <f>IFERROR(AX49/AW49-1,"--")</f>
        <v>-3.2265358495289886E-2</v>
      </c>
      <c r="AY51" s="335">
        <f>IFERROR(AY49/AX49-1,"--")</f>
        <v>0.11939690775965239</v>
      </c>
      <c r="AZ51" s="335">
        <f>IFERROR(AZ49/AY49-1,"--")</f>
        <v>2.6021826464676767E-2</v>
      </c>
      <c r="BA51" s="336"/>
      <c r="BB51" s="335">
        <f>IFERROR(BB49/AZ49-1,"--")</f>
        <v>0.10974581985174381</v>
      </c>
      <c r="BC51" s="335">
        <f>IFERROR(BC49/BB49-1,"--")</f>
        <v>0.11647880950971357</v>
      </c>
      <c r="BD51" s="335">
        <f>IFERROR(BD49/BC49-1,"--")</f>
        <v>-6.1707069372222478E-2</v>
      </c>
      <c r="BE51" s="335">
        <f>IFERROR(BE49/BD49-1,"--")</f>
        <v>2.5282809964314534E-2</v>
      </c>
      <c r="BF51" s="336"/>
      <c r="BG51" s="335">
        <f>IFERROR(BG49/BE49-1,"--")</f>
        <v>5.1930700795512763E-2</v>
      </c>
      <c r="BH51" s="335">
        <f>IFERROR(BH49/BG49-1,"--")</f>
        <v>5.0256475515524368E-2</v>
      </c>
      <c r="BI51" s="335">
        <f>IFERROR(BI49/BH49-1,"--")</f>
        <v>3.0826030711992303E-3</v>
      </c>
      <c r="BJ51" s="335">
        <f>IFERROR(BJ49/BI49-1,"--")</f>
        <v>2.6066535925420631E-2</v>
      </c>
      <c r="BK51" s="336"/>
      <c r="BL51" s="335">
        <f>IFERROR(BL49/BJ49-1,"--")</f>
        <v>3.8748792454528669E-2</v>
      </c>
      <c r="BM51" s="335">
        <f>IFERROR(BM49/BL49-1,"--")</f>
        <v>5.6666666666666643E-2</v>
      </c>
      <c r="BN51" s="335">
        <f>IFERROR(BN49/BM49-1,"--")</f>
        <v>-1.2092507886435233E-2</v>
      </c>
      <c r="BO51" s="335">
        <f>IFERROR(BO49/BN49-1,"--")</f>
        <v>2.8206465454857277E-2</v>
      </c>
      <c r="BP51" s="336"/>
    </row>
    <row r="52" spans="1:68" s="310" customFormat="1" outlineLevel="1">
      <c r="A52" s="338"/>
      <c r="B52" s="307" t="s">
        <v>214</v>
      </c>
      <c r="C52" s="339"/>
      <c r="D52" s="335" t="str">
        <f t="shared" ref="D52:I52" si="25">IFERROR(D49/D$40,"--")</f>
        <v>--</v>
      </c>
      <c r="E52" s="335" t="str">
        <f t="shared" si="25"/>
        <v>--</v>
      </c>
      <c r="F52" s="335" t="str">
        <f t="shared" si="25"/>
        <v>--</v>
      </c>
      <c r="G52" s="335" t="str">
        <f t="shared" si="25"/>
        <v>--</v>
      </c>
      <c r="H52" s="336" t="str">
        <f t="shared" si="25"/>
        <v>--</v>
      </c>
      <c r="I52" s="335" t="str">
        <f t="shared" si="25"/>
        <v>--</v>
      </c>
      <c r="J52" s="335" t="str">
        <f>IFERROR((J35-J49)/J35,"--")</f>
        <v>--</v>
      </c>
      <c r="K52" s="335" t="str">
        <f>IFERROR((K35-K49)/K35,"--")</f>
        <v>--</v>
      </c>
      <c r="L52" s="335" t="str">
        <f>IFERROR((L35-L49)/L35,"--")</f>
        <v>--</v>
      </c>
      <c r="M52" s="336" t="str">
        <f>IFERROR((M35-M49)/M35,"--")</f>
        <v>--</v>
      </c>
      <c r="N52" s="335" t="str">
        <f>IFERROR(N49/N$40,"--")</f>
        <v>--</v>
      </c>
      <c r="O52" s="335" t="str">
        <f>IFERROR((O35-O49)/O35,"--")</f>
        <v>--</v>
      </c>
      <c r="P52" s="335" t="str">
        <f>IFERROR((P35-P49)/P35,"--")</f>
        <v>--</v>
      </c>
      <c r="Q52" s="335" t="str">
        <f>IFERROR((Q35-Q49)/Q35,"--")</f>
        <v>--</v>
      </c>
      <c r="R52" s="336" t="str">
        <f>IFERROR((R35-R49)/R35,"--")</f>
        <v>--</v>
      </c>
      <c r="S52" s="335" t="str">
        <f>IFERROR(S49/S$40,"--")</f>
        <v>--</v>
      </c>
      <c r="T52" s="335" t="str">
        <f>IFERROR((T35-T49)/T35,"--")</f>
        <v>--</v>
      </c>
      <c r="U52" s="335" t="str">
        <f>IFERROR((U35-U49)/U35,"--")</f>
        <v>--</v>
      </c>
      <c r="V52" s="335" t="str">
        <f>IFERROR((V35-V49)/V35,"--")</f>
        <v>--</v>
      </c>
      <c r="W52" s="336" t="str">
        <f>IFERROR((W35-W49)/W35,"--")</f>
        <v>--</v>
      </c>
      <c r="X52" s="335" t="str">
        <f>IFERROR(X49/X$40,"--")</f>
        <v>--</v>
      </c>
      <c r="Y52" s="335" t="str">
        <f>IFERROR((Y35-Y49)/Y35,"--")</f>
        <v>--</v>
      </c>
      <c r="Z52" s="335" t="str">
        <f>IFERROR((Z35-Z49)/Z35,"--")</f>
        <v>--</v>
      </c>
      <c r="AA52" s="335" t="str">
        <f>IFERROR((AA35-AA49)/AA35,"--")</f>
        <v>--</v>
      </c>
      <c r="AB52" s="336" t="str">
        <f>IFERROR((AB35-AB49)/AB35,"--")</f>
        <v>--</v>
      </c>
      <c r="AC52" s="335" t="str">
        <f>IFERROR(AC49/AC$40,"--")</f>
        <v>--</v>
      </c>
      <c r="AD52" s="335">
        <f>IFERROR((AD35-AD49)/AD35,"--")</f>
        <v>9.1626699295603894E-2</v>
      </c>
      <c r="AE52" s="335">
        <f t="shared" ref="AE52:BK52" si="26">IFERROR((AE35-AE49)/AE35,"--")</f>
        <v>0.22260664723903914</v>
      </c>
      <c r="AF52" s="335">
        <f t="shared" si="26"/>
        <v>6.5962305986696168E-2</v>
      </c>
      <c r="AG52" s="336">
        <f t="shared" si="26"/>
        <v>0.14753914520977662</v>
      </c>
      <c r="AH52" s="335">
        <f t="shared" si="26"/>
        <v>0.13138278971095202</v>
      </c>
      <c r="AI52" s="335">
        <f t="shared" si="26"/>
        <v>0.1351676244665718</v>
      </c>
      <c r="AJ52" s="335">
        <f t="shared" si="26"/>
        <v>0.15201141791384257</v>
      </c>
      <c r="AK52" s="335">
        <f t="shared" si="26"/>
        <v>0.12318681863230932</v>
      </c>
      <c r="AL52" s="336">
        <f t="shared" si="26"/>
        <v>0.13637861726140665</v>
      </c>
      <c r="AM52" s="335">
        <f t="shared" si="26"/>
        <v>7.977012563983249E-2</v>
      </c>
      <c r="AN52" s="335">
        <f t="shared" si="26"/>
        <v>6.14482246610717E-2</v>
      </c>
      <c r="AO52" s="335">
        <f t="shared" si="26"/>
        <v>9.5273660870580062E-2</v>
      </c>
      <c r="AP52" s="335">
        <f t="shared" si="26"/>
        <v>2.6167502894635254E-2</v>
      </c>
      <c r="AQ52" s="336">
        <f t="shared" si="26"/>
        <v>7.2492827642737859E-2</v>
      </c>
      <c r="AR52" s="335">
        <f t="shared" si="26"/>
        <v>-8.526262415366706E-3</v>
      </c>
      <c r="AS52" s="335">
        <f t="shared" si="26"/>
        <v>4.8241592475376391E-2</v>
      </c>
      <c r="AT52" s="335">
        <f t="shared" si="26"/>
        <v>7.8547415604426407E-2</v>
      </c>
      <c r="AU52" s="335">
        <f t="shared" si="26"/>
        <v>7.137589117430139E-2</v>
      </c>
      <c r="AV52" s="336">
        <f t="shared" si="26"/>
        <v>4.8458536236035334E-2</v>
      </c>
      <c r="AW52" s="335">
        <f t="shared" si="26"/>
        <v>1.9896733295843714E-2</v>
      </c>
      <c r="AX52" s="335">
        <f t="shared" si="26"/>
        <v>6.2329618679402551E-2</v>
      </c>
      <c r="AY52" s="335">
        <f t="shared" si="26"/>
        <v>6.581292451927661E-3</v>
      </c>
      <c r="AZ52" s="335">
        <f t="shared" si="26"/>
        <v>1.9539259668254129E-2</v>
      </c>
      <c r="BA52" s="336">
        <f t="shared" si="26"/>
        <v>3.2812336102064958E-2</v>
      </c>
      <c r="BB52" s="335">
        <f t="shared" si="26"/>
        <v>-4.4934932944477569E-2</v>
      </c>
      <c r="BC52" s="335">
        <f t="shared" si="26"/>
        <v>3.0645604244304434E-2</v>
      </c>
      <c r="BD52" s="335">
        <f t="shared" si="26"/>
        <v>2.8772172762101502E-2</v>
      </c>
      <c r="BE52" s="335">
        <f t="shared" si="26"/>
        <v>3.2048725758310317E-2</v>
      </c>
      <c r="BF52" s="336">
        <f t="shared" si="26"/>
        <v>1.7780385480521604E-2</v>
      </c>
      <c r="BG52" s="335">
        <f t="shared" si="26"/>
        <v>1.3683787936818575E-2</v>
      </c>
      <c r="BH52" s="335">
        <f t="shared" si="26"/>
        <v>5.721186874122812E-2</v>
      </c>
      <c r="BI52" s="335">
        <f t="shared" si="26"/>
        <v>3.708659580492666E-2</v>
      </c>
      <c r="BJ52" s="335">
        <f t="shared" si="26"/>
        <v>3.7176625777285574E-2</v>
      </c>
      <c r="BK52" s="336">
        <f t="shared" si="26"/>
        <v>4.8285108730964935E-2</v>
      </c>
      <c r="BL52" s="335">
        <f>IFERROR((BL35-BL49)/BL35,"--")</f>
        <v>9.0834021469859156E-3</v>
      </c>
      <c r="BM52" s="335">
        <f>IFERROR((BM35-BM49)/BM35,"--")</f>
        <v>-2.7969193352249719E-2</v>
      </c>
      <c r="BN52" s="335">
        <f>IFERROR((BN35-BN49)/BN35,"--")</f>
        <v>2.2499648849005079E-2</v>
      </c>
      <c r="BO52" s="335">
        <f>IFERROR((BO35-BO49)/BO35,"--")</f>
        <v>2.3132347364429148E-2</v>
      </c>
      <c r="BP52" s="336">
        <f>IFERROR((BP35-BP49)/BP35,"--")</f>
        <v>2.4555725616105493E-2</v>
      </c>
    </row>
    <row r="53" spans="1:68" s="310" customFormat="1" outlineLevel="1">
      <c r="A53" s="293"/>
      <c r="B53" s="307"/>
      <c r="C53" s="307"/>
      <c r="D53" s="308"/>
      <c r="E53" s="308"/>
      <c r="F53" s="308"/>
      <c r="G53" s="308"/>
      <c r="H53" s="311"/>
      <c r="I53" s="308"/>
      <c r="J53" s="308"/>
      <c r="K53" s="308"/>
      <c r="L53" s="308"/>
      <c r="M53" s="311"/>
      <c r="N53" s="308"/>
      <c r="O53" s="308"/>
      <c r="P53" s="308"/>
      <c r="Q53" s="308"/>
      <c r="R53" s="311"/>
      <c r="S53" s="308"/>
      <c r="T53" s="308"/>
      <c r="U53" s="308"/>
      <c r="V53" s="308"/>
      <c r="W53" s="311"/>
      <c r="X53" s="308"/>
      <c r="Y53" s="308"/>
      <c r="Z53" s="308"/>
      <c r="AA53" s="308"/>
      <c r="AB53" s="311"/>
      <c r="AC53" s="308"/>
      <c r="AD53" s="308"/>
      <c r="AE53" s="308"/>
      <c r="AF53" s="308"/>
      <c r="AG53" s="311"/>
      <c r="AH53" s="308"/>
      <c r="AI53" s="308"/>
      <c r="AJ53" s="308"/>
      <c r="AK53" s="308"/>
      <c r="AL53" s="311"/>
      <c r="AM53" s="308"/>
      <c r="AN53" s="308"/>
      <c r="AO53" s="308"/>
      <c r="AP53" s="308"/>
      <c r="AQ53" s="311"/>
      <c r="AR53" s="308"/>
      <c r="AS53" s="308"/>
      <c r="AT53" s="308"/>
      <c r="AU53" s="308"/>
      <c r="AV53" s="311"/>
      <c r="AW53" s="308"/>
      <c r="AX53" s="308"/>
      <c r="AY53" s="308"/>
      <c r="AZ53" s="308"/>
      <c r="BA53" s="311"/>
      <c r="BB53" s="308"/>
      <c r="BC53" s="308"/>
      <c r="BD53" s="308"/>
      <c r="BE53" s="308"/>
      <c r="BF53" s="311"/>
      <c r="BG53" s="308"/>
      <c r="BH53" s="308"/>
      <c r="BI53" s="308"/>
      <c r="BJ53" s="308"/>
      <c r="BK53" s="311"/>
      <c r="BL53" s="308"/>
      <c r="BM53" s="308"/>
      <c r="BN53" s="308"/>
      <c r="BO53" s="308"/>
      <c r="BP53" s="311"/>
    </row>
    <row r="54" spans="1:68" s="306" customFormat="1" outlineLevel="1">
      <c r="A54" s="283"/>
      <c r="B54" s="302" t="s">
        <v>195</v>
      </c>
      <c r="C54" s="303"/>
      <c r="D54" s="304"/>
      <c r="E54" s="304"/>
      <c r="F54" s="304"/>
      <c r="G54" s="304"/>
      <c r="H54" s="305"/>
      <c r="I54" s="304" t="str">
        <f>IFERROR(I40-I58,"--")</f>
        <v>--</v>
      </c>
      <c r="J54" s="304" t="str">
        <f>IFERROR(J40-J58,"--")</f>
        <v>--</v>
      </c>
      <c r="K54" s="304" t="str">
        <f>IFERROR(K40-K58,"--")</f>
        <v>--</v>
      </c>
      <c r="L54" s="304" t="str">
        <f>IFERROR(L40-L58,"--")</f>
        <v>--</v>
      </c>
      <c r="M54" s="305" t="str">
        <f>IFERROR(M40-M58,"--")</f>
        <v>--</v>
      </c>
      <c r="N54" s="304" t="str">
        <f t="shared" ref="N54:AB54" si="27">IFERROR(N40-N58,"--")</f>
        <v>--</v>
      </c>
      <c r="O54" s="304" t="str">
        <f t="shared" si="27"/>
        <v>--</v>
      </c>
      <c r="P54" s="304" t="str">
        <f t="shared" si="27"/>
        <v>--</v>
      </c>
      <c r="Q54" s="304" t="str">
        <f t="shared" si="27"/>
        <v>--</v>
      </c>
      <c r="R54" s="305" t="str">
        <f t="shared" si="27"/>
        <v>--</v>
      </c>
      <c r="S54" s="304" t="str">
        <f t="shared" si="27"/>
        <v>--</v>
      </c>
      <c r="T54" s="304" t="str">
        <f t="shared" si="27"/>
        <v>--</v>
      </c>
      <c r="U54" s="304" t="str">
        <f t="shared" si="27"/>
        <v>--</v>
      </c>
      <c r="V54" s="304" t="str">
        <f t="shared" si="27"/>
        <v>--</v>
      </c>
      <c r="W54" s="305" t="str">
        <f t="shared" si="27"/>
        <v>--</v>
      </c>
      <c r="X54" s="304" t="str">
        <f t="shared" si="27"/>
        <v>--</v>
      </c>
      <c r="Y54" s="304" t="str">
        <f t="shared" si="27"/>
        <v>--</v>
      </c>
      <c r="Z54" s="304" t="str">
        <f t="shared" si="27"/>
        <v>--</v>
      </c>
      <c r="AA54" s="304" t="str">
        <f t="shared" si="27"/>
        <v>--</v>
      </c>
      <c r="AB54" s="305" t="str">
        <f t="shared" si="27"/>
        <v>--</v>
      </c>
      <c r="AC54" s="304">
        <f>IFERROR(AC40-AC58,"--")</f>
        <v>41.278749999999988</v>
      </c>
      <c r="AD54" s="304">
        <f>IFERROR(AD40-AD58,"--")</f>
        <v>48.955429999999993</v>
      </c>
      <c r="AE54" s="304">
        <f>IFERROR(AE40-AE58,"--")</f>
        <v>52.61506</v>
      </c>
      <c r="AF54" s="304">
        <f>IFERROR(AF40-AF58,"--")</f>
        <v>63.465000000000003</v>
      </c>
      <c r="AG54" s="305">
        <f>IFERROR(AG40-AG58,"--")</f>
        <v>206.18199999999996</v>
      </c>
      <c r="AH54" s="304">
        <f t="shared" ref="AH54:BK54" si="28">IFERROR(AH40-AH58,"--")</f>
        <v>72.453059999999994</v>
      </c>
      <c r="AI54" s="304">
        <f t="shared" si="28"/>
        <v>82.466829999999987</v>
      </c>
      <c r="AJ54" s="304">
        <f t="shared" si="28"/>
        <v>97.861269999999962</v>
      </c>
      <c r="AK54" s="304">
        <f t="shared" si="28"/>
        <v>111.19299999999998</v>
      </c>
      <c r="AL54" s="305">
        <f t="shared" si="28"/>
        <v>363.99199999999996</v>
      </c>
      <c r="AM54" s="304">
        <f t="shared" si="28"/>
        <v>122.46236999999996</v>
      </c>
      <c r="AN54" s="304">
        <f t="shared" si="28"/>
        <v>144.97199999999998</v>
      </c>
      <c r="AO54" s="304">
        <f t="shared" si="28"/>
        <v>190.721</v>
      </c>
      <c r="AP54" s="304">
        <f t="shared" si="28"/>
        <v>171.73999999999995</v>
      </c>
      <c r="AQ54" s="305">
        <f t="shared" si="28"/>
        <v>599.07000000000016</v>
      </c>
      <c r="AR54" s="304">
        <f t="shared" si="28"/>
        <v>169.66700000000003</v>
      </c>
      <c r="AS54" s="304">
        <f t="shared" si="28"/>
        <v>173.60400000000004</v>
      </c>
      <c r="AT54" s="304">
        <f t="shared" si="28"/>
        <v>184.24599999999998</v>
      </c>
      <c r="AU54" s="304">
        <f t="shared" si="28"/>
        <v>196.07299999999998</v>
      </c>
      <c r="AV54" s="305">
        <f t="shared" si="28"/>
        <v>723.59000000000015</v>
      </c>
      <c r="AW54" s="304">
        <f t="shared" si="28"/>
        <v>219.59299999999996</v>
      </c>
      <c r="AX54" s="304">
        <f t="shared" si="28"/>
        <v>232.61299999999994</v>
      </c>
      <c r="AY54" s="304">
        <f t="shared" si="28"/>
        <v>254.92100000000005</v>
      </c>
      <c r="AZ54" s="304">
        <f t="shared" si="28"/>
        <v>270.55799999999999</v>
      </c>
      <c r="BA54" s="305">
        <f t="shared" si="28"/>
        <v>977.6850000000004</v>
      </c>
      <c r="BB54" s="304">
        <f t="shared" si="28"/>
        <v>289.95000000000005</v>
      </c>
      <c r="BC54" s="304">
        <f t="shared" si="28"/>
        <v>309.68200000000002</v>
      </c>
      <c r="BD54" s="304">
        <f t="shared" si="28"/>
        <v>331.46799999999996</v>
      </c>
      <c r="BE54" s="304">
        <f t="shared" si="28"/>
        <v>347.35030000000006</v>
      </c>
      <c r="BF54" s="305">
        <f t="shared" si="28"/>
        <v>1281.0540000000005</v>
      </c>
      <c r="BG54" s="304">
        <f t="shared" si="28"/>
        <v>358.68790000000001</v>
      </c>
      <c r="BH54" s="304">
        <f t="shared" si="28"/>
        <v>382.89714000000004</v>
      </c>
      <c r="BI54" s="304">
        <f t="shared" si="28"/>
        <v>399.55329999999981</v>
      </c>
      <c r="BJ54" s="304">
        <f t="shared" si="28"/>
        <v>416.29389999999989</v>
      </c>
      <c r="BK54" s="305">
        <f t="shared" si="28"/>
        <v>1600.1895000000004</v>
      </c>
      <c r="BL54" s="304">
        <f>IFERROR(BL40-BL58,"--")</f>
        <v>424.89940000000001</v>
      </c>
      <c r="BM54" s="304">
        <f>IFERROR(BM40-BM58,"--")</f>
        <v>456.06749999999988</v>
      </c>
      <c r="BN54" s="304">
        <f>IFERROR(BN40-BN58,"--")</f>
        <v>479.72799999999984</v>
      </c>
      <c r="BO54" s="304">
        <f>IFERROR(BO40-BO58,"--")</f>
        <v>488.00599999999986</v>
      </c>
      <c r="BP54" s="305">
        <f>IFERROR(BP40-BP58,"--")</f>
        <v>1980.8886000000002</v>
      </c>
    </row>
    <row r="55" spans="1:68" s="12" customFormat="1" ht="15" customHeight="1" outlineLevel="1">
      <c r="A55" s="293"/>
      <c r="B55" s="307" t="s">
        <v>32</v>
      </c>
      <c r="C55" s="312"/>
      <c r="D55" s="308"/>
      <c r="E55" s="308"/>
      <c r="F55" s="308"/>
      <c r="G55" s="308"/>
      <c r="H55" s="309"/>
      <c r="I55" s="308" t="str">
        <f t="shared" ref="I55:AN55" si="29">IFERROR(I54/D54-1,"--")</f>
        <v>--</v>
      </c>
      <c r="J55" s="308" t="str">
        <f t="shared" si="29"/>
        <v>--</v>
      </c>
      <c r="K55" s="308" t="str">
        <f t="shared" si="29"/>
        <v>--</v>
      </c>
      <c r="L55" s="308" t="str">
        <f t="shared" si="29"/>
        <v>--</v>
      </c>
      <c r="M55" s="309" t="str">
        <f t="shared" si="29"/>
        <v>--</v>
      </c>
      <c r="N55" s="308" t="str">
        <f t="shared" si="29"/>
        <v>--</v>
      </c>
      <c r="O55" s="308" t="str">
        <f t="shared" si="29"/>
        <v>--</v>
      </c>
      <c r="P55" s="308" t="str">
        <f t="shared" si="29"/>
        <v>--</v>
      </c>
      <c r="Q55" s="308" t="str">
        <f t="shared" si="29"/>
        <v>--</v>
      </c>
      <c r="R55" s="309" t="str">
        <f t="shared" si="29"/>
        <v>--</v>
      </c>
      <c r="S55" s="308" t="str">
        <f t="shared" si="29"/>
        <v>--</v>
      </c>
      <c r="T55" s="308" t="str">
        <f t="shared" si="29"/>
        <v>--</v>
      </c>
      <c r="U55" s="308" t="str">
        <f t="shared" si="29"/>
        <v>--</v>
      </c>
      <c r="V55" s="308" t="str">
        <f t="shared" si="29"/>
        <v>--</v>
      </c>
      <c r="W55" s="309" t="str">
        <f t="shared" si="29"/>
        <v>--</v>
      </c>
      <c r="X55" s="308" t="str">
        <f t="shared" si="29"/>
        <v>--</v>
      </c>
      <c r="Y55" s="308" t="str">
        <f t="shared" si="29"/>
        <v>--</v>
      </c>
      <c r="Z55" s="308" t="str">
        <f t="shared" si="29"/>
        <v>--</v>
      </c>
      <c r="AA55" s="308" t="str">
        <f t="shared" si="29"/>
        <v>--</v>
      </c>
      <c r="AB55" s="309" t="str">
        <f t="shared" si="29"/>
        <v>--</v>
      </c>
      <c r="AC55" s="308" t="str">
        <f t="shared" si="29"/>
        <v>--</v>
      </c>
      <c r="AD55" s="308" t="str">
        <f t="shared" si="29"/>
        <v>--</v>
      </c>
      <c r="AE55" s="308" t="str">
        <f t="shared" si="29"/>
        <v>--</v>
      </c>
      <c r="AF55" s="308" t="str">
        <f t="shared" si="29"/>
        <v>--</v>
      </c>
      <c r="AG55" s="309" t="str">
        <f t="shared" si="29"/>
        <v>--</v>
      </c>
      <c r="AH55" s="308">
        <f t="shared" si="29"/>
        <v>0.75521448687278592</v>
      </c>
      <c r="AI55" s="308">
        <f t="shared" si="29"/>
        <v>0.6845287642249287</v>
      </c>
      <c r="AJ55" s="308">
        <f t="shared" si="29"/>
        <v>0.85994789324577336</v>
      </c>
      <c r="AK55" s="308">
        <f t="shared" si="29"/>
        <v>0.75203655558181648</v>
      </c>
      <c r="AL55" s="309">
        <f t="shared" si="29"/>
        <v>0.76539174127712428</v>
      </c>
      <c r="AM55" s="308">
        <f t="shared" si="29"/>
        <v>0.6902304747377126</v>
      </c>
      <c r="AN55" s="308">
        <f t="shared" si="29"/>
        <v>0.7579431633300322</v>
      </c>
      <c r="AO55" s="308">
        <f t="shared" ref="AO55:BP55" si="30">IFERROR(AO54/AJ54-1,"--")</f>
        <v>0.94889152777191721</v>
      </c>
      <c r="AP55" s="308">
        <f t="shared" si="30"/>
        <v>0.54452168751630037</v>
      </c>
      <c r="AQ55" s="309">
        <f t="shared" si="30"/>
        <v>0.64583287544781265</v>
      </c>
      <c r="AR55" s="308">
        <f t="shared" si="30"/>
        <v>0.38546232610066333</v>
      </c>
      <c r="AS55" s="308">
        <f t="shared" si="30"/>
        <v>0.19750020693651238</v>
      </c>
      <c r="AT55" s="308">
        <f t="shared" si="30"/>
        <v>-3.3950115613907372E-2</v>
      </c>
      <c r="AU55" s="308">
        <f t="shared" si="30"/>
        <v>0.14168510539187174</v>
      </c>
      <c r="AV55" s="309">
        <f t="shared" si="30"/>
        <v>0.20785550937286112</v>
      </c>
      <c r="AW55" s="308">
        <f t="shared" si="30"/>
        <v>0.29425875391207446</v>
      </c>
      <c r="AX55" s="308">
        <f t="shared" si="30"/>
        <v>0.33990576254003302</v>
      </c>
      <c r="AY55" s="308">
        <f t="shared" si="30"/>
        <v>0.38359041715966735</v>
      </c>
      <c r="AZ55" s="308">
        <f t="shared" si="30"/>
        <v>0.37988402278743139</v>
      </c>
      <c r="BA55" s="309">
        <f t="shared" si="30"/>
        <v>0.35115880540084876</v>
      </c>
      <c r="BB55" s="308">
        <f t="shared" si="30"/>
        <v>0.32039728042332905</v>
      </c>
      <c r="BC55" s="308">
        <f t="shared" si="30"/>
        <v>0.33131854195595301</v>
      </c>
      <c r="BD55" s="308">
        <f t="shared" si="30"/>
        <v>0.30027734082323509</v>
      </c>
      <c r="BE55" s="308">
        <f t="shared" si="30"/>
        <v>0.28382934527901615</v>
      </c>
      <c r="BF55" s="309">
        <f t="shared" si="30"/>
        <v>0.31029319259270616</v>
      </c>
      <c r="BG55" s="308">
        <f t="shared" si="30"/>
        <v>0.23706811519227444</v>
      </c>
      <c r="BH55" s="308">
        <f t="shared" si="30"/>
        <v>0.23642039253169389</v>
      </c>
      <c r="BI55" s="308">
        <f t="shared" si="30"/>
        <v>0.20540534832924995</v>
      </c>
      <c r="BJ55" s="308">
        <f t="shared" si="30"/>
        <v>0.19848435426714706</v>
      </c>
      <c r="BK55" s="309">
        <f t="shared" si="30"/>
        <v>0.2491194750572574</v>
      </c>
      <c r="BL55" s="308">
        <f t="shared" si="30"/>
        <v>0.18459362582345262</v>
      </c>
      <c r="BM55" s="308">
        <f t="shared" si="30"/>
        <v>0.19109664804495496</v>
      </c>
      <c r="BN55" s="308">
        <f t="shared" si="30"/>
        <v>0.20066083799082635</v>
      </c>
      <c r="BO55" s="308">
        <f t="shared" si="30"/>
        <v>0.17226315350765398</v>
      </c>
      <c r="BP55" s="309">
        <f t="shared" si="30"/>
        <v>0.23790876018121576</v>
      </c>
    </row>
    <row r="56" spans="1:68" s="12" customFormat="1" ht="12.75" customHeight="1" outlineLevel="1">
      <c r="A56" s="293"/>
      <c r="B56" s="307" t="s">
        <v>33</v>
      </c>
      <c r="C56" s="312"/>
      <c r="D56" s="308"/>
      <c r="E56" s="308"/>
      <c r="F56" s="308"/>
      <c r="G56" s="308"/>
      <c r="H56" s="313"/>
      <c r="I56" s="308" t="str">
        <f>IFERROR(I54/G54-1,"--")</f>
        <v>--</v>
      </c>
      <c r="J56" s="308" t="str">
        <f>IFERROR(J54/I54-1,"--")</f>
        <v>--</v>
      </c>
      <c r="K56" s="308" t="str">
        <f>IFERROR(K54/J54-1,"--")</f>
        <v>--</v>
      </c>
      <c r="L56" s="308" t="str">
        <f>IFERROR(L54/K54-1,"--")</f>
        <v>--</v>
      </c>
      <c r="M56" s="311"/>
      <c r="N56" s="308" t="str">
        <f>IFERROR(N54/L54-1,"--")</f>
        <v>--</v>
      </c>
      <c r="O56" s="308" t="str">
        <f>IFERROR(O54/N54-1,"--")</f>
        <v>--</v>
      </c>
      <c r="P56" s="308" t="str">
        <f>IFERROR(P54/O54-1,"--")</f>
        <v>--</v>
      </c>
      <c r="Q56" s="308" t="str">
        <f>IFERROR(Q54/P54-1,"--")</f>
        <v>--</v>
      </c>
      <c r="R56" s="311"/>
      <c r="S56" s="308" t="str">
        <f>IFERROR(S54/Q54-1,"--")</f>
        <v>--</v>
      </c>
      <c r="T56" s="308" t="str">
        <f>IFERROR(T54/S54-1,"--")</f>
        <v>--</v>
      </c>
      <c r="U56" s="308" t="str">
        <f>IFERROR(U54/T54-1,"--")</f>
        <v>--</v>
      </c>
      <c r="V56" s="308" t="str">
        <f>IFERROR(V54/U54-1,"--")</f>
        <v>--</v>
      </c>
      <c r="W56" s="311"/>
      <c r="X56" s="308" t="str">
        <f>IFERROR(X54/V54-1,"--")</f>
        <v>--</v>
      </c>
      <c r="Y56" s="308" t="str">
        <f>IFERROR(Y54/X54-1,"--")</f>
        <v>--</v>
      </c>
      <c r="Z56" s="308" t="str">
        <f>IFERROR(Z54/Y54-1,"--")</f>
        <v>--</v>
      </c>
      <c r="AA56" s="308" t="str">
        <f>IFERROR(AA54/Z54-1,"--")</f>
        <v>--</v>
      </c>
      <c r="AB56" s="311"/>
      <c r="AC56" s="308" t="str">
        <f>IFERROR(AC54/AA54-1,"--")</f>
        <v>--</v>
      </c>
      <c r="AD56" s="308">
        <f>IFERROR(AD54/AC54-1,"--")</f>
        <v>0.18597171668231249</v>
      </c>
      <c r="AE56" s="308">
        <f>IFERROR(AE54/AD54-1,"--")</f>
        <v>7.4754322452075472E-2</v>
      </c>
      <c r="AF56" s="308">
        <f>IFERROR(AF54/AE54-1,"--")</f>
        <v>0.20621358219490782</v>
      </c>
      <c r="AG56" s="311"/>
      <c r="AH56" s="308">
        <f>IFERROR(AH54/AF54-1,"--")</f>
        <v>0.14162231151028104</v>
      </c>
      <c r="AI56" s="308">
        <f>IFERROR(AI54/AH54-1,"--")</f>
        <v>0.1382104496345633</v>
      </c>
      <c r="AJ56" s="308">
        <f>IFERROR(AJ54/AI54-1,"--")</f>
        <v>0.18667432712037035</v>
      </c>
      <c r="AK56" s="308">
        <f>IFERROR(AK54/AJ54-1,"--")</f>
        <v>0.13623091137076004</v>
      </c>
      <c r="AL56" s="311"/>
      <c r="AM56" s="308">
        <f>IFERROR(AM54/AK54-1,"--")</f>
        <v>0.10134963531876995</v>
      </c>
      <c r="AN56" s="308">
        <f>IFERROR(AN54/AM54-1,"--")</f>
        <v>0.18380854461660356</v>
      </c>
      <c r="AO56" s="308">
        <f>IFERROR(AO54/AN54-1,"--")</f>
        <v>0.31557128273045842</v>
      </c>
      <c r="AP56" s="308">
        <f>IFERROR(AP54/AO54-1,"--")</f>
        <v>-9.9522338913911157E-2</v>
      </c>
      <c r="AQ56" s="311"/>
      <c r="AR56" s="308">
        <f>IFERROR(AR54/AP54-1,"--")</f>
        <v>-1.2070571794572715E-2</v>
      </c>
      <c r="AS56" s="308">
        <f>IFERROR(AS54/AR54-1,"--")</f>
        <v>2.3204276612423191E-2</v>
      </c>
      <c r="AT56" s="308">
        <f>IFERROR(AT54/AS54-1,"--")</f>
        <v>6.1300430865647959E-2</v>
      </c>
      <c r="AU56" s="308">
        <f>IFERROR(AU54/AT54-1,"--")</f>
        <v>6.4191352865191176E-2</v>
      </c>
      <c r="AV56" s="311"/>
      <c r="AW56" s="308">
        <f>IFERROR(AW54/AU54-1,"--")</f>
        <v>0.11995532276244036</v>
      </c>
      <c r="AX56" s="308">
        <f>IFERROR(AX54/AW54-1,"--")</f>
        <v>5.9291507470638827E-2</v>
      </c>
      <c r="AY56" s="308">
        <f>IFERROR(AY54/AX54-1,"--")</f>
        <v>9.5901776770860314E-2</v>
      </c>
      <c r="AZ56" s="308">
        <f>IFERROR(AZ54/AY54-1,"--")</f>
        <v>6.1340572177262631E-2</v>
      </c>
      <c r="BA56" s="311"/>
      <c r="BB56" s="308">
        <f>IFERROR(BB54/AZ54-1,"--")</f>
        <v>7.1674095757656486E-2</v>
      </c>
      <c r="BC56" s="308">
        <f>IFERROR(BC54/BB54-1,"--")</f>
        <v>6.8053112605621635E-2</v>
      </c>
      <c r="BD56" s="308">
        <f>IFERROR(BD54/BC54-1,"--")</f>
        <v>7.0349584412397137E-2</v>
      </c>
      <c r="BE56" s="308">
        <f>IFERROR(BE54/BD54-1,"--")</f>
        <v>4.7915032521993473E-2</v>
      </c>
      <c r="BF56" s="311"/>
      <c r="BG56" s="308">
        <f>IFERROR(BG54/BE54-1,"--")</f>
        <v>3.2640248187492338E-2</v>
      </c>
      <c r="BH56" s="308">
        <f>IFERROR(BH54/BG54-1,"--")</f>
        <v>6.7493885352698069E-2</v>
      </c>
      <c r="BI56" s="308">
        <f>IFERROR(BI54/BH54-1,"--")</f>
        <v>4.3500351034222229E-2</v>
      </c>
      <c r="BJ56" s="308">
        <f>IFERROR(BJ54/BI54-1,"--")</f>
        <v>4.1898289915263121E-2</v>
      </c>
      <c r="BK56" s="311"/>
      <c r="BL56" s="308">
        <f>IFERROR(BL54/BJ54-1,"--")</f>
        <v>2.0671693724073625E-2</v>
      </c>
      <c r="BM56" s="308">
        <f>IFERROR(BM54/BL54-1,"--")</f>
        <v>7.3354069222032026E-2</v>
      </c>
      <c r="BN56" s="308">
        <f>IFERROR(BN54/BM54-1,"--")</f>
        <v>5.187938188974206E-2</v>
      </c>
      <c r="BO56" s="308">
        <f>IFERROR(BO54/BN54-1,"--")</f>
        <v>1.7255611513190772E-2</v>
      </c>
      <c r="BP56" s="311"/>
    </row>
    <row r="57" spans="1:68" s="12" customFormat="1" ht="15" customHeight="1" outlineLevel="1">
      <c r="A57" s="293"/>
      <c r="B57" s="312"/>
      <c r="C57" s="312"/>
      <c r="D57" s="308"/>
      <c r="E57" s="308"/>
      <c r="F57" s="308"/>
      <c r="G57" s="308"/>
      <c r="H57" s="313"/>
      <c r="I57" s="308"/>
      <c r="J57" s="308"/>
      <c r="K57" s="308"/>
      <c r="L57" s="308"/>
      <c r="M57" s="313"/>
      <c r="N57" s="308"/>
      <c r="O57" s="308"/>
      <c r="P57" s="308"/>
      <c r="Q57" s="308"/>
      <c r="R57" s="313"/>
      <c r="S57" s="308"/>
      <c r="T57" s="308"/>
      <c r="U57" s="308"/>
      <c r="V57" s="308"/>
      <c r="W57" s="313"/>
      <c r="X57" s="308"/>
      <c r="Y57" s="308"/>
      <c r="Z57" s="308"/>
      <c r="AA57" s="308"/>
      <c r="AB57" s="313"/>
      <c r="AC57" s="308"/>
      <c r="AD57" s="308"/>
      <c r="AE57" s="308"/>
      <c r="AF57" s="308"/>
      <c r="AG57" s="313"/>
      <c r="AH57" s="308"/>
      <c r="AI57" s="308"/>
      <c r="AJ57" s="308"/>
      <c r="AK57" s="308"/>
      <c r="AL57" s="313"/>
      <c r="AM57" s="308"/>
      <c r="AN57" s="308"/>
      <c r="AO57" s="308"/>
      <c r="AP57" s="308"/>
      <c r="AQ57" s="313"/>
      <c r="AR57" s="308"/>
      <c r="AS57" s="308"/>
      <c r="AT57" s="308"/>
      <c r="AU57" s="308"/>
      <c r="AV57" s="313"/>
      <c r="AW57" s="308"/>
      <c r="AX57" s="308"/>
      <c r="AY57" s="308"/>
      <c r="AZ57" s="308"/>
      <c r="BA57" s="313"/>
      <c r="BB57" s="308"/>
      <c r="BC57" s="308"/>
      <c r="BD57" s="308"/>
      <c r="BE57" s="308"/>
      <c r="BF57" s="313"/>
      <c r="BG57" s="308"/>
      <c r="BH57" s="308"/>
      <c r="BI57" s="308"/>
      <c r="BJ57" s="308"/>
      <c r="BK57" s="313"/>
      <c r="BL57" s="308"/>
      <c r="BM57" s="308"/>
      <c r="BN57" s="308"/>
      <c r="BO57" s="308"/>
      <c r="BP57" s="313"/>
    </row>
    <row r="58" spans="1:68" s="306" customFormat="1" outlineLevel="1">
      <c r="A58" s="107" t="s">
        <v>60</v>
      </c>
      <c r="B58" s="302" t="s">
        <v>9</v>
      </c>
      <c r="C58" s="303"/>
      <c r="D58" s="304"/>
      <c r="E58" s="304"/>
      <c r="F58" s="304"/>
      <c r="G58" s="304"/>
      <c r="H58" s="305"/>
      <c r="I58" s="304" t="str" cm="1">
        <f t="array" ref="I58">_xlfn.SINGLE(IF(ISERROR(_xll.FDSB($C$2,"FE_ESTIMATE(GROSSINCOME,MEAN,QUARTERLY_ROLL,"&amp;I$9&amp;","&amp;$C$5&amp;",,,'')")), "--", _xll.FDSB($C$2,"FE_ESTIMATE(GROSSINCOME,MEAN,QUARTERLY_ROLL,"&amp;I$9&amp;","&amp;$C$5&amp;",,,'')")))</f>
        <v/>
      </c>
      <c r="J58" s="304" t="str" cm="1">
        <f t="array" ref="J58">_xlfn.SINGLE(IF(ISERROR(_xll.FDSB($C$2,"FE_ESTIMATE(GROSSINCOME,MEAN,QUARTERLY_ROLL,"&amp;J$9&amp;","&amp;$C$5&amp;",,,'')")), "--", _xll.FDSB($C$2,"FE_ESTIMATE(GROSSINCOME,MEAN,QUARTERLY_ROLL,"&amp;J$9&amp;","&amp;$C$5&amp;",,,'')")))</f>
        <v/>
      </c>
      <c r="K58" s="304" t="str" cm="1">
        <f t="array" ref="K58">_xlfn.SINGLE(IF(ISERROR(_xll.FDSB($C$2,"FE_ESTIMATE(GROSSINCOME,MEAN,QUARTERLY_ROLL,"&amp;K$9&amp;","&amp;$C$5&amp;",,,'')")), "--", _xll.FDSB($C$2,"FE_ESTIMATE(GROSSINCOME,MEAN,QUARTERLY_ROLL,"&amp;K$9&amp;","&amp;$C$5&amp;",,,'')")))</f>
        <v/>
      </c>
      <c r="L58" s="304" t="str" cm="1">
        <f t="array" ref="L58">_xlfn.SINGLE(IF(ISERROR(_xll.FDSB($C$2,"FE_ESTIMATE(GROSSINCOME,MEAN,QUARTERLY_ROLL,"&amp;L$9&amp;","&amp;$C$5&amp;",,,'')")), "--", _xll.FDSB($C$2,"FE_ESTIMATE(GROSSINCOME,MEAN,QUARTERLY_ROLL,"&amp;L$9&amp;","&amp;$C$5&amp;",,,'')")))</f>
        <v/>
      </c>
      <c r="M58" s="305" t="str" cm="1">
        <f t="array" ref="M58">_xlfn.SINGLE(IF(ISERROR(_xll.FDSB($C$2,"FE_ESTIMATE(GROSSINCOME,MEAN,ANNUAL_ROLL,"&amp;M$9&amp;","&amp;$C$5&amp;",,,'')")), "--", _xll.FDSB($C$2,"FE_ESTIMATE(GROSSINCOME,MEAN,ANNUAL_ROLL,"&amp;M$9&amp;","&amp;$C$5&amp;",,,'')")))</f>
        <v/>
      </c>
      <c r="N58" s="304" t="str" cm="1">
        <f t="array" ref="N58">_xlfn.SINGLE(IF(ISERROR(_xll.FDSB($C$2,"FE_ESTIMATE(GROSSINCOME,MEAN,QUARTERLY_ROLL,"&amp;N$9&amp;","&amp;$C$5&amp;",,,'')")), "--", _xll.FDSB($C$2,"FE_ESTIMATE(GROSSINCOME,MEAN,QUARTERLY_ROLL,"&amp;N$9&amp;","&amp;$C$5&amp;",,,'')")))</f>
        <v/>
      </c>
      <c r="O58" s="304" t="str" cm="1">
        <f t="array" ref="O58">_xlfn.SINGLE(IF(ISERROR(_xll.FDSB($C$2,"FE_ESTIMATE(GROSSINCOME,MEAN,QUARTERLY_ROLL,"&amp;O$9&amp;","&amp;$C$5&amp;",,,'')")), "--", _xll.FDSB($C$2,"FE_ESTIMATE(GROSSINCOME,MEAN,QUARTERLY_ROLL,"&amp;O$9&amp;","&amp;$C$5&amp;",,,'')")))</f>
        <v/>
      </c>
      <c r="P58" s="304" t="str" cm="1">
        <f t="array" ref="P58">_xlfn.SINGLE(IF(ISERROR(_xll.FDSB($C$2,"FE_ESTIMATE(GROSSINCOME,MEAN,QUARTERLY_ROLL,"&amp;P$9&amp;","&amp;$C$5&amp;",,,'')")), "--", _xll.FDSB($C$2,"FE_ESTIMATE(GROSSINCOME,MEAN,QUARTERLY_ROLL,"&amp;P$9&amp;","&amp;$C$5&amp;",,,'')")))</f>
        <v/>
      </c>
      <c r="Q58" s="304" t="str" cm="1">
        <f t="array" ref="Q58">_xlfn.SINGLE(IF(ISERROR(_xll.FDSB($C$2,"FE_ESTIMATE(GROSSINCOME,MEAN,QUARTERLY_ROLL,"&amp;Q$9&amp;","&amp;$C$5&amp;",,,'')")), "--", _xll.FDSB($C$2,"FE_ESTIMATE(GROSSINCOME,MEAN,QUARTERLY_ROLL,"&amp;Q$9&amp;","&amp;$C$5&amp;",,,'')")))</f>
        <v/>
      </c>
      <c r="R58" s="305" t="str" cm="1">
        <f t="array" ref="R58">_xlfn.SINGLE(IF(ISERROR(_xll.FDSB($C$2,"FE_ESTIMATE(GROSSINCOME,MEAN,ANNUAL_ROLL,"&amp;R$9&amp;","&amp;$C$5&amp;",,,'')")), "--", _xll.FDSB($C$2,"FE_ESTIMATE(GROSSINCOME,MEAN,ANNUAL_ROLL,"&amp;R$9&amp;","&amp;$C$5&amp;",,,'')")))</f>
        <v/>
      </c>
      <c r="S58" s="304" t="str" cm="1">
        <f t="array" ref="S58">_xlfn.SINGLE(IF(ISERROR(_xll.FDSB($C$2,"FE_ESTIMATE(GROSSINCOME,MEAN,QUARTERLY_ROLL,"&amp;S$9&amp;","&amp;$C$5&amp;",,,'')")), "--", _xll.FDSB($C$2,"FE_ESTIMATE(GROSSINCOME,MEAN,QUARTERLY_ROLL,"&amp;S$9&amp;","&amp;$C$5&amp;",,,'')")))</f>
        <v/>
      </c>
      <c r="T58" s="304" t="str" cm="1">
        <f t="array" ref="T58">_xlfn.SINGLE(IF(ISERROR(_xll.FDSB($C$2,"FE_ESTIMATE(GROSSINCOME,MEAN,QUARTERLY_ROLL,"&amp;T$9&amp;","&amp;$C$5&amp;",,,'')")), "--", _xll.FDSB($C$2,"FE_ESTIMATE(GROSSINCOME,MEAN,QUARTERLY_ROLL,"&amp;T$9&amp;","&amp;$C$5&amp;",,,'')")))</f>
        <v/>
      </c>
      <c r="U58" s="304" t="str" cm="1">
        <f t="array" ref="U58">_xlfn.SINGLE(IF(ISERROR(_xll.FDSB($C$2,"FE_ESTIMATE(GROSSINCOME,MEAN,QUARTERLY_ROLL,"&amp;U$9&amp;","&amp;$C$5&amp;",,,'')")), "--", _xll.FDSB($C$2,"FE_ESTIMATE(GROSSINCOME,MEAN,QUARTERLY_ROLL,"&amp;U$9&amp;","&amp;$C$5&amp;",,,'')")))</f>
        <v/>
      </c>
      <c r="V58" s="304" t="str" cm="1">
        <f t="array" ref="V58">_xlfn.SINGLE(IF(ISERROR(_xll.FDSB($C$2,"FE_ESTIMATE(GROSSINCOME,MEAN,QUARTERLY_ROLL,"&amp;V$9&amp;","&amp;$C$5&amp;",,,'')")), "--", _xll.FDSB($C$2,"FE_ESTIMATE(GROSSINCOME,MEAN,QUARTERLY_ROLL,"&amp;V$9&amp;","&amp;$C$5&amp;",,,'')")))</f>
        <v/>
      </c>
      <c r="W58" s="305" t="str" cm="1">
        <f t="array" ref="W58">_xlfn.SINGLE(IF(ISERROR(_xll.FDSB($C$2,"FE_ESTIMATE(GROSSINCOME,MEAN,ANNUAL_ROLL,"&amp;W$9&amp;","&amp;$C$5&amp;",,,'')")), "--", _xll.FDSB($C$2,"FE_ESTIMATE(GROSSINCOME,MEAN,ANNUAL_ROLL,"&amp;W$9&amp;","&amp;$C$5&amp;",,,'')")))</f>
        <v/>
      </c>
      <c r="X58" s="304" t="str" cm="1">
        <f t="array" ref="X58">_xlfn.SINGLE(IF(ISERROR(_xll.FDSB($C$2,"FE_ESTIMATE(GROSSINCOME,MEAN,QUARTERLY_ROLL,"&amp;X$9&amp;","&amp;$C$5&amp;",,,'')")), "--", _xll.FDSB($C$2,"FE_ESTIMATE(GROSSINCOME,MEAN,QUARTERLY_ROLL,"&amp;X$9&amp;","&amp;$C$5&amp;",,,'')")))</f>
        <v/>
      </c>
      <c r="Y58" s="304" t="str" cm="1">
        <f t="array" ref="Y58">_xlfn.SINGLE(IF(ISERROR(_xll.FDSB($C$2,"FE_ESTIMATE(GROSSINCOME,MEAN,QUARTERLY_ROLL,"&amp;Y$9&amp;","&amp;$C$5&amp;",,,'')")), "--", _xll.FDSB($C$2,"FE_ESTIMATE(GROSSINCOME,MEAN,QUARTERLY_ROLL,"&amp;Y$9&amp;","&amp;$C$5&amp;",,,'')")))</f>
        <v/>
      </c>
      <c r="Z58" s="304" t="str" cm="1">
        <f t="array" ref="Z58">_xlfn.SINGLE(IF(ISERROR(_xll.FDSB($C$2,"FE_ESTIMATE(GROSSINCOME,MEAN,QUARTERLY_ROLL,"&amp;Z$9&amp;","&amp;$C$5&amp;",,,'')")), "--", _xll.FDSB($C$2,"FE_ESTIMATE(GROSSINCOME,MEAN,QUARTERLY_ROLL,"&amp;Z$9&amp;","&amp;$C$5&amp;",,,'')")))</f>
        <v/>
      </c>
      <c r="AA58" s="304" t="str" cm="1">
        <f t="array" ref="AA58">_xlfn.SINGLE(IF(ISERROR(_xll.FDSB($C$2,"FE_ESTIMATE(GROSSINCOME,MEAN,QUARTERLY_ROLL,"&amp;AA$9&amp;","&amp;$C$5&amp;",,,'')")), "--", _xll.FDSB($C$2,"FE_ESTIMATE(GROSSINCOME,MEAN,QUARTERLY_ROLL,"&amp;AA$9&amp;","&amp;$C$5&amp;",,,'')")))</f>
        <v/>
      </c>
      <c r="AB58" s="305" t="str" cm="1">
        <f t="array" ref="AB58">_xlfn.SINGLE(IF(ISERROR(_xll.FDSB($C$2,"FE_ESTIMATE(GROSSINCOME,MEAN,ANNUAL_ROLL,"&amp;AB$9&amp;","&amp;$C$5&amp;",,,'')")), "--", _xll.FDSB($C$2,"FE_ESTIMATE(GROSSINCOME,MEAN,ANNUAL_ROLL,"&amp;AB$9&amp;","&amp;$C$5&amp;",,,'')")))</f>
        <v/>
      </c>
      <c r="AC58" s="304" cm="1">
        <f t="array" ref="AC58">_xlfn.SINGLE(IF(ISERROR(_xll.FDSB($C$2,"FE_ESTIMATE(GROSSINCOME,MEAN,QUARTERLY_ROLL,"&amp;AC$9&amp;","&amp;$C$5&amp;",,,'')")), "--", _xll.FDSB($C$2,"FE_ESTIMATE(GROSSINCOME,MEAN,QUARTERLY_ROLL,"&amp;AC$9&amp;","&amp;$C$5&amp;",,,'')")))</f>
        <v>67.525000000000006</v>
      </c>
      <c r="AD58" s="304" cm="1">
        <f t="array" ref="AD58">_xlfn.SINGLE(IF(ISERROR(_xll.FDSB($C$2,"FE_ESTIMATE(GROSSINCOME,MEAN,QUARTERLY_ROLL,"&amp;AD$9&amp;","&amp;$C$5&amp;",,,'')")), "--", _xll.FDSB($C$2,"FE_ESTIMATE(GROSSINCOME,MEAN,QUARTERLY_ROLL,"&amp;AD$9&amp;","&amp;$C$5&amp;",,,'')")))</f>
        <v>84.158000000000001</v>
      </c>
      <c r="AE58" s="304" cm="1">
        <f t="array" ref="AE58">_xlfn.SINGLE(IF(ISERROR(_xll.FDSB($C$2,"FE_ESTIMATE(GROSSINCOME,MEAN,QUARTERLY_ROLL,"&amp;AE$9&amp;","&amp;$C$5&amp;",,,'')")), "--", _xll.FDSB($C$2,"FE_ESTIMATE(GROSSINCOME,MEAN,QUARTERLY_ROLL,"&amp;AE$9&amp;","&amp;$C$5&amp;",,,'')")))</f>
        <v>107.00894</v>
      </c>
      <c r="AF58" s="304" cm="1">
        <f t="array" ref="AF58">_xlfn.SINGLE(IF(ISERROR(_xll.FDSB($C$2,"FE_ESTIMATE(GROSSINCOME,MEAN,QUARTERLY_ROLL,"&amp;AF$9&amp;","&amp;$C$5&amp;",,,'')")), "--", _xll.FDSB($C$2,"FE_ESTIMATE(GROSSINCOME,MEAN,QUARTERLY_ROLL,"&amp;AF$9&amp;","&amp;$C$5&amp;",,,'')")))</f>
        <v>127</v>
      </c>
      <c r="AG58" s="305" cm="1">
        <f t="array" ref="AG58">_xlfn.SINGLE(IF(ISERROR(_xll.FDSB($C$2,"FE_ESTIMATE(GROSSINCOME,MEAN,ANNUAL_ROLL,"&amp;AG$9&amp;","&amp;$C$5&amp;",,,'')")), "--", _xll.FDSB($C$2,"FE_ESTIMATE(GROSSINCOME,MEAN,ANNUAL_ROLL,"&amp;AG$9&amp;","&amp;$C$5&amp;",,,'')")))</f>
        <v>385.86700000000002</v>
      </c>
      <c r="AH58" s="304" cm="1">
        <f t="array" ref="AH58">_xlfn.SINGLE(IF(ISERROR(_xll.FDSB($C$2,"FE_ESTIMATE(GROSSINCOME,MEAN,QUARTERLY_ROLL,"&amp;AH$9&amp;","&amp;$C$5&amp;",,,'')")), "--", _xll.FDSB($C$2,"FE_ESTIMATE(GROSSINCOME,MEAN,QUARTERLY_ROLL,"&amp;AH$9&amp;","&amp;$C$5&amp;",,,'')")))</f>
        <v>156.46093999999999</v>
      </c>
      <c r="AI58" s="304" cm="1">
        <f t="array" ref="AI58">_xlfn.SINGLE(IF(ISERROR(_xll.FDSB($C$2,"FE_ESTIMATE(GROSSINCOME,MEAN,QUARTERLY_ROLL,"&amp;AI$9&amp;","&amp;$C$5&amp;",,,'')")), "--", _xll.FDSB($C$2,"FE_ESTIMATE(GROSSINCOME,MEAN,QUARTERLY_ROLL,"&amp;AI$9&amp;","&amp;$C$5&amp;",,,'')")))</f>
        <v>189.73116999999999</v>
      </c>
      <c r="AJ58" s="304" cm="1">
        <f t="array" ref="AJ58">_xlfn.SINGLE(IF(ISERROR(_xll.FDSB($C$2,"FE_ESTIMATE(GROSSINCOME,MEAN,QUARTERLY_ROLL,"&amp;AJ$9&amp;","&amp;$C$5&amp;",,,'')")), "--", _xll.FDSB($C$2,"FE_ESTIMATE(GROSSINCOME,MEAN,QUARTERLY_ROLL,"&amp;AJ$9&amp;","&amp;$C$5&amp;",,,'')")))</f>
        <v>236.57973000000001</v>
      </c>
      <c r="AK58" s="304" cm="1">
        <f t="array" ref="AK58">_xlfn.SINGLE(IF(ISERROR(_xll.FDSB($C$2,"FE_ESTIMATE(GROSSINCOME,MEAN,QUARTERLY_ROLL,"&amp;AK$9&amp;","&amp;$C$5&amp;",,,'')")), "--", _xll.FDSB($C$2,"FE_ESTIMATE(GROSSINCOME,MEAN,QUARTERLY_ROLL,"&amp;AK$9&amp;","&amp;$C$5&amp;",,,'')")))</f>
        <v>272.58100000000002</v>
      </c>
      <c r="AL58" s="305" cm="1">
        <f t="array" ref="AL58">_xlfn.SINGLE(IF(ISERROR(_xll.FDSB($C$2,"FE_ESTIMATE(GROSSINCOME,MEAN,ANNUAL_ROLL,"&amp;AL$9&amp;","&amp;$C$5&amp;",,,'')")), "--", _xll.FDSB($C$2,"FE_ESTIMATE(GROSSINCOME,MEAN,ANNUAL_ROLL,"&amp;AL$9&amp;","&amp;$C$5&amp;",,,'')")))</f>
        <v>855.33500000000004</v>
      </c>
      <c r="AM58" s="304" cm="1">
        <f t="array" ref="AM58">_xlfn.SINGLE(IF(ISERROR(_xll.FDSB($C$2,"FE_ESTIMATE(GROSSINCOME,MEAN,QUARTERLY_ROLL,"&amp;AM$9&amp;","&amp;$C$5&amp;",,,'')")), "--", _xll.FDSB($C$2,"FE_ESTIMATE(GROSSINCOME,MEAN,QUARTERLY_ROLL,"&amp;AM$9&amp;","&amp;$C$5&amp;",,,'')")))</f>
        <v>299.90863000000002</v>
      </c>
      <c r="AN58" s="304" cm="1">
        <f t="array" ref="AN58">_xlfn.SINGLE(IF(ISERROR(_xll.FDSB($C$2,"FE_ESTIMATE(GROSSINCOME,MEAN,QUARTERLY_ROLL,"&amp;AN$9&amp;","&amp;$C$5&amp;",,,'')")), "--", _xll.FDSB($C$2,"FE_ESTIMATE(GROSSINCOME,MEAN,QUARTERLY_ROLL,"&amp;AN$9&amp;","&amp;$C$5&amp;",,,'')")))</f>
        <v>352.27600000000001</v>
      </c>
      <c r="AO58" s="304" cm="1">
        <f t="array" ref="AO58">_xlfn.SINGLE(IF(ISERROR(_xll.FDSB($C$2,"FE_ESTIMATE(GROSSINCOME,MEAN,QUARTERLY_ROLL,"&amp;AO$9&amp;","&amp;$C$5&amp;",,,'')")), "--", _xll.FDSB($C$2,"FE_ESTIMATE(GROSSINCOME,MEAN,QUARTERLY_ROLL,"&amp;AO$9&amp;","&amp;$C$5&amp;",,,'')")))</f>
        <v>366.30700000000002</v>
      </c>
      <c r="AP58" s="304" cm="1">
        <f t="array" ref="AP58">_xlfn.SINGLE(IF(ISERROR(_xll.FDSB($C$2,"FE_ESTIMATE(GROSSINCOME,MEAN,QUARTERLY_ROLL,"&amp;AP$9&amp;","&amp;$C$5&amp;",,,'')")), "--", _xll.FDSB($C$2,"FE_ESTIMATE(GROSSINCOME,MEAN,QUARTERLY_ROLL,"&amp;AP$9&amp;","&amp;$C$5&amp;",,,'')")))</f>
        <v>417.27199999999999</v>
      </c>
      <c r="AQ58" s="305" cm="1">
        <f t="array" ref="AQ58">_xlfn.SINGLE(IF(ISERROR(_xll.FDSB($C$2,"FE_ESTIMATE(GROSSINCOME,MEAN,ANNUAL_ROLL,"&amp;AQ$9&amp;","&amp;$C$5&amp;",,,'')")), "--", _xll.FDSB($C$2,"FE_ESTIMATE(GROSSINCOME,MEAN,ANNUAL_ROLL,"&amp;AQ$9&amp;","&amp;$C$5&amp;",,,'')")))</f>
        <v>1466.5889999999999</v>
      </c>
      <c r="AR58" s="304" cm="1">
        <f t="array" ref="AR58">_xlfn.SINGLE(IF(ISERROR(_xll.FDSB($C$2,"FE_ESTIMATE(GROSSINCOME,MEAN,QUARTERLY_ROLL,"&amp;AR$9&amp;","&amp;$C$5&amp;",,,'')")), "--", _xll.FDSB($C$2,"FE_ESTIMATE(GROSSINCOME,MEAN,QUARTERLY_ROLL,"&amp;AR$9&amp;","&amp;$C$5&amp;",,,'')")))</f>
        <v>453.93200000000002</v>
      </c>
      <c r="AS58" s="304" cm="1">
        <f t="array" ref="AS58">_xlfn.SINGLE(IF(ISERROR(_xll.FDSB($C$2,"FE_ESTIMATE(GROSSINCOME,MEAN,QUARTERLY_ROLL,"&amp;AS$9&amp;","&amp;$C$5&amp;",,,'')")), "--", _xll.FDSB($C$2,"FE_ESTIMATE(GROSSINCOME,MEAN,QUARTERLY_ROLL,"&amp;AS$9&amp;","&amp;$C$5&amp;",,,'')")))</f>
        <v>500.41399999999999</v>
      </c>
      <c r="AT58" s="304" cm="1">
        <f t="array" ref="AT58">_xlfn.SINGLE(IF(ISERROR(_xll.FDSB($C$2,"FE_ESTIMATE(GROSSINCOME,MEAN,QUARTERLY_ROLL,"&amp;AT$9&amp;","&amp;$C$5&amp;",,,'')")), "--", _xll.FDSB($C$2,"FE_ESTIMATE(GROSSINCOME,MEAN,QUARTERLY_ROLL,"&amp;AT$9&amp;","&amp;$C$5&amp;",,,'')")))</f>
        <v>549.92700000000002</v>
      </c>
      <c r="AU58" s="304" cm="1">
        <f t="array" ref="AU58">_xlfn.SINGLE(IF(ISERROR(_xll.FDSB($C$2,"FE_ESTIMATE(GROSSINCOME,MEAN,QUARTERLY_ROLL,"&amp;AU$9&amp;","&amp;$C$5&amp;",,,'')")), "--", _xll.FDSB($C$2,"FE_ESTIMATE(GROSSINCOME,MEAN,QUARTERLY_ROLL,"&amp;AU$9&amp;","&amp;$C$5&amp;",,,'')")))</f>
        <v>578.62599999999998</v>
      </c>
      <c r="AV58" s="305" cm="1">
        <f t="array" ref="AV58">_xlfn.SINGLE(IF(ISERROR(_xll.FDSB($C$2,"FE_ESTIMATE(GROSSINCOME,MEAN,ANNUAL_ROLL,"&amp;AV$9&amp;","&amp;$C$5&amp;",,,'')")), "--", _xll.FDSB($C$2,"FE_ESTIMATE(GROSSINCOME,MEAN,ANNUAL_ROLL,"&amp;AV$9&amp;","&amp;$C$5&amp;",,,'')")))</f>
        <v>2082.8989999999999</v>
      </c>
      <c r="AW58" s="304" cm="1">
        <f t="array" ref="AW58">_xlfn.SINGLE(IF(ISERROR(_xll.FDSB($C$2,"FE_ESTIMATE(GROSSINCOME,MEAN,QUARTERLY_ROLL,"&amp;AW$9&amp;","&amp;$C$5&amp;",,,'')")), "--", _xll.FDSB($C$2,"FE_ESTIMATE(GROSSINCOME,MEAN,QUARTERLY_ROLL,"&amp;AW$9&amp;","&amp;$C$5&amp;",,,'')")))</f>
        <v>609.11599999999999</v>
      </c>
      <c r="AX58" s="304" cm="1">
        <f t="array" ref="AX58">_xlfn.SINGLE(IF(ISERROR(_xll.FDSB($C$2,"FE_ESTIMATE(GROSSINCOME,MEAN,QUARTERLY_ROLL,"&amp;AX$9&amp;","&amp;$C$5&amp;",,,'')")), "--", _xll.FDSB($C$2,"FE_ESTIMATE(GROSSINCOME,MEAN,QUARTERLY_ROLL,"&amp;AX$9&amp;","&amp;$C$5&amp;",,,'')")))</f>
        <v>636.21</v>
      </c>
      <c r="AY58" s="304" cm="1">
        <f t="array" ref="AY58">_xlfn.SINGLE(IF(ISERROR(_xll.FDSB($C$2,"FE_ESTIMATE(GROSSINCOME,MEAN,QUARTERLY_ROLL,"&amp;AY$9&amp;","&amp;$C$5&amp;",,,'')")), "--", _xll.FDSB($C$2,"FE_ESTIMATE(GROSSINCOME,MEAN,QUARTERLY_ROLL,"&amp;AY$9&amp;","&amp;$C$5&amp;",,,'')")))</f>
        <v>687.173</v>
      </c>
      <c r="AZ58" s="304" cm="1">
        <f t="array" ref="AZ58">_xlfn.SINGLE(IF(ISERROR(_xll.FDSB($C$2,"FE_ESTIMATE(GROSSINCOME,MEAN,QUARTERLY_ROLL,"&amp;AZ$9&amp;","&amp;$C$5&amp;",,,'')")), "--", _xll.FDSB($C$2,"FE_ESTIMATE(GROSSINCOME,MEAN,QUARTERLY_ROLL,"&amp;AZ$9&amp;","&amp;$C$5&amp;",,,'')")))</f>
        <v>716.21199999999999</v>
      </c>
      <c r="BA58" s="305" cm="1">
        <f t="array" ref="BA58">_xlfn.SINGLE(IF(ISERROR(_xll.FDSB($C$2,"FE_ESTIMATE(GROSSINCOME,MEAN,ANNUAL_ROLL,"&amp;BA$9&amp;","&amp;$C$5&amp;",,,'')")), "--", _xll.FDSB($C$2,"FE_ESTIMATE(GROSSINCOME,MEAN,ANNUAL_ROLL,"&amp;BA$9&amp;","&amp;$C$5&amp;",,,'')")))</f>
        <v>2648.7109999999998</v>
      </c>
      <c r="BB58" s="304" cm="1">
        <f t="array" ref="BB58">_xlfn.SINGLE(IF(ISERROR(_xll.FDSB($C$2,"FE_ESTIMATE(GROSSINCOME,MEAN,QUARTERLY_ROLL,"&amp;BB$9&amp;","&amp;$C$5&amp;",,,'')")), "--", _xll.FDSB($C$2,"FE_ESTIMATE(GROSSINCOME,MEAN,QUARTERLY_ROLL,"&amp;BB$9&amp;","&amp;$C$5&amp;",,,'')")))</f>
        <v>752.12400000000002</v>
      </c>
      <c r="BC58" s="304" cm="1">
        <f t="array" ref="BC58">_xlfn.SINGLE(IF(ISERROR(_xll.FDSB($C$2,"FE_ESTIMATE(GROSSINCOME,MEAN,QUARTERLY_ROLL,"&amp;BC$9&amp;","&amp;$C$5&amp;",,,'')")), "--", _xll.FDSB($C$2,"FE_ESTIMATE(GROSSINCOME,MEAN,QUARTERLY_ROLL,"&amp;BC$9&amp;","&amp;$C$5&amp;",,,'')")))</f>
        <v>835.28700000000003</v>
      </c>
      <c r="BD58" s="304" cm="1">
        <f t="array" ref="BD58">_xlfn.SINGLE(IF(ISERROR(_xll.FDSB($C$2,"FE_ESTIMATE(GROSSINCOME,MEAN,QUARTERLY_ROLL,"&amp;BD$9&amp;","&amp;$C$5&amp;",,,'')")), "--", _xll.FDSB($C$2,"FE_ESTIMATE(GROSSINCOME,MEAN,QUARTERLY_ROLL,"&amp;BD$9&amp;","&amp;$C$5&amp;",,,'')")))</f>
        <v>852.87260000000003</v>
      </c>
      <c r="BE58" s="304" cm="1">
        <f t="array" ref="BE58">_xlfn.SINGLE(IF(ISERROR(_xll.FDSB($C$2,"FE_ESTIMATE(GROSSINCOME,MEAN,QUARTERLY_ROLL,"&amp;BE$9&amp;","&amp;$C$5&amp;",,,'')")), "--", _xll.FDSB($C$2,"FE_ESTIMATE(GROSSINCOME,MEAN,QUARTERLY_ROLL,"&amp;BE$9&amp;","&amp;$C$5&amp;",,,'')")))</f>
        <v>889.88139999999999</v>
      </c>
      <c r="BF58" s="305" cm="1">
        <f t="array" ref="BF58">_xlfn.SINGLE(IF(ISERROR(_xll.FDSB($C$2,"FE_ESTIMATE(GROSSINCOME,MEAN,ANNUAL_ROLL,"&amp;BF$9&amp;","&amp;$C$5&amp;",,,'')")), "--", _xll.FDSB($C$2,"FE_ESTIMATE(GROSSINCOME,MEAN,ANNUAL_ROLL,"&amp;BF$9&amp;","&amp;$C$5&amp;",,,'')")))</f>
        <v>3330.1889999999999</v>
      </c>
      <c r="BG58" s="304" cm="1">
        <f t="array" ref="BG58">_xlfn.SINGLE(IF(ISERROR(_xll.FDSB($C$2,"FE_ESTIMATE(GROSSINCOME,MEAN,QUARTERLY_ROLL,"&amp;BG$9&amp;","&amp;$C$5&amp;",,,'')")), "--", _xll.FDSB($C$2,"FE_ESTIMATE(GROSSINCOME,MEAN,QUARTERLY_ROLL,"&amp;BG$9&amp;","&amp;$C$5&amp;",,,'')")))</f>
        <v>938.46349999999995</v>
      </c>
      <c r="BH58" s="304" cm="1">
        <f t="array" ref="BH58">_xlfn.SINGLE(IF(ISERROR(_xll.FDSB($C$2,"FE_ESTIMATE(GROSSINCOME,MEAN,QUARTERLY_ROLL,"&amp;BH$9&amp;","&amp;$C$5&amp;",,,'')")), "--", _xll.FDSB($C$2,"FE_ESTIMATE(GROSSINCOME,MEAN,QUARTERLY_ROLL,"&amp;BH$9&amp;","&amp;$C$5&amp;",,,'')")))</f>
        <v>1011.71136</v>
      </c>
      <c r="BI58" s="304" cm="1">
        <f t="array" ref="BI58">_xlfn.SINGLE(IF(ISERROR(_xll.FDSB($C$2,"FE_ESTIMATE(GROSSINCOME,MEAN,QUARTERLY_ROLL,"&amp;BI$9&amp;","&amp;$C$5&amp;",,,'')")), "--", _xll.FDSB($C$2,"FE_ESTIMATE(GROSSINCOME,MEAN,QUARTERLY_ROLL,"&amp;BI$9&amp;","&amp;$C$5&amp;",,,'')")))</f>
        <v>1061.5975000000001</v>
      </c>
      <c r="BJ58" s="304" cm="1">
        <f t="array" ref="BJ58">_xlfn.SINGLE(IF(ISERROR(_xll.FDSB($C$2,"FE_ESTIMATE(GROSSINCOME,MEAN,QUARTERLY_ROLL,"&amp;BJ$9&amp;","&amp;$C$5&amp;",,,'')")), "--", _xll.FDSB($C$2,"FE_ESTIMATE(GROSSINCOME,MEAN,QUARTERLY_ROLL,"&amp;BJ$9&amp;","&amp;$C$5&amp;",,,'')")))</f>
        <v>1111.6318000000001</v>
      </c>
      <c r="BK58" s="305" cm="1">
        <f t="array" ref="BK58">_xlfn.SINGLE(IF(ISERROR(_xll.FDSB($C$2,"FE_ESTIMATE(GROSSINCOME,MEAN,ANNUAL_ROLL,"&amp;BK$9&amp;","&amp;$C$5&amp;",,,'')")), "--", _xll.FDSB($C$2,"FE_ESTIMATE(GROSSINCOME,MEAN,ANNUAL_ROLL,"&amp;BK$9&amp;","&amp;$C$5&amp;",,,'')")))</f>
        <v>4113.3554999999997</v>
      </c>
      <c r="BL58" s="304" cm="1">
        <f t="array" ref="BL58">_xlfn.SINGLE(IF(ISERROR(_xll.FDSB($C$2,"FE_ESTIMATE(GROSSINCOME,MEAN,QUARTERLY_ROLL,"&amp;BL$9&amp;","&amp;$C$5&amp;",,,'')")), "--", _xll.FDSB($C$2,"FE_ESTIMATE(GROSSINCOME,MEAN,QUARTERLY_ROLL,"&amp;BL$9&amp;","&amp;$C$5&amp;",,,'')")))</f>
        <v>1178.5216</v>
      </c>
      <c r="BM58" s="304" cm="1">
        <f t="array" ref="BM58">_xlfn.SINGLE(IF(ISERROR(_xll.FDSB($C$2,"FE_ESTIMATE(GROSSINCOME,MEAN,QUARTERLY_ROLL,"&amp;BM$9&amp;","&amp;$C$5&amp;",,,'')")), "--", _xll.FDSB($C$2,"FE_ESTIMATE(GROSSINCOME,MEAN,QUARTERLY_ROLL,"&amp;BM$9&amp;","&amp;$C$5&amp;",,,'')")))</f>
        <v>1245.7144000000001</v>
      </c>
      <c r="BN58" s="304" cm="1">
        <f t="array" ref="BN58">_xlfn.SINGLE(IF(ISERROR(_xll.FDSB($C$2,"FE_ESTIMATE(GROSSINCOME,MEAN,QUARTERLY_ROLL,"&amp;BN$9&amp;","&amp;$C$5&amp;",,,'')")), "--", _xll.FDSB($C$2,"FE_ESTIMATE(GROSSINCOME,MEAN,QUARTERLY_ROLL,"&amp;BN$9&amp;","&amp;$C$5&amp;",,,'')")))</f>
        <v>1312.6393</v>
      </c>
      <c r="BO58" s="304" cm="1">
        <f t="array" ref="BO58">_xlfn.SINGLE(IF(ISERROR(_xll.FDSB($C$2,"FE_ESTIMATE(GROSSINCOME,MEAN,QUARTERLY_ROLL,"&amp;BO$9&amp;","&amp;$C$5&amp;",,,'')")), "--", _xll.FDSB($C$2,"FE_ESTIMATE(GROSSINCOME,MEAN,QUARTERLY_ROLL,"&amp;BO$9&amp;","&amp;$C$5&amp;",,,'')")))</f>
        <v>1381.3583000000001</v>
      </c>
      <c r="BP58" s="305" cm="1">
        <f t="array" ref="BP58">_xlfn.SINGLE(IF(ISERROR(_xll.FDSB($C$2,"FE_ESTIMATE(GROSSINCOME,MEAN,ANNUAL_ROLL,"&amp;BP$9&amp;","&amp;$C$5&amp;",,,'')")), "--", _xll.FDSB($C$2,"FE_ESTIMATE(GROSSINCOME,MEAN,ANNUAL_ROLL,"&amp;BP$9&amp;","&amp;$C$5&amp;",,,'')")))</f>
        <v>5102.9204</v>
      </c>
    </row>
    <row r="59" spans="1:68" s="310" customFormat="1" outlineLevel="1">
      <c r="A59" s="107"/>
      <c r="B59" s="307" t="s">
        <v>32</v>
      </c>
      <c r="C59" s="307"/>
      <c r="D59" s="308"/>
      <c r="E59" s="308"/>
      <c r="F59" s="308"/>
      <c r="G59" s="308"/>
      <c r="H59" s="309"/>
      <c r="I59" s="308" t="str">
        <f t="shared" ref="I59:AN59" si="31">IFERROR(I58/D58-1,"--")</f>
        <v>--</v>
      </c>
      <c r="J59" s="308" t="str">
        <f t="shared" si="31"/>
        <v>--</v>
      </c>
      <c r="K59" s="308" t="str">
        <f t="shared" si="31"/>
        <v>--</v>
      </c>
      <c r="L59" s="308" t="str">
        <f t="shared" si="31"/>
        <v>--</v>
      </c>
      <c r="M59" s="309" t="str">
        <f t="shared" si="31"/>
        <v>--</v>
      </c>
      <c r="N59" s="308" t="str">
        <f t="shared" si="31"/>
        <v>--</v>
      </c>
      <c r="O59" s="308" t="str">
        <f t="shared" si="31"/>
        <v>--</v>
      </c>
      <c r="P59" s="308" t="str">
        <f t="shared" si="31"/>
        <v>--</v>
      </c>
      <c r="Q59" s="308" t="str">
        <f t="shared" si="31"/>
        <v>--</v>
      </c>
      <c r="R59" s="309" t="str">
        <f t="shared" si="31"/>
        <v>--</v>
      </c>
      <c r="S59" s="308" t="str">
        <f t="shared" si="31"/>
        <v>--</v>
      </c>
      <c r="T59" s="308" t="str">
        <f t="shared" si="31"/>
        <v>--</v>
      </c>
      <c r="U59" s="308" t="str">
        <f t="shared" si="31"/>
        <v>--</v>
      </c>
      <c r="V59" s="308" t="str">
        <f t="shared" si="31"/>
        <v>--</v>
      </c>
      <c r="W59" s="309" t="str">
        <f t="shared" si="31"/>
        <v>--</v>
      </c>
      <c r="X59" s="308" t="str">
        <f t="shared" si="31"/>
        <v>--</v>
      </c>
      <c r="Y59" s="308" t="str">
        <f t="shared" si="31"/>
        <v>--</v>
      </c>
      <c r="Z59" s="308" t="str">
        <f t="shared" si="31"/>
        <v>--</v>
      </c>
      <c r="AA59" s="308" t="str">
        <f t="shared" si="31"/>
        <v>--</v>
      </c>
      <c r="AB59" s="309" t="str">
        <f t="shared" si="31"/>
        <v>--</v>
      </c>
      <c r="AC59" s="308" t="str">
        <f t="shared" si="31"/>
        <v>--</v>
      </c>
      <c r="AD59" s="308" t="str">
        <f t="shared" si="31"/>
        <v>--</v>
      </c>
      <c r="AE59" s="308" t="str">
        <f t="shared" si="31"/>
        <v>--</v>
      </c>
      <c r="AF59" s="308" t="str">
        <f t="shared" si="31"/>
        <v>--</v>
      </c>
      <c r="AG59" s="309" t="str">
        <f t="shared" si="31"/>
        <v>--</v>
      </c>
      <c r="AH59" s="308">
        <f t="shared" si="31"/>
        <v>1.3170816734542758</v>
      </c>
      <c r="AI59" s="308">
        <f t="shared" si="31"/>
        <v>1.2544638655861591</v>
      </c>
      <c r="AJ59" s="308">
        <f t="shared" si="31"/>
        <v>1.2108407951709457</v>
      </c>
      <c r="AK59" s="308">
        <f t="shared" si="31"/>
        <v>1.1463070866141734</v>
      </c>
      <c r="AL59" s="309">
        <f t="shared" si="31"/>
        <v>1.2166575529910566</v>
      </c>
      <c r="AM59" s="308">
        <f t="shared" si="31"/>
        <v>0.91682748422705385</v>
      </c>
      <c r="AN59" s="308">
        <f t="shared" si="31"/>
        <v>0.85671126151807342</v>
      </c>
      <c r="AO59" s="308">
        <f t="shared" ref="AO59:BP59" si="32">IFERROR(AO58/AJ58-1,"--")</f>
        <v>0.54834482227196735</v>
      </c>
      <c r="AP59" s="308">
        <f t="shared" si="32"/>
        <v>0.5308183622482856</v>
      </c>
      <c r="AQ59" s="309">
        <f t="shared" si="32"/>
        <v>0.7146369551111551</v>
      </c>
      <c r="AR59" s="308">
        <f t="shared" si="32"/>
        <v>0.51356764892027273</v>
      </c>
      <c r="AS59" s="308">
        <f t="shared" si="32"/>
        <v>0.42051686745619898</v>
      </c>
      <c r="AT59" s="308">
        <f t="shared" si="32"/>
        <v>0.50127352193651764</v>
      </c>
      <c r="AU59" s="308">
        <f t="shared" si="32"/>
        <v>0.38668781993519818</v>
      </c>
      <c r="AV59" s="309">
        <f t="shared" si="32"/>
        <v>0.42023361691653216</v>
      </c>
      <c r="AW59" s="308">
        <f t="shared" si="32"/>
        <v>0.34186618260003687</v>
      </c>
      <c r="AX59" s="308">
        <f t="shared" si="32"/>
        <v>0.27136730786908458</v>
      </c>
      <c r="AY59" s="308">
        <f t="shared" si="32"/>
        <v>0.24957130673707595</v>
      </c>
      <c r="AZ59" s="308">
        <f t="shared" si="32"/>
        <v>0.23778053526803156</v>
      </c>
      <c r="BA59" s="309">
        <f t="shared" si="32"/>
        <v>0.27164639283997927</v>
      </c>
      <c r="BB59" s="308">
        <f t="shared" si="32"/>
        <v>0.23477958221422535</v>
      </c>
      <c r="BC59" s="308">
        <f t="shared" si="32"/>
        <v>0.31291083132927811</v>
      </c>
      <c r="BD59" s="308">
        <f t="shared" si="32"/>
        <v>0.24113229128618263</v>
      </c>
      <c r="BE59" s="308">
        <f t="shared" si="32"/>
        <v>0.24248323122204041</v>
      </c>
      <c r="BF59" s="309">
        <f t="shared" si="32"/>
        <v>0.2572866575477657</v>
      </c>
      <c r="BG59" s="308">
        <f t="shared" si="32"/>
        <v>0.24775103573346935</v>
      </c>
      <c r="BH59" s="308">
        <f t="shared" si="32"/>
        <v>0.21121406175362467</v>
      </c>
      <c r="BI59" s="308">
        <f t="shared" si="32"/>
        <v>0.24473162814704108</v>
      </c>
      <c r="BJ59" s="308">
        <f t="shared" si="32"/>
        <v>0.24919095960428006</v>
      </c>
      <c r="BK59" s="309">
        <f t="shared" si="32"/>
        <v>0.23517178754719326</v>
      </c>
      <c r="BL59" s="308">
        <f t="shared" si="32"/>
        <v>0.25579908009208685</v>
      </c>
      <c r="BM59" s="308">
        <f t="shared" si="32"/>
        <v>0.2312942695434399</v>
      </c>
      <c r="BN59" s="308">
        <f t="shared" si="32"/>
        <v>0.23647550036619336</v>
      </c>
      <c r="BO59" s="308">
        <f t="shared" si="32"/>
        <v>0.24264014397572997</v>
      </c>
      <c r="BP59" s="309">
        <f t="shared" si="32"/>
        <v>0.24057363872390813</v>
      </c>
    </row>
    <row r="60" spans="1:68" s="310" customFormat="1" outlineLevel="1">
      <c r="A60" s="293"/>
      <c r="B60" s="307" t="s">
        <v>33</v>
      </c>
      <c r="C60" s="307"/>
      <c r="D60" s="308"/>
      <c r="E60" s="308"/>
      <c r="F60" s="308"/>
      <c r="G60" s="308"/>
      <c r="H60" s="314"/>
      <c r="I60" s="308" t="str">
        <f>IFERROR(I58/G58-1,"--")</f>
        <v>--</v>
      </c>
      <c r="J60" s="308" t="str">
        <f>IFERROR(J58/I58-1,"--")</f>
        <v>--</v>
      </c>
      <c r="K60" s="308" t="str">
        <f>IFERROR(K58/J58-1,"--")</f>
        <v>--</v>
      </c>
      <c r="L60" s="308" t="str">
        <f>IFERROR(L58/K58-1,"--")</f>
        <v>--</v>
      </c>
      <c r="M60" s="311"/>
      <c r="N60" s="308" t="str">
        <f>IFERROR(N58/L58-1,"--")</f>
        <v>--</v>
      </c>
      <c r="O60" s="308" t="str">
        <f>IFERROR(O58/N58-1,"--")</f>
        <v>--</v>
      </c>
      <c r="P60" s="308" t="str">
        <f>IFERROR(P58/O58-1,"--")</f>
        <v>--</v>
      </c>
      <c r="Q60" s="308" t="str">
        <f>IFERROR(Q58/P58-1,"--")</f>
        <v>--</v>
      </c>
      <c r="R60" s="311"/>
      <c r="S60" s="308" t="str">
        <f>IFERROR(S58/Q58-1,"--")</f>
        <v>--</v>
      </c>
      <c r="T60" s="308" t="str">
        <f>IFERROR(T58/S58-1,"--")</f>
        <v>--</v>
      </c>
      <c r="U60" s="308" t="str">
        <f>IFERROR(U58/T58-1,"--")</f>
        <v>--</v>
      </c>
      <c r="V60" s="308" t="str">
        <f>IFERROR(V58/U58-1,"--")</f>
        <v>--</v>
      </c>
      <c r="W60" s="311"/>
      <c r="X60" s="308" t="str">
        <f>IFERROR(X58/V58-1,"--")</f>
        <v>--</v>
      </c>
      <c r="Y60" s="308" t="str">
        <f>IFERROR(Y58/X58-1,"--")</f>
        <v>--</v>
      </c>
      <c r="Z60" s="308" t="str">
        <f>IFERROR(Z58/Y58-1,"--")</f>
        <v>--</v>
      </c>
      <c r="AA60" s="308" t="str">
        <f>IFERROR(AA58/Z58-1,"--")</f>
        <v>--</v>
      </c>
      <c r="AB60" s="311"/>
      <c r="AC60" s="308" t="str">
        <f>IFERROR(AC58/AA58-1,"--")</f>
        <v>--</v>
      </c>
      <c r="AD60" s="308">
        <f>IFERROR(AD58/AC58-1,"--")</f>
        <v>0.24632358385783037</v>
      </c>
      <c r="AE60" s="308">
        <f>IFERROR(AE58/AD58-1,"--")</f>
        <v>0.27152427576700955</v>
      </c>
      <c r="AF60" s="308">
        <f>IFERROR(AF58/AE58-1,"--")</f>
        <v>0.18681672764911039</v>
      </c>
      <c r="AG60" s="311"/>
      <c r="AH60" s="308">
        <f>IFERROR(AH58/AF58-1,"--")</f>
        <v>0.23197590551181091</v>
      </c>
      <c r="AI60" s="308">
        <f>IFERROR(AI58/AH58-1,"--")</f>
        <v>0.21264240135589119</v>
      </c>
      <c r="AJ60" s="308">
        <f>IFERROR(AJ58/AI58-1,"--")</f>
        <v>0.24692073526980307</v>
      </c>
      <c r="AK60" s="308">
        <f>IFERROR(AK58/AJ58-1,"--")</f>
        <v>0.15217394152914121</v>
      </c>
      <c r="AL60" s="311"/>
      <c r="AM60" s="308">
        <f>IFERROR(AM58/AK58-1,"--")</f>
        <v>0.10025508014131579</v>
      </c>
      <c r="AN60" s="308">
        <f>IFERROR(AN58/AM58-1,"--")</f>
        <v>0.17461108071481624</v>
      </c>
      <c r="AO60" s="308">
        <f>IFERROR(AO58/AN58-1,"--")</f>
        <v>3.9829565454359672E-2</v>
      </c>
      <c r="AP60" s="308">
        <f>IFERROR(AP58/AO58-1,"--")</f>
        <v>0.13913193032074189</v>
      </c>
      <c r="AQ60" s="311"/>
      <c r="AR60" s="308">
        <f>IFERROR(AR58/AP58-1,"--")</f>
        <v>8.7856362276884203E-2</v>
      </c>
      <c r="AS60" s="308">
        <f>IFERROR(AS58/AR58-1,"--")</f>
        <v>0.10239859714670918</v>
      </c>
      <c r="AT60" s="308">
        <f>IFERROR(AT58/AS58-1,"--")</f>
        <v>9.8944074306474228E-2</v>
      </c>
      <c r="AU60" s="308">
        <f>IFERROR(AU58/AT58-1,"--")</f>
        <v>5.2186926628443375E-2</v>
      </c>
      <c r="AV60" s="311"/>
      <c r="AW60" s="308">
        <f>IFERROR(AW58/AU58-1,"--")</f>
        <v>5.2693795301282709E-2</v>
      </c>
      <c r="AX60" s="308">
        <f>IFERROR(AX58/AW58-1,"--")</f>
        <v>4.4480854221527588E-2</v>
      </c>
      <c r="AY60" s="308">
        <f>IFERROR(AY58/AX58-1,"--")</f>
        <v>8.0104053692962918E-2</v>
      </c>
      <c r="AZ60" s="308">
        <f>IFERROR(AZ58/AY58-1,"--")</f>
        <v>4.2258645202881917E-2</v>
      </c>
      <c r="BA60" s="311"/>
      <c r="BB60" s="308">
        <f>IFERROR(BB58/AZ58-1,"--")</f>
        <v>5.0141578191932101E-2</v>
      </c>
      <c r="BC60" s="308">
        <f>IFERROR(BC58/BB58-1,"--")</f>
        <v>0.11057086331509169</v>
      </c>
      <c r="BD60" s="308">
        <f>IFERROR(BD58/BC58-1,"--")</f>
        <v>2.1053362496962214E-2</v>
      </c>
      <c r="BE60" s="308">
        <f>IFERROR(BE58/BD58-1,"--")</f>
        <v>4.3393116392764775E-2</v>
      </c>
      <c r="BF60" s="311"/>
      <c r="BG60" s="308">
        <f>IFERROR(BG58/BE58-1,"--")</f>
        <v>5.4593904311293517E-2</v>
      </c>
      <c r="BH60" s="308">
        <f>IFERROR(BH58/BG58-1,"--")</f>
        <v>7.8050835221614934E-2</v>
      </c>
      <c r="BI60" s="308">
        <f>IFERROR(BI58/BH58-1,"--")</f>
        <v>4.9308668432862079E-2</v>
      </c>
      <c r="BJ60" s="308">
        <f>IFERROR(BJ58/BI58-1,"--")</f>
        <v>4.7131139626835905E-2</v>
      </c>
      <c r="BK60" s="311"/>
      <c r="BL60" s="308">
        <f>IFERROR(BL58/BJ58-1,"--")</f>
        <v>6.017262190592243E-2</v>
      </c>
      <c r="BM60" s="308">
        <f>IFERROR(BM58/BL58-1,"--")</f>
        <v>5.7014483230515278E-2</v>
      </c>
      <c r="BN60" s="308">
        <f>IFERROR(BN58/BM58-1,"--")</f>
        <v>5.3724112043659344E-2</v>
      </c>
      <c r="BO60" s="308">
        <f>IFERROR(BO58/BN58-1,"--")</f>
        <v>5.2351777064727489E-2</v>
      </c>
      <c r="BP60" s="311"/>
    </row>
    <row r="61" spans="1:68" s="310" customFormat="1" outlineLevel="1">
      <c r="A61" s="107" t="s">
        <v>112</v>
      </c>
      <c r="B61" s="307" t="s">
        <v>39</v>
      </c>
      <c r="C61" s="307"/>
      <c r="D61" s="308"/>
      <c r="E61" s="308"/>
      <c r="F61" s="308"/>
      <c r="G61" s="308"/>
      <c r="H61" s="314"/>
      <c r="I61" s="308" t="str">
        <f>IFERROR((I58/I40),"--")</f>
        <v>--</v>
      </c>
      <c r="J61" s="308" t="str">
        <f>IFERROR((J58/J40),"--")</f>
        <v>--</v>
      </c>
      <c r="K61" s="308" t="str">
        <f>IFERROR((K58/K40),"--")</f>
        <v>--</v>
      </c>
      <c r="L61" s="308" t="str">
        <f>IFERROR((L58/L40),"--")</f>
        <v>--</v>
      </c>
      <c r="M61" s="309" t="str">
        <f>IFERROR((M58/M40),"--")</f>
        <v>--</v>
      </c>
      <c r="N61" s="308" t="str">
        <f t="shared" ref="N61:AB61" si="33">IFERROR((N58/N40),"--")</f>
        <v>--</v>
      </c>
      <c r="O61" s="308" t="str">
        <f t="shared" si="33"/>
        <v>--</v>
      </c>
      <c r="P61" s="308" t="str">
        <f t="shared" si="33"/>
        <v>--</v>
      </c>
      <c r="Q61" s="308" t="str">
        <f t="shared" si="33"/>
        <v>--</v>
      </c>
      <c r="R61" s="309" t="str">
        <f t="shared" si="33"/>
        <v>--</v>
      </c>
      <c r="S61" s="308" t="str">
        <f t="shared" si="33"/>
        <v>--</v>
      </c>
      <c r="T61" s="308" t="str">
        <f t="shared" si="33"/>
        <v>--</v>
      </c>
      <c r="U61" s="308" t="str">
        <f t="shared" si="33"/>
        <v>--</v>
      </c>
      <c r="V61" s="308" t="str">
        <f t="shared" si="33"/>
        <v>--</v>
      </c>
      <c r="W61" s="309" t="str">
        <f t="shared" si="33"/>
        <v>--</v>
      </c>
      <c r="X61" s="308" t="str">
        <f t="shared" si="33"/>
        <v>--</v>
      </c>
      <c r="Y61" s="308" t="str">
        <f t="shared" si="33"/>
        <v>--</v>
      </c>
      <c r="Z61" s="308" t="str">
        <f t="shared" si="33"/>
        <v>--</v>
      </c>
      <c r="AA61" s="308" t="str">
        <f t="shared" si="33"/>
        <v>--</v>
      </c>
      <c r="AB61" s="309" t="str">
        <f t="shared" si="33"/>
        <v>--</v>
      </c>
      <c r="AC61" s="308">
        <f>IFERROR((AC58/AC40),"--")</f>
        <v>0.62061280056983337</v>
      </c>
      <c r="AD61" s="308">
        <f>IFERROR((AD58/AD40),"--")</f>
        <v>0.63222771736856309</v>
      </c>
      <c r="AE61" s="308">
        <f>IFERROR((AE58/AE40),"--")</f>
        <v>0.67038127098681899</v>
      </c>
      <c r="AF61" s="308">
        <f>IFERROR((AF58/AF40),"--")</f>
        <v>0.66678917386396452</v>
      </c>
      <c r="AG61" s="309">
        <f>IFERROR((AG58/AG40),"--")</f>
        <v>0.65174841947203699</v>
      </c>
      <c r="AH61" s="308">
        <f t="shared" ref="AH61:BK61" si="34">IFERROR((AH58/AH40),"--")</f>
        <v>0.68349222852250191</v>
      </c>
      <c r="AI61" s="308">
        <f t="shared" si="34"/>
        <v>0.69703366666911593</v>
      </c>
      <c r="AJ61" s="308">
        <f t="shared" si="34"/>
        <v>0.70738853788859624</v>
      </c>
      <c r="AK61" s="308">
        <f t="shared" si="34"/>
        <v>0.71026437434531786</v>
      </c>
      <c r="AL61" s="309">
        <f t="shared" si="34"/>
        <v>0.70148122693912296</v>
      </c>
      <c r="AM61" s="308">
        <f t="shared" si="34"/>
        <v>0.7100597105388391</v>
      </c>
      <c r="AN61" s="308">
        <f t="shared" si="34"/>
        <v>0.70845131604350353</v>
      </c>
      <c r="AO61" s="308">
        <f t="shared" si="34"/>
        <v>0.65760967132711468</v>
      </c>
      <c r="AP61" s="308">
        <f t="shared" si="34"/>
        <v>0.70842699299844492</v>
      </c>
      <c r="AQ61" s="309">
        <f t="shared" si="34"/>
        <v>0.70998601414851137</v>
      </c>
      <c r="AR61" s="308">
        <f t="shared" si="34"/>
        <v>0.72792291199953818</v>
      </c>
      <c r="AS61" s="308">
        <f t="shared" si="34"/>
        <v>0.74243417831571257</v>
      </c>
      <c r="AT61" s="308">
        <f t="shared" si="34"/>
        <v>0.74904280053883765</v>
      </c>
      <c r="AU61" s="308">
        <f t="shared" si="34"/>
        <v>0.74690428153386024</v>
      </c>
      <c r="AV61" s="309">
        <f t="shared" si="34"/>
        <v>0.74217251519603311</v>
      </c>
      <c r="AW61" s="308">
        <f t="shared" si="34"/>
        <v>0.73501796167291533</v>
      </c>
      <c r="AX61" s="308">
        <f t="shared" si="34"/>
        <v>0.73226652609334708</v>
      </c>
      <c r="AY61" s="308">
        <f t="shared" si="34"/>
        <v>0.72941022870329286</v>
      </c>
      <c r="AZ61" s="308">
        <f t="shared" si="34"/>
        <v>0.72581452618137965</v>
      </c>
      <c r="BA61" s="309">
        <f t="shared" si="34"/>
        <v>0.73039761791045421</v>
      </c>
      <c r="BB61" s="308">
        <f t="shared" si="34"/>
        <v>0.72175680421927801</v>
      </c>
      <c r="BC61" s="308">
        <f t="shared" si="34"/>
        <v>0.72952804835764107</v>
      </c>
      <c r="BD61" s="308">
        <f t="shared" si="34"/>
        <v>0.72012443042145147</v>
      </c>
      <c r="BE61" s="308">
        <f t="shared" si="34"/>
        <v>0.71925202045825365</v>
      </c>
      <c r="BF61" s="309">
        <f t="shared" si="34"/>
        <v>0.72218900630480753</v>
      </c>
      <c r="BG61" s="308">
        <f t="shared" si="34"/>
        <v>0.72348031232129106</v>
      </c>
      <c r="BH61" s="308">
        <f t="shared" si="34"/>
        <v>0.72544471082744721</v>
      </c>
      <c r="BI61" s="308">
        <f t="shared" si="34"/>
        <v>0.7265488955691638</v>
      </c>
      <c r="BJ61" s="308">
        <f t="shared" si="34"/>
        <v>0.72754309977245624</v>
      </c>
      <c r="BK61" s="309">
        <f t="shared" si="34"/>
        <v>0.71993053349540426</v>
      </c>
      <c r="BL61" s="308">
        <f>IFERROR((BL58/BL40),"--")</f>
        <v>0.73500446857063739</v>
      </c>
      <c r="BM61" s="308">
        <f>IFERROR((BM58/BM40),"--")</f>
        <v>0.73200590510452612</v>
      </c>
      <c r="BN61" s="308">
        <f>IFERROR((BN58/BN40),"--")</f>
        <v>0.73234950224766993</v>
      </c>
      <c r="BO61" s="308">
        <f>IFERROR((BO58/BO40),"--")</f>
        <v>0.73894548002227289</v>
      </c>
      <c r="BP61" s="309">
        <f>IFERROR((BP58/BP40),"--")</f>
        <v>0.72036391720894788</v>
      </c>
    </row>
    <row r="62" spans="1:68" s="310" customFormat="1" outlineLevel="1">
      <c r="A62" s="293"/>
      <c r="B62" s="307"/>
      <c r="C62" s="307"/>
      <c r="D62" s="308"/>
      <c r="E62" s="308"/>
      <c r="F62" s="308"/>
      <c r="G62" s="308"/>
      <c r="H62" s="314"/>
      <c r="I62" s="308"/>
      <c r="J62" s="308"/>
      <c r="K62" s="308"/>
      <c r="L62" s="308"/>
      <c r="M62" s="314"/>
      <c r="N62" s="308"/>
      <c r="O62" s="308"/>
      <c r="P62" s="308"/>
      <c r="Q62" s="308"/>
      <c r="R62" s="314"/>
      <c r="S62" s="308"/>
      <c r="T62" s="308"/>
      <c r="U62" s="308"/>
      <c r="V62" s="308"/>
      <c r="W62" s="314"/>
      <c r="X62" s="308"/>
      <c r="Y62" s="308"/>
      <c r="Z62" s="308"/>
      <c r="AA62" s="308"/>
      <c r="AB62" s="314"/>
      <c r="AC62" s="308"/>
      <c r="AD62" s="308"/>
      <c r="AE62" s="308"/>
      <c r="AF62" s="308"/>
      <c r="AG62" s="314"/>
      <c r="AH62" s="308"/>
      <c r="AI62" s="308"/>
      <c r="AJ62" s="308"/>
      <c r="AK62" s="308"/>
      <c r="AL62" s="314"/>
      <c r="AM62" s="308"/>
      <c r="AN62" s="308"/>
      <c r="AO62" s="308"/>
      <c r="AP62" s="308"/>
      <c r="AQ62" s="314"/>
      <c r="AR62" s="308"/>
      <c r="AS62" s="308"/>
      <c r="AT62" s="308"/>
      <c r="AU62" s="308"/>
      <c r="AV62" s="314"/>
      <c r="AW62" s="308"/>
      <c r="AX62" s="308"/>
      <c r="AY62" s="308"/>
      <c r="AZ62" s="308"/>
      <c r="BA62" s="314"/>
      <c r="BB62" s="308"/>
      <c r="BC62" s="308"/>
      <c r="BD62" s="308"/>
      <c r="BE62" s="308"/>
      <c r="BF62" s="314"/>
      <c r="BG62" s="308"/>
      <c r="BH62" s="308"/>
      <c r="BI62" s="308"/>
      <c r="BJ62" s="308"/>
      <c r="BK62" s="314"/>
      <c r="BL62" s="308"/>
      <c r="BM62" s="308"/>
      <c r="BN62" s="308"/>
      <c r="BO62" s="308"/>
      <c r="BP62" s="314"/>
    </row>
    <row r="63" spans="1:68" s="306" customFormat="1" outlineLevel="1">
      <c r="A63" s="245" t="s">
        <v>65</v>
      </c>
      <c r="B63" s="302" t="s">
        <v>200</v>
      </c>
      <c r="C63" s="303"/>
      <c r="D63" s="304"/>
      <c r="E63" s="304"/>
      <c r="F63" s="304"/>
      <c r="G63" s="304"/>
      <c r="H63" s="305"/>
      <c r="I63" s="304" t="str">
        <f>IFERROR(I58-I67,"--")</f>
        <v>--</v>
      </c>
      <c r="J63" s="304" t="str">
        <f>IFERROR(J58-J67,"--")</f>
        <v>--</v>
      </c>
      <c r="K63" s="304" t="str">
        <f>IFERROR(K58-K67,"--")</f>
        <v>--</v>
      </c>
      <c r="L63" s="304" t="str">
        <f>IFERROR(L58-L67,"--")</f>
        <v>--</v>
      </c>
      <c r="M63" s="305" t="str">
        <f>IFERROR(M58-M67,"--")</f>
        <v>--</v>
      </c>
      <c r="N63" s="304" t="str">
        <f t="shared" ref="N63:AB63" si="35">IFERROR(N58-N67,"--")</f>
        <v>--</v>
      </c>
      <c r="O63" s="304" t="str">
        <f t="shared" si="35"/>
        <v>--</v>
      </c>
      <c r="P63" s="304" t="str">
        <f t="shared" si="35"/>
        <v>--</v>
      </c>
      <c r="Q63" s="304" t="str">
        <f t="shared" si="35"/>
        <v>--</v>
      </c>
      <c r="R63" s="305" t="str">
        <f t="shared" si="35"/>
        <v>--</v>
      </c>
      <c r="S63" s="304" t="str">
        <f t="shared" si="35"/>
        <v>--</v>
      </c>
      <c r="T63" s="304" t="str">
        <f t="shared" si="35"/>
        <v>--</v>
      </c>
      <c r="U63" s="304" t="str">
        <f t="shared" si="35"/>
        <v>--</v>
      </c>
      <c r="V63" s="304" t="str">
        <f t="shared" si="35"/>
        <v>--</v>
      </c>
      <c r="W63" s="305" t="str">
        <f t="shared" si="35"/>
        <v>--</v>
      </c>
      <c r="X63" s="304" t="str">
        <f t="shared" si="35"/>
        <v>--</v>
      </c>
      <c r="Y63" s="304" t="str">
        <f t="shared" si="35"/>
        <v>--</v>
      </c>
      <c r="Z63" s="304" t="str">
        <f t="shared" si="35"/>
        <v>--</v>
      </c>
      <c r="AA63" s="304" t="str">
        <f t="shared" si="35"/>
        <v>--</v>
      </c>
      <c r="AB63" s="305" t="str">
        <f t="shared" si="35"/>
        <v>--</v>
      </c>
      <c r="AC63" s="304">
        <f>IFERROR(AC58-AC67,"--")</f>
        <v>142.344336</v>
      </c>
      <c r="AD63" s="304">
        <f>IFERROR(AD58-AD67,"--")</f>
        <v>142.509334</v>
      </c>
      <c r="AE63" s="304">
        <f>IFERROR(AE58-AE67,"--")</f>
        <v>155.10615999999999</v>
      </c>
      <c r="AF63" s="304">
        <f>IFERROR(AF58-AF67,"--")</f>
        <v>172.99083999999999</v>
      </c>
      <c r="AG63" s="305">
        <f>IFERROR(AG58-AG67,"--")</f>
        <v>611.34141</v>
      </c>
      <c r="AH63" s="304">
        <f t="shared" ref="AH63:BK63" si="36">IFERROR(AH58-AH67,"--")</f>
        <v>192.26094000000001</v>
      </c>
      <c r="AI63" s="304">
        <f t="shared" si="36"/>
        <v>211.63536999999999</v>
      </c>
      <c r="AJ63" s="304">
        <f t="shared" si="36"/>
        <v>228.11636200000001</v>
      </c>
      <c r="AK63" s="304">
        <f t="shared" si="36"/>
        <v>254.52300000000002</v>
      </c>
      <c r="AL63" s="305">
        <f t="shared" si="36"/>
        <v>886.51</v>
      </c>
      <c r="AM63" s="304">
        <f t="shared" si="36"/>
        <v>298.20863000000003</v>
      </c>
      <c r="AN63" s="304">
        <f t="shared" si="36"/>
        <v>334.815</v>
      </c>
      <c r="AO63" s="304">
        <f t="shared" si="36"/>
        <v>322.935</v>
      </c>
      <c r="AP63" s="304">
        <f t="shared" si="36"/>
        <v>384.49700000000001</v>
      </c>
      <c r="AQ63" s="305">
        <f t="shared" si="36"/>
        <v>1371.306</v>
      </c>
      <c r="AR63" s="304">
        <f t="shared" si="36"/>
        <v>421.32600000000002</v>
      </c>
      <c r="AS63" s="304">
        <f t="shared" si="36"/>
        <v>446.214</v>
      </c>
      <c r="AT63" s="304">
        <f t="shared" si="36"/>
        <v>477.98900000000003</v>
      </c>
      <c r="AU63" s="304">
        <f t="shared" si="36"/>
        <v>507.65999999999997</v>
      </c>
      <c r="AV63" s="305">
        <f t="shared" si="36"/>
        <v>1853.1889999999999</v>
      </c>
      <c r="AW63" s="304">
        <f t="shared" si="36"/>
        <v>572.87199999999996</v>
      </c>
      <c r="AX63" s="304">
        <f t="shared" si="36"/>
        <v>592.45956000000001</v>
      </c>
      <c r="AY63" s="304">
        <f t="shared" si="36"/>
        <v>628.28499999999997</v>
      </c>
      <c r="AZ63" s="304">
        <f t="shared" si="36"/>
        <v>623.36699999999996</v>
      </c>
      <c r="BA63" s="305">
        <f t="shared" si="36"/>
        <v>2416.9879999999998</v>
      </c>
      <c r="BB63" s="304">
        <f t="shared" si="36"/>
        <v>660.40467000000001</v>
      </c>
      <c r="BC63" s="304">
        <f t="shared" si="36"/>
        <v>707.656026</v>
      </c>
      <c r="BD63" s="304">
        <f t="shared" si="36"/>
        <v>742.77191000000005</v>
      </c>
      <c r="BE63" s="304">
        <f t="shared" si="36"/>
        <v>786.512114</v>
      </c>
      <c r="BF63" s="305">
        <f t="shared" si="36"/>
        <v>2897.26676</v>
      </c>
      <c r="BG63" s="304">
        <f t="shared" si="36"/>
        <v>811.28654399999994</v>
      </c>
      <c r="BH63" s="304">
        <f t="shared" si="36"/>
        <v>854.36120000000005</v>
      </c>
      <c r="BI63" s="304">
        <f t="shared" si="36"/>
        <v>893.1688200000001</v>
      </c>
      <c r="BJ63" s="304">
        <f t="shared" si="36"/>
        <v>931.35945000000015</v>
      </c>
      <c r="BK63" s="305">
        <f t="shared" si="36"/>
        <v>3478.5069999999996</v>
      </c>
      <c r="BL63" s="304">
        <f>IFERROR(BL58-BL67,"--")</f>
        <v>987.70312000000001</v>
      </c>
      <c r="BM63" s="304">
        <f>IFERROR(BM58-BM67,"--")</f>
        <v>1029.6242400000001</v>
      </c>
      <c r="BN63" s="304">
        <f>IFERROR(BN58-BN67,"--")</f>
        <v>1074.3608400000001</v>
      </c>
      <c r="BO63" s="304">
        <f>IFERROR(BO58-BO67,"--")</f>
        <v>1124.7168800000002</v>
      </c>
      <c r="BP63" s="305">
        <f>IFERROR(BP58-BP67,"--")</f>
        <v>4128.4309999999996</v>
      </c>
    </row>
    <row r="64" spans="1:68" s="310" customFormat="1" outlineLevel="1">
      <c r="A64" s="245" t="s">
        <v>66</v>
      </c>
      <c r="B64" s="307" t="s">
        <v>32</v>
      </c>
      <c r="C64" s="307"/>
      <c r="D64" s="308"/>
      <c r="E64" s="308"/>
      <c r="F64" s="308"/>
      <c r="G64" s="308"/>
      <c r="H64" s="309"/>
      <c r="I64" s="308" t="str">
        <f t="shared" ref="I64:AN64" si="37">IFERROR(I63/D63-1,"--")</f>
        <v>--</v>
      </c>
      <c r="J64" s="308" t="str">
        <f t="shared" si="37"/>
        <v>--</v>
      </c>
      <c r="K64" s="308" t="str">
        <f t="shared" si="37"/>
        <v>--</v>
      </c>
      <c r="L64" s="308" t="str">
        <f t="shared" si="37"/>
        <v>--</v>
      </c>
      <c r="M64" s="309" t="str">
        <f t="shared" si="37"/>
        <v>--</v>
      </c>
      <c r="N64" s="308" t="str">
        <f t="shared" si="37"/>
        <v>--</v>
      </c>
      <c r="O64" s="308" t="str">
        <f t="shared" si="37"/>
        <v>--</v>
      </c>
      <c r="P64" s="308" t="str">
        <f t="shared" si="37"/>
        <v>--</v>
      </c>
      <c r="Q64" s="308" t="str">
        <f t="shared" si="37"/>
        <v>--</v>
      </c>
      <c r="R64" s="309" t="str">
        <f t="shared" si="37"/>
        <v>--</v>
      </c>
      <c r="S64" s="308" t="str">
        <f t="shared" si="37"/>
        <v>--</v>
      </c>
      <c r="T64" s="308" t="str">
        <f t="shared" si="37"/>
        <v>--</v>
      </c>
      <c r="U64" s="308" t="str">
        <f t="shared" si="37"/>
        <v>--</v>
      </c>
      <c r="V64" s="308" t="str">
        <f t="shared" si="37"/>
        <v>--</v>
      </c>
      <c r="W64" s="309" t="str">
        <f t="shared" si="37"/>
        <v>--</v>
      </c>
      <c r="X64" s="308" t="str">
        <f t="shared" si="37"/>
        <v>--</v>
      </c>
      <c r="Y64" s="308" t="str">
        <f t="shared" si="37"/>
        <v>--</v>
      </c>
      <c r="Z64" s="308" t="str">
        <f t="shared" si="37"/>
        <v>--</v>
      </c>
      <c r="AA64" s="308" t="str">
        <f t="shared" si="37"/>
        <v>--</v>
      </c>
      <c r="AB64" s="309" t="str">
        <f t="shared" si="37"/>
        <v>--</v>
      </c>
      <c r="AC64" s="308" t="str">
        <f t="shared" si="37"/>
        <v>--</v>
      </c>
      <c r="AD64" s="308" t="str">
        <f t="shared" si="37"/>
        <v>--</v>
      </c>
      <c r="AE64" s="308" t="str">
        <f t="shared" si="37"/>
        <v>--</v>
      </c>
      <c r="AF64" s="308" t="str">
        <f t="shared" si="37"/>
        <v>--</v>
      </c>
      <c r="AG64" s="309" t="str">
        <f t="shared" si="37"/>
        <v>--</v>
      </c>
      <c r="AH64" s="308">
        <f t="shared" si="37"/>
        <v>0.35067502791259653</v>
      </c>
      <c r="AI64" s="308">
        <f t="shared" si="37"/>
        <v>0.48506321698198374</v>
      </c>
      <c r="AJ64" s="308">
        <f t="shared" si="37"/>
        <v>0.47071116969177762</v>
      </c>
      <c r="AK64" s="308">
        <f t="shared" si="37"/>
        <v>0.47130911671392561</v>
      </c>
      <c r="AL64" s="309">
        <f t="shared" si="37"/>
        <v>0.45010625077728661</v>
      </c>
      <c r="AM64" s="308">
        <f t="shared" si="37"/>
        <v>0.5510619577746787</v>
      </c>
      <c r="AN64" s="308">
        <f t="shared" si="37"/>
        <v>0.58203706686646939</v>
      </c>
      <c r="AO64" s="308">
        <f t="shared" ref="AO64:BP64" si="38">IFERROR(AO63/AJ63-1,"--")</f>
        <v>0.41565908367414695</v>
      </c>
      <c r="AP64" s="308">
        <f t="shared" si="38"/>
        <v>0.51065719011641364</v>
      </c>
      <c r="AQ64" s="309">
        <f t="shared" si="38"/>
        <v>0.54685903148300641</v>
      </c>
      <c r="AR64" s="308">
        <f t="shared" si="38"/>
        <v>0.41285649580295503</v>
      </c>
      <c r="AS64" s="308">
        <f t="shared" si="38"/>
        <v>0.3327180681869093</v>
      </c>
      <c r="AT64" s="308">
        <f t="shared" si="38"/>
        <v>0.48013996624707778</v>
      </c>
      <c r="AU64" s="308">
        <f t="shared" si="38"/>
        <v>0.32032239523325257</v>
      </c>
      <c r="AV64" s="309">
        <f t="shared" si="38"/>
        <v>0.35140442760405022</v>
      </c>
      <c r="AW64" s="308">
        <f t="shared" si="38"/>
        <v>0.35968822242159271</v>
      </c>
      <c r="AX64" s="308">
        <f t="shared" si="38"/>
        <v>0.32774758299829232</v>
      </c>
      <c r="AY64" s="308">
        <f t="shared" si="38"/>
        <v>0.314434014171874</v>
      </c>
      <c r="AZ64" s="308">
        <f t="shared" si="38"/>
        <v>0.22792223141472645</v>
      </c>
      <c r="BA64" s="309">
        <f t="shared" si="38"/>
        <v>0.30423178639631465</v>
      </c>
      <c r="BB64" s="308">
        <f t="shared" si="38"/>
        <v>0.15279620927537052</v>
      </c>
      <c r="BC64" s="308">
        <f t="shared" si="38"/>
        <v>0.19443768617726409</v>
      </c>
      <c r="BD64" s="308">
        <f t="shared" si="38"/>
        <v>0.18222130084277044</v>
      </c>
      <c r="BE64" s="308">
        <f t="shared" si="38"/>
        <v>0.26171599394898992</v>
      </c>
      <c r="BF64" s="309">
        <f t="shared" si="38"/>
        <v>0.19870961709367196</v>
      </c>
      <c r="BG64" s="308">
        <f t="shared" si="38"/>
        <v>0.2284688174600582</v>
      </c>
      <c r="BH64" s="308">
        <f t="shared" si="38"/>
        <v>0.20731141770846739</v>
      </c>
      <c r="BI64" s="308">
        <f t="shared" si="38"/>
        <v>0.20248061077053925</v>
      </c>
      <c r="BJ64" s="308">
        <f t="shared" si="38"/>
        <v>0.18416415134834163</v>
      </c>
      <c r="BK64" s="309">
        <f t="shared" si="38"/>
        <v>0.2006167495601956</v>
      </c>
      <c r="BL64" s="308">
        <f t="shared" si="38"/>
        <v>0.21745285596651054</v>
      </c>
      <c r="BM64" s="308">
        <f t="shared" si="38"/>
        <v>0.20513927832865075</v>
      </c>
      <c r="BN64" s="308">
        <f t="shared" si="38"/>
        <v>0.20286424687328419</v>
      </c>
      <c r="BO64" s="308">
        <f t="shared" si="38"/>
        <v>0.20760773941790145</v>
      </c>
      <c r="BP64" s="309">
        <f t="shared" si="38"/>
        <v>0.18683992873954258</v>
      </c>
    </row>
    <row r="65" spans="1:68" s="310" customFormat="1" outlineLevel="1">
      <c r="A65" s="245" t="s">
        <v>67</v>
      </c>
      <c r="B65" s="307" t="s">
        <v>33</v>
      </c>
      <c r="C65" s="307"/>
      <c r="D65" s="308"/>
      <c r="E65" s="308"/>
      <c r="F65" s="308"/>
      <c r="G65" s="308"/>
      <c r="H65" s="314"/>
      <c r="I65" s="308" t="str">
        <f>IFERROR(I63/G63-1,"--")</f>
        <v>--</v>
      </c>
      <c r="J65" s="308" t="str">
        <f>IFERROR(J63/I63-1,"--")</f>
        <v>--</v>
      </c>
      <c r="K65" s="308" t="str">
        <f>IFERROR(K63/J63-1,"--")</f>
        <v>--</v>
      </c>
      <c r="L65" s="308" t="str">
        <f>IFERROR(L63/K63-1,"--")</f>
        <v>--</v>
      </c>
      <c r="M65" s="311"/>
      <c r="N65" s="308" t="str">
        <f>IFERROR(N63/L63-1,"--")</f>
        <v>--</v>
      </c>
      <c r="O65" s="308" t="str">
        <f>IFERROR(O63/N63-1,"--")</f>
        <v>--</v>
      </c>
      <c r="P65" s="308" t="str">
        <f>IFERROR(P63/O63-1,"--")</f>
        <v>--</v>
      </c>
      <c r="Q65" s="308" t="str">
        <f>IFERROR(Q63/P63-1,"--")</f>
        <v>--</v>
      </c>
      <c r="R65" s="311"/>
      <c r="S65" s="308" t="str">
        <f>IFERROR(S63/Q63-1,"--")</f>
        <v>--</v>
      </c>
      <c r="T65" s="308" t="str">
        <f>IFERROR(T63/S63-1,"--")</f>
        <v>--</v>
      </c>
      <c r="U65" s="308" t="str">
        <f>IFERROR(U63/T63-1,"--")</f>
        <v>--</v>
      </c>
      <c r="V65" s="308" t="str">
        <f>IFERROR(V63/U63-1,"--")</f>
        <v>--</v>
      </c>
      <c r="W65" s="311"/>
      <c r="X65" s="308" t="str">
        <f>IFERROR(X63/V63-1,"--")</f>
        <v>--</v>
      </c>
      <c r="Y65" s="308" t="str">
        <f>IFERROR(Y63/X63-1,"--")</f>
        <v>--</v>
      </c>
      <c r="Z65" s="308" t="str">
        <f>IFERROR(Z63/Y63-1,"--")</f>
        <v>--</v>
      </c>
      <c r="AA65" s="308" t="str">
        <f>IFERROR(AA63/Z63-1,"--")</f>
        <v>--</v>
      </c>
      <c r="AB65" s="311"/>
      <c r="AC65" s="308" t="str">
        <f>IFERROR(AC63/AA63-1,"--")</f>
        <v>--</v>
      </c>
      <c r="AD65" s="308">
        <f>IFERROR(AD63/AC63-1,"--")</f>
        <v>1.1591469294569556E-3</v>
      </c>
      <c r="AE65" s="308">
        <f>IFERROR(AE63/AD63-1,"--")</f>
        <v>8.8392989051510051E-2</v>
      </c>
      <c r="AF65" s="308">
        <f>IFERROR(AF63/AE63-1,"--")</f>
        <v>0.11530605876646027</v>
      </c>
      <c r="AG65" s="311"/>
      <c r="AH65" s="308">
        <f>IFERROR(AH63/AF63-1,"--")</f>
        <v>0.1113937593458707</v>
      </c>
      <c r="AI65" s="308">
        <f>IFERROR(AI63/AH63-1,"--")</f>
        <v>0.10077153476936074</v>
      </c>
      <c r="AJ65" s="308">
        <f>IFERROR(AJ63/AI63-1,"--")</f>
        <v>7.7874468714752343E-2</v>
      </c>
      <c r="AK65" s="308">
        <f>IFERROR(AK63/AJ63-1,"--")</f>
        <v>0.11575950873703666</v>
      </c>
      <c r="AL65" s="311"/>
      <c r="AM65" s="308">
        <f>IFERROR(AM63/AK63-1,"--")</f>
        <v>0.17163725871532232</v>
      </c>
      <c r="AN65" s="308">
        <f>IFERROR(AN63/AM63-1,"--")</f>
        <v>0.12275422746819897</v>
      </c>
      <c r="AO65" s="308">
        <f>IFERROR(AO63/AN63-1,"--")</f>
        <v>-3.548228125980013E-2</v>
      </c>
      <c r="AP65" s="308">
        <f>IFERROR(AP63/AO63-1,"--")</f>
        <v>0.1906327898803164</v>
      </c>
      <c r="AQ65" s="311"/>
      <c r="AR65" s="308">
        <f>IFERROR(AR63/AP63-1,"--")</f>
        <v>9.5784882586860354E-2</v>
      </c>
      <c r="AS65" s="308">
        <f>IFERROR(AS63/AR63-1,"--")</f>
        <v>5.9070648381538193E-2</v>
      </c>
      <c r="AT65" s="308">
        <f>IFERROR(AT63/AS63-1,"--")</f>
        <v>7.1210226483257033E-2</v>
      </c>
      <c r="AU65" s="308">
        <f>IFERROR(AU63/AT63-1,"--")</f>
        <v>6.2074650253457486E-2</v>
      </c>
      <c r="AV65" s="311"/>
      <c r="AW65" s="308">
        <f>IFERROR(AW63/AU63-1,"--")</f>
        <v>0.12845605326399556</v>
      </c>
      <c r="AX65" s="308">
        <f>IFERROR(AX63/AW63-1,"--")</f>
        <v>3.4191861358209286E-2</v>
      </c>
      <c r="AY65" s="308">
        <f>IFERROR(AY63/AX63-1,"--")</f>
        <v>6.0469004838068496E-2</v>
      </c>
      <c r="AZ65" s="308">
        <f>IFERROR(AZ63/AY63-1,"--")</f>
        <v>-7.8276578304431466E-3</v>
      </c>
      <c r="BA65" s="311"/>
      <c r="BB65" s="308">
        <f>IFERROR(BB63/AZ63-1,"--")</f>
        <v>5.9415512851979768E-2</v>
      </c>
      <c r="BC65" s="308">
        <f>IFERROR(BC63/BB63-1,"--")</f>
        <v>7.1549094284872217E-2</v>
      </c>
      <c r="BD65" s="308">
        <f>IFERROR(BD63/BC63-1,"--")</f>
        <v>4.9622814912622548E-2</v>
      </c>
      <c r="BE65" s="308">
        <f>IFERROR(BE63/BD63-1,"--")</f>
        <v>5.8887800428532477E-2</v>
      </c>
      <c r="BF65" s="311"/>
      <c r="BG65" s="308">
        <f>IFERROR(BG63/BE63-1,"--")</f>
        <v>3.1499107971781237E-2</v>
      </c>
      <c r="BH65" s="308">
        <f>IFERROR(BH63/BG63-1,"--")</f>
        <v>5.3094256669934614E-2</v>
      </c>
      <c r="BI65" s="308">
        <f>IFERROR(BI63/BH63-1,"--")</f>
        <v>4.5422966305117773E-2</v>
      </c>
      <c r="BJ65" s="308">
        <f>IFERROR(BJ63/BI63-1,"--")</f>
        <v>4.2758579503480609E-2</v>
      </c>
      <c r="BK65" s="311"/>
      <c r="BL65" s="308">
        <f>IFERROR(BL63/BJ63-1,"--")</f>
        <v>6.049615967283084E-2</v>
      </c>
      <c r="BM65" s="308">
        <f>IFERROR(BM63/BL63-1,"--")</f>
        <v>4.2443036931988365E-2</v>
      </c>
      <c r="BN65" s="308">
        <f>IFERROR(BN63/BM63-1,"--")</f>
        <v>4.3449443264855558E-2</v>
      </c>
      <c r="BO65" s="308">
        <f>IFERROR(BO63/BN63-1,"--")</f>
        <v>4.6870695696615394E-2</v>
      </c>
      <c r="BP65" s="311"/>
    </row>
    <row r="66" spans="1:68" s="310" customFormat="1" outlineLevel="1">
      <c r="A66" s="293"/>
      <c r="B66" s="307"/>
      <c r="C66" s="307"/>
      <c r="D66" s="308"/>
      <c r="E66" s="308"/>
      <c r="F66" s="308"/>
      <c r="G66" s="308"/>
      <c r="H66" s="314"/>
      <c r="I66" s="308"/>
      <c r="J66" s="308"/>
      <c r="K66" s="308"/>
      <c r="L66" s="308"/>
      <c r="M66" s="314"/>
      <c r="N66" s="308"/>
      <c r="O66" s="308"/>
      <c r="P66" s="308"/>
      <c r="Q66" s="308"/>
      <c r="R66" s="314"/>
      <c r="S66" s="308"/>
      <c r="T66" s="308"/>
      <c r="U66" s="308"/>
      <c r="V66" s="308"/>
      <c r="W66" s="314"/>
      <c r="X66" s="308"/>
      <c r="Y66" s="308"/>
      <c r="Z66" s="308"/>
      <c r="AA66" s="308"/>
      <c r="AB66" s="314"/>
      <c r="AC66" s="308"/>
      <c r="AD66" s="308"/>
      <c r="AE66" s="308"/>
      <c r="AF66" s="308"/>
      <c r="AG66" s="314"/>
      <c r="AH66" s="308"/>
      <c r="AI66" s="308"/>
      <c r="AJ66" s="308"/>
      <c r="AK66" s="308"/>
      <c r="AL66" s="314"/>
      <c r="AM66" s="308"/>
      <c r="AN66" s="308"/>
      <c r="AO66" s="308"/>
      <c r="AP66" s="308"/>
      <c r="AQ66" s="314"/>
      <c r="AR66" s="308"/>
      <c r="AS66" s="308"/>
      <c r="AT66" s="308"/>
      <c r="AU66" s="308"/>
      <c r="AV66" s="314"/>
      <c r="AW66" s="308"/>
      <c r="AX66" s="308"/>
      <c r="AY66" s="308"/>
      <c r="AZ66" s="308"/>
      <c r="BA66" s="314"/>
      <c r="BB66" s="308"/>
      <c r="BC66" s="308"/>
      <c r="BD66" s="308"/>
      <c r="BE66" s="308"/>
      <c r="BF66" s="314"/>
      <c r="BG66" s="308"/>
      <c r="BH66" s="308"/>
      <c r="BI66" s="308"/>
      <c r="BJ66" s="308"/>
      <c r="BK66" s="314"/>
      <c r="BL66" s="308"/>
      <c r="BM66" s="308"/>
      <c r="BN66" s="308"/>
      <c r="BO66" s="308"/>
      <c r="BP66" s="314"/>
    </row>
    <row r="67" spans="1:68" s="306" customFormat="1" outlineLevel="1">
      <c r="A67" s="107" t="s">
        <v>68</v>
      </c>
      <c r="B67" s="302" t="s">
        <v>5</v>
      </c>
      <c r="C67" s="303"/>
      <c r="D67" s="304"/>
      <c r="E67" s="304"/>
      <c r="F67" s="304"/>
      <c r="G67" s="304"/>
      <c r="H67" s="305"/>
      <c r="I67" s="304" t="str" cm="1">
        <f t="array" ref="I67">_xlfn.SINGLE(IF(ISERROR(_xll.FDSB($C$2,"FE_ESTIMATE(EBIT,MEAN,QUARTERLY_ROLL,"&amp;I$9&amp;","&amp;$C$5&amp;",,,'')")), "--", _xll.FDSB($C$2,"FE_ESTIMATE(EBIT,MEAN,QUARTERLY_ROLL,"&amp;I$9&amp;","&amp;$C$5&amp;",,,'')")))</f>
        <v/>
      </c>
      <c r="J67" s="304" t="str" cm="1">
        <f t="array" ref="J67">_xlfn.SINGLE(IF(ISERROR(_xll.FDSB($C$2,"FE_ESTIMATE(EBIT,MEAN,QUARTERLY_ROLL,"&amp;J$9&amp;","&amp;$C$5&amp;",,,'')")), "--", _xll.FDSB($C$2,"FE_ESTIMATE(EBIT,MEAN,QUARTERLY_ROLL,"&amp;J$9&amp;","&amp;$C$5&amp;",,,'')")))</f>
        <v/>
      </c>
      <c r="K67" s="304" t="str" cm="1">
        <f t="array" ref="K67">_xlfn.SINGLE(IF(ISERROR(_xll.FDSB($C$2,"FE_ESTIMATE(EBIT,MEAN,QUARTERLY_ROLL,"&amp;K$9&amp;","&amp;$C$5&amp;",,,'')")), "--", _xll.FDSB($C$2,"FE_ESTIMATE(EBIT,MEAN,QUARTERLY_ROLL,"&amp;K$9&amp;","&amp;$C$5&amp;",,,'')")))</f>
        <v/>
      </c>
      <c r="L67" s="304" t="str" cm="1">
        <f t="array" ref="L67">_xlfn.SINGLE(IF(ISERROR(_xll.FDSB($C$2,"FE_ESTIMATE(EBIT,MEAN,QUARTERLY_ROLL,"&amp;L$9&amp;","&amp;$C$5&amp;",,,'')")), "--", _xll.FDSB($C$2,"FE_ESTIMATE(EBIT,MEAN,QUARTERLY_ROLL,"&amp;L$9&amp;","&amp;$C$5&amp;",,,'')")))</f>
        <v/>
      </c>
      <c r="M67" s="305" t="str" cm="1">
        <f t="array" ref="M67">_xlfn.SINGLE(IF(ISERROR(_xll.FDSB($C$2,"FE_ESTIMATE(EBIT,MEAN,ANNUAL_ROLL,"&amp;M$9&amp;","&amp;$C$5&amp;",,,'')")), "--", _xll.FDSB($C$2,"FE_ESTIMATE(EBIT,MEAN,ANNUAL_ROLL,"&amp;M$9&amp;","&amp;$C$5&amp;",,,'')")))</f>
        <v/>
      </c>
      <c r="N67" s="304" t="str" cm="1">
        <f t="array" ref="N67">_xlfn.SINGLE(IF(ISERROR(_xll.FDSB($C$2,"FE_ESTIMATE(EBIT,MEAN,QUARTERLY_ROLL,"&amp;N$9&amp;","&amp;$C$5&amp;",,,'')")), "--", _xll.FDSB($C$2,"FE_ESTIMATE(EBIT,MEAN,QUARTERLY_ROLL,"&amp;N$9&amp;","&amp;$C$5&amp;",,,'')")))</f>
        <v/>
      </c>
      <c r="O67" s="304" t="str" cm="1">
        <f t="array" ref="O67">_xlfn.SINGLE(IF(ISERROR(_xll.FDSB($C$2,"FE_ESTIMATE(EBIT,MEAN,QUARTERLY_ROLL,"&amp;O$9&amp;","&amp;$C$5&amp;",,,'')")), "--", _xll.FDSB($C$2,"FE_ESTIMATE(EBIT,MEAN,QUARTERLY_ROLL,"&amp;O$9&amp;","&amp;$C$5&amp;",,,'')")))</f>
        <v/>
      </c>
      <c r="P67" s="304" t="str" cm="1">
        <f t="array" ref="P67">_xlfn.SINGLE(IF(ISERROR(_xll.FDSB($C$2,"FE_ESTIMATE(EBIT,MEAN,QUARTERLY_ROLL,"&amp;P$9&amp;","&amp;$C$5&amp;",,,'')")), "--", _xll.FDSB($C$2,"FE_ESTIMATE(EBIT,MEAN,QUARTERLY_ROLL,"&amp;P$9&amp;","&amp;$C$5&amp;",,,'')")))</f>
        <v/>
      </c>
      <c r="Q67" s="304" t="str" cm="1">
        <f t="array" ref="Q67">_xlfn.SINGLE(IF(ISERROR(_xll.FDSB($C$2,"FE_ESTIMATE(EBIT,MEAN,QUARTERLY_ROLL,"&amp;Q$9&amp;","&amp;$C$5&amp;",,,'')")), "--", _xll.FDSB($C$2,"FE_ESTIMATE(EBIT,MEAN,QUARTERLY_ROLL,"&amp;Q$9&amp;","&amp;$C$5&amp;",,,'')")))</f>
        <v/>
      </c>
      <c r="R67" s="305" t="str" cm="1">
        <f t="array" ref="R67">_xlfn.SINGLE(IF(ISERROR(_xll.FDSB($C$2,"FE_ESTIMATE(EBIT,MEAN,ANNUAL_ROLL,"&amp;R$9&amp;","&amp;$C$5&amp;",,,'')")), "--", _xll.FDSB($C$2,"FE_ESTIMATE(EBIT,MEAN,ANNUAL_ROLL,"&amp;R$9&amp;","&amp;$C$5&amp;",,,'')")))</f>
        <v/>
      </c>
      <c r="S67" s="304" t="str" cm="1">
        <f t="array" ref="S67">_xlfn.SINGLE(IF(ISERROR(_xll.FDSB($C$2,"FE_ESTIMATE(EBIT,MEAN,QUARTERLY_ROLL,"&amp;S$9&amp;","&amp;$C$5&amp;",,,'')")), "--", _xll.FDSB($C$2,"FE_ESTIMATE(EBIT,MEAN,QUARTERLY_ROLL,"&amp;S$9&amp;","&amp;$C$5&amp;",,,'')")))</f>
        <v/>
      </c>
      <c r="T67" s="304" t="str" cm="1">
        <f t="array" ref="T67">_xlfn.SINGLE(IF(ISERROR(_xll.FDSB($C$2,"FE_ESTIMATE(EBIT,MEAN,QUARTERLY_ROLL,"&amp;T$9&amp;","&amp;$C$5&amp;",,,'')")), "--", _xll.FDSB($C$2,"FE_ESTIMATE(EBIT,MEAN,QUARTERLY_ROLL,"&amp;T$9&amp;","&amp;$C$5&amp;",,,'')")))</f>
        <v/>
      </c>
      <c r="U67" s="304" t="str" cm="1">
        <f t="array" ref="U67">_xlfn.SINGLE(IF(ISERROR(_xll.FDSB($C$2,"FE_ESTIMATE(EBIT,MEAN,QUARTERLY_ROLL,"&amp;U$9&amp;","&amp;$C$5&amp;",,,'')")), "--", _xll.FDSB($C$2,"FE_ESTIMATE(EBIT,MEAN,QUARTERLY_ROLL,"&amp;U$9&amp;","&amp;$C$5&amp;",,,'')")))</f>
        <v/>
      </c>
      <c r="V67" s="304" t="str" cm="1">
        <f t="array" ref="V67">_xlfn.SINGLE(IF(ISERROR(_xll.FDSB($C$2,"FE_ESTIMATE(EBIT,MEAN,QUARTERLY_ROLL,"&amp;V$9&amp;","&amp;$C$5&amp;",,,'')")), "--", _xll.FDSB($C$2,"FE_ESTIMATE(EBIT,MEAN,QUARTERLY_ROLL,"&amp;V$9&amp;","&amp;$C$5&amp;",,,'')")))</f>
        <v/>
      </c>
      <c r="W67" s="305" t="str" cm="1">
        <f t="array" ref="W67">_xlfn.SINGLE(IF(ISERROR(_xll.FDSB($C$2,"FE_ESTIMATE(EBIT,MEAN,ANNUAL_ROLL,"&amp;W$9&amp;","&amp;$C$5&amp;",,,'')")), "--", _xll.FDSB($C$2,"FE_ESTIMATE(EBIT,MEAN,ANNUAL_ROLL,"&amp;W$9&amp;","&amp;$C$5&amp;",,,'')")))</f>
        <v/>
      </c>
      <c r="X67" s="304" t="str" cm="1">
        <f t="array" ref="X67">_xlfn.SINGLE(IF(ISERROR(_xll.FDSB($C$2,"FE_ESTIMATE(EBIT,MEAN,QUARTERLY_ROLL,"&amp;X$9&amp;","&amp;$C$5&amp;",,,'')")), "--", _xll.FDSB($C$2,"FE_ESTIMATE(EBIT,MEAN,QUARTERLY_ROLL,"&amp;X$9&amp;","&amp;$C$5&amp;",,,'')")))</f>
        <v/>
      </c>
      <c r="Y67" s="304" t="str" cm="1">
        <f t="array" ref="Y67">_xlfn.SINGLE(IF(ISERROR(_xll.FDSB($C$2,"FE_ESTIMATE(EBIT,MEAN,QUARTERLY_ROLL,"&amp;Y$9&amp;","&amp;$C$5&amp;",,,'')")), "--", _xll.FDSB($C$2,"FE_ESTIMATE(EBIT,MEAN,QUARTERLY_ROLL,"&amp;Y$9&amp;","&amp;$C$5&amp;",,,'')")))</f>
        <v/>
      </c>
      <c r="Z67" s="304" t="str" cm="1">
        <f t="array" ref="Z67">_xlfn.SINGLE(IF(ISERROR(_xll.FDSB($C$2,"FE_ESTIMATE(EBIT,MEAN,QUARTERLY_ROLL,"&amp;Z$9&amp;","&amp;$C$5&amp;",,,'')")), "--", _xll.FDSB($C$2,"FE_ESTIMATE(EBIT,MEAN,QUARTERLY_ROLL,"&amp;Z$9&amp;","&amp;$C$5&amp;",,,'')")))</f>
        <v/>
      </c>
      <c r="AA67" s="304" t="str" cm="1">
        <f t="array" ref="AA67">_xlfn.SINGLE(IF(ISERROR(_xll.FDSB($C$2,"FE_ESTIMATE(EBIT,MEAN,QUARTERLY_ROLL,"&amp;AA$9&amp;","&amp;$C$5&amp;",,,'')")), "--", _xll.FDSB($C$2,"FE_ESTIMATE(EBIT,MEAN,QUARTERLY_ROLL,"&amp;AA$9&amp;","&amp;$C$5&amp;",,,'')")))</f>
        <v/>
      </c>
      <c r="AB67" s="305" t="str" cm="1">
        <f t="array" ref="AB67">_xlfn.SINGLE(IF(ISERROR(_xll.FDSB($C$2,"FE_ESTIMATE(EBIT,MEAN,ANNUAL_ROLL,"&amp;AB$9&amp;","&amp;$C$5&amp;",,,'')")), "--", _xll.FDSB($C$2,"FE_ESTIMATE(EBIT,MEAN,ANNUAL_ROLL,"&amp;AB$9&amp;","&amp;$C$5&amp;",,,'')")))</f>
        <v/>
      </c>
      <c r="AC67" s="304" cm="1">
        <f t="array" ref="AC67">_xlfn.SINGLE(IF(ISERROR(_xll.FDSB($C$2,"FE_ESTIMATE(EBIT,MEAN,QUARTERLY_ROLL,"&amp;AC$9&amp;","&amp;$C$5&amp;",,,'')")), "--", _xll.FDSB($C$2,"FE_ESTIMATE(EBIT,MEAN,QUARTERLY_ROLL,"&amp;AC$9&amp;","&amp;$C$5&amp;",,,'')")))</f>
        <v>-74.819336000000007</v>
      </c>
      <c r="AD67" s="304" cm="1">
        <f t="array" ref="AD67">_xlfn.SINGLE(IF(ISERROR(_xll.FDSB($C$2,"FE_ESTIMATE(EBIT,MEAN,QUARTERLY_ROLL,"&amp;AD$9&amp;","&amp;$C$5&amp;",,,'')")), "--", _xll.FDSB($C$2,"FE_ESTIMATE(EBIT,MEAN,QUARTERLY_ROLL,"&amp;AD$9&amp;","&amp;$C$5&amp;",,,'')")))</f>
        <v>-58.351334000000001</v>
      </c>
      <c r="AE67" s="304" cm="1">
        <f t="array" ref="AE67">_xlfn.SINGLE(IF(ISERROR(_xll.FDSB($C$2,"FE_ESTIMATE(EBIT,MEAN,QUARTERLY_ROLL,"&amp;AE$9&amp;","&amp;$C$5&amp;",,,'')")), "--", _xll.FDSB($C$2,"FE_ESTIMATE(EBIT,MEAN,QUARTERLY_ROLL,"&amp;AE$9&amp;","&amp;$C$5&amp;",,,'')")))</f>
        <v>-48.09722</v>
      </c>
      <c r="AF67" s="304" cm="1">
        <f t="array" ref="AF67">_xlfn.SINGLE(IF(ISERROR(_xll.FDSB($C$2,"FE_ESTIMATE(EBIT,MEAN,QUARTERLY_ROLL,"&amp;AF$9&amp;","&amp;$C$5&amp;",,,'')")), "--", _xll.FDSB($C$2,"FE_ESTIMATE(EBIT,MEAN,QUARTERLY_ROLL,"&amp;AF$9&amp;","&amp;$C$5&amp;",,,'')")))</f>
        <v>-45.990839999999999</v>
      </c>
      <c r="AG67" s="305" cm="1">
        <f t="array" ref="AG67">_xlfn.SINGLE(IF(ISERROR(_xll.FDSB($C$2,"FE_ESTIMATE(EBIT,MEAN,ANNUAL_ROLL,"&amp;AG$9&amp;","&amp;$C$5&amp;",,,'')")), "--", _xll.FDSB($C$2,"FE_ESTIMATE(EBIT,MEAN,ANNUAL_ROLL,"&amp;AG$9&amp;","&amp;$C$5&amp;",,,'')")))</f>
        <v>-225.47441000000001</v>
      </c>
      <c r="AH67" s="304" cm="1">
        <f t="array" ref="AH67">_xlfn.SINGLE(IF(ISERROR(_xll.FDSB($C$2,"FE_ESTIMATE(EBIT,MEAN,QUARTERLY_ROLL,"&amp;AH$9&amp;","&amp;$C$5&amp;",,,'')")), "--", _xll.FDSB($C$2,"FE_ESTIMATE(EBIT,MEAN,QUARTERLY_ROLL,"&amp;AH$9&amp;","&amp;$C$5&amp;",,,'')")))</f>
        <v>-35.799999999999997</v>
      </c>
      <c r="AI67" s="304" cm="1">
        <f t="array" ref="AI67">_xlfn.SINGLE(IF(ISERROR(_xll.FDSB($C$2,"FE_ESTIMATE(EBIT,MEAN,QUARTERLY_ROLL,"&amp;AI$9&amp;","&amp;$C$5&amp;",,,'')")), "--", _xll.FDSB($C$2,"FE_ESTIMATE(EBIT,MEAN,QUARTERLY_ROLL,"&amp;AI$9&amp;","&amp;$C$5&amp;",,,'')")))</f>
        <v>-21.904199999999999</v>
      </c>
      <c r="AJ67" s="304" cm="1">
        <f t="array" ref="AJ67">_xlfn.SINGLE(IF(ISERROR(_xll.FDSB($C$2,"FE_ESTIMATE(EBIT,MEAN,QUARTERLY_ROLL,"&amp;AJ$9&amp;","&amp;$C$5&amp;",,,'')")), "--", _xll.FDSB($C$2,"FE_ESTIMATE(EBIT,MEAN,QUARTERLY_ROLL,"&amp;AJ$9&amp;","&amp;$C$5&amp;",,,'')")))</f>
        <v>8.4633679999999991</v>
      </c>
      <c r="AK67" s="304" cm="1">
        <f t="array" ref="AK67">_xlfn.SINGLE(IF(ISERROR(_xll.FDSB($C$2,"FE_ESTIMATE(EBIT,MEAN,QUARTERLY_ROLL,"&amp;AK$9&amp;","&amp;$C$5&amp;",,,'')")), "--", _xll.FDSB($C$2,"FE_ESTIMATE(EBIT,MEAN,QUARTERLY_ROLL,"&amp;AK$9&amp;","&amp;$C$5&amp;",,,'')")))</f>
        <v>18.058</v>
      </c>
      <c r="AL67" s="305" cm="1">
        <f t="array" ref="AL67">_xlfn.SINGLE(IF(ISERROR(_xll.FDSB($C$2,"FE_ESTIMATE(EBIT,MEAN,ANNUAL_ROLL,"&amp;AL$9&amp;","&amp;$C$5&amp;",,,'')")), "--", _xll.FDSB($C$2,"FE_ESTIMATE(EBIT,MEAN,ANNUAL_ROLL,"&amp;AL$9&amp;","&amp;$C$5&amp;",,,'')")))</f>
        <v>-31.175000000000001</v>
      </c>
      <c r="AM67" s="304" cm="1">
        <f t="array" ref="AM67">_xlfn.SINGLE(IF(ISERROR(_xll.FDSB($C$2,"FE_ESTIMATE(EBIT,MEAN,QUARTERLY_ROLL,"&amp;AM$9&amp;","&amp;$C$5&amp;",,,'')")), "--", _xll.FDSB($C$2,"FE_ESTIMATE(EBIT,MEAN,QUARTERLY_ROLL,"&amp;AM$9&amp;","&amp;$C$5&amp;",,,'')")))</f>
        <v>1.7</v>
      </c>
      <c r="AN67" s="304" cm="1">
        <f t="array" ref="AN67">_xlfn.SINGLE(IF(ISERROR(_xll.FDSB($C$2,"FE_ESTIMATE(EBIT,MEAN,QUARTERLY_ROLL,"&amp;AN$9&amp;","&amp;$C$5&amp;",,,'')")), "--", _xll.FDSB($C$2,"FE_ESTIMATE(EBIT,MEAN,QUARTERLY_ROLL,"&amp;AN$9&amp;","&amp;$C$5&amp;",,,'')")))</f>
        <v>17.460999999999999</v>
      </c>
      <c r="AO67" s="304" cm="1">
        <f t="array" ref="AO67">_xlfn.SINGLE(IF(ISERROR(_xll.FDSB($C$2,"FE_ESTIMATE(EBIT,MEAN,QUARTERLY_ROLL,"&amp;AO$9&amp;","&amp;$C$5&amp;",,,'')")), "--", _xll.FDSB($C$2,"FE_ESTIMATE(EBIT,MEAN,QUARTERLY_ROLL,"&amp;AO$9&amp;","&amp;$C$5&amp;",,,'')")))</f>
        <v>43.372</v>
      </c>
      <c r="AP67" s="304" cm="1">
        <f t="array" ref="AP67">_xlfn.SINGLE(IF(ISERROR(_xll.FDSB($C$2,"FE_ESTIMATE(EBIT,MEAN,QUARTERLY_ROLL,"&amp;AP$9&amp;","&amp;$C$5&amp;",,,'')")), "--", _xll.FDSB($C$2,"FE_ESTIMATE(EBIT,MEAN,QUARTERLY_ROLL,"&amp;AP$9&amp;","&amp;$C$5&amp;",,,'')")))</f>
        <v>32.774999999999999</v>
      </c>
      <c r="AQ67" s="305" cm="1">
        <f t="array" ref="AQ67">_xlfn.SINGLE(IF(ISERROR(_xll.FDSB($C$2,"FE_ESTIMATE(EBIT,MEAN,ANNUAL_ROLL,"&amp;AQ$9&amp;","&amp;$C$5&amp;",,,'')")), "--", _xll.FDSB($C$2,"FE_ESTIMATE(EBIT,MEAN,ANNUAL_ROLL,"&amp;AQ$9&amp;","&amp;$C$5&amp;",,,'')")))</f>
        <v>95.283000000000001</v>
      </c>
      <c r="AR67" s="304" cm="1">
        <f t="array" ref="AR67">_xlfn.SINGLE(IF(ISERROR(_xll.FDSB($C$2,"FE_ESTIMATE(EBIT,MEAN,QUARTERLY_ROLL,"&amp;AR$9&amp;","&amp;$C$5&amp;",,,'')")), "--", _xll.FDSB($C$2,"FE_ESTIMATE(EBIT,MEAN,QUARTERLY_ROLL,"&amp;AR$9&amp;","&amp;$C$5&amp;",,,'')")))</f>
        <v>32.606000000000002</v>
      </c>
      <c r="AS67" s="304" cm="1">
        <f t="array" ref="AS67">_xlfn.SINGLE(IF(ISERROR(_xll.FDSB($C$2,"FE_ESTIMATE(EBIT,MEAN,QUARTERLY_ROLL,"&amp;AS$9&amp;","&amp;$C$5&amp;",,,'')")), "--", _xll.FDSB($C$2,"FE_ESTIMATE(EBIT,MEAN,QUARTERLY_ROLL,"&amp;AS$9&amp;","&amp;$C$5&amp;",,,'')")))</f>
        <v>54.2</v>
      </c>
      <c r="AT67" s="304" cm="1">
        <f t="array" ref="AT67">_xlfn.SINGLE(IF(ISERROR(_xll.FDSB($C$2,"FE_ESTIMATE(EBIT,MEAN,QUARTERLY_ROLL,"&amp;AT$9&amp;","&amp;$C$5&amp;",,,'')")), "--", _xll.FDSB($C$2,"FE_ESTIMATE(EBIT,MEAN,QUARTERLY_ROLL,"&amp;AT$9&amp;","&amp;$C$5&amp;",,,'')")))</f>
        <v>71.938000000000002</v>
      </c>
      <c r="AU67" s="304" cm="1">
        <f t="array" ref="AU67">_xlfn.SINGLE(IF(ISERROR(_xll.FDSB($C$2,"FE_ESTIMATE(EBIT,MEAN,QUARTERLY_ROLL,"&amp;AU$9&amp;","&amp;$C$5&amp;",,,'')")), "--", _xll.FDSB($C$2,"FE_ESTIMATE(EBIT,MEAN,QUARTERLY_ROLL,"&amp;AU$9&amp;","&amp;$C$5&amp;",,,'')")))</f>
        <v>70.965999999999994</v>
      </c>
      <c r="AV67" s="305" cm="1">
        <f t="array" ref="AV67">_xlfn.SINGLE(IF(ISERROR(_xll.FDSB($C$2,"FE_ESTIMATE(EBIT,MEAN,ANNUAL_ROLL,"&amp;AV$9&amp;","&amp;$C$5&amp;",,,'')")), "--", _xll.FDSB($C$2,"FE_ESTIMATE(EBIT,MEAN,ANNUAL_ROLL,"&amp;AV$9&amp;","&amp;$C$5&amp;",,,'')")))</f>
        <v>229.71</v>
      </c>
      <c r="AW67" s="304" cm="1">
        <f t="array" ref="AW67">_xlfn.SINGLE(IF(ISERROR(_xll.FDSB($C$2,"FE_ESTIMATE(EBIT,MEAN,QUARTERLY_ROLL,"&amp;AW$9&amp;","&amp;$C$5&amp;",,,'')")), "--", _xll.FDSB($C$2,"FE_ESTIMATE(EBIT,MEAN,QUARTERLY_ROLL,"&amp;AW$9&amp;","&amp;$C$5&amp;",,,'')")))</f>
        <v>36.244</v>
      </c>
      <c r="AX67" s="304" cm="1">
        <f t="array" ref="AX67">_xlfn.SINGLE(IF(ISERROR(_xll.FDSB($C$2,"FE_ESTIMATE(EBIT,MEAN,QUARTERLY_ROLL,"&amp;AX$9&amp;","&amp;$C$5&amp;",,,'')")), "--", _xll.FDSB($C$2,"FE_ESTIMATE(EBIT,MEAN,QUARTERLY_ROLL,"&amp;AX$9&amp;","&amp;$C$5&amp;",,,'')")))</f>
        <v>43.750439999999998</v>
      </c>
      <c r="AY67" s="304" cm="1">
        <f t="array" ref="AY67">_xlfn.SINGLE(IF(ISERROR(_xll.FDSB($C$2,"FE_ESTIMATE(EBIT,MEAN,QUARTERLY_ROLL,"&amp;AY$9&amp;","&amp;$C$5&amp;",,,'')")), "--", _xll.FDSB($C$2,"FE_ESTIMATE(EBIT,MEAN,QUARTERLY_ROLL,"&amp;AY$9&amp;","&amp;$C$5&amp;",,,'')")))</f>
        <v>58.887999999999998</v>
      </c>
      <c r="AZ67" s="304" cm="1">
        <f t="array" ref="AZ67">_xlfn.SINGLE(IF(ISERROR(_xll.FDSB($C$2,"FE_ESTIMATE(EBIT,MEAN,QUARTERLY_ROLL,"&amp;AZ$9&amp;","&amp;$C$5&amp;",,,'')")), "--", _xll.FDSB($C$2,"FE_ESTIMATE(EBIT,MEAN,QUARTERLY_ROLL,"&amp;AZ$9&amp;","&amp;$C$5&amp;",,,'')")))</f>
        <v>92.844999999999999</v>
      </c>
      <c r="BA67" s="305" cm="1">
        <f t="array" ref="BA67">_xlfn.SINGLE(IF(ISERROR(_xll.FDSB($C$2,"FE_ESTIMATE(EBIT,MEAN,ANNUAL_ROLL,"&amp;BA$9&amp;","&amp;$C$5&amp;",,,'')")), "--", _xll.FDSB($C$2,"FE_ESTIMATE(EBIT,MEAN,ANNUAL_ROLL,"&amp;BA$9&amp;","&amp;$C$5&amp;",,,'')")))</f>
        <v>231.72300000000001</v>
      </c>
      <c r="BB67" s="304" cm="1">
        <f t="array" ref="BB67">_xlfn.SINGLE(IF(ISERROR(_xll.FDSB($C$2,"FE_ESTIMATE(EBIT,MEAN,QUARTERLY_ROLL,"&amp;BB$9&amp;","&amp;$C$5&amp;",,,'')")), "--", _xll.FDSB($C$2,"FE_ESTIMATE(EBIT,MEAN,QUARTERLY_ROLL,"&amp;BB$9&amp;","&amp;$C$5&amp;",,,'')")))</f>
        <v>91.719329999999999</v>
      </c>
      <c r="BC67" s="304" cm="1">
        <f t="array" ref="BC67">_xlfn.SINGLE(IF(ISERROR(_xll.FDSB($C$2,"FE_ESTIMATE(EBIT,MEAN,QUARTERLY_ROLL,"&amp;BC$9&amp;","&amp;$C$5&amp;",,,'')")), "--", _xll.FDSB($C$2,"FE_ESTIMATE(EBIT,MEAN,QUARTERLY_ROLL,"&amp;BC$9&amp;","&amp;$C$5&amp;",,,'')")))</f>
        <v>127.63097399999999</v>
      </c>
      <c r="BD67" s="304" cm="1">
        <f t="array" ref="BD67">_xlfn.SINGLE(IF(ISERROR(_xll.FDSB($C$2,"FE_ESTIMATE(EBIT,MEAN,QUARTERLY_ROLL,"&amp;BD$9&amp;","&amp;$C$5&amp;",,,'')")), "--", _xll.FDSB($C$2,"FE_ESTIMATE(EBIT,MEAN,QUARTERLY_ROLL,"&amp;BD$9&amp;","&amp;$C$5&amp;",,,'')")))</f>
        <v>110.10069</v>
      </c>
      <c r="BE67" s="304" cm="1">
        <f t="array" ref="BE67">_xlfn.SINGLE(IF(ISERROR(_xll.FDSB($C$2,"FE_ESTIMATE(EBIT,MEAN,QUARTERLY_ROLL,"&amp;BE$9&amp;","&amp;$C$5&amp;",,,'')")), "--", _xll.FDSB($C$2,"FE_ESTIMATE(EBIT,MEAN,QUARTERLY_ROLL,"&amp;BE$9&amp;","&amp;$C$5&amp;",,,'')")))</f>
        <v>103.369286</v>
      </c>
      <c r="BF67" s="305" cm="1">
        <f t="array" ref="BF67">_xlfn.SINGLE(IF(ISERROR(_xll.FDSB($C$2,"FE_ESTIMATE(EBIT,MEAN,ANNUAL_ROLL,"&amp;BF$9&amp;","&amp;$C$5&amp;",,,'')")), "--", _xll.FDSB($C$2,"FE_ESTIMATE(EBIT,MEAN,ANNUAL_ROLL,"&amp;BF$9&amp;","&amp;$C$5&amp;",,,'')")))</f>
        <v>432.92223999999999</v>
      </c>
      <c r="BG67" s="304" cm="1">
        <f t="array" ref="BG67">_xlfn.SINGLE(IF(ISERROR(_xll.FDSB($C$2,"FE_ESTIMATE(EBIT,MEAN,QUARTERLY_ROLL,"&amp;BG$9&amp;","&amp;$C$5&amp;",,,'')")), "--", _xll.FDSB($C$2,"FE_ESTIMATE(EBIT,MEAN,QUARTERLY_ROLL,"&amp;BG$9&amp;","&amp;$C$5&amp;",,,'')")))</f>
        <v>127.176956</v>
      </c>
      <c r="BH67" s="304" cm="1">
        <f t="array" ref="BH67">_xlfn.SINGLE(IF(ISERROR(_xll.FDSB($C$2,"FE_ESTIMATE(EBIT,MEAN,QUARTERLY_ROLL,"&amp;BH$9&amp;","&amp;$C$5&amp;",,,'')")), "--", _xll.FDSB($C$2,"FE_ESTIMATE(EBIT,MEAN,QUARTERLY_ROLL,"&amp;BH$9&amp;","&amp;$C$5&amp;",,,'')")))</f>
        <v>157.35015999999999</v>
      </c>
      <c r="BI67" s="304" cm="1">
        <f t="array" ref="BI67">_xlfn.SINGLE(IF(ISERROR(_xll.FDSB($C$2,"FE_ESTIMATE(EBIT,MEAN,QUARTERLY_ROLL,"&amp;BI$9&amp;","&amp;$C$5&amp;",,,'')")), "--", _xll.FDSB($C$2,"FE_ESTIMATE(EBIT,MEAN,QUARTERLY_ROLL,"&amp;BI$9&amp;","&amp;$C$5&amp;",,,'')")))</f>
        <v>168.42868000000001</v>
      </c>
      <c r="BJ67" s="304" cm="1">
        <f t="array" ref="BJ67">_xlfn.SINGLE(IF(ISERROR(_xll.FDSB($C$2,"FE_ESTIMATE(EBIT,MEAN,QUARTERLY_ROLL,"&amp;BJ$9&amp;","&amp;$C$5&amp;",,,'')")), "--", _xll.FDSB($C$2,"FE_ESTIMATE(EBIT,MEAN,QUARTERLY_ROLL,"&amp;BJ$9&amp;","&amp;$C$5&amp;",,,'')")))</f>
        <v>180.27234999999999</v>
      </c>
      <c r="BK67" s="305" cm="1">
        <f t="array" ref="BK67">_xlfn.SINGLE(IF(ISERROR(_xll.FDSB($C$2,"FE_ESTIMATE(EBIT,MEAN,ANNUAL_ROLL,"&amp;BK$9&amp;","&amp;$C$5&amp;",,,'')")), "--", _xll.FDSB($C$2,"FE_ESTIMATE(EBIT,MEAN,ANNUAL_ROLL,"&amp;BK$9&amp;","&amp;$C$5&amp;",,,'')")))</f>
        <v>634.84849999999994</v>
      </c>
      <c r="BL67" s="304" cm="1">
        <f t="array" ref="BL67">_xlfn.SINGLE(IF(ISERROR(_xll.FDSB($C$2,"FE_ESTIMATE(EBIT,MEAN,QUARTERLY_ROLL,"&amp;BL$9&amp;","&amp;$C$5&amp;",,,'')")), "--", _xll.FDSB($C$2,"FE_ESTIMATE(EBIT,MEAN,QUARTERLY_ROLL,"&amp;BL$9&amp;","&amp;$C$5&amp;",,,'')")))</f>
        <v>190.81847999999999</v>
      </c>
      <c r="BM67" s="304" cm="1">
        <f t="array" ref="BM67">_xlfn.SINGLE(IF(ISERROR(_xll.FDSB($C$2,"FE_ESTIMATE(EBIT,MEAN,QUARTERLY_ROLL,"&amp;BM$9&amp;","&amp;$C$5&amp;",,,'')")), "--", _xll.FDSB($C$2,"FE_ESTIMATE(EBIT,MEAN,QUARTERLY_ROLL,"&amp;BM$9&amp;","&amp;$C$5&amp;",,,'')")))</f>
        <v>216.09016</v>
      </c>
      <c r="BN67" s="304" cm="1">
        <f t="array" ref="BN67">_xlfn.SINGLE(IF(ISERROR(_xll.FDSB($C$2,"FE_ESTIMATE(EBIT,MEAN,QUARTERLY_ROLL,"&amp;BN$9&amp;","&amp;$C$5&amp;",,,'')")), "--", _xll.FDSB($C$2,"FE_ESTIMATE(EBIT,MEAN,QUARTERLY_ROLL,"&amp;BN$9&amp;","&amp;$C$5&amp;",,,'')")))</f>
        <v>238.27846</v>
      </c>
      <c r="BO67" s="304" cm="1">
        <f t="array" ref="BO67">_xlfn.SINGLE(IF(ISERROR(_xll.FDSB($C$2,"FE_ESTIMATE(EBIT,MEAN,QUARTERLY_ROLL,"&amp;BO$9&amp;","&amp;$C$5&amp;",,,'')")), "--", _xll.FDSB($C$2,"FE_ESTIMATE(EBIT,MEAN,QUARTERLY_ROLL,"&amp;BO$9&amp;","&amp;$C$5&amp;",,,'')")))</f>
        <v>256.64141999999998</v>
      </c>
      <c r="BP67" s="305" cm="1">
        <f t="array" ref="BP67">_xlfn.SINGLE(IF(ISERROR(_xll.FDSB($C$2,"FE_ESTIMATE(EBIT,MEAN,ANNUAL_ROLL,"&amp;BP$9&amp;","&amp;$C$5&amp;",,,'')")), "--", _xll.FDSB($C$2,"FE_ESTIMATE(EBIT,MEAN,ANNUAL_ROLL,"&amp;BP$9&amp;","&amp;$C$5&amp;",,,'')")))</f>
        <v>974.48940000000005</v>
      </c>
    </row>
    <row r="68" spans="1:68" s="306" customFormat="1" outlineLevel="1">
      <c r="A68" s="107" t="s">
        <v>69</v>
      </c>
      <c r="B68" s="307" t="s">
        <v>32</v>
      </c>
      <c r="C68" s="307"/>
      <c r="D68" s="308"/>
      <c r="E68" s="308"/>
      <c r="F68" s="308"/>
      <c r="G68" s="308"/>
      <c r="H68" s="309"/>
      <c r="I68" s="308" t="str">
        <f t="shared" ref="I68:AN68" si="39">IFERROR(I67/D67-1,"--")</f>
        <v>--</v>
      </c>
      <c r="J68" s="308" t="str">
        <f t="shared" si="39"/>
        <v>--</v>
      </c>
      <c r="K68" s="308" t="str">
        <f t="shared" si="39"/>
        <v>--</v>
      </c>
      <c r="L68" s="308" t="str">
        <f t="shared" si="39"/>
        <v>--</v>
      </c>
      <c r="M68" s="309" t="str">
        <f t="shared" si="39"/>
        <v>--</v>
      </c>
      <c r="N68" s="308" t="str">
        <f t="shared" si="39"/>
        <v>--</v>
      </c>
      <c r="O68" s="308" t="str">
        <f t="shared" si="39"/>
        <v>--</v>
      </c>
      <c r="P68" s="308" t="str">
        <f t="shared" si="39"/>
        <v>--</v>
      </c>
      <c r="Q68" s="308" t="str">
        <f t="shared" si="39"/>
        <v>--</v>
      </c>
      <c r="R68" s="309" t="str">
        <f t="shared" si="39"/>
        <v>--</v>
      </c>
      <c r="S68" s="308" t="str">
        <f t="shared" si="39"/>
        <v>--</v>
      </c>
      <c r="T68" s="308" t="str">
        <f t="shared" si="39"/>
        <v>--</v>
      </c>
      <c r="U68" s="308" t="str">
        <f t="shared" si="39"/>
        <v>--</v>
      </c>
      <c r="V68" s="308" t="str">
        <f t="shared" si="39"/>
        <v>--</v>
      </c>
      <c r="W68" s="309" t="str">
        <f t="shared" si="39"/>
        <v>--</v>
      </c>
      <c r="X68" s="308" t="str">
        <f t="shared" si="39"/>
        <v>--</v>
      </c>
      <c r="Y68" s="308" t="str">
        <f t="shared" si="39"/>
        <v>--</v>
      </c>
      <c r="Z68" s="308" t="str">
        <f t="shared" si="39"/>
        <v>--</v>
      </c>
      <c r="AA68" s="308" t="str">
        <f t="shared" si="39"/>
        <v>--</v>
      </c>
      <c r="AB68" s="309" t="str">
        <f t="shared" si="39"/>
        <v>--</v>
      </c>
      <c r="AC68" s="308" t="str">
        <f t="shared" si="39"/>
        <v>--</v>
      </c>
      <c r="AD68" s="308" t="str">
        <f t="shared" si="39"/>
        <v>--</v>
      </c>
      <c r="AE68" s="308" t="str">
        <f t="shared" si="39"/>
        <v>--</v>
      </c>
      <c r="AF68" s="308" t="str">
        <f t="shared" si="39"/>
        <v>--</v>
      </c>
      <c r="AG68" s="309" t="str">
        <f t="shared" si="39"/>
        <v>--</v>
      </c>
      <c r="AH68" s="308">
        <f t="shared" si="39"/>
        <v>-0.52151406422532287</v>
      </c>
      <c r="AI68" s="308">
        <f t="shared" si="39"/>
        <v>-0.62461526586521576</v>
      </c>
      <c r="AJ68" s="308">
        <f t="shared" si="39"/>
        <v>-1.1759637667208209</v>
      </c>
      <c r="AK68" s="308">
        <f t="shared" si="39"/>
        <v>-1.3926434046431855</v>
      </c>
      <c r="AL68" s="309">
        <f t="shared" si="39"/>
        <v>-0.8617359726099294</v>
      </c>
      <c r="AM68" s="308">
        <f t="shared" si="39"/>
        <v>-1.0474860335195531</v>
      </c>
      <c r="AN68" s="308">
        <f t="shared" si="39"/>
        <v>-1.797153057404516</v>
      </c>
      <c r="AO68" s="308">
        <f t="shared" ref="AO68:BP68" si="40">IFERROR(AO67/AJ67-1,"--")</f>
        <v>4.1246737705367416</v>
      </c>
      <c r="AP68" s="308">
        <f t="shared" si="40"/>
        <v>0.8149850481780927</v>
      </c>
      <c r="AQ68" s="309">
        <f t="shared" si="40"/>
        <v>-4.0563913392141142</v>
      </c>
      <c r="AR68" s="308">
        <f t="shared" si="40"/>
        <v>18.18</v>
      </c>
      <c r="AS68" s="308">
        <f t="shared" si="40"/>
        <v>2.1040604776358744</v>
      </c>
      <c r="AT68" s="308">
        <f t="shared" si="40"/>
        <v>0.6586276860647422</v>
      </c>
      <c r="AU68" s="308">
        <f t="shared" si="40"/>
        <v>1.165247902364607</v>
      </c>
      <c r="AV68" s="309">
        <f t="shared" si="40"/>
        <v>1.4108182991719405</v>
      </c>
      <c r="AW68" s="308">
        <f t="shared" si="40"/>
        <v>0.11157455683003126</v>
      </c>
      <c r="AX68" s="308">
        <f t="shared" si="40"/>
        <v>-0.19279630996309971</v>
      </c>
      <c r="AY68" s="308">
        <f t="shared" si="40"/>
        <v>-0.18140621090383391</v>
      </c>
      <c r="AZ68" s="308">
        <f t="shared" si="40"/>
        <v>0.30830256742665507</v>
      </c>
      <c r="BA68" s="309">
        <f t="shared" si="40"/>
        <v>8.7632231944625438E-3</v>
      </c>
      <c r="BB68" s="308">
        <f t="shared" si="40"/>
        <v>1.530607272927933</v>
      </c>
      <c r="BC68" s="308">
        <f t="shared" si="40"/>
        <v>1.917250066513617</v>
      </c>
      <c r="BD68" s="308">
        <f t="shared" si="40"/>
        <v>0.86966257981252548</v>
      </c>
      <c r="BE68" s="308">
        <f t="shared" si="40"/>
        <v>0.11335328773762732</v>
      </c>
      <c r="BF68" s="309">
        <f t="shared" si="40"/>
        <v>0.86827479361133753</v>
      </c>
      <c r="BG68" s="308">
        <f t="shared" si="40"/>
        <v>0.38658836692330834</v>
      </c>
      <c r="BH68" s="308">
        <f t="shared" si="40"/>
        <v>0.23285245789944375</v>
      </c>
      <c r="BI68" s="308">
        <f t="shared" si="40"/>
        <v>0.52976952278864031</v>
      </c>
      <c r="BJ68" s="308">
        <f t="shared" si="40"/>
        <v>0.7439643532025555</v>
      </c>
      <c r="BK68" s="309">
        <f t="shared" si="40"/>
        <v>0.46642616466181086</v>
      </c>
      <c r="BL68" s="308">
        <f t="shared" si="40"/>
        <v>0.500417103865892</v>
      </c>
      <c r="BM68" s="308">
        <f t="shared" si="40"/>
        <v>0.37330753270285855</v>
      </c>
      <c r="BN68" s="308">
        <f t="shared" si="40"/>
        <v>0.41471428737671023</v>
      </c>
      <c r="BO68" s="308">
        <f t="shared" si="40"/>
        <v>0.42363163291541928</v>
      </c>
      <c r="BP68" s="309">
        <f t="shared" si="40"/>
        <v>0.53499519964211961</v>
      </c>
    </row>
    <row r="69" spans="1:68" s="306" customFormat="1" outlineLevel="1">
      <c r="A69" s="107"/>
      <c r="B69" s="307" t="s">
        <v>33</v>
      </c>
      <c r="C69" s="307"/>
      <c r="D69" s="308"/>
      <c r="E69" s="308"/>
      <c r="F69" s="308"/>
      <c r="G69" s="308"/>
      <c r="H69" s="315"/>
      <c r="I69" s="308" t="str">
        <f>IFERROR(I67/G67-1,"--")</f>
        <v>--</v>
      </c>
      <c r="J69" s="308" t="str">
        <f>IFERROR(J67/I67-1,"--")</f>
        <v>--</v>
      </c>
      <c r="K69" s="308" t="str">
        <f>IFERROR(K67/J67-1,"--")</f>
        <v>--</v>
      </c>
      <c r="L69" s="308" t="str">
        <f>IFERROR(L67/K67-1,"--")</f>
        <v>--</v>
      </c>
      <c r="M69" s="311"/>
      <c r="N69" s="308" t="str">
        <f>IFERROR(N67/L67-1,"--")</f>
        <v>--</v>
      </c>
      <c r="O69" s="308" t="str">
        <f>IFERROR(O67/N67-1,"--")</f>
        <v>--</v>
      </c>
      <c r="P69" s="308" t="str">
        <f>IFERROR(P67/O67-1,"--")</f>
        <v>--</v>
      </c>
      <c r="Q69" s="308" t="str">
        <f>IFERROR(Q67/P67-1,"--")</f>
        <v>--</v>
      </c>
      <c r="R69" s="311"/>
      <c r="S69" s="308" t="str">
        <f>IFERROR(S67/Q67-1,"--")</f>
        <v>--</v>
      </c>
      <c r="T69" s="308" t="str">
        <f>IFERROR(T67/S67-1,"--")</f>
        <v>--</v>
      </c>
      <c r="U69" s="308" t="str">
        <f>IFERROR(U67/T67-1,"--")</f>
        <v>--</v>
      </c>
      <c r="V69" s="308" t="str">
        <f>IFERROR(V67/U67-1,"--")</f>
        <v>--</v>
      </c>
      <c r="W69" s="311"/>
      <c r="X69" s="308" t="str">
        <f>IFERROR(X67/V67-1,"--")</f>
        <v>--</v>
      </c>
      <c r="Y69" s="308" t="str">
        <f>IFERROR(Y67/X67-1,"--")</f>
        <v>--</v>
      </c>
      <c r="Z69" s="308" t="str">
        <f>IFERROR(Z67/Y67-1,"--")</f>
        <v>--</v>
      </c>
      <c r="AA69" s="308" t="str">
        <f>IFERROR(AA67/Z67-1,"--")</f>
        <v>--</v>
      </c>
      <c r="AB69" s="311"/>
      <c r="AC69" s="308" t="str">
        <f>IFERROR(AC67/AA67-1,"--")</f>
        <v>--</v>
      </c>
      <c r="AD69" s="308">
        <f>IFERROR(AD67/AC67-1,"--")</f>
        <v>-0.22010355718740948</v>
      </c>
      <c r="AE69" s="308">
        <f>IFERROR(AE67/AD67-1,"--")</f>
        <v>-0.17573058398287866</v>
      </c>
      <c r="AF69" s="308">
        <f>IFERROR(AF67/AE67-1,"--")</f>
        <v>-4.3794215133431846E-2</v>
      </c>
      <c r="AG69" s="311"/>
      <c r="AH69" s="308">
        <f>IFERROR(AH67/AF67-1,"--")</f>
        <v>-0.22158412414298156</v>
      </c>
      <c r="AI69" s="308">
        <f>IFERROR(AI67/AH67-1,"--")</f>
        <v>-0.38815083798882677</v>
      </c>
      <c r="AJ69" s="308">
        <f>IFERROR(AJ67/AI67-1,"--")</f>
        <v>-1.3863810593402177</v>
      </c>
      <c r="AK69" s="308">
        <f>IFERROR(AK67/AJ67-1,"--")</f>
        <v>1.1336659353581222</v>
      </c>
      <c r="AL69" s="311"/>
      <c r="AM69" s="308">
        <f>IFERROR(AM67/AK67-1,"--")</f>
        <v>-0.90585889910289064</v>
      </c>
      <c r="AN69" s="308">
        <f>IFERROR(AN67/AM67-1,"--")</f>
        <v>9.2711764705882356</v>
      </c>
      <c r="AO69" s="308">
        <f>IFERROR(AO67/AN67-1,"--")</f>
        <v>1.4839356279709066</v>
      </c>
      <c r="AP69" s="308">
        <f>IFERROR(AP67/AO67-1,"--")</f>
        <v>-0.24432813796919672</v>
      </c>
      <c r="AQ69" s="311"/>
      <c r="AR69" s="308">
        <f>IFERROR(AR67/AP67-1,"--")</f>
        <v>-5.1563691838290016E-3</v>
      </c>
      <c r="AS69" s="308">
        <f>IFERROR(AS67/AR67-1,"--")</f>
        <v>0.66227074771514438</v>
      </c>
      <c r="AT69" s="308">
        <f>IFERROR(AT67/AS67-1,"--")</f>
        <v>0.3272693726937268</v>
      </c>
      <c r="AU69" s="308">
        <f>IFERROR(AU67/AT67-1,"--")</f>
        <v>-1.3511635019044288E-2</v>
      </c>
      <c r="AV69" s="311"/>
      <c r="AW69" s="308">
        <f>IFERROR(AW67/AU67-1,"--")</f>
        <v>-0.48927655496998557</v>
      </c>
      <c r="AX69" s="308">
        <f>IFERROR(AX67/AW67-1,"--")</f>
        <v>0.20710848692197326</v>
      </c>
      <c r="AY69" s="308">
        <f>IFERROR(AY67/AX67-1,"--")</f>
        <v>0.3459978916783466</v>
      </c>
      <c r="AZ69" s="308">
        <f>IFERROR(AZ67/AY67-1,"--")</f>
        <v>0.57663700584159772</v>
      </c>
      <c r="BA69" s="311"/>
      <c r="BB69" s="308">
        <f>IFERROR(BB67/AZ67-1,"--")</f>
        <v>-1.2124185470407611E-2</v>
      </c>
      <c r="BC69" s="308">
        <f>IFERROR(BC67/BB67-1,"--")</f>
        <v>0.39153844669384297</v>
      </c>
      <c r="BD69" s="308">
        <f>IFERROR(BD67/BC67-1,"--")</f>
        <v>-0.13735132977986986</v>
      </c>
      <c r="BE69" s="308">
        <f>IFERROR(BE67/BD67-1,"--")</f>
        <v>-6.1138617750715274E-2</v>
      </c>
      <c r="BF69" s="311"/>
      <c r="BG69" s="308">
        <f>IFERROR(BG67/BE67-1,"--")</f>
        <v>0.2303166725946042</v>
      </c>
      <c r="BH69" s="308">
        <f>IFERROR(BH67/BG67-1,"--")</f>
        <v>0.23725370498724607</v>
      </c>
      <c r="BI69" s="308">
        <f>IFERROR(BI67/BH67-1,"--")</f>
        <v>7.0406792087151615E-2</v>
      </c>
      <c r="BJ69" s="308">
        <f>IFERROR(BJ67/BI67-1,"--")</f>
        <v>7.0318606071127387E-2</v>
      </c>
      <c r="BK69" s="311"/>
      <c r="BL69" s="308">
        <f>IFERROR(BL67/BJ67-1,"--")</f>
        <v>5.8501095703251238E-2</v>
      </c>
      <c r="BM69" s="308">
        <f>IFERROR(BM67/BL67-1,"--")</f>
        <v>0.13243832567998659</v>
      </c>
      <c r="BN69" s="308">
        <f>IFERROR(BN67/BM67-1,"--")</f>
        <v>0.10268075140487665</v>
      </c>
      <c r="BO69" s="308">
        <f>IFERROR(BO67/BN67-1,"--")</f>
        <v>7.7065127917983034E-2</v>
      </c>
      <c r="BP69" s="311"/>
    </row>
    <row r="70" spans="1:68" s="310" customFormat="1" outlineLevel="1">
      <c r="A70" s="316" t="s">
        <v>70</v>
      </c>
      <c r="B70" s="307" t="s">
        <v>40</v>
      </c>
      <c r="C70" s="307"/>
      <c r="D70" s="308"/>
      <c r="E70" s="308"/>
      <c r="F70" s="308"/>
      <c r="G70" s="308"/>
      <c r="H70" s="309"/>
      <c r="I70" s="308" t="str">
        <f>IFERROR(I67/I40,"--")</f>
        <v>--</v>
      </c>
      <c r="J70" s="308" t="str">
        <f>IFERROR(J67/J40,"--")</f>
        <v>--</v>
      </c>
      <c r="K70" s="308" t="str">
        <f>IFERROR(K67/K40,"--")</f>
        <v>--</v>
      </c>
      <c r="L70" s="308" t="str">
        <f>IFERROR(L67/L40,"--")</f>
        <v>--</v>
      </c>
      <c r="M70" s="309" t="str">
        <f>IFERROR(M67/M40,"--")</f>
        <v>--</v>
      </c>
      <c r="N70" s="308" t="str">
        <f t="shared" ref="N70:AB70" si="41">IFERROR(N67/N40,"--")</f>
        <v>--</v>
      </c>
      <c r="O70" s="308" t="str">
        <f t="shared" si="41"/>
        <v>--</v>
      </c>
      <c r="P70" s="308" t="str">
        <f t="shared" si="41"/>
        <v>--</v>
      </c>
      <c r="Q70" s="308" t="str">
        <f t="shared" si="41"/>
        <v>--</v>
      </c>
      <c r="R70" s="309" t="str">
        <f t="shared" si="41"/>
        <v>--</v>
      </c>
      <c r="S70" s="308" t="str">
        <f t="shared" si="41"/>
        <v>--</v>
      </c>
      <c r="T70" s="308" t="str">
        <f t="shared" si="41"/>
        <v>--</v>
      </c>
      <c r="U70" s="308" t="str">
        <f t="shared" si="41"/>
        <v>--</v>
      </c>
      <c r="V70" s="308" t="str">
        <f t="shared" si="41"/>
        <v>--</v>
      </c>
      <c r="W70" s="309" t="str">
        <f t="shared" si="41"/>
        <v>--</v>
      </c>
      <c r="X70" s="308" t="str">
        <f t="shared" si="41"/>
        <v>--</v>
      </c>
      <c r="Y70" s="308" t="str">
        <f t="shared" si="41"/>
        <v>--</v>
      </c>
      <c r="Z70" s="308" t="str">
        <f t="shared" si="41"/>
        <v>--</v>
      </c>
      <c r="AA70" s="308" t="str">
        <f t="shared" si="41"/>
        <v>--</v>
      </c>
      <c r="AB70" s="309" t="str">
        <f t="shared" si="41"/>
        <v>--</v>
      </c>
      <c r="AC70" s="308">
        <f>IFERROR(AC67/AC40,"--")</f>
        <v>-0.68765401927782832</v>
      </c>
      <c r="AD70" s="308">
        <f>IFERROR(AD67/AD40,"--")</f>
        <v>-0.43835797785392505</v>
      </c>
      <c r="AE70" s="308">
        <f>IFERROR(AE67/AE40,"--")</f>
        <v>-0.30131571693479681</v>
      </c>
      <c r="AF70" s="308">
        <f>IFERROR(AF67/AF40,"--")</f>
        <v>-0.24146609613314782</v>
      </c>
      <c r="AG70" s="309">
        <f>IFERROR(AG67/AG40,"--")</f>
        <v>-0.38083741379514197</v>
      </c>
      <c r="AH70" s="308">
        <f t="shared" ref="AH70:BK70" si="42">IFERROR(AH67/AH40,"--")</f>
        <v>-0.15639060957390111</v>
      </c>
      <c r="AI70" s="308">
        <f t="shared" si="42"/>
        <v>-8.0471568490584067E-2</v>
      </c>
      <c r="AJ70" s="308">
        <f t="shared" si="42"/>
        <v>2.5306012121719526E-2</v>
      </c>
      <c r="AK70" s="308">
        <f t="shared" si="42"/>
        <v>4.7053734750139402E-2</v>
      </c>
      <c r="AL70" s="309">
        <f t="shared" si="42"/>
        <v>-2.5567382662731165E-2</v>
      </c>
      <c r="AM70" s="308">
        <f t="shared" si="42"/>
        <v>4.0248975426816708E-3</v>
      </c>
      <c r="AN70" s="308">
        <f t="shared" si="42"/>
        <v>3.5115274470686658E-2</v>
      </c>
      <c r="AO70" s="308">
        <f t="shared" si="42"/>
        <v>7.7863231291784255E-2</v>
      </c>
      <c r="AP70" s="308">
        <f t="shared" si="42"/>
        <v>5.5644027625922736E-2</v>
      </c>
      <c r="AQ70" s="309">
        <f t="shared" si="42"/>
        <v>4.6127168133752956E-2</v>
      </c>
      <c r="AR70" s="308">
        <f t="shared" si="42"/>
        <v>5.2286806104563988E-2</v>
      </c>
      <c r="AS70" s="308">
        <f t="shared" si="42"/>
        <v>8.0413282731321714E-2</v>
      </c>
      <c r="AT70" s="308">
        <f t="shared" si="42"/>
        <v>9.7985079810889261E-2</v>
      </c>
      <c r="AU70" s="308">
        <f t="shared" si="42"/>
        <v>9.1604610306712672E-2</v>
      </c>
      <c r="AV70" s="309">
        <f t="shared" si="42"/>
        <v>8.1849599267982173E-2</v>
      </c>
      <c r="AW70" s="308">
        <f t="shared" si="42"/>
        <v>4.3735497020063741E-2</v>
      </c>
      <c r="AX70" s="308">
        <f t="shared" si="42"/>
        <v>5.0355987353005158E-2</v>
      </c>
      <c r="AY70" s="308">
        <f t="shared" si="42"/>
        <v>6.2507562939579278E-2</v>
      </c>
      <c r="AZ70" s="308">
        <f t="shared" si="42"/>
        <v>9.4089808161983035E-2</v>
      </c>
      <c r="BA70" s="309">
        <f t="shared" si="42"/>
        <v>6.3898978489938765E-2</v>
      </c>
      <c r="BB70" s="308">
        <f t="shared" si="42"/>
        <v>8.8016138969017554E-2</v>
      </c>
      <c r="BC70" s="308">
        <f t="shared" si="42"/>
        <v>0.11147111755864132</v>
      </c>
      <c r="BD70" s="308">
        <f t="shared" si="42"/>
        <v>9.2963704866657448E-2</v>
      </c>
      <c r="BE70" s="308">
        <f t="shared" si="42"/>
        <v>8.3548850227487703E-2</v>
      </c>
      <c r="BF70" s="309">
        <f t="shared" si="42"/>
        <v>9.3884065532872582E-2</v>
      </c>
      <c r="BG70" s="308">
        <f t="shared" si="42"/>
        <v>9.8043263107143855E-2</v>
      </c>
      <c r="BH70" s="308">
        <f t="shared" si="42"/>
        <v>0.11282747810586267</v>
      </c>
      <c r="BI70" s="308">
        <f t="shared" si="42"/>
        <v>0.11527125057865351</v>
      </c>
      <c r="BJ70" s="308">
        <f t="shared" si="42"/>
        <v>0.11798502374820974</v>
      </c>
      <c r="BK70" s="309">
        <f t="shared" si="42"/>
        <v>0.11111289050843215</v>
      </c>
      <c r="BL70" s="308">
        <f>IFERROR(BL67/BL40,"--")</f>
        <v>0.11900709794869843</v>
      </c>
      <c r="BM70" s="308">
        <f>IFERROR(BM67/BM40,"--")</f>
        <v>0.12697876267223196</v>
      </c>
      <c r="BN70" s="308">
        <f>IFERROR(BN67/BN40,"--")</f>
        <v>0.13294064224447746</v>
      </c>
      <c r="BO70" s="308">
        <f>IFERROR(BO67/BO40,"--")</f>
        <v>0.13728807167227916</v>
      </c>
      <c r="BP70" s="309">
        <f>IFERROR(BP67/BP40,"--")</f>
        <v>0.13756573617385789</v>
      </c>
    </row>
    <row r="71" spans="1:68" s="310" customFormat="1" outlineLevel="1">
      <c r="A71" s="293"/>
      <c r="B71" s="307"/>
      <c r="C71" s="307"/>
      <c r="D71" s="308"/>
      <c r="E71" s="308"/>
      <c r="F71" s="308"/>
      <c r="G71" s="308"/>
      <c r="H71" s="314"/>
      <c r="I71" s="308"/>
      <c r="J71" s="308"/>
      <c r="K71" s="308"/>
      <c r="L71" s="308"/>
      <c r="M71" s="314"/>
      <c r="N71" s="308"/>
      <c r="O71" s="308"/>
      <c r="P71" s="308"/>
      <c r="Q71" s="308"/>
      <c r="R71" s="314"/>
      <c r="S71" s="308"/>
      <c r="T71" s="308"/>
      <c r="U71" s="308"/>
      <c r="V71" s="308"/>
      <c r="W71" s="314"/>
      <c r="X71" s="308"/>
      <c r="Y71" s="308"/>
      <c r="Z71" s="308"/>
      <c r="AA71" s="308"/>
      <c r="AB71" s="314"/>
      <c r="AC71" s="308"/>
      <c r="AD71" s="308"/>
      <c r="AE71" s="308"/>
      <c r="AF71" s="308"/>
      <c r="AG71" s="314"/>
      <c r="AH71" s="308"/>
      <c r="AI71" s="308"/>
      <c r="AJ71" s="308"/>
      <c r="AK71" s="308"/>
      <c r="AL71" s="314"/>
      <c r="AM71" s="308"/>
      <c r="AN71" s="308"/>
      <c r="AO71" s="308"/>
      <c r="AP71" s="308"/>
      <c r="AQ71" s="314"/>
      <c r="AR71" s="308"/>
      <c r="AS71" s="308"/>
      <c r="AT71" s="308"/>
      <c r="AU71" s="308"/>
      <c r="AV71" s="314"/>
      <c r="AW71" s="308"/>
      <c r="AX71" s="308"/>
      <c r="AY71" s="308"/>
      <c r="AZ71" s="308"/>
      <c r="BA71" s="314"/>
      <c r="BB71" s="308"/>
      <c r="BC71" s="308"/>
      <c r="BD71" s="308"/>
      <c r="BE71" s="308"/>
      <c r="BF71" s="314"/>
      <c r="BG71" s="308"/>
      <c r="BH71" s="308"/>
      <c r="BI71" s="308"/>
      <c r="BJ71" s="308"/>
      <c r="BK71" s="314"/>
      <c r="BL71" s="308"/>
      <c r="BM71" s="308"/>
      <c r="BN71" s="308"/>
      <c r="BO71" s="308"/>
      <c r="BP71" s="314"/>
    </row>
    <row r="72" spans="1:68" s="306" customFormat="1" outlineLevel="1">
      <c r="A72" s="107" t="s">
        <v>74</v>
      </c>
      <c r="B72" s="302" t="s">
        <v>130</v>
      </c>
      <c r="C72" s="303"/>
      <c r="D72" s="304"/>
      <c r="E72" s="304"/>
      <c r="F72" s="304"/>
      <c r="G72" s="304"/>
      <c r="H72" s="305"/>
      <c r="I72" s="317" t="str" cm="1">
        <f t="array" ref="I72">_xlfn.SINGLE(IF(ISERROR(_xll.FDSB($C$2,"FE_ESTIMATE(EPS,MEAN,QUARTERLY_ROLL,"&amp;I$9&amp;","&amp;$C$5&amp;",,,'')")), "--", _xll.FDSB($C$2,"FE_ESTIMATE(EPS,MEAN,QUARTERLY_ROLL,"&amp;I$9&amp;","&amp;$C$5&amp;",,,'')")))</f>
        <v/>
      </c>
      <c r="J72" s="317" t="str" cm="1">
        <f t="array" ref="J72">_xlfn.SINGLE(IF(ISERROR(_xll.FDSB($C$2,"FE_ESTIMATE(EPS,MEAN,QUARTERLY_ROLL,"&amp;J$9&amp;","&amp;$C$5&amp;",,,'')")), "--", _xll.FDSB($C$2,"FE_ESTIMATE(EPS,MEAN,QUARTERLY_ROLL,"&amp;J$9&amp;","&amp;$C$5&amp;",,,'')")))</f>
        <v/>
      </c>
      <c r="K72" s="317" t="str" cm="1">
        <f t="array" ref="K72">_xlfn.SINGLE(IF(ISERROR(_xll.FDSB($C$2,"FE_ESTIMATE(EPS,MEAN,QUARTERLY_ROLL,"&amp;K$9&amp;","&amp;$C$5&amp;",,,'')")), "--", _xll.FDSB($C$2,"FE_ESTIMATE(EPS,MEAN,QUARTERLY_ROLL,"&amp;K$9&amp;","&amp;$C$5&amp;",,,'')")))</f>
        <v/>
      </c>
      <c r="L72" s="317" t="str" cm="1">
        <f t="array" ref="L72">_xlfn.SINGLE(IF(ISERROR(_xll.FDSB($C$2,"FE_ESTIMATE(EPS,MEAN,QUARTERLY_ROLL,"&amp;L$9&amp;","&amp;$C$5&amp;",,,'')")), "--", _xll.FDSB($C$2,"FE_ESTIMATE(EPS,MEAN,QUARTERLY_ROLL,"&amp;L$9&amp;","&amp;$C$5&amp;",,,'')")))</f>
        <v/>
      </c>
      <c r="M72" s="318" t="str" cm="1">
        <f t="array" ref="M72">_xlfn.SINGLE(IF(ISERROR(_xll.FDSB($C$2,"FE_ESTIMATE(EPS,MEAN,ANNUAL_ROLL,"&amp;M$9&amp;","&amp;$C$5&amp;",,,'')")), "--", _xll.FDSB($C$2,"FE_ESTIMATE(EPS,MEAN,ANNUAL_ROLL,"&amp;M$9&amp;","&amp;$C$5&amp;",,,'')")))</f>
        <v/>
      </c>
      <c r="N72" s="317" t="str" cm="1">
        <f t="array" ref="N72">_xlfn.SINGLE(IF(ISERROR(_xll.FDSB($C$2,"FE_ESTIMATE(EPS,MEAN,QUARTERLY_ROLL,"&amp;N$9&amp;","&amp;$C$5&amp;",,,'')")), "--", _xll.FDSB($C$2,"FE_ESTIMATE(EPS,MEAN,QUARTERLY_ROLL,"&amp;N$9&amp;","&amp;$C$5&amp;",,,'')")))</f>
        <v/>
      </c>
      <c r="O72" s="317" t="str" cm="1">
        <f t="array" ref="O72">_xlfn.SINGLE(IF(ISERROR(_xll.FDSB($C$2,"FE_ESTIMATE(EPS,MEAN,QUARTERLY_ROLL,"&amp;O$9&amp;","&amp;$C$5&amp;",,,'')")), "--", _xll.FDSB($C$2,"FE_ESTIMATE(EPS,MEAN,QUARTERLY_ROLL,"&amp;O$9&amp;","&amp;$C$5&amp;",,,'')")))</f>
        <v/>
      </c>
      <c r="P72" s="317" t="str" cm="1">
        <f t="array" ref="P72">_xlfn.SINGLE(IF(ISERROR(_xll.FDSB($C$2,"FE_ESTIMATE(EPS,MEAN,QUARTERLY_ROLL,"&amp;P$9&amp;","&amp;$C$5&amp;",,,'')")), "--", _xll.FDSB($C$2,"FE_ESTIMATE(EPS,MEAN,QUARTERLY_ROLL,"&amp;P$9&amp;","&amp;$C$5&amp;",,,'')")))</f>
        <v/>
      </c>
      <c r="Q72" s="317" t="str" cm="1">
        <f t="array" ref="Q72">_xlfn.SINGLE(IF(ISERROR(_xll.FDSB($C$2,"FE_ESTIMATE(EPS,MEAN,QUARTERLY_ROLL,"&amp;Q$9&amp;","&amp;$C$5&amp;",,,'')")), "--", _xll.FDSB($C$2,"FE_ESTIMATE(EPS,MEAN,QUARTERLY_ROLL,"&amp;Q$9&amp;","&amp;$C$5&amp;",,,'')")))</f>
        <v/>
      </c>
      <c r="R72" s="318" t="str" cm="1">
        <f t="array" ref="R72">_xlfn.SINGLE(IF(ISERROR(_xll.FDSB($C$2,"FE_ESTIMATE(EPS,MEAN,ANNUAL_ROLL,"&amp;R$9&amp;","&amp;$C$5&amp;",,,'')")), "--", _xll.FDSB($C$2,"FE_ESTIMATE(EPS,MEAN,ANNUAL_ROLL,"&amp;R$9&amp;","&amp;$C$5&amp;",,,'')")))</f>
        <v/>
      </c>
      <c r="S72" s="317" t="str" cm="1">
        <f t="array" ref="S72">_xlfn.SINGLE(IF(ISERROR(_xll.FDSB($C$2,"FE_ESTIMATE(EPS,MEAN,QUARTERLY_ROLL,"&amp;S$9&amp;","&amp;$C$5&amp;",,,'')")), "--", _xll.FDSB($C$2,"FE_ESTIMATE(EPS,MEAN,QUARTERLY_ROLL,"&amp;S$9&amp;","&amp;$C$5&amp;",,,'')")))</f>
        <v/>
      </c>
      <c r="T72" s="317" t="str" cm="1">
        <f t="array" ref="T72">_xlfn.SINGLE(IF(ISERROR(_xll.FDSB($C$2,"FE_ESTIMATE(EPS,MEAN,QUARTERLY_ROLL,"&amp;T$9&amp;","&amp;$C$5&amp;",,,'')")), "--", _xll.FDSB($C$2,"FE_ESTIMATE(EPS,MEAN,QUARTERLY_ROLL,"&amp;T$9&amp;","&amp;$C$5&amp;",,,'')")))</f>
        <v/>
      </c>
      <c r="U72" s="317" t="str" cm="1">
        <f t="array" ref="U72">_xlfn.SINGLE(IF(ISERROR(_xll.FDSB($C$2,"FE_ESTIMATE(EPS,MEAN,QUARTERLY_ROLL,"&amp;U$9&amp;","&amp;$C$5&amp;",,,'')")), "--", _xll.FDSB($C$2,"FE_ESTIMATE(EPS,MEAN,QUARTERLY_ROLL,"&amp;U$9&amp;","&amp;$C$5&amp;",,,'')")))</f>
        <v/>
      </c>
      <c r="V72" s="317" t="str" cm="1">
        <f t="array" ref="V72">_xlfn.SINGLE(IF(ISERROR(_xll.FDSB($C$2,"FE_ESTIMATE(EPS,MEAN,QUARTERLY_ROLL,"&amp;V$9&amp;","&amp;$C$5&amp;",,,'')")), "--", _xll.FDSB($C$2,"FE_ESTIMATE(EPS,MEAN,QUARTERLY_ROLL,"&amp;V$9&amp;","&amp;$C$5&amp;",,,'')")))</f>
        <v/>
      </c>
      <c r="W72" s="318" t="str" cm="1">
        <f t="array" ref="W72">_xlfn.SINGLE(IF(ISERROR(_xll.FDSB($C$2,"FE_ESTIMATE(EPS,MEAN,ANNUAL_ROLL,"&amp;W$9&amp;","&amp;$C$5&amp;",,,'')")), "--", _xll.FDSB($C$2,"FE_ESTIMATE(EPS,MEAN,ANNUAL_ROLL,"&amp;W$9&amp;","&amp;$C$5&amp;",,,'')")))</f>
        <v/>
      </c>
      <c r="X72" s="317" t="str" cm="1">
        <f t="array" ref="X72">_xlfn.SINGLE(IF(ISERROR(_xll.FDSB($C$2,"FE_ESTIMATE(EPS,MEAN,QUARTERLY_ROLL,"&amp;X$9&amp;","&amp;$C$5&amp;",,,'')")), "--", _xll.FDSB($C$2,"FE_ESTIMATE(EPS,MEAN,QUARTERLY_ROLL,"&amp;X$9&amp;","&amp;$C$5&amp;",,,'')")))</f>
        <v/>
      </c>
      <c r="Y72" s="317" t="str" cm="1">
        <f t="array" ref="Y72">_xlfn.SINGLE(IF(ISERROR(_xll.FDSB($C$2,"FE_ESTIMATE(EPS,MEAN,QUARTERLY_ROLL,"&amp;Y$9&amp;","&amp;$C$5&amp;",,,'')")), "--", _xll.FDSB($C$2,"FE_ESTIMATE(EPS,MEAN,QUARTERLY_ROLL,"&amp;Y$9&amp;","&amp;$C$5&amp;",,,'')")))</f>
        <v/>
      </c>
      <c r="Z72" s="317" t="str" cm="1">
        <f t="array" ref="Z72">_xlfn.SINGLE(IF(ISERROR(_xll.FDSB($C$2,"FE_ESTIMATE(EPS,MEAN,QUARTERLY_ROLL,"&amp;Z$9&amp;","&amp;$C$5&amp;",,,'')")), "--", _xll.FDSB($C$2,"FE_ESTIMATE(EPS,MEAN,QUARTERLY_ROLL,"&amp;Z$9&amp;","&amp;$C$5&amp;",,,'')")))</f>
        <v/>
      </c>
      <c r="AA72" s="317" t="str" cm="1">
        <f t="array" ref="AA72">_xlfn.SINGLE(IF(ISERROR(_xll.FDSB($C$2,"FE_ESTIMATE(EPS,MEAN,QUARTERLY_ROLL,"&amp;AA$9&amp;","&amp;$C$5&amp;",,,'')")), "--", _xll.FDSB($C$2,"FE_ESTIMATE(EPS,MEAN,QUARTERLY_ROLL,"&amp;AA$9&amp;","&amp;$C$5&amp;",,,'')")))</f>
        <v/>
      </c>
      <c r="AB72" s="318" t="str" cm="1">
        <f t="array" ref="AB72">_xlfn.SINGLE(IF(ISERROR(_xll.FDSB($C$2,"FE_ESTIMATE(EPS,MEAN,ANNUAL_ROLL,"&amp;AB$9&amp;","&amp;$C$5&amp;",,,'')")), "--", _xll.FDSB($C$2,"FE_ESTIMATE(EPS,MEAN,ANNUAL_ROLL,"&amp;AB$9&amp;","&amp;$C$5&amp;",,,'')")))</f>
        <v/>
      </c>
      <c r="AC72" s="317" cm="1">
        <f t="array" ref="AC72">_xlfn.SINGLE(IF(ISERROR(_xll.FDSB($C$2,"FE_ESTIMATE(EPS,MEAN,QUARTERLY_ROLL,"&amp;AC$9&amp;","&amp;$C$5&amp;",,,'')")), "--", _xll.FDSB($C$2,"FE_ESTIMATE(EPS,MEAN,QUARTERLY_ROLL,"&amp;AC$9&amp;","&amp;$C$5&amp;",,,'')")))</f>
        <v>-0.28000000000000003</v>
      </c>
      <c r="AD72" s="317" cm="1">
        <f t="array" ref="AD72">_xlfn.SINGLE(IF(ISERROR(_xll.FDSB($C$2,"FE_ESTIMATE(EPS,MEAN,QUARTERLY_ROLL,"&amp;AD$9&amp;","&amp;$C$5&amp;",,,'')")), "--", _xll.FDSB($C$2,"FE_ESTIMATE(EPS,MEAN,QUARTERLY_ROLL,"&amp;AD$9&amp;","&amp;$C$5&amp;",,,'')")))</f>
        <v>-0.24057037000000001</v>
      </c>
      <c r="AE72" s="317" cm="1">
        <f t="array" ref="AE72">_xlfn.SINGLE(IF(ISERROR(_xll.FDSB($C$2,"FE_ESTIMATE(EPS,MEAN,QUARTERLY_ROLL,"&amp;AE$9&amp;","&amp;$C$5&amp;",,,'')")), "--", _xll.FDSB($C$2,"FE_ESTIMATE(EPS,MEAN,QUARTERLY_ROLL,"&amp;AE$9&amp;","&amp;$C$5&amp;",,,'')")))</f>
        <v>-0.23298092000000001</v>
      </c>
      <c r="AF72" s="317" cm="1">
        <f t="array" ref="AF72">_xlfn.SINGLE(IF(ISERROR(_xll.FDSB($C$2,"FE_ESTIMATE(EPS,MEAN,QUARTERLY_ROLL,"&amp;AF$9&amp;","&amp;$C$5&amp;",,,'')")), "--", _xll.FDSB($C$2,"FE_ESTIMATE(EPS,MEAN,QUARTERLY_ROLL,"&amp;AF$9&amp;","&amp;$C$5&amp;",,,'')")))</f>
        <v>-0.15647900000000001</v>
      </c>
      <c r="AG72" s="318" cm="1">
        <f t="array" ref="AG72">_xlfn.SINGLE(IF(ISERROR(_xll.FDSB($C$2,"FE_ESTIMATE(EPS,MEAN,ANNUAL_ROLL,"&amp;AG$9&amp;","&amp;$C$5&amp;",,,'')")), "--", _xll.FDSB($C$2,"FE_ESTIMATE(EPS,MEAN,ANNUAL_ROLL,"&amp;AG$9&amp;","&amp;$C$5&amp;",,,'')")))</f>
        <v>-0.77453799999999995</v>
      </c>
      <c r="AH72" s="317" cm="1">
        <f t="array" ref="AH72">_xlfn.SINGLE(IF(ISERROR(_xll.FDSB($C$2,"FE_ESTIMATE(EPS,MEAN,QUARTERLY_ROLL,"&amp;AH$9&amp;","&amp;$C$5&amp;",,,'')")), "--", _xll.FDSB($C$2,"FE_ESTIMATE(EPS,MEAN,QUARTERLY_ROLL,"&amp;AH$9&amp;","&amp;$C$5&amp;",,,'')")))</f>
        <v>-0.117309</v>
      </c>
      <c r="AI72" s="317" cm="1">
        <f t="array" ref="AI72">_xlfn.SINGLE(IF(ISERROR(_xll.FDSB($C$2,"FE_ESTIMATE(EPS,MEAN,QUARTERLY_ROLL,"&amp;AI$9&amp;","&amp;$C$5&amp;",,,'')")), "--", _xll.FDSB($C$2,"FE_ESTIMATE(EPS,MEAN,QUARTERLY_ROLL,"&amp;AI$9&amp;","&amp;$C$5&amp;",,,'')")))</f>
        <v>-4.1300999999999997E-2</v>
      </c>
      <c r="AJ72" s="317" cm="1">
        <f t="array" ref="AJ72">_xlfn.SINGLE(IF(ISERROR(_xll.FDSB($C$2,"FE_ESTIMATE(EPS,MEAN,QUARTERLY_ROLL,"&amp;AJ$9&amp;","&amp;$C$5&amp;",,,'')")), "--", _xll.FDSB($C$2,"FE_ESTIMATE(EPS,MEAN,QUARTERLY_ROLL,"&amp;AJ$9&amp;","&amp;$C$5&amp;",,,'')")))</f>
        <v>3.6995E-2</v>
      </c>
      <c r="AK72" s="317" cm="1">
        <f t="array" ref="AK72">_xlfn.SINGLE(IF(ISERROR(_xll.FDSB($C$2,"FE_ESTIMATE(EPS,MEAN,QUARTERLY_ROLL,"&amp;AK$9&amp;","&amp;$C$5&amp;",,,'')")), "--", _xll.FDSB($C$2,"FE_ESTIMATE(EPS,MEAN,QUARTERLY_ROLL,"&amp;AK$9&amp;","&amp;$C$5&amp;",,,'')")))</f>
        <v>0.12099</v>
      </c>
      <c r="AL72" s="318" cm="1">
        <f t="array" ref="AL72">_xlfn.SINGLE(IF(ISERROR(_xll.FDSB($C$2,"FE_ESTIMATE(EPS,MEAN,ANNUAL_ROLL,"&amp;AL$9&amp;","&amp;$C$5&amp;",,,'')")), "--", _xll.FDSB($C$2,"FE_ESTIMATE(EPS,MEAN,ANNUAL_ROLL,"&amp;AL$9&amp;","&amp;$C$5&amp;",,,'')")))</f>
        <v>1.7462999999999999E-2</v>
      </c>
      <c r="AM72" s="317" cm="1">
        <f t="array" ref="AM72">_xlfn.SINGLE(IF(ISERROR(_xll.FDSB($C$2,"FE_ESTIMATE(EPS,MEAN,QUARTERLY_ROLL,"&amp;AM$9&amp;","&amp;$C$5&amp;",,,'')")), "--", _xll.FDSB($C$2,"FE_ESTIMATE(EPS,MEAN,QUARTERLY_ROLL,"&amp;AM$9&amp;","&amp;$C$5&amp;",,,'')")))</f>
        <v>7.5803999999999996E-2</v>
      </c>
      <c r="AN72" s="317" cm="1">
        <f t="array" ref="AN72">_xlfn.SINGLE(IF(ISERROR(_xll.FDSB($C$2,"FE_ESTIMATE(EPS,MEAN,QUARTERLY_ROLL,"&amp;AN$9&amp;","&amp;$C$5&amp;",,,'')")), "--", _xll.FDSB($C$2,"FE_ESTIMATE(EPS,MEAN,QUARTERLY_ROLL,"&amp;AN$9&amp;","&amp;$C$5&amp;",,,'')")))</f>
        <v>7.3619999999999996E-3</v>
      </c>
      <c r="AO72" s="317" cm="1">
        <f t="array" ref="AO72">_xlfn.SINGLE(IF(ISERROR(_xll.FDSB($C$2,"FE_ESTIMATE(EPS,MEAN,QUARTERLY_ROLL,"&amp;AO$9&amp;","&amp;$C$5&amp;",,,'')")), "--", _xll.FDSB($C$2,"FE_ESTIMATE(EPS,MEAN,QUARTERLY_ROLL,"&amp;AO$9&amp;","&amp;$C$5&amp;",,,'')")))</f>
        <v>0.11</v>
      </c>
      <c r="AP72" s="317" cm="1">
        <f t="array" ref="AP72">_xlfn.SINGLE(IF(ISERROR(_xll.FDSB($C$2,"FE_ESTIMATE(EPS,MEAN,QUARTERLY_ROLL,"&amp;AP$9&amp;","&amp;$C$5&amp;",,,'')")), "--", _xll.FDSB($C$2,"FE_ESTIMATE(EPS,MEAN,QUARTERLY_ROLL,"&amp;AP$9&amp;","&amp;$C$5&amp;",,,'')")))</f>
        <v>0.14000000000000001</v>
      </c>
      <c r="AQ72" s="318" cm="1">
        <f t="array" ref="AQ72">_xlfn.SINGLE(IF(ISERROR(_xll.FDSB($C$2,"FE_ESTIMATE(EPS,MEAN,ANNUAL_ROLL,"&amp;AQ$9&amp;","&amp;$C$5&amp;",,,'')")), "--", _xll.FDSB($C$2,"FE_ESTIMATE(EPS,MEAN,ANNUAL_ROLL,"&amp;AQ$9&amp;","&amp;$C$5&amp;",,,'')")))</f>
        <v>0.25</v>
      </c>
      <c r="AR72" s="317" cm="1">
        <f t="array" ref="AR72">_xlfn.SINGLE(IF(ISERROR(_xll.FDSB($C$2,"FE_ESTIMATE(EPS,MEAN,QUARTERLY_ROLL,"&amp;AR$9&amp;","&amp;$C$5&amp;",,,'')")), "--", _xll.FDSB($C$2,"FE_ESTIMATE(EPS,MEAN,QUARTERLY_ROLL,"&amp;AR$9&amp;","&amp;$C$5&amp;",,,'')")))</f>
        <v>0.15</v>
      </c>
      <c r="AS72" s="317" cm="1">
        <f t="array" ref="AS72">_xlfn.SINGLE(IF(ISERROR(_xll.FDSB($C$2,"FE_ESTIMATE(EPS,MEAN,QUARTERLY_ROLL,"&amp;AS$9&amp;","&amp;$C$5&amp;",,,'')")), "--", _xll.FDSB($C$2,"FE_ESTIMATE(EPS,MEAN,QUARTERLY_ROLL,"&amp;AS$9&amp;","&amp;$C$5&amp;",,,'')")))</f>
        <v>0.22</v>
      </c>
      <c r="AT72" s="317" cm="1">
        <f t="array" ref="AT72">_xlfn.SINGLE(IF(ISERROR(_xll.FDSB($C$2,"FE_ESTIMATE(EPS,MEAN,QUARTERLY_ROLL,"&amp;AT$9&amp;","&amp;$C$5&amp;",,,'')")), "--", _xll.FDSB($C$2,"FE_ESTIMATE(EPS,MEAN,QUARTERLY_ROLL,"&amp;AT$9&amp;","&amp;$C$5&amp;",,,'')")))</f>
        <v>0.25</v>
      </c>
      <c r="AU72" s="317" cm="1">
        <f t="array" ref="AU72">_xlfn.SINGLE(IF(ISERROR(_xll.FDSB($C$2,"FE_ESTIMATE(EPS,MEAN,QUARTERLY_ROLL,"&amp;AU$9&amp;","&amp;$C$5&amp;",,,'')")), "--", _xll.FDSB($C$2,"FE_ESTIMATE(EPS,MEAN,QUARTERLY_ROLL,"&amp;AU$9&amp;","&amp;$C$5&amp;",,,'')")))</f>
        <v>0.35</v>
      </c>
      <c r="AV72" s="318" cm="1">
        <f t="array" ref="AV72">_xlfn.SINGLE(IF(ISERROR(_xll.FDSB($C$2,"FE_ESTIMATE(EPS,MEAN,ANNUAL_ROLL,"&amp;AV$9&amp;","&amp;$C$5&amp;",,,'')")), "--", _xll.FDSB($C$2,"FE_ESTIMATE(EPS,MEAN,ANNUAL_ROLL,"&amp;AV$9&amp;","&amp;$C$5&amp;",,,'')")))</f>
        <v>0.98</v>
      </c>
      <c r="AW72" s="317" cm="1">
        <f t="array" ref="AW72">_xlfn.SINGLE(IF(ISERROR(_xll.FDSB($C$2,"FE_ESTIMATE(EPS,MEAN,QUARTERLY_ROLL,"&amp;AW$9&amp;","&amp;$C$5&amp;",,,'')")), "--", _xll.FDSB($C$2,"FE_ESTIMATE(EPS,MEAN,QUARTERLY_ROLL,"&amp;AW$9&amp;","&amp;$C$5&amp;",,,'')")))</f>
        <v>0.14000000000000001</v>
      </c>
      <c r="AX72" s="317" cm="1">
        <f t="array" ref="AX72">_xlfn.SINGLE(IF(ISERROR(_xll.FDSB($C$2,"FE_ESTIMATE(EPS,MEAN,QUARTERLY_ROLL,"&amp;AX$9&amp;","&amp;$C$5&amp;",,,'')")), "--", _xll.FDSB($C$2,"FE_ESTIMATE(EPS,MEAN,QUARTERLY_ROLL,"&amp;AX$9&amp;","&amp;$C$5&amp;",,,'')")))</f>
        <v>0.18</v>
      </c>
      <c r="AY72" s="317" cm="1">
        <f t="array" ref="AY72">_xlfn.SINGLE(IF(ISERROR(_xll.FDSB($C$2,"FE_ESTIMATE(EPS,MEAN,QUARTERLY_ROLL,"&amp;AY$9&amp;","&amp;$C$5&amp;",,,'')")), "--", _xll.FDSB($C$2,"FE_ESTIMATE(EPS,MEAN,QUARTERLY_ROLL,"&amp;AY$9&amp;","&amp;$C$5&amp;",,,'')")))</f>
        <v>0.2</v>
      </c>
      <c r="AZ72" s="317" cm="1">
        <f t="array" ref="AZ72">_xlfn.SINGLE(IF(ISERROR(_xll.FDSB($C$2,"FE_ESTIMATE(EPS,MEAN,QUARTERLY_ROLL,"&amp;AZ$9&amp;","&amp;$C$5&amp;",,,'')")), "--", _xll.FDSB($C$2,"FE_ESTIMATE(EPS,MEAN,QUARTERLY_ROLL,"&amp;AZ$9&amp;","&amp;$C$5&amp;",,,'')")))</f>
        <v>0.3</v>
      </c>
      <c r="BA72" s="318" cm="1">
        <f t="array" ref="BA72">_xlfn.SINGLE(IF(ISERROR(_xll.FDSB($C$2,"FE_ESTIMATE(EPS,MEAN,ANNUAL_ROLL,"&amp;BA$9&amp;","&amp;$C$5&amp;",,,'')")), "--", _xll.FDSB($C$2,"FE_ESTIMATE(EPS,MEAN,ANNUAL_ROLL,"&amp;BA$9&amp;","&amp;$C$5&amp;",,,'')")))</f>
        <v>0.83</v>
      </c>
      <c r="BB72" s="317" cm="1">
        <f t="array" ref="BB72">_xlfn.SINGLE(IF(ISERROR(_xll.FDSB($C$2,"FE_ESTIMATE(EPS,MEAN,QUARTERLY_ROLL,"&amp;BB$9&amp;","&amp;$C$5&amp;",,,'')")), "--", _xll.FDSB($C$2,"FE_ESTIMATE(EPS,MEAN,QUARTERLY_ROLL,"&amp;BB$9&amp;","&amp;$C$5&amp;",,,'')")))</f>
        <v>0.24</v>
      </c>
      <c r="BC72" s="317" cm="1">
        <f t="array" ref="BC72">_xlfn.SINGLE(IF(ISERROR(_xll.FDSB($C$2,"FE_ESTIMATE(EPS,MEAN,QUARTERLY_ROLL,"&amp;BC$9&amp;","&amp;$C$5&amp;",,,'')")), "--", _xll.FDSB($C$2,"FE_ESTIMATE(EPS,MEAN,QUARTERLY_ROLL,"&amp;BC$9&amp;","&amp;$C$5&amp;",,,'')")))</f>
        <v>0.35</v>
      </c>
      <c r="BD72" s="317" cm="1">
        <f t="array" ref="BD72">_xlfn.SINGLE(IF(ISERROR(_xll.FDSB($C$2,"FE_ESTIMATE(EPS,MEAN,QUARTERLY_ROLL,"&amp;BD$9&amp;","&amp;$C$5&amp;",,,'')")), "--", _xll.FDSB($C$2,"FE_ESTIMATE(EPS,MEAN,QUARTERLY_ROLL,"&amp;BD$9&amp;","&amp;$C$5&amp;",,,'')")))</f>
        <v>0.31161147</v>
      </c>
      <c r="BE72" s="317" cm="1">
        <f t="array" ref="BE72">_xlfn.SINGLE(IF(ISERROR(_xll.FDSB($C$2,"FE_ESTIMATE(EPS,MEAN,QUARTERLY_ROLL,"&amp;BE$9&amp;","&amp;$C$5&amp;",,,'')")), "--", _xll.FDSB($C$2,"FE_ESTIMATE(EPS,MEAN,QUARTERLY_ROLL,"&amp;BE$9&amp;","&amp;$C$5&amp;",,,'')")))</f>
        <v>0.30057033999999999</v>
      </c>
      <c r="BF72" s="318" cm="1">
        <f t="array" ref="BF72">_xlfn.SINGLE(IF(ISERROR(_xll.FDSB($C$2,"FE_ESTIMATE(EPS,MEAN,ANNUAL_ROLL,"&amp;BF$9&amp;","&amp;$C$5&amp;",,,'')")), "--", _xll.FDSB($C$2,"FE_ESTIMATE(EPS,MEAN,ANNUAL_ROLL,"&amp;BF$9&amp;","&amp;$C$5&amp;",,,'')")))</f>
        <v>1.2030388999999999</v>
      </c>
      <c r="BG72" s="317" cm="1">
        <f t="array" ref="BG72">_xlfn.SINGLE(IF(ISERROR(_xll.FDSB($C$2,"FE_ESTIMATE(EPS,MEAN,QUARTERLY_ROLL,"&amp;BG$9&amp;","&amp;$C$5&amp;",,,'')")), "--", _xll.FDSB($C$2,"FE_ESTIMATE(EPS,MEAN,QUARTERLY_ROLL,"&amp;BG$9&amp;","&amp;$C$5&amp;",,,'')")))</f>
        <v>0.34642053</v>
      </c>
      <c r="BH72" s="317" cm="1">
        <f t="array" ref="BH72">_xlfn.SINGLE(IF(ISERROR(_xll.FDSB($C$2,"FE_ESTIMATE(EPS,MEAN,QUARTERLY_ROLL,"&amp;BH$9&amp;","&amp;$C$5&amp;",,,'')")), "--", _xll.FDSB($C$2,"FE_ESTIMATE(EPS,MEAN,QUARTERLY_ROLL,"&amp;BH$9&amp;","&amp;$C$5&amp;",,,'')")))</f>
        <v>0.40246636000000002</v>
      </c>
      <c r="BI72" s="317" cm="1">
        <f t="array" ref="BI72">_xlfn.SINGLE(IF(ISERROR(_xll.FDSB($C$2,"FE_ESTIMATE(EPS,MEAN,QUARTERLY_ROLL,"&amp;BI$9&amp;","&amp;$C$5&amp;",,,'')")), "--", _xll.FDSB($C$2,"FE_ESTIMATE(EPS,MEAN,QUARTERLY_ROLL,"&amp;BI$9&amp;","&amp;$C$5&amp;",,,'')")))</f>
        <v>0.42333472</v>
      </c>
      <c r="BJ72" s="317" cm="1">
        <f t="array" ref="BJ72">_xlfn.SINGLE(IF(ISERROR(_xll.FDSB($C$2,"FE_ESTIMATE(EPS,MEAN,QUARTERLY_ROLL,"&amp;BJ$9&amp;","&amp;$C$5&amp;",,,'')")), "--", _xll.FDSB($C$2,"FE_ESTIMATE(EPS,MEAN,QUARTERLY_ROLL,"&amp;BJ$9&amp;","&amp;$C$5&amp;",,,'')")))</f>
        <v>0.44944413999999999</v>
      </c>
      <c r="BK72" s="318" cm="1">
        <f t="array" ref="BK72">_xlfn.SINGLE(IF(ISERROR(_xll.FDSB($C$2,"FE_ESTIMATE(EPS,MEAN,ANNUAL_ROLL,"&amp;BK$9&amp;","&amp;$C$5&amp;",,,'')")), "--", _xll.FDSB($C$2,"FE_ESTIMATE(EPS,MEAN,ANNUAL_ROLL,"&amp;BK$9&amp;","&amp;$C$5&amp;",,,'')")))</f>
        <v>1.6526482</v>
      </c>
      <c r="BL72" s="317" cm="1">
        <f t="array" ref="BL72">_xlfn.SINGLE(IF(ISERROR(_xll.FDSB($C$2,"FE_ESTIMATE(EPS,MEAN,QUARTERLY_ROLL,"&amp;BL$9&amp;","&amp;$C$5&amp;",,,'')")), "--", _xll.FDSB($C$2,"FE_ESTIMATE(EPS,MEAN,QUARTERLY_ROLL,"&amp;BL$9&amp;","&amp;$C$5&amp;",,,'')")))</f>
        <v>0.48724466999999999</v>
      </c>
      <c r="BM72" s="317" cm="1">
        <f t="array" ref="BM72">_xlfn.SINGLE(IF(ISERROR(_xll.FDSB($C$2,"FE_ESTIMATE(EPS,MEAN,QUARTERLY_ROLL,"&amp;BM$9&amp;","&amp;$C$5&amp;",,,'')")), "--", _xll.FDSB($C$2,"FE_ESTIMATE(EPS,MEAN,QUARTERLY_ROLL,"&amp;BM$9&amp;","&amp;$C$5&amp;",,,'')")))</f>
        <v>0.54169880000000004</v>
      </c>
      <c r="BN72" s="317" cm="1">
        <f t="array" ref="BN72">_xlfn.SINGLE(IF(ISERROR(_xll.FDSB($C$2,"FE_ESTIMATE(EPS,MEAN,QUARTERLY_ROLL,"&amp;BN$9&amp;","&amp;$C$5&amp;",,,'')")), "--", _xll.FDSB($C$2,"FE_ESTIMATE(EPS,MEAN,QUARTERLY_ROLL,"&amp;BN$9&amp;","&amp;$C$5&amp;",,,'')")))</f>
        <v>0.57931345999999995</v>
      </c>
      <c r="BO72" s="317" cm="1">
        <f t="array" ref="BO72">_xlfn.SINGLE(IF(ISERROR(_xll.FDSB($C$2,"FE_ESTIMATE(EPS,MEAN,QUARTERLY_ROLL,"&amp;BO$9&amp;","&amp;$C$5&amp;",,,'')")), "--", _xll.FDSB($C$2,"FE_ESTIMATE(EPS,MEAN,QUARTERLY_ROLL,"&amp;BO$9&amp;","&amp;$C$5&amp;",,,'')")))</f>
        <v>0.601661</v>
      </c>
      <c r="BP72" s="318" cm="1">
        <f t="array" ref="BP72">_xlfn.SINGLE(IF(ISERROR(_xll.FDSB($C$2,"FE_ESTIMATE(EPS,MEAN,ANNUAL_ROLL,"&amp;BP$9&amp;","&amp;$C$5&amp;",,,'')")), "--", _xll.FDSB($C$2,"FE_ESTIMATE(EPS,MEAN,ANNUAL_ROLL,"&amp;BP$9&amp;","&amp;$C$5&amp;",,,'')")))</f>
        <v>2.3819840000000001</v>
      </c>
    </row>
    <row r="73" spans="1:68" s="306" customFormat="1" outlineLevel="1">
      <c r="A73" s="319"/>
      <c r="B73" s="307" t="s">
        <v>32</v>
      </c>
      <c r="C73" s="307"/>
      <c r="D73" s="308"/>
      <c r="E73" s="308"/>
      <c r="F73" s="308"/>
      <c r="G73" s="308"/>
      <c r="H73" s="309"/>
      <c r="I73" s="308" t="str">
        <f t="shared" ref="I73:AN73" si="43">IFERROR(I72/D72-1,"--")</f>
        <v>--</v>
      </c>
      <c r="J73" s="308" t="str">
        <f t="shared" si="43"/>
        <v>--</v>
      </c>
      <c r="K73" s="308" t="str">
        <f t="shared" si="43"/>
        <v>--</v>
      </c>
      <c r="L73" s="308" t="str">
        <f t="shared" si="43"/>
        <v>--</v>
      </c>
      <c r="M73" s="309" t="str">
        <f t="shared" si="43"/>
        <v>--</v>
      </c>
      <c r="N73" s="308" t="str">
        <f t="shared" si="43"/>
        <v>--</v>
      </c>
      <c r="O73" s="308" t="str">
        <f t="shared" si="43"/>
        <v>--</v>
      </c>
      <c r="P73" s="308" t="str">
        <f t="shared" si="43"/>
        <v>--</v>
      </c>
      <c r="Q73" s="308" t="str">
        <f t="shared" si="43"/>
        <v>--</v>
      </c>
      <c r="R73" s="309" t="str">
        <f t="shared" si="43"/>
        <v>--</v>
      </c>
      <c r="S73" s="308" t="str">
        <f t="shared" si="43"/>
        <v>--</v>
      </c>
      <c r="T73" s="308" t="str">
        <f t="shared" si="43"/>
        <v>--</v>
      </c>
      <c r="U73" s="308" t="str">
        <f t="shared" si="43"/>
        <v>--</v>
      </c>
      <c r="V73" s="308" t="str">
        <f t="shared" si="43"/>
        <v>--</v>
      </c>
      <c r="W73" s="309" t="str">
        <f t="shared" si="43"/>
        <v>--</v>
      </c>
      <c r="X73" s="308" t="str">
        <f t="shared" si="43"/>
        <v>--</v>
      </c>
      <c r="Y73" s="308" t="str">
        <f t="shared" si="43"/>
        <v>--</v>
      </c>
      <c r="Z73" s="308" t="str">
        <f t="shared" si="43"/>
        <v>--</v>
      </c>
      <c r="AA73" s="308" t="str">
        <f t="shared" si="43"/>
        <v>--</v>
      </c>
      <c r="AB73" s="309" t="str">
        <f t="shared" si="43"/>
        <v>--</v>
      </c>
      <c r="AC73" s="308" t="str">
        <f t="shared" si="43"/>
        <v>--</v>
      </c>
      <c r="AD73" s="308" t="str">
        <f t="shared" si="43"/>
        <v>--</v>
      </c>
      <c r="AE73" s="308" t="str">
        <f t="shared" si="43"/>
        <v>--</v>
      </c>
      <c r="AF73" s="308" t="str">
        <f t="shared" si="43"/>
        <v>--</v>
      </c>
      <c r="AG73" s="309" t="str">
        <f t="shared" si="43"/>
        <v>--</v>
      </c>
      <c r="AH73" s="308">
        <f t="shared" si="43"/>
        <v>-0.58103928571428576</v>
      </c>
      <c r="AI73" s="308">
        <f t="shared" si="43"/>
        <v>-0.82832050347679975</v>
      </c>
      <c r="AJ73" s="308">
        <f t="shared" si="43"/>
        <v>-1.158789827081119</v>
      </c>
      <c r="AK73" s="308">
        <f t="shared" si="43"/>
        <v>-1.7732027939851354</v>
      </c>
      <c r="AL73" s="309">
        <f t="shared" si="43"/>
        <v>-1.0225463437558906</v>
      </c>
      <c r="AM73" s="308">
        <f t="shared" si="43"/>
        <v>-1.6461908293481318</v>
      </c>
      <c r="AN73" s="308">
        <f t="shared" si="43"/>
        <v>-1.1782523425582916</v>
      </c>
      <c r="AO73" s="308">
        <f t="shared" ref="AO73:BP73" si="44">IFERROR(AO72/AJ72-1,"--")</f>
        <v>1.9733747803757264</v>
      </c>
      <c r="AP73" s="308">
        <f t="shared" si="44"/>
        <v>0.15712042317546926</v>
      </c>
      <c r="AQ73" s="309">
        <f t="shared" si="44"/>
        <v>13.315982362709729</v>
      </c>
      <c r="AR73" s="308">
        <f t="shared" si="44"/>
        <v>0.97878739908184276</v>
      </c>
      <c r="AS73" s="308">
        <f t="shared" si="44"/>
        <v>28.883183917413749</v>
      </c>
      <c r="AT73" s="308">
        <f t="shared" si="44"/>
        <v>1.2727272727272729</v>
      </c>
      <c r="AU73" s="308">
        <f t="shared" si="44"/>
        <v>1.4999999999999996</v>
      </c>
      <c r="AV73" s="309">
        <f t="shared" si="44"/>
        <v>2.92</v>
      </c>
      <c r="AW73" s="308">
        <f t="shared" si="44"/>
        <v>-6.6666666666666541E-2</v>
      </c>
      <c r="AX73" s="308">
        <f t="shared" si="44"/>
        <v>-0.18181818181818188</v>
      </c>
      <c r="AY73" s="308">
        <f t="shared" si="44"/>
        <v>-0.19999999999999996</v>
      </c>
      <c r="AZ73" s="308">
        <f t="shared" si="44"/>
        <v>-0.14285714285714279</v>
      </c>
      <c r="BA73" s="309">
        <f t="shared" si="44"/>
        <v>-0.15306122448979598</v>
      </c>
      <c r="BB73" s="308">
        <f t="shared" si="44"/>
        <v>0.71428571428571397</v>
      </c>
      <c r="BC73" s="308">
        <f t="shared" si="44"/>
        <v>0.94444444444444442</v>
      </c>
      <c r="BD73" s="308">
        <f t="shared" si="44"/>
        <v>0.5580573499999999</v>
      </c>
      <c r="BE73" s="308">
        <f t="shared" si="44"/>
        <v>1.9011333333334157E-3</v>
      </c>
      <c r="BF73" s="309">
        <f t="shared" si="44"/>
        <v>0.44944445783132525</v>
      </c>
      <c r="BG73" s="308">
        <f t="shared" si="44"/>
        <v>0.4434188750000001</v>
      </c>
      <c r="BH73" s="308">
        <f t="shared" si="44"/>
        <v>0.14990388571428581</v>
      </c>
      <c r="BI73" s="308">
        <f t="shared" si="44"/>
        <v>0.35853381776992999</v>
      </c>
      <c r="BJ73" s="308">
        <f t="shared" si="44"/>
        <v>0.49530436037035463</v>
      </c>
      <c r="BK73" s="309">
        <f t="shared" si="44"/>
        <v>0.3737279816970176</v>
      </c>
      <c r="BL73" s="308">
        <f t="shared" si="44"/>
        <v>0.40651210827487616</v>
      </c>
      <c r="BM73" s="308">
        <f t="shared" si="44"/>
        <v>0.34594801910897588</v>
      </c>
      <c r="BN73" s="308">
        <f t="shared" si="44"/>
        <v>0.36845250963587373</v>
      </c>
      <c r="BO73" s="308">
        <f t="shared" si="44"/>
        <v>0.33867803905508698</v>
      </c>
      <c r="BP73" s="309">
        <f t="shared" si="44"/>
        <v>0.44131340233208749</v>
      </c>
    </row>
    <row r="74" spans="1:68" s="306" customFormat="1" outlineLevel="1">
      <c r="A74" s="107"/>
      <c r="B74" s="307" t="s">
        <v>33</v>
      </c>
      <c r="C74" s="307"/>
      <c r="D74" s="308"/>
      <c r="E74" s="308"/>
      <c r="F74" s="308"/>
      <c r="G74" s="308"/>
      <c r="H74" s="315"/>
      <c r="I74" s="308" t="str">
        <f>IFERROR(I72/G72-1,"--")</f>
        <v>--</v>
      </c>
      <c r="J74" s="308" t="str">
        <f>IFERROR(J72/I72-1,"--")</f>
        <v>--</v>
      </c>
      <c r="K74" s="308" t="str">
        <f>IFERROR(K72/J72-1,"--")</f>
        <v>--</v>
      </c>
      <c r="L74" s="308" t="str">
        <f>IFERROR(L72/K72-1,"--")</f>
        <v>--</v>
      </c>
      <c r="M74" s="311"/>
      <c r="N74" s="308" t="str">
        <f>IFERROR(N72/L72-1,"--")</f>
        <v>--</v>
      </c>
      <c r="O74" s="308" t="str">
        <f>IFERROR(O72/N72-1,"--")</f>
        <v>--</v>
      </c>
      <c r="P74" s="308" t="str">
        <f>IFERROR(P72/O72-1,"--")</f>
        <v>--</v>
      </c>
      <c r="Q74" s="308" t="str">
        <f>IFERROR(Q72/P72-1,"--")</f>
        <v>--</v>
      </c>
      <c r="R74" s="311"/>
      <c r="S74" s="308" t="str">
        <f>IFERROR(S72/Q72-1,"--")</f>
        <v>--</v>
      </c>
      <c r="T74" s="308" t="str">
        <f>IFERROR(T72/S72-1,"--")</f>
        <v>--</v>
      </c>
      <c r="U74" s="308" t="str">
        <f>IFERROR(U72/T72-1,"--")</f>
        <v>--</v>
      </c>
      <c r="V74" s="308" t="str">
        <f>IFERROR(V72/U72-1,"--")</f>
        <v>--</v>
      </c>
      <c r="W74" s="311"/>
      <c r="X74" s="308" t="str">
        <f>IFERROR(X72/V72-1,"--")</f>
        <v>--</v>
      </c>
      <c r="Y74" s="308" t="str">
        <f>IFERROR(Y72/X72-1,"--")</f>
        <v>--</v>
      </c>
      <c r="Z74" s="308" t="str">
        <f>IFERROR(Z72/Y72-1,"--")</f>
        <v>--</v>
      </c>
      <c r="AA74" s="308" t="str">
        <f>IFERROR(AA72/Z72-1,"--")</f>
        <v>--</v>
      </c>
      <c r="AB74" s="311"/>
      <c r="AC74" s="308" t="str">
        <f>IFERROR(AC72/AA72-1,"--")</f>
        <v>--</v>
      </c>
      <c r="AD74" s="308">
        <f>IFERROR(AD72/AC72-1,"--")</f>
        <v>-0.1408201071428572</v>
      </c>
      <c r="AE74" s="308">
        <f>IFERROR(AE72/AD72-1,"--")</f>
        <v>-3.1547733829398794E-2</v>
      </c>
      <c r="AF74" s="308">
        <f>IFERROR(AF72/AE72-1,"--")</f>
        <v>-0.32836130958706833</v>
      </c>
      <c r="AG74" s="311"/>
      <c r="AH74" s="308">
        <f>IFERROR(AH72/AF72-1,"--")</f>
        <v>-0.25032112935282058</v>
      </c>
      <c r="AI74" s="308">
        <f>IFERROR(AI72/AH72-1,"--")</f>
        <v>-0.64792982635603402</v>
      </c>
      <c r="AJ74" s="308">
        <f>IFERROR(AJ72/AI72-1,"--")</f>
        <v>-1.8957410232197769</v>
      </c>
      <c r="AK74" s="308">
        <f>IFERROR(AK72/AJ72-1,"--")</f>
        <v>2.2704419516150831</v>
      </c>
      <c r="AL74" s="311"/>
      <c r="AM74" s="308">
        <f>IFERROR(AM72/AK72-1,"--")</f>
        <v>-0.37346888172576254</v>
      </c>
      <c r="AN74" s="308">
        <f>IFERROR(AN72/AM72-1,"--")</f>
        <v>-0.90288111445306318</v>
      </c>
      <c r="AO74" s="308">
        <f>IFERROR(AO72/AN72-1,"--")</f>
        <v>13.941591958706875</v>
      </c>
      <c r="AP74" s="308">
        <f>IFERROR(AP72/AO72-1,"--")</f>
        <v>0.27272727272727293</v>
      </c>
      <c r="AQ74" s="311"/>
      <c r="AR74" s="308">
        <f>IFERROR(AR72/AP72-1,"--")</f>
        <v>7.1428571428571397E-2</v>
      </c>
      <c r="AS74" s="308">
        <f>IFERROR(AS72/AR72-1,"--")</f>
        <v>0.46666666666666679</v>
      </c>
      <c r="AT74" s="308">
        <f>IFERROR(AT72/AS72-1,"--")</f>
        <v>0.13636363636363646</v>
      </c>
      <c r="AU74" s="308">
        <f>IFERROR(AU72/AT72-1,"--")</f>
        <v>0.39999999999999991</v>
      </c>
      <c r="AV74" s="311"/>
      <c r="AW74" s="308">
        <f>IFERROR(AW72/AU72-1,"--")</f>
        <v>-0.59999999999999987</v>
      </c>
      <c r="AX74" s="308">
        <f>IFERROR(AX72/AW72-1,"--")</f>
        <v>0.28571428571428559</v>
      </c>
      <c r="AY74" s="308">
        <f>IFERROR(AY72/AX72-1,"--")</f>
        <v>0.11111111111111116</v>
      </c>
      <c r="AZ74" s="308">
        <f>IFERROR(AZ72/AY72-1,"--")</f>
        <v>0.49999999999999978</v>
      </c>
      <c r="BA74" s="311"/>
      <c r="BB74" s="308">
        <f>IFERROR(BB72/AZ72-1,"--")</f>
        <v>-0.19999999999999996</v>
      </c>
      <c r="BC74" s="308">
        <f>IFERROR(BC72/BB72-1,"--")</f>
        <v>0.45833333333333326</v>
      </c>
      <c r="BD74" s="308">
        <f>IFERROR(BD72/BC72-1,"--")</f>
        <v>-0.10968151428571427</v>
      </c>
      <c r="BE74" s="308">
        <f>IFERROR(BE72/BD72-1,"--")</f>
        <v>-3.5432360689418796E-2</v>
      </c>
      <c r="BF74" s="311"/>
      <c r="BG74" s="308">
        <f>IFERROR(BG72/BE72-1,"--")</f>
        <v>0.15254396025901951</v>
      </c>
      <c r="BH74" s="308">
        <f>IFERROR(BH72/BG72-1,"--")</f>
        <v>0.16178553274541785</v>
      </c>
      <c r="BI74" s="308">
        <f>IFERROR(BI72/BH72-1,"--")</f>
        <v>5.185119074299771E-2</v>
      </c>
      <c r="BJ74" s="308">
        <f>IFERROR(BJ72/BI72-1,"--")</f>
        <v>6.1675593251599992E-2</v>
      </c>
      <c r="BK74" s="311"/>
      <c r="BL74" s="308">
        <f>IFERROR(BL72/BJ72-1,"--")</f>
        <v>8.4105068095892799E-2</v>
      </c>
      <c r="BM74" s="308">
        <f>IFERROR(BM72/BL72-1,"--")</f>
        <v>0.11175931385765603</v>
      </c>
      <c r="BN74" s="308">
        <f>IFERROR(BN72/BM72-1,"--")</f>
        <v>6.9438329935380905E-2</v>
      </c>
      <c r="BO74" s="308">
        <f>IFERROR(BO72/BN72-1,"--")</f>
        <v>3.8575903276958368E-2</v>
      </c>
      <c r="BP74" s="311"/>
    </row>
    <row r="75" spans="1:68" s="310" customFormat="1">
      <c r="A75" s="320"/>
      <c r="B75" s="307"/>
      <c r="C75" s="307"/>
      <c r="D75" s="308"/>
      <c r="E75" s="308"/>
      <c r="F75" s="308"/>
      <c r="G75" s="308"/>
      <c r="H75" s="309"/>
      <c r="I75" s="308"/>
      <c r="J75" s="308"/>
      <c r="K75" s="308"/>
      <c r="L75" s="308"/>
      <c r="M75" s="309"/>
      <c r="N75" s="308"/>
      <c r="O75" s="308"/>
      <c r="P75" s="308"/>
      <c r="Q75" s="308"/>
      <c r="R75" s="309"/>
      <c r="S75" s="308"/>
      <c r="T75" s="308"/>
      <c r="U75" s="308"/>
      <c r="V75" s="308"/>
      <c r="W75" s="309"/>
      <c r="X75" s="308"/>
      <c r="Y75" s="308"/>
      <c r="Z75" s="308"/>
      <c r="AA75" s="308"/>
      <c r="AB75" s="309"/>
      <c r="AC75" s="308"/>
      <c r="AD75" s="308"/>
      <c r="AE75" s="308"/>
      <c r="AF75" s="308"/>
      <c r="AG75" s="309"/>
      <c r="AH75" s="308"/>
      <c r="AI75" s="308"/>
      <c r="AJ75" s="308"/>
      <c r="AK75" s="308"/>
      <c r="AL75" s="309"/>
      <c r="AM75" s="308"/>
      <c r="AN75" s="308"/>
      <c r="AO75" s="308"/>
      <c r="AP75" s="308"/>
      <c r="AQ75" s="309"/>
      <c r="AR75" s="308"/>
      <c r="AS75" s="308"/>
      <c r="AT75" s="308"/>
      <c r="AU75" s="308"/>
      <c r="AV75" s="309"/>
      <c r="AW75" s="308"/>
      <c r="AX75" s="308"/>
      <c r="AY75" s="308"/>
      <c r="AZ75" s="308"/>
      <c r="BA75" s="309"/>
      <c r="BB75" s="308"/>
      <c r="BC75" s="308"/>
      <c r="BD75" s="308"/>
      <c r="BE75" s="308"/>
      <c r="BF75" s="309"/>
      <c r="BG75" s="308"/>
      <c r="BH75" s="308"/>
      <c r="BI75" s="308"/>
      <c r="BJ75" s="308"/>
      <c r="BK75" s="309"/>
      <c r="BL75" s="308"/>
      <c r="BM75" s="308"/>
      <c r="BN75" s="308"/>
      <c r="BO75" s="308"/>
      <c r="BP75" s="309"/>
    </row>
    <row r="76" spans="1:68" s="310" customFormat="1">
      <c r="A76" s="293"/>
      <c r="B76" s="286" t="s">
        <v>89</v>
      </c>
      <c r="C76" s="307"/>
      <c r="D76" s="308"/>
      <c r="E76" s="308"/>
      <c r="F76" s="308"/>
      <c r="G76" s="308"/>
      <c r="H76" s="309"/>
      <c r="I76" s="308"/>
      <c r="J76" s="308"/>
      <c r="K76" s="308"/>
      <c r="L76" s="308"/>
      <c r="M76" s="309"/>
      <c r="N76" s="308"/>
      <c r="O76" s="308"/>
      <c r="P76" s="308"/>
      <c r="Q76" s="308"/>
      <c r="R76" s="309"/>
      <c r="S76" s="308"/>
      <c r="T76" s="308"/>
      <c r="U76" s="308"/>
      <c r="V76" s="308"/>
      <c r="W76" s="309"/>
      <c r="X76" s="308"/>
      <c r="Y76" s="308"/>
      <c r="Z76" s="308"/>
      <c r="AA76" s="308"/>
      <c r="AB76" s="309"/>
      <c r="AC76" s="308"/>
      <c r="AD76" s="308"/>
      <c r="AE76" s="308"/>
      <c r="AF76" s="308"/>
      <c r="AG76" s="309"/>
      <c r="AH76" s="308"/>
      <c r="AI76" s="308"/>
      <c r="AJ76" s="308"/>
      <c r="AK76" s="308"/>
      <c r="AL76" s="309"/>
      <c r="AM76" s="308"/>
      <c r="AN76" s="308"/>
      <c r="AO76" s="308"/>
      <c r="AP76" s="308"/>
      <c r="AQ76" s="309"/>
      <c r="AR76" s="308"/>
      <c r="AS76" s="308"/>
      <c r="AT76" s="308"/>
      <c r="AU76" s="308"/>
      <c r="AV76" s="309"/>
      <c r="AW76" s="308"/>
      <c r="AX76" s="308"/>
      <c r="AY76" s="308"/>
      <c r="AZ76" s="308"/>
      <c r="BA76" s="309"/>
      <c r="BB76" s="308"/>
      <c r="BC76" s="308"/>
      <c r="BD76" s="308"/>
      <c r="BE76" s="308"/>
      <c r="BF76" s="309"/>
      <c r="BG76" s="308"/>
      <c r="BH76" s="308"/>
      <c r="BI76" s="308"/>
      <c r="BJ76" s="308"/>
      <c r="BK76" s="309"/>
      <c r="BL76" s="308"/>
      <c r="BM76" s="308"/>
      <c r="BN76" s="308"/>
      <c r="BO76" s="308"/>
      <c r="BP76" s="309"/>
    </row>
    <row r="77" spans="1:68" s="306" customFormat="1" outlineLevel="1">
      <c r="A77" s="107" t="s">
        <v>76</v>
      </c>
      <c r="B77" s="302" t="s">
        <v>8</v>
      </c>
      <c r="C77" s="303"/>
      <c r="D77" s="317"/>
      <c r="E77" s="317"/>
      <c r="F77" s="317"/>
      <c r="G77" s="317"/>
      <c r="H77" s="318"/>
      <c r="I77" s="304" t="str" cm="1">
        <f t="array" ref="I77">_xlfn.SINGLE(IF(ISERROR(_xll.FDSB($C$2,"FE_ESTIMATE(CFO,MEAN,QUARTERLY_ROLL,"&amp;I$9&amp;","&amp;$C$5&amp;",,,'')")), "--", _xll.FDSB($C$2,"FE_ESTIMATE(CFO,MEAN,QUARTERLY_ROLL,"&amp;I$9&amp;","&amp;$C$5&amp;",,,'')")))</f>
        <v/>
      </c>
      <c r="J77" s="304" t="str" cm="1">
        <f t="array" ref="J77">_xlfn.SINGLE(IF(ISERROR(_xll.FDSB($C$2,"FE_ESTIMATE(CFO,MEAN,QUARTERLY_ROLL,"&amp;J$9&amp;","&amp;$C$5&amp;",,,'')")), "--", _xll.FDSB($C$2,"FE_ESTIMATE(CFO,MEAN,QUARTERLY_ROLL,"&amp;J$9&amp;","&amp;$C$5&amp;",,,'')")))</f>
        <v/>
      </c>
      <c r="K77" s="304" t="str" cm="1">
        <f t="array" ref="K77">_xlfn.SINGLE(IF(ISERROR(_xll.FDSB($C$2,"FE_ESTIMATE(CFO,MEAN,QUARTERLY_ROLL,"&amp;K$9&amp;","&amp;$C$5&amp;",,,'')")), "--", _xll.FDSB($C$2,"FE_ESTIMATE(CFO,MEAN,QUARTERLY_ROLL,"&amp;K$9&amp;","&amp;$C$5&amp;",,,'')")))</f>
        <v/>
      </c>
      <c r="L77" s="304" t="str" cm="1">
        <f t="array" ref="L77">_xlfn.SINGLE(IF(ISERROR(_xll.FDSB($C$2,"FE_ESTIMATE(CFO,MEAN,QUARTERLY_ROLL,"&amp;L$9&amp;","&amp;$C$5&amp;",,,'')")), "--", _xll.FDSB($C$2,"FE_ESTIMATE(CFO,MEAN,QUARTERLY_ROLL,"&amp;L$9&amp;","&amp;$C$5&amp;",,,'')")))</f>
        <v/>
      </c>
      <c r="M77" s="305" t="str" cm="1">
        <f t="array" ref="M77">_xlfn.SINGLE(IF(ISERROR(_xll.FDSB($C$2,"FE_ESTIMATE(CFO,MEAN,ANNUAL_ROLL,"&amp;M$9&amp;","&amp;$C$5&amp;",,,'')")), "--", _xll.FDSB($C$2,"FE_ESTIMATE(CFO,MEAN,ANNUAL_ROLL,"&amp;M$9&amp;","&amp;$C$5&amp;",,,'')")))</f>
        <v/>
      </c>
      <c r="N77" s="304" t="str" cm="1">
        <f t="array" ref="N77">_xlfn.SINGLE(IF(ISERROR(_xll.FDSB($C$2,"FE_ESTIMATE(CFO,MEAN,QUARTERLY_ROLL,"&amp;N$9&amp;","&amp;$C$5&amp;",,,'')")), "--", _xll.FDSB($C$2,"FE_ESTIMATE(CFO,MEAN,QUARTERLY_ROLL,"&amp;N$9&amp;","&amp;$C$5&amp;",,,'')")))</f>
        <v/>
      </c>
      <c r="O77" s="304" t="str" cm="1">
        <f t="array" ref="O77">_xlfn.SINGLE(IF(ISERROR(_xll.FDSB($C$2,"FE_ESTIMATE(CFO,MEAN,QUARTERLY_ROLL,"&amp;O$9&amp;","&amp;$C$5&amp;",,,'')")), "--", _xll.FDSB($C$2,"FE_ESTIMATE(CFO,MEAN,QUARTERLY_ROLL,"&amp;O$9&amp;","&amp;$C$5&amp;",,,'')")))</f>
        <v/>
      </c>
      <c r="P77" s="304" t="str" cm="1">
        <f t="array" ref="P77">_xlfn.SINGLE(IF(ISERROR(_xll.FDSB($C$2,"FE_ESTIMATE(CFO,MEAN,QUARTERLY_ROLL,"&amp;P$9&amp;","&amp;$C$5&amp;",,,'')")), "--", _xll.FDSB($C$2,"FE_ESTIMATE(CFO,MEAN,QUARTERLY_ROLL,"&amp;P$9&amp;","&amp;$C$5&amp;",,,'')")))</f>
        <v/>
      </c>
      <c r="Q77" s="304" t="str" cm="1">
        <f t="array" ref="Q77">_xlfn.SINGLE(IF(ISERROR(_xll.FDSB($C$2,"FE_ESTIMATE(CFO,MEAN,QUARTERLY_ROLL,"&amp;Q$9&amp;","&amp;$C$5&amp;",,,'')")), "--", _xll.FDSB($C$2,"FE_ESTIMATE(CFO,MEAN,QUARTERLY_ROLL,"&amp;Q$9&amp;","&amp;$C$5&amp;",,,'')")))</f>
        <v/>
      </c>
      <c r="R77" s="305" t="str" cm="1">
        <f t="array" ref="R77">_xlfn.SINGLE(IF(ISERROR(_xll.FDSB($C$2,"FE_ESTIMATE(CFO,MEAN,ANNUAL_ROLL,"&amp;R$9&amp;","&amp;$C$5&amp;",,,'')")), "--", _xll.FDSB($C$2,"FE_ESTIMATE(CFO,MEAN,ANNUAL_ROLL,"&amp;R$9&amp;","&amp;$C$5&amp;",,,'')")))</f>
        <v/>
      </c>
      <c r="S77" s="304" t="str" cm="1">
        <f t="array" ref="S77">_xlfn.SINGLE(IF(ISERROR(_xll.FDSB($C$2,"FE_ESTIMATE(CFO,MEAN,QUARTERLY_ROLL,"&amp;S$9&amp;","&amp;$C$5&amp;",,,'')")), "--", _xll.FDSB($C$2,"FE_ESTIMATE(CFO,MEAN,QUARTERLY_ROLL,"&amp;S$9&amp;","&amp;$C$5&amp;",,,'')")))</f>
        <v/>
      </c>
      <c r="T77" s="304" t="str" cm="1">
        <f t="array" ref="T77">_xlfn.SINGLE(IF(ISERROR(_xll.FDSB($C$2,"FE_ESTIMATE(CFO,MEAN,QUARTERLY_ROLL,"&amp;T$9&amp;","&amp;$C$5&amp;",,,'')")), "--", _xll.FDSB($C$2,"FE_ESTIMATE(CFO,MEAN,QUARTERLY_ROLL,"&amp;T$9&amp;","&amp;$C$5&amp;",,,'')")))</f>
        <v/>
      </c>
      <c r="U77" s="304" t="str" cm="1">
        <f t="array" ref="U77">_xlfn.SINGLE(IF(ISERROR(_xll.FDSB($C$2,"FE_ESTIMATE(CFO,MEAN,QUARTERLY_ROLL,"&amp;U$9&amp;","&amp;$C$5&amp;",,,'')")), "--", _xll.FDSB($C$2,"FE_ESTIMATE(CFO,MEAN,QUARTERLY_ROLL,"&amp;U$9&amp;","&amp;$C$5&amp;",,,'')")))</f>
        <v/>
      </c>
      <c r="V77" s="304" t="str" cm="1">
        <f t="array" ref="V77">_xlfn.SINGLE(IF(ISERROR(_xll.FDSB($C$2,"FE_ESTIMATE(CFO,MEAN,QUARTERLY_ROLL,"&amp;V$9&amp;","&amp;$C$5&amp;",,,'')")), "--", _xll.FDSB($C$2,"FE_ESTIMATE(CFO,MEAN,QUARTERLY_ROLL,"&amp;V$9&amp;","&amp;$C$5&amp;",,,'')")))</f>
        <v/>
      </c>
      <c r="W77" s="305" t="str" cm="1">
        <f t="array" ref="W77">_xlfn.SINGLE(IF(ISERROR(_xll.FDSB($C$2,"FE_ESTIMATE(CFO,MEAN,ANNUAL_ROLL,"&amp;W$9&amp;","&amp;$C$5&amp;",,,'')")), "--", _xll.FDSB($C$2,"FE_ESTIMATE(CFO,MEAN,ANNUAL_ROLL,"&amp;W$9&amp;","&amp;$C$5&amp;",,,'')")))</f>
        <v/>
      </c>
      <c r="X77" s="304" t="str" cm="1">
        <f t="array" ref="X77">_xlfn.SINGLE(IF(ISERROR(_xll.FDSB($C$2,"FE_ESTIMATE(CFO,MEAN,QUARTERLY_ROLL,"&amp;X$9&amp;","&amp;$C$5&amp;",,,'')")), "--", _xll.FDSB($C$2,"FE_ESTIMATE(CFO,MEAN,QUARTERLY_ROLL,"&amp;X$9&amp;","&amp;$C$5&amp;",,,'')")))</f>
        <v/>
      </c>
      <c r="Y77" s="304" t="str" cm="1">
        <f t="array" ref="Y77">_xlfn.SINGLE(IF(ISERROR(_xll.FDSB($C$2,"FE_ESTIMATE(CFO,MEAN,QUARTERLY_ROLL,"&amp;Y$9&amp;","&amp;$C$5&amp;",,,'')")), "--", _xll.FDSB($C$2,"FE_ESTIMATE(CFO,MEAN,QUARTERLY_ROLL,"&amp;Y$9&amp;","&amp;$C$5&amp;",,,'')")))</f>
        <v/>
      </c>
      <c r="Z77" s="304" t="str" cm="1">
        <f t="array" ref="Z77">_xlfn.SINGLE(IF(ISERROR(_xll.FDSB($C$2,"FE_ESTIMATE(CFO,MEAN,QUARTERLY_ROLL,"&amp;Z$9&amp;","&amp;$C$5&amp;",,,'')")), "--", _xll.FDSB($C$2,"FE_ESTIMATE(CFO,MEAN,QUARTERLY_ROLL,"&amp;Z$9&amp;","&amp;$C$5&amp;",,,'')")))</f>
        <v/>
      </c>
      <c r="AA77" s="304" t="str" cm="1">
        <f t="array" ref="AA77">_xlfn.SINGLE(IF(ISERROR(_xll.FDSB($C$2,"FE_ESTIMATE(CFO,MEAN,QUARTERLY_ROLL,"&amp;AA$9&amp;","&amp;$C$5&amp;",,,'')")), "--", _xll.FDSB($C$2,"FE_ESTIMATE(CFO,MEAN,QUARTERLY_ROLL,"&amp;AA$9&amp;","&amp;$C$5&amp;",,,'')")))</f>
        <v/>
      </c>
      <c r="AB77" s="305" t="str" cm="1">
        <f t="array" ref="AB77">_xlfn.SINGLE(IF(ISERROR(_xll.FDSB($C$2,"FE_ESTIMATE(CFO,MEAN,ANNUAL_ROLL,"&amp;AB$9&amp;","&amp;$C$5&amp;",,,'')")), "--", _xll.FDSB($C$2,"FE_ESTIMATE(CFO,MEAN,ANNUAL_ROLL,"&amp;AB$9&amp;","&amp;$C$5&amp;",,,'')")))</f>
        <v/>
      </c>
      <c r="AC77" s="304" cm="1">
        <f t="array" ref="AC77">_xlfn.SINGLE(IF(ISERROR(_xll.FDSB($C$2,"FE_ESTIMATE(CFO,MEAN,QUARTERLY_ROLL,"&amp;AC$9&amp;","&amp;$C$5&amp;",,,'')")), "--", _xll.FDSB($C$2,"FE_ESTIMATE(CFO,MEAN,QUARTERLY_ROLL,"&amp;AC$9&amp;","&amp;$C$5&amp;",,,'')")))</f>
        <v>-6.6</v>
      </c>
      <c r="AD77" s="304" cm="1">
        <f t="array" ref="AD77">_xlfn.SINGLE(IF(ISERROR(_xll.FDSB($C$2,"FE_ESTIMATE(CFO,MEAN,QUARTERLY_ROLL,"&amp;AD$9&amp;","&amp;$C$5&amp;",,,'')")), "--", _xll.FDSB($C$2,"FE_ESTIMATE(CFO,MEAN,QUARTERLY_ROLL,"&amp;AD$9&amp;","&amp;$C$5&amp;",,,'')")))</f>
        <v>-38.694546000000003</v>
      </c>
      <c r="AE77" s="304" cm="1">
        <f t="array" ref="AE77">_xlfn.SINGLE(IF(ISERROR(_xll.FDSB($C$2,"FE_ESTIMATE(CFO,MEAN,QUARTERLY_ROLL,"&amp;AE$9&amp;","&amp;$C$5&amp;",,,'')")), "--", _xll.FDSB($C$2,"FE_ESTIMATE(CFO,MEAN,QUARTERLY_ROLL,"&amp;AE$9&amp;","&amp;$C$5&amp;",,,'')")))</f>
        <v>-19.783272</v>
      </c>
      <c r="AF77" s="304" cm="1">
        <f t="array" ref="AF77">_xlfn.SINGLE(IF(ISERROR(_xll.FDSB($C$2,"FE_ESTIMATE(CFO,MEAN,QUARTERLY_ROLL,"&amp;AF$9&amp;","&amp;$C$5&amp;",,,'')")), "--", _xll.FDSB($C$2,"FE_ESTIMATE(CFO,MEAN,QUARTERLY_ROLL,"&amp;AF$9&amp;","&amp;$C$5&amp;",,,'')")))</f>
        <v>15.057</v>
      </c>
      <c r="AG77" s="305" cm="1">
        <f t="array" ref="AG77">_xlfn.SINGLE(IF(ISERROR(_xll.FDSB($C$2,"FE_ESTIMATE(CFO,MEAN,ANNUAL_ROLL,"&amp;AG$9&amp;","&amp;$C$5&amp;",,,'')")), "--", _xll.FDSB($C$2,"FE_ESTIMATE(CFO,MEAN,ANNUAL_ROLL,"&amp;AG$9&amp;","&amp;$C$5&amp;",,,'')")))</f>
        <v>-48.582152999999998</v>
      </c>
      <c r="AH77" s="304" cm="1">
        <f t="array" ref="AH77">_xlfn.SINGLE(IF(ISERROR(_xll.FDSB($C$2,"FE_ESTIMATE(CFO,MEAN,QUARTERLY_ROLL,"&amp;AH$9&amp;","&amp;$C$5&amp;",,,'')")), "--", _xll.FDSB($C$2,"FE_ESTIMATE(CFO,MEAN,QUARTERLY_ROLL,"&amp;AH$9&amp;","&amp;$C$5&amp;",,,'')")))</f>
        <v>21.890667000000001</v>
      </c>
      <c r="AI77" s="304" cm="1">
        <f t="array" ref="AI77">_xlfn.SINGLE(IF(ISERROR(_xll.FDSB($C$2,"FE_ESTIMATE(CFO,MEAN,QUARTERLY_ROLL,"&amp;AI$9&amp;","&amp;$C$5&amp;",,,'')")), "--", _xll.FDSB($C$2,"FE_ESTIMATE(CFO,MEAN,QUARTERLY_ROLL,"&amp;AI$9&amp;","&amp;$C$5&amp;",,,'')")))</f>
        <v>-3.6493332000000001</v>
      </c>
      <c r="AJ77" s="304" cm="1">
        <f t="array" ref="AJ77">_xlfn.SINGLE(IF(ISERROR(_xll.FDSB($C$2,"FE_ESTIMATE(CFO,MEAN,QUARTERLY_ROLL,"&amp;AJ$9&amp;","&amp;$C$5&amp;",,,'')")), "--", _xll.FDSB($C$2,"FE_ESTIMATE(CFO,MEAN,QUARTERLY_ROLL,"&amp;AJ$9&amp;","&amp;$C$5&amp;",,,'')")))</f>
        <v>15.572445</v>
      </c>
      <c r="AK77" s="304" cm="1">
        <f t="array" ref="AK77">_xlfn.SINGLE(IF(ISERROR(_xll.FDSB($C$2,"FE_ESTIMATE(CFO,MEAN,QUARTERLY_ROLL,"&amp;AK$9&amp;","&amp;$C$5&amp;",,,'')")), "--", _xll.FDSB($C$2,"FE_ESTIMATE(CFO,MEAN,QUARTERLY_ROLL,"&amp;AK$9&amp;","&amp;$C$5&amp;",,,'')")))</f>
        <v>78.917630000000003</v>
      </c>
      <c r="AL77" s="305" cm="1">
        <f t="array" ref="AL77">_xlfn.SINGLE(IF(ISERROR(_xll.FDSB($C$2,"FE_ESTIMATE(CFO,MEAN,ANNUAL_ROLL,"&amp;AL$9&amp;","&amp;$C$5&amp;",,,'')")), "--", _xll.FDSB($C$2,"FE_ESTIMATE(CFO,MEAN,ANNUAL_ROLL,"&amp;AL$9&amp;","&amp;$C$5&amp;",,,'')")))</f>
        <v>109.741066</v>
      </c>
      <c r="AM77" s="304" cm="1">
        <f t="array" ref="AM77">_xlfn.SINGLE(IF(ISERROR(_xll.FDSB($C$2,"FE_ESTIMATE(CFO,MEAN,QUARTERLY_ROLL,"&amp;AM$9&amp;","&amp;$C$5&amp;",,,'')")), "--", _xll.FDSB($C$2,"FE_ESTIMATE(CFO,MEAN,QUARTERLY_ROLL,"&amp;AM$9&amp;","&amp;$C$5&amp;",,,'')")))</f>
        <v>184.66553999999999</v>
      </c>
      <c r="AN77" s="304" cm="1">
        <f t="array" ref="AN77">_xlfn.SINGLE(IF(ISERROR(_xll.FDSB($C$2,"FE_ESTIMATE(CFO,MEAN,QUARTERLY_ROLL,"&amp;AN$9&amp;","&amp;$C$5&amp;",,,'')")), "--", _xll.FDSB($C$2,"FE_ESTIMATE(CFO,MEAN,QUARTERLY_ROLL,"&amp;AN$9&amp;","&amp;$C$5&amp;",,,'')")))</f>
        <v>64.333200000000005</v>
      </c>
      <c r="AO77" s="304" cm="1">
        <f t="array" ref="AO77">_xlfn.SINGLE(IF(ISERROR(_xll.FDSB($C$2,"FE_ESTIMATE(CFO,MEAN,QUARTERLY_ROLL,"&amp;AO$9&amp;","&amp;$C$5&amp;",,,'')")), "--", _xll.FDSB($C$2,"FE_ESTIMATE(CFO,MEAN,QUARTERLY_ROLL,"&amp;AO$9&amp;","&amp;$C$5&amp;",,,'')")))</f>
        <v>54.286563999999998</v>
      </c>
      <c r="AP77" s="304" cm="1">
        <f t="array" ref="AP77">_xlfn.SINGLE(IF(ISERROR(_xll.FDSB($C$2,"FE_ESTIMATE(CFO,MEAN,QUARTERLY_ROLL,"&amp;AP$9&amp;","&amp;$C$5&amp;",,,'')")), "--", _xll.FDSB($C$2,"FE_ESTIMATE(CFO,MEAN,QUARTERLY_ROLL,"&amp;AP$9&amp;","&amp;$C$5&amp;",,,'')")))</f>
        <v>217.23</v>
      </c>
      <c r="AQ77" s="305" cm="1">
        <f t="array" ref="AQ77">_xlfn.SINGLE(IF(ISERROR(_xll.FDSB($C$2,"FE_ESTIMATE(CFO,MEAN,ANNUAL_ROLL,"&amp;AQ$9&amp;","&amp;$C$5&amp;",,,'')")), "--", _xll.FDSB($C$2,"FE_ESTIMATE(CFO,MEAN,ANNUAL_ROLL,"&amp;AQ$9&amp;","&amp;$C$5&amp;",,,'')")))</f>
        <v>540.88599999999997</v>
      </c>
      <c r="AR77" s="304" cm="1">
        <f t="array" ref="AR77">_xlfn.SINGLE(IF(ISERROR(_xll.FDSB($C$2,"FE_ESTIMATE(CFO,MEAN,QUARTERLY_ROLL,"&amp;AR$9&amp;","&amp;$C$5&amp;",,,'')")), "--", _xll.FDSB($C$2,"FE_ESTIMATE(CFO,MEAN,QUARTERLY_ROLL,"&amp;AR$9&amp;","&amp;$C$5&amp;",,,'')")))</f>
        <v>299.31625000000003</v>
      </c>
      <c r="AS77" s="304" cm="1">
        <f t="array" ref="AS77">_xlfn.SINGLE(IF(ISERROR(_xll.FDSB($C$2,"FE_ESTIMATE(CFO,MEAN,QUARTERLY_ROLL,"&amp;AS$9&amp;","&amp;$C$5&amp;",,,'')")), "--", _xll.FDSB($C$2,"FE_ESTIMATE(CFO,MEAN,QUARTERLY_ROLL,"&amp;AS$9&amp;","&amp;$C$5&amp;",,,'')")))</f>
        <v>83.141945000000007</v>
      </c>
      <c r="AT77" s="304" cm="1">
        <f t="array" ref="AT77">_xlfn.SINGLE(IF(ISERROR(_xll.FDSB($C$2,"FE_ESTIMATE(CFO,MEAN,QUARTERLY_ROLL,"&amp;AT$9&amp;","&amp;$C$5&amp;",,,'')")), "--", _xll.FDSB($C$2,"FE_ESTIMATE(CFO,MEAN,QUARTERLY_ROLL,"&amp;AT$9&amp;","&amp;$C$5&amp;",,,'')")))</f>
        <v>120.924164</v>
      </c>
      <c r="AU77" s="304" cm="1">
        <f t="array" ref="AU77">_xlfn.SINGLE(IF(ISERROR(_xll.FDSB($C$2,"FE_ESTIMATE(CFO,MEAN,QUARTERLY_ROLL,"&amp;AU$9&amp;","&amp;$C$5&amp;",,,'')")), "--", _xll.FDSB($C$2,"FE_ESTIMATE(CFO,MEAN,QUARTERLY_ROLL,"&amp;AU$9&amp;","&amp;$C$5&amp;",,,'')")))</f>
        <v>344.69376</v>
      </c>
      <c r="AV77" s="305" cm="1">
        <f t="array" ref="AV77">_xlfn.SINGLE(IF(ISERROR(_xll.FDSB($C$2,"FE_ESTIMATE(CFO,MEAN,ANNUAL_ROLL,"&amp;AV$9&amp;","&amp;$C$5&amp;",,,'')")), "--", _xll.FDSB($C$2,"FE_ESTIMATE(CFO,MEAN,ANNUAL_ROLL,"&amp;AV$9&amp;","&amp;$C$5&amp;",,,'')")))</f>
        <v>848.09220000000005</v>
      </c>
      <c r="AW77" s="304" cm="1">
        <f t="array" ref="AW77">_xlfn.SINGLE(IF(ISERROR(_xll.FDSB($C$2,"FE_ESTIMATE(CFO,MEAN,QUARTERLY_ROLL,"&amp;AW$9&amp;","&amp;$C$5&amp;",,,'')")), "--", _xll.FDSB($C$2,"FE_ESTIMATE(CFO,MEAN,QUARTERLY_ROLL,"&amp;AW$9&amp;","&amp;$C$5&amp;",,,'')")))</f>
        <v>355.37049999999999</v>
      </c>
      <c r="AX77" s="304" cm="1">
        <f t="array" ref="AX77">_xlfn.SINGLE(IF(ISERROR(_xll.FDSB($C$2,"FE_ESTIMATE(CFO,MEAN,QUARTERLY_ROLL,"&amp;AX$9&amp;","&amp;$C$5&amp;",,,'')")), "--", _xll.FDSB($C$2,"FE_ESTIMATE(CFO,MEAN,QUARTERLY_ROLL,"&amp;AX$9&amp;","&amp;$C$5&amp;",,,'')")))</f>
        <v>69.952420000000004</v>
      </c>
      <c r="AY77" s="304" cm="1">
        <f t="array" ref="AY77">_xlfn.SINGLE(IF(ISERROR(_xll.FDSB($C$2,"FE_ESTIMATE(CFO,MEAN,QUARTERLY_ROLL,"&amp;AY$9&amp;","&amp;$C$5&amp;",,,'')")), "--", _xll.FDSB($C$2,"FE_ESTIMATE(CFO,MEAN,QUARTERLY_ROLL,"&amp;AY$9&amp;","&amp;$C$5&amp;",,,'')")))</f>
        <v>101.75471</v>
      </c>
      <c r="AZ77" s="304" cm="1">
        <f t="array" ref="AZ77">_xlfn.SINGLE(IF(ISERROR(_xll.FDSB($C$2,"FE_ESTIMATE(CFO,MEAN,QUARTERLY_ROLL,"&amp;AZ$9&amp;","&amp;$C$5&amp;",,,'')")), "--", _xll.FDSB($C$2,"FE_ESTIMATE(CFO,MEAN,QUARTERLY_ROLL,"&amp;AZ$9&amp;","&amp;$C$5&amp;",,,'')")))</f>
        <v>432.65499999999997</v>
      </c>
      <c r="BA77" s="305" cm="1">
        <f t="array" ref="BA77">_xlfn.SINGLE(IF(ISERROR(_xll.FDSB($C$2,"FE_ESTIMATE(CFO,MEAN,ANNUAL_ROLL,"&amp;BA$9&amp;","&amp;$C$5&amp;",,,'')")), "--", _xll.FDSB($C$2,"FE_ESTIMATE(CFO,MEAN,ANNUAL_ROLL,"&amp;BA$9&amp;","&amp;$C$5&amp;",,,'')")))</f>
        <v>951.15686000000005</v>
      </c>
      <c r="BB77" s="304" cm="1">
        <f t="array" ref="BB77">_xlfn.SINGLE(IF(ISERROR(_xll.FDSB($C$2,"FE_ESTIMATE(CFO,MEAN,QUARTERLY_ROLL,"&amp;BB$9&amp;","&amp;$C$5&amp;",,,'')")), "--", _xll.FDSB($C$2,"FE_ESTIMATE(CFO,MEAN,QUARTERLY_ROLL,"&amp;BB$9&amp;","&amp;$C$5&amp;",,,'')")))</f>
        <v>228.345</v>
      </c>
      <c r="BC77" s="304" cm="1">
        <f t="array" ref="BC77">_xlfn.SINGLE(IF(ISERROR(_xll.FDSB($C$2,"FE_ESTIMATE(CFO,MEAN,QUARTERLY_ROLL,"&amp;BC$9&amp;","&amp;$C$5&amp;",,,'')")), "--", _xll.FDSB($C$2,"FE_ESTIMATE(CFO,MEAN,QUARTERLY_ROLL,"&amp;BC$9&amp;","&amp;$C$5&amp;",,,'')")))</f>
        <v>74.912000000000006</v>
      </c>
      <c r="BD77" s="304" cm="1">
        <f t="array" ref="BD77">_xlfn.SINGLE(IF(ISERROR(_xll.FDSB($C$2,"FE_ESTIMATE(CFO,MEAN,QUARTERLY_ROLL,"&amp;BD$9&amp;","&amp;$C$5&amp;",,,'')")), "--", _xll.FDSB($C$2,"FE_ESTIMATE(CFO,MEAN,QUARTERLY_ROLL,"&amp;BD$9&amp;","&amp;$C$5&amp;",,,'')")))</f>
        <v>300.58605999999997</v>
      </c>
      <c r="BE77" s="304" cm="1">
        <f t="array" ref="BE77">_xlfn.SINGLE(IF(ISERROR(_xll.FDSB($C$2,"FE_ESTIMATE(CFO,MEAN,QUARTERLY_ROLL,"&amp;BE$9&amp;","&amp;$C$5&amp;",,,'')")), "--", _xll.FDSB($C$2,"FE_ESTIMATE(CFO,MEAN,QUARTERLY_ROLL,"&amp;BE$9&amp;","&amp;$C$5&amp;",,,'')")))</f>
        <v>639.38292999999999</v>
      </c>
      <c r="BF77" s="305" cm="1">
        <f t="array" ref="BF77">_xlfn.SINGLE(IF(ISERROR(_xll.FDSB($C$2,"FE_ESTIMATE(CFO,MEAN,ANNUAL_ROLL,"&amp;BF$9&amp;","&amp;$C$5&amp;",,,'')")), "--", _xll.FDSB($C$2,"FE_ESTIMATE(CFO,MEAN,ANNUAL_ROLL,"&amp;BF$9&amp;","&amp;$C$5&amp;",,,'')")))</f>
        <v>1192.925</v>
      </c>
      <c r="BG77" s="304" cm="1">
        <f t="array" ref="BG77">_xlfn.SINGLE(IF(ISERROR(_xll.FDSB($C$2,"FE_ESTIMATE(CFO,MEAN,QUARTERLY_ROLL,"&amp;BG$9&amp;","&amp;$C$5&amp;",,,'')")), "--", _xll.FDSB($C$2,"FE_ESTIMATE(CFO,MEAN,QUARTERLY_ROLL,"&amp;BG$9&amp;","&amp;$C$5&amp;",,,'')")))</f>
        <v>357.78800000000001</v>
      </c>
      <c r="BH77" s="304" cm="1">
        <f t="array" ref="BH77">_xlfn.SINGLE(IF(ISERROR(_xll.FDSB($C$2,"FE_ESTIMATE(CFO,MEAN,QUARTERLY_ROLL,"&amp;BH$9&amp;","&amp;$C$5&amp;",,,'')")), "--", _xll.FDSB($C$2,"FE_ESTIMATE(CFO,MEAN,QUARTERLY_ROLL,"&amp;BH$9&amp;","&amp;$C$5&amp;",,,'')")))</f>
        <v>131.03888000000001</v>
      </c>
      <c r="BI77" s="304" cm="1">
        <f t="array" ref="BI77">_xlfn.SINGLE(IF(ISERROR(_xll.FDSB($C$2,"FE_ESTIMATE(CFO,MEAN,QUARTERLY_ROLL,"&amp;BI$9&amp;","&amp;$C$5&amp;",,,'')")), "--", _xll.FDSB($C$2,"FE_ESTIMATE(CFO,MEAN,QUARTERLY_ROLL,"&amp;BI$9&amp;","&amp;$C$5&amp;",,,'')")))</f>
        <v>234.98824999999999</v>
      </c>
      <c r="BJ77" s="304" cm="1">
        <f t="array" ref="BJ77">_xlfn.SINGLE(IF(ISERROR(_xll.FDSB($C$2,"FE_ESTIMATE(CFO,MEAN,QUARTERLY_ROLL,"&amp;BJ$9&amp;","&amp;$C$5&amp;",,,'')")), "--", _xll.FDSB($C$2,"FE_ESTIMATE(CFO,MEAN,QUARTERLY_ROLL,"&amp;BJ$9&amp;","&amp;$C$5&amp;",,,'')")))</f>
        <v>723.49189999999999</v>
      </c>
      <c r="BK77" s="305" cm="1">
        <f t="array" ref="BK77">_xlfn.SINGLE(IF(ISERROR(_xll.FDSB($C$2,"FE_ESTIMATE(CFO,MEAN,ANNUAL_ROLL,"&amp;BK$9&amp;","&amp;$C$5&amp;",,,'')")), "--", _xll.FDSB($C$2,"FE_ESTIMATE(CFO,MEAN,ANNUAL_ROLL,"&amp;BK$9&amp;","&amp;$C$5&amp;",,,'')")))</f>
        <v>1516.9827</v>
      </c>
      <c r="BL77" s="304" cm="1">
        <f t="array" ref="BL77">_xlfn.SINGLE(IF(ISERROR(_xll.FDSB($C$2,"FE_ESTIMATE(CFO,MEAN,QUARTERLY_ROLL,"&amp;BL$9&amp;","&amp;$C$5&amp;",,,'')")), "--", _xll.FDSB($C$2,"FE_ESTIMATE(CFO,MEAN,QUARTERLY_ROLL,"&amp;BL$9&amp;","&amp;$C$5&amp;",,,'')")))</f>
        <v>502.97800000000001</v>
      </c>
      <c r="BM77" s="304" cm="1">
        <f t="array" ref="BM77">_xlfn.SINGLE(IF(ISERROR(_xll.FDSB($C$2,"FE_ESTIMATE(CFO,MEAN,QUARTERLY_ROLL,"&amp;BM$9&amp;","&amp;$C$5&amp;",,,'')")), "--", _xll.FDSB($C$2,"FE_ESTIMATE(CFO,MEAN,QUARTERLY_ROLL,"&amp;BM$9&amp;","&amp;$C$5&amp;",,,'')")))</f>
        <v>269.755</v>
      </c>
      <c r="BN77" s="304" cm="1">
        <f t="array" ref="BN77">_xlfn.SINGLE(IF(ISERROR(_xll.FDSB($C$2,"FE_ESTIMATE(CFO,MEAN,QUARTERLY_ROLL,"&amp;BN$9&amp;","&amp;$C$5&amp;",,,'')")), "--", _xll.FDSB($C$2,"FE_ESTIMATE(CFO,MEAN,QUARTERLY_ROLL,"&amp;BN$9&amp;","&amp;$C$5&amp;",,,'')")))</f>
        <v>326.60500000000002</v>
      </c>
      <c r="BO77" s="304" cm="1">
        <f t="array" ref="BO77">_xlfn.SINGLE(IF(ISERROR(_xll.FDSB($C$2,"FE_ESTIMATE(CFO,MEAN,QUARTERLY_ROLL,"&amp;BO$9&amp;","&amp;$C$5&amp;",,,'')")), "--", _xll.FDSB($C$2,"FE_ESTIMATE(CFO,MEAN,QUARTERLY_ROLL,"&amp;BO$9&amp;","&amp;$C$5&amp;",,,'')")))</f>
        <v>750.26099999999997</v>
      </c>
      <c r="BP77" s="305" cm="1">
        <f t="array" ref="BP77">_xlfn.SINGLE(IF(ISERROR(_xll.FDSB($C$2,"FE_ESTIMATE(CFO,MEAN,ANNUAL_ROLL,"&amp;BP$9&amp;","&amp;$C$5&amp;",,,'')")), "--", _xll.FDSB($C$2,"FE_ESTIMATE(CFO,MEAN,ANNUAL_ROLL,"&amp;BP$9&amp;","&amp;$C$5&amp;",,,'')")))</f>
        <v>1884.3995</v>
      </c>
    </row>
    <row r="78" spans="1:68" outlineLevel="1">
      <c r="A78" s="107"/>
      <c r="B78" s="307" t="s">
        <v>32</v>
      </c>
      <c r="C78" s="307"/>
      <c r="D78" s="308"/>
      <c r="E78" s="308"/>
      <c r="F78" s="308"/>
      <c r="G78" s="308"/>
      <c r="H78" s="321"/>
      <c r="I78" s="308" t="str">
        <f t="shared" ref="I78:AN78" si="45">IFERROR(I77/D77-1,"--")</f>
        <v>--</v>
      </c>
      <c r="J78" s="308" t="str">
        <f t="shared" si="45"/>
        <v>--</v>
      </c>
      <c r="K78" s="308" t="str">
        <f t="shared" si="45"/>
        <v>--</v>
      </c>
      <c r="L78" s="308" t="str">
        <f t="shared" si="45"/>
        <v>--</v>
      </c>
      <c r="M78" s="309" t="str">
        <f t="shared" si="45"/>
        <v>--</v>
      </c>
      <c r="N78" s="308" t="str">
        <f t="shared" si="45"/>
        <v>--</v>
      </c>
      <c r="O78" s="308" t="str">
        <f t="shared" si="45"/>
        <v>--</v>
      </c>
      <c r="P78" s="308" t="str">
        <f t="shared" si="45"/>
        <v>--</v>
      </c>
      <c r="Q78" s="308" t="str">
        <f t="shared" si="45"/>
        <v>--</v>
      </c>
      <c r="R78" s="309" t="str">
        <f t="shared" si="45"/>
        <v>--</v>
      </c>
      <c r="S78" s="308" t="str">
        <f t="shared" si="45"/>
        <v>--</v>
      </c>
      <c r="T78" s="308" t="str">
        <f t="shared" si="45"/>
        <v>--</v>
      </c>
      <c r="U78" s="308" t="str">
        <f t="shared" si="45"/>
        <v>--</v>
      </c>
      <c r="V78" s="308" t="str">
        <f t="shared" si="45"/>
        <v>--</v>
      </c>
      <c r="W78" s="309" t="str">
        <f t="shared" si="45"/>
        <v>--</v>
      </c>
      <c r="X78" s="308" t="str">
        <f t="shared" si="45"/>
        <v>--</v>
      </c>
      <c r="Y78" s="308" t="str">
        <f t="shared" si="45"/>
        <v>--</v>
      </c>
      <c r="Z78" s="308" t="str">
        <f t="shared" si="45"/>
        <v>--</v>
      </c>
      <c r="AA78" s="308" t="str">
        <f t="shared" si="45"/>
        <v>--</v>
      </c>
      <c r="AB78" s="309" t="str">
        <f t="shared" si="45"/>
        <v>--</v>
      </c>
      <c r="AC78" s="308" t="str">
        <f t="shared" si="45"/>
        <v>--</v>
      </c>
      <c r="AD78" s="308" t="str">
        <f t="shared" si="45"/>
        <v>--</v>
      </c>
      <c r="AE78" s="308" t="str">
        <f t="shared" si="45"/>
        <v>--</v>
      </c>
      <c r="AF78" s="308" t="str">
        <f t="shared" si="45"/>
        <v>--</v>
      </c>
      <c r="AG78" s="309" t="str">
        <f t="shared" si="45"/>
        <v>--</v>
      </c>
      <c r="AH78" s="308">
        <f t="shared" si="45"/>
        <v>-4.3167677272727278</v>
      </c>
      <c r="AI78" s="308">
        <f t="shared" si="45"/>
        <v>-0.90568869318172129</v>
      </c>
      <c r="AJ78" s="308">
        <f t="shared" si="45"/>
        <v>-1.7871521455096002</v>
      </c>
      <c r="AK78" s="308">
        <f t="shared" si="45"/>
        <v>4.2412585508401408</v>
      </c>
      <c r="AL78" s="309">
        <f t="shared" si="45"/>
        <v>-3.2588761350284332</v>
      </c>
      <c r="AM78" s="308">
        <f t="shared" si="45"/>
        <v>7.435811480755703</v>
      </c>
      <c r="AN78" s="308">
        <f t="shared" si="45"/>
        <v>-18.628754754430208</v>
      </c>
      <c r="AO78" s="308">
        <f t="shared" ref="AO78:BP78" si="46">IFERROR(AO77/AJ77-1,"--")</f>
        <v>2.4860655471892819</v>
      </c>
      <c r="AP78" s="308">
        <f t="shared" si="46"/>
        <v>1.7526168740749055</v>
      </c>
      <c r="AQ78" s="309">
        <f t="shared" si="46"/>
        <v>3.9287474572189769</v>
      </c>
      <c r="AR78" s="308">
        <f t="shared" si="46"/>
        <v>0.62085600811066333</v>
      </c>
      <c r="AS78" s="308">
        <f t="shared" si="46"/>
        <v>0.29236451785392292</v>
      </c>
      <c r="AT78" s="308">
        <f t="shared" si="46"/>
        <v>1.2275155229938663</v>
      </c>
      <c r="AU78" s="308">
        <f t="shared" si="46"/>
        <v>0.58676867835934265</v>
      </c>
      <c r="AV78" s="309">
        <f t="shared" si="46"/>
        <v>0.56796848134357347</v>
      </c>
      <c r="AW78" s="308">
        <f t="shared" si="46"/>
        <v>0.18727432940911148</v>
      </c>
      <c r="AX78" s="308">
        <f t="shared" si="46"/>
        <v>-0.15863863901668407</v>
      </c>
      <c r="AY78" s="308">
        <f t="shared" si="46"/>
        <v>-0.15852459397610552</v>
      </c>
      <c r="AZ78" s="308">
        <f t="shared" si="46"/>
        <v>0.25518663291148624</v>
      </c>
      <c r="BA78" s="309">
        <f t="shared" si="46"/>
        <v>0.12152530114060722</v>
      </c>
      <c r="BB78" s="308">
        <f t="shared" si="46"/>
        <v>-0.35744525783653958</v>
      </c>
      <c r="BC78" s="308">
        <f t="shared" si="46"/>
        <v>7.0899334147410453E-2</v>
      </c>
      <c r="BD78" s="308">
        <f t="shared" si="46"/>
        <v>1.9540260101964808</v>
      </c>
      <c r="BE78" s="308">
        <f t="shared" si="46"/>
        <v>0.47781241404814456</v>
      </c>
      <c r="BF78" s="309">
        <f t="shared" si="46"/>
        <v>0.25418324796606084</v>
      </c>
      <c r="BG78" s="308">
        <f t="shared" si="46"/>
        <v>0.56687468523506102</v>
      </c>
      <c r="BH78" s="308">
        <f t="shared" si="46"/>
        <v>0.74923750533959832</v>
      </c>
      <c r="BI78" s="308">
        <f t="shared" si="46"/>
        <v>-0.21823304114635256</v>
      </c>
      <c r="BJ78" s="308">
        <f t="shared" si="46"/>
        <v>0.13154709963870936</v>
      </c>
      <c r="BK78" s="309">
        <f t="shared" si="46"/>
        <v>0.27164968459878036</v>
      </c>
      <c r="BL78" s="308">
        <f t="shared" si="46"/>
        <v>0.40579896475007549</v>
      </c>
      <c r="BM78" s="308">
        <f t="shared" si="46"/>
        <v>1.0585874970848344</v>
      </c>
      <c r="BN78" s="308">
        <f t="shared" si="46"/>
        <v>0.38987800453852484</v>
      </c>
      <c r="BO78" s="308">
        <f t="shared" si="46"/>
        <v>3.6999861366796116E-2</v>
      </c>
      <c r="BP78" s="309">
        <f t="shared" si="46"/>
        <v>0.24220236657939465</v>
      </c>
    </row>
    <row r="79" spans="1:68" outlineLevel="1">
      <c r="B79" s="307" t="s">
        <v>33</v>
      </c>
      <c r="C79" s="307"/>
      <c r="D79" s="308"/>
      <c r="E79" s="308"/>
      <c r="F79" s="308"/>
      <c r="G79" s="308"/>
      <c r="H79" s="321"/>
      <c r="I79" s="308" t="str">
        <f>IFERROR(I77/G77-1,"--")</f>
        <v>--</v>
      </c>
      <c r="J79" s="308" t="str">
        <f>IFERROR(J77/I77-1,"--")</f>
        <v>--</v>
      </c>
      <c r="K79" s="308" t="str">
        <f>IFERROR(K77/J77-1,"--")</f>
        <v>--</v>
      </c>
      <c r="L79" s="308" t="str">
        <f>IFERROR(L77/K77-1,"--")</f>
        <v>--</v>
      </c>
      <c r="M79" s="311"/>
      <c r="N79" s="308" t="str">
        <f>IFERROR(N77/L77-1,"--")</f>
        <v>--</v>
      </c>
      <c r="O79" s="308" t="str">
        <f>IFERROR(O77/N77-1,"--")</f>
        <v>--</v>
      </c>
      <c r="P79" s="308" t="str">
        <f>IFERROR(P77/O77-1,"--")</f>
        <v>--</v>
      </c>
      <c r="Q79" s="308" t="str">
        <f>IFERROR(Q77/P77-1,"--")</f>
        <v>--</v>
      </c>
      <c r="R79" s="311"/>
      <c r="S79" s="308" t="str">
        <f>IFERROR(S77/Q77-1,"--")</f>
        <v>--</v>
      </c>
      <c r="T79" s="308" t="str">
        <f>IFERROR(T77/S77-1,"--")</f>
        <v>--</v>
      </c>
      <c r="U79" s="308" t="str">
        <f>IFERROR(U77/T77-1,"--")</f>
        <v>--</v>
      </c>
      <c r="V79" s="308" t="str">
        <f>IFERROR(V77/U77-1,"--")</f>
        <v>--</v>
      </c>
      <c r="W79" s="311"/>
      <c r="X79" s="308" t="str">
        <f>IFERROR(X77/V77-1,"--")</f>
        <v>--</v>
      </c>
      <c r="Y79" s="308" t="str">
        <f>IFERROR(Y77/X77-1,"--")</f>
        <v>--</v>
      </c>
      <c r="Z79" s="308" t="str">
        <f>IFERROR(Z77/Y77-1,"--")</f>
        <v>--</v>
      </c>
      <c r="AA79" s="308" t="str">
        <f>IFERROR(AA77/Z77-1,"--")</f>
        <v>--</v>
      </c>
      <c r="AB79" s="311"/>
      <c r="AC79" s="308" t="str">
        <f>IFERROR(AC77/AA77-1,"--")</f>
        <v>--</v>
      </c>
      <c r="AD79" s="308">
        <f>IFERROR(AD77/AC77-1,"--")</f>
        <v>4.8628100000000005</v>
      </c>
      <c r="AE79" s="308">
        <f>IFERROR(AE77/AD77-1,"--")</f>
        <v>-0.48873228800772084</v>
      </c>
      <c r="AF79" s="308">
        <f>IFERROR(AF77/AE77-1,"--")</f>
        <v>-1.7610975575728829</v>
      </c>
      <c r="AG79" s="311"/>
      <c r="AH79" s="308">
        <f>IFERROR(AH77/AF77-1,"--")</f>
        <v>0.45385315799960146</v>
      </c>
      <c r="AI79" s="308">
        <f>IFERROR(AI77/AH77-1,"--")</f>
        <v>-1.1667072638764273</v>
      </c>
      <c r="AJ79" s="308">
        <f>IFERROR(AJ77/AI77-1,"--")</f>
        <v>-5.2672028413300271</v>
      </c>
      <c r="AK79" s="308">
        <f>IFERROR(AK77/AJ77-1,"--")</f>
        <v>4.0677738787968112</v>
      </c>
      <c r="AL79" s="311"/>
      <c r="AM79" s="308">
        <f>IFERROR(AM77/AK77-1,"--")</f>
        <v>1.3399782786178447</v>
      </c>
      <c r="AN79" s="308">
        <f>IFERROR(AN77/AM77-1,"--")</f>
        <v>-0.65162314528200549</v>
      </c>
      <c r="AO79" s="308">
        <f>IFERROR(AO77/AN77-1,"--")</f>
        <v>-0.15616565008424899</v>
      </c>
      <c r="AP79" s="308">
        <f>IFERROR(AP77/AO77-1,"--")</f>
        <v>3.0015426284853834</v>
      </c>
      <c r="AQ79" s="311"/>
      <c r="AR79" s="308">
        <f>IFERROR(AR77/AP77-1,"--")</f>
        <v>0.37787713483404706</v>
      </c>
      <c r="AS79" s="308">
        <f>IFERROR(AS77/AR77-1,"--")</f>
        <v>-0.72222709258184281</v>
      </c>
      <c r="AT79" s="308">
        <f>IFERROR(AT77/AS77-1,"--")</f>
        <v>0.45443029989255113</v>
      </c>
      <c r="AU79" s="308">
        <f>IFERROR(AU77/AT77-1,"--")</f>
        <v>1.8504952905855938</v>
      </c>
      <c r="AV79" s="311"/>
      <c r="AW79" s="308">
        <f>IFERROR(AW77/AU77-1,"--")</f>
        <v>3.097456710559543E-2</v>
      </c>
      <c r="AX79" s="308">
        <f>IFERROR(AX77/AW77-1,"--")</f>
        <v>-0.80315636779079858</v>
      </c>
      <c r="AY79" s="308">
        <f>IFERROR(AY77/AX77-1,"--")</f>
        <v>0.45462744534070443</v>
      </c>
      <c r="AZ79" s="308">
        <f>IFERROR(AZ77/AY77-1,"--")</f>
        <v>3.2519407701127543</v>
      </c>
      <c r="BA79" s="311"/>
      <c r="BB79" s="308">
        <f>IFERROR(BB77/AZ77-1,"--")</f>
        <v>-0.47222382729888712</v>
      </c>
      <c r="BC79" s="308">
        <f>IFERROR(BC77/BB77-1,"--")</f>
        <v>-0.67193501061989536</v>
      </c>
      <c r="BD79" s="308">
        <f>IFERROR(BD77/BC77-1,"--")</f>
        <v>3.0125221593336171</v>
      </c>
      <c r="BE79" s="308">
        <f>IFERROR(BE77/BD77-1,"--")</f>
        <v>1.127121031494275</v>
      </c>
      <c r="BF79" s="311"/>
      <c r="BG79" s="308">
        <f>IFERROR(BG77/BE77-1,"--")</f>
        <v>-0.44041671553539907</v>
      </c>
      <c r="BH79" s="308">
        <f>IFERROR(BH77/BG77-1,"--")</f>
        <v>-0.6337527250774202</v>
      </c>
      <c r="BI79" s="308">
        <f>IFERROR(BI77/BH77-1,"--")</f>
        <v>0.79327120317267652</v>
      </c>
      <c r="BJ79" s="308">
        <f>IFERROR(BJ77/BI77-1,"--")</f>
        <v>2.0788428783141284</v>
      </c>
      <c r="BK79" s="311"/>
      <c r="BL79" s="308">
        <f>IFERROR(BL77/BJ77-1,"--")</f>
        <v>-0.30479111099930767</v>
      </c>
      <c r="BM79" s="308">
        <f>IFERROR(BM77/BL77-1,"--")</f>
        <v>-0.46368429633105224</v>
      </c>
      <c r="BN79" s="308">
        <f>IFERROR(BN77/BM77-1,"--")</f>
        <v>0.21074678875275721</v>
      </c>
      <c r="BO79" s="308">
        <f>IFERROR(BO77/BN77-1,"--")</f>
        <v>1.2971509927894549</v>
      </c>
      <c r="BP79" s="311"/>
    </row>
    <row r="80" spans="1:68" outlineLevel="1">
      <c r="B80" s="286"/>
      <c r="C80" s="286"/>
      <c r="D80" s="322"/>
      <c r="E80" s="322"/>
      <c r="F80" s="322"/>
      <c r="G80" s="322"/>
      <c r="H80" s="321"/>
      <c r="I80" s="322"/>
      <c r="J80" s="322"/>
      <c r="K80" s="322"/>
      <c r="L80" s="322"/>
      <c r="M80" s="321"/>
      <c r="N80" s="322"/>
      <c r="O80" s="322"/>
      <c r="P80" s="322"/>
      <c r="Q80" s="322"/>
      <c r="R80" s="321"/>
      <c r="S80" s="322"/>
      <c r="T80" s="322"/>
      <c r="U80" s="322"/>
      <c r="V80" s="322"/>
      <c r="W80" s="321"/>
      <c r="X80" s="322"/>
      <c r="Y80" s="322"/>
      <c r="Z80" s="322"/>
      <c r="AA80" s="322"/>
      <c r="AB80" s="321"/>
      <c r="AC80" s="322"/>
      <c r="AD80" s="322"/>
      <c r="AE80" s="322"/>
      <c r="AF80" s="322"/>
      <c r="AG80" s="321"/>
      <c r="AH80" s="322"/>
      <c r="AI80" s="322"/>
      <c r="AJ80" s="322"/>
      <c r="AK80" s="322"/>
      <c r="AL80" s="321"/>
      <c r="AM80" s="322"/>
      <c r="AN80" s="322"/>
      <c r="AO80" s="322"/>
      <c r="AP80" s="322"/>
      <c r="AQ80" s="321"/>
      <c r="AR80" s="322"/>
      <c r="AS80" s="322"/>
      <c r="AT80" s="322"/>
      <c r="AU80" s="322"/>
      <c r="AV80" s="321"/>
      <c r="AW80" s="322"/>
      <c r="AX80" s="322"/>
      <c r="AY80" s="322"/>
      <c r="AZ80" s="322"/>
      <c r="BA80" s="321"/>
      <c r="BB80" s="322"/>
      <c r="BC80" s="322"/>
      <c r="BD80" s="322"/>
      <c r="BE80" s="322"/>
      <c r="BF80" s="321"/>
      <c r="BG80" s="322"/>
      <c r="BH80" s="322"/>
      <c r="BI80" s="322"/>
      <c r="BJ80" s="322"/>
      <c r="BK80" s="321"/>
      <c r="BL80" s="322"/>
      <c r="BM80" s="322"/>
      <c r="BN80" s="322"/>
      <c r="BO80" s="322"/>
      <c r="BP80" s="321"/>
    </row>
    <row r="81" spans="1:68" s="306" customFormat="1" outlineLevel="1">
      <c r="A81" s="283"/>
      <c r="B81" s="302" t="s">
        <v>201</v>
      </c>
      <c r="C81" s="303"/>
      <c r="D81" s="304"/>
      <c r="E81" s="304"/>
      <c r="F81" s="304"/>
      <c r="G81" s="304"/>
      <c r="H81" s="305"/>
      <c r="I81" s="304" t="str" cm="1">
        <f t="array" ref="I81">_xlfn.SINGLE(IF(ISERROR(_xll.FDSB($C$2,"FE_ESTIMATE(CAPEX,MEAN,QUARTERLY_ROLL,"&amp;I$9&amp;","&amp;$C$5&amp;",,,'')")), "--", _xll.FDSB($C$2,"FE_ESTIMATE(CAPEX,MEAN,QUARTERLY_ROLL,"&amp;I$9&amp;","&amp;$C$5&amp;",,,'')")))</f>
        <v/>
      </c>
      <c r="J81" s="304" t="str" cm="1">
        <f t="array" ref="J81">_xlfn.SINGLE(IF(ISERROR(_xll.FDSB($C$2,"FE_ESTIMATE(CAPEX,MEAN,QUARTERLY_ROLL,"&amp;J$9&amp;","&amp;$C$5&amp;",,,'')")), "--", _xll.FDSB($C$2,"FE_ESTIMATE(CAPEX,MEAN,QUARTERLY_ROLL,"&amp;J$9&amp;","&amp;$C$5&amp;",,,'')")))</f>
        <v/>
      </c>
      <c r="K81" s="304" t="str" cm="1">
        <f t="array" ref="K81">_xlfn.SINGLE(IF(ISERROR(_xll.FDSB($C$2,"FE_ESTIMATE(CAPEX,MEAN,QUARTERLY_ROLL,"&amp;K$9&amp;","&amp;$C$5&amp;",,,'')")), "--", _xll.FDSB($C$2,"FE_ESTIMATE(CAPEX,MEAN,QUARTERLY_ROLL,"&amp;K$9&amp;","&amp;$C$5&amp;",,,'')")))</f>
        <v/>
      </c>
      <c r="L81" s="304" t="str" cm="1">
        <f t="array" ref="L81">_xlfn.SINGLE(IF(ISERROR(_xll.FDSB($C$2,"FE_ESTIMATE(CAPEX,MEAN,QUARTERLY_ROLL,"&amp;L$9&amp;","&amp;$C$5&amp;",,,'')")), "--", _xll.FDSB($C$2,"FE_ESTIMATE(CAPEX,MEAN,QUARTERLY_ROLL,"&amp;L$9&amp;","&amp;$C$5&amp;",,,'')")))</f>
        <v/>
      </c>
      <c r="M81" s="305" t="str" cm="1">
        <f t="array" ref="M81">_xlfn.SINGLE(IF(ISERROR(_xll.FDSB($C$2,"FE_ESTIMATE(CAPEX,MEAN,ANNUAL_ROLL,"&amp;M$9&amp;","&amp;$C$5&amp;",,,'')")), "--", _xll.FDSB($C$2,"FE_ESTIMATE(CAPEX,MEAN,ANNUAL_ROLL,"&amp;M$9&amp;","&amp;$C$5&amp;",,,'')")))</f>
        <v/>
      </c>
      <c r="N81" s="304" t="str" cm="1">
        <f t="array" ref="N81">_xlfn.SINGLE(IF(ISERROR(_xll.FDSB($C$2,"FE_ESTIMATE(CAPEX,MEAN,QUARTERLY_ROLL,"&amp;N$9&amp;","&amp;$C$5&amp;",,,'')")), "--", _xll.FDSB($C$2,"FE_ESTIMATE(CAPEX,MEAN,QUARTERLY_ROLL,"&amp;N$9&amp;","&amp;$C$5&amp;",,,'')")))</f>
        <v/>
      </c>
      <c r="O81" s="304" t="str" cm="1">
        <f t="array" ref="O81">_xlfn.SINGLE(IF(ISERROR(_xll.FDSB($C$2,"FE_ESTIMATE(CAPEX,MEAN,QUARTERLY_ROLL,"&amp;O$9&amp;","&amp;$C$5&amp;",,,'')")), "--", _xll.FDSB($C$2,"FE_ESTIMATE(CAPEX,MEAN,QUARTERLY_ROLL,"&amp;O$9&amp;","&amp;$C$5&amp;",,,'')")))</f>
        <v/>
      </c>
      <c r="P81" s="304" t="str" cm="1">
        <f t="array" ref="P81">_xlfn.SINGLE(IF(ISERROR(_xll.FDSB($C$2,"FE_ESTIMATE(CAPEX,MEAN,QUARTERLY_ROLL,"&amp;P$9&amp;","&amp;$C$5&amp;",,,'')")), "--", _xll.FDSB($C$2,"FE_ESTIMATE(CAPEX,MEAN,QUARTERLY_ROLL,"&amp;P$9&amp;","&amp;$C$5&amp;",,,'')")))</f>
        <v/>
      </c>
      <c r="Q81" s="304" t="str" cm="1">
        <f t="array" ref="Q81">_xlfn.SINGLE(IF(ISERROR(_xll.FDSB($C$2,"FE_ESTIMATE(CAPEX,MEAN,QUARTERLY_ROLL,"&amp;Q$9&amp;","&amp;$C$5&amp;",,,'')")), "--", _xll.FDSB($C$2,"FE_ESTIMATE(CAPEX,MEAN,QUARTERLY_ROLL,"&amp;Q$9&amp;","&amp;$C$5&amp;",,,'')")))</f>
        <v/>
      </c>
      <c r="R81" s="305" t="str" cm="1">
        <f t="array" ref="R81">_xlfn.SINGLE(IF(ISERROR(_xll.FDSB($C$2,"FE_ESTIMATE(CAPEX,MEAN,ANNUAL_ROLL,"&amp;R$9&amp;","&amp;$C$5&amp;",,,'')")), "--", _xll.FDSB($C$2,"FE_ESTIMATE(CAPEX,MEAN,ANNUAL_ROLL,"&amp;R$9&amp;","&amp;$C$5&amp;",,,'')")))</f>
        <v/>
      </c>
      <c r="S81" s="304" t="str" cm="1">
        <f t="array" ref="S81">_xlfn.SINGLE(IF(ISERROR(_xll.FDSB($C$2,"FE_ESTIMATE(CAPEX,MEAN,QUARTERLY_ROLL,"&amp;S$9&amp;","&amp;$C$5&amp;",,,'')")), "--", _xll.FDSB($C$2,"FE_ESTIMATE(CAPEX,MEAN,QUARTERLY_ROLL,"&amp;S$9&amp;","&amp;$C$5&amp;",,,'')")))</f>
        <v/>
      </c>
      <c r="T81" s="304" t="str" cm="1">
        <f t="array" ref="T81">_xlfn.SINGLE(IF(ISERROR(_xll.FDSB($C$2,"FE_ESTIMATE(CAPEX,MEAN,QUARTERLY_ROLL,"&amp;T$9&amp;","&amp;$C$5&amp;",,,'')")), "--", _xll.FDSB($C$2,"FE_ESTIMATE(CAPEX,MEAN,QUARTERLY_ROLL,"&amp;T$9&amp;","&amp;$C$5&amp;",,,'')")))</f>
        <v/>
      </c>
      <c r="U81" s="304" t="str" cm="1">
        <f t="array" ref="U81">_xlfn.SINGLE(IF(ISERROR(_xll.FDSB($C$2,"FE_ESTIMATE(CAPEX,MEAN,QUARTERLY_ROLL,"&amp;U$9&amp;","&amp;$C$5&amp;",,,'')")), "--", _xll.FDSB($C$2,"FE_ESTIMATE(CAPEX,MEAN,QUARTERLY_ROLL,"&amp;U$9&amp;","&amp;$C$5&amp;",,,'')")))</f>
        <v/>
      </c>
      <c r="V81" s="304" t="str" cm="1">
        <f t="array" ref="V81">_xlfn.SINGLE(IF(ISERROR(_xll.FDSB($C$2,"FE_ESTIMATE(CAPEX,MEAN,QUARTERLY_ROLL,"&amp;V$9&amp;","&amp;$C$5&amp;",,,'')")), "--", _xll.FDSB($C$2,"FE_ESTIMATE(CAPEX,MEAN,QUARTERLY_ROLL,"&amp;V$9&amp;","&amp;$C$5&amp;",,,'')")))</f>
        <v/>
      </c>
      <c r="W81" s="305" t="str" cm="1">
        <f t="array" ref="W81">_xlfn.SINGLE(IF(ISERROR(_xll.FDSB($C$2,"FE_ESTIMATE(CAPEX,MEAN,ANNUAL_ROLL,"&amp;W$9&amp;","&amp;$C$5&amp;",,,'')")), "--", _xll.FDSB($C$2,"FE_ESTIMATE(CAPEX,MEAN,ANNUAL_ROLL,"&amp;W$9&amp;","&amp;$C$5&amp;",,,'')")))</f>
        <v/>
      </c>
      <c r="X81" s="304" t="str" cm="1">
        <f t="array" ref="X81">_xlfn.SINGLE(IF(ISERROR(_xll.FDSB($C$2,"FE_ESTIMATE(CAPEX,MEAN,QUARTERLY_ROLL,"&amp;X$9&amp;","&amp;$C$5&amp;",,,'')")), "--", _xll.FDSB($C$2,"FE_ESTIMATE(CAPEX,MEAN,QUARTERLY_ROLL,"&amp;X$9&amp;","&amp;$C$5&amp;",,,'')")))</f>
        <v/>
      </c>
      <c r="Y81" s="304" t="str" cm="1">
        <f t="array" ref="Y81">_xlfn.SINGLE(IF(ISERROR(_xll.FDSB($C$2,"FE_ESTIMATE(CAPEX,MEAN,QUARTERLY_ROLL,"&amp;Y$9&amp;","&amp;$C$5&amp;",,,'')")), "--", _xll.FDSB($C$2,"FE_ESTIMATE(CAPEX,MEAN,QUARTERLY_ROLL,"&amp;Y$9&amp;","&amp;$C$5&amp;",,,'')")))</f>
        <v/>
      </c>
      <c r="Z81" s="304" t="str" cm="1">
        <f t="array" ref="Z81">_xlfn.SINGLE(IF(ISERROR(_xll.FDSB($C$2,"FE_ESTIMATE(CAPEX,MEAN,QUARTERLY_ROLL,"&amp;Z$9&amp;","&amp;$C$5&amp;",,,'')")), "--", _xll.FDSB($C$2,"FE_ESTIMATE(CAPEX,MEAN,QUARTERLY_ROLL,"&amp;Z$9&amp;","&amp;$C$5&amp;",,,'')")))</f>
        <v/>
      </c>
      <c r="AA81" s="304" t="str" cm="1">
        <f t="array" ref="AA81">_xlfn.SINGLE(IF(ISERROR(_xll.FDSB($C$2,"FE_ESTIMATE(CAPEX,MEAN,QUARTERLY_ROLL,"&amp;AA$9&amp;","&amp;$C$5&amp;",,,'')")), "--", _xll.FDSB($C$2,"FE_ESTIMATE(CAPEX,MEAN,QUARTERLY_ROLL,"&amp;AA$9&amp;","&amp;$C$5&amp;",,,'')")))</f>
        <v/>
      </c>
      <c r="AB81" s="305" t="str" cm="1">
        <f t="array" ref="AB81">_xlfn.SINGLE(IF(ISERROR(_xll.FDSB($C$2,"FE_ESTIMATE(CAPEX,MEAN,ANNUAL_ROLL,"&amp;AB$9&amp;","&amp;$C$5&amp;",,,'')")), "--", _xll.FDSB($C$2,"FE_ESTIMATE(CAPEX,MEAN,ANNUAL_ROLL,"&amp;AB$9&amp;","&amp;$C$5&amp;",,,'')")))</f>
        <v/>
      </c>
      <c r="AC81" s="304" cm="1">
        <f t="array" ref="AC81">_xlfn.SINGLE(IF(ISERROR(_xll.FDSB($C$2,"FE_ESTIMATE(CAPEX,MEAN,QUARTERLY_ROLL,"&amp;AC$9&amp;","&amp;$C$5&amp;",,,'')")), "--", _xll.FDSB($C$2,"FE_ESTIMATE(CAPEX,MEAN,QUARTERLY_ROLL,"&amp;AC$9&amp;","&amp;$C$5&amp;",,,'')")))</f>
        <v>4.593</v>
      </c>
      <c r="AD81" s="304" cm="1">
        <f t="array" ref="AD81">_xlfn.SINGLE(IF(ISERROR(_xll.FDSB($C$2,"FE_ESTIMATE(CAPEX,MEAN,QUARTERLY_ROLL,"&amp;AD$9&amp;","&amp;$C$5&amp;",,,'')")), "--", _xll.FDSB($C$2,"FE_ESTIMATE(CAPEX,MEAN,QUARTERLY_ROLL,"&amp;AD$9&amp;","&amp;$C$5&amp;",,,'')")))</f>
        <v>5.1974545000000001</v>
      </c>
      <c r="AE81" s="304" cm="1">
        <f t="array" ref="AE81">_xlfn.SINGLE(IF(ISERROR(_xll.FDSB($C$2,"FE_ESTIMATE(CAPEX,MEAN,QUARTERLY_ROLL,"&amp;AE$9&amp;","&amp;$C$5&amp;",,,'')")), "--", _xll.FDSB($C$2,"FE_ESTIMATE(CAPEX,MEAN,QUARTERLY_ROLL,"&amp;AE$9&amp;","&amp;$C$5&amp;",,,'')")))</f>
        <v>17.367999999999999</v>
      </c>
      <c r="AF81" s="304" cm="1">
        <f t="array" ref="AF81">_xlfn.SINGLE(IF(ISERROR(_xll.FDSB($C$2,"FE_ESTIMATE(CAPEX,MEAN,QUARTERLY_ROLL,"&amp;AF$9&amp;","&amp;$C$5&amp;",,,'')")), "--", _xll.FDSB($C$2,"FE_ESTIMATE(CAPEX,MEAN,QUARTERLY_ROLL,"&amp;AF$9&amp;","&amp;$C$5&amp;",,,'')")))</f>
        <v>11.7974</v>
      </c>
      <c r="AG81" s="305" cm="1">
        <f t="array" ref="AG81">_xlfn.SINGLE(IF(ISERROR(_xll.FDSB($C$2,"FE_ESTIMATE(CAPEX,MEAN,ANNUAL_ROLL,"&amp;AG$9&amp;","&amp;$C$5&amp;",,,'')")), "--", _xll.FDSB($C$2,"FE_ESTIMATE(CAPEX,MEAN,ANNUAL_ROLL,"&amp;AG$9&amp;","&amp;$C$5&amp;",,,'')")))</f>
        <v>36.127000000000002</v>
      </c>
      <c r="AH81" s="304" cm="1">
        <f t="array" ref="AH81">_xlfn.SINGLE(IF(ISERROR(_xll.FDSB($C$2,"FE_ESTIMATE(CAPEX,MEAN,QUARTERLY_ROLL,"&amp;AH$9&amp;","&amp;$C$5&amp;",,,'')")), "--", _xll.FDSB($C$2,"FE_ESTIMATE(CAPEX,MEAN,QUARTERLY_ROLL,"&amp;AH$9&amp;","&amp;$C$5&amp;",,,'')")))</f>
        <v>6.7287499999999998</v>
      </c>
      <c r="AI81" s="304" cm="1">
        <f t="array" ref="AI81">_xlfn.SINGLE(IF(ISERROR(_xll.FDSB($C$2,"FE_ESTIMATE(CAPEX,MEAN,QUARTERLY_ROLL,"&amp;AI$9&amp;","&amp;$C$5&amp;",,,'')")), "--", _xll.FDSB($C$2,"FE_ESTIMATE(CAPEX,MEAN,QUARTERLY_ROLL,"&amp;AI$9&amp;","&amp;$C$5&amp;",,,'')")))</f>
        <v>4.0143332000000003</v>
      </c>
      <c r="AJ81" s="304" cm="1">
        <f t="array" ref="AJ81">_xlfn.SINGLE(IF(ISERROR(_xll.FDSB($C$2,"FE_ESTIMATE(CAPEX,MEAN,QUARTERLY_ROLL,"&amp;AJ$9&amp;","&amp;$C$5&amp;",,,'')")), "--", _xll.FDSB($C$2,"FE_ESTIMATE(CAPEX,MEAN,QUARTERLY_ROLL,"&amp;AJ$9&amp;","&amp;$C$5&amp;",,,'')")))</f>
        <v>3.23725</v>
      </c>
      <c r="AK81" s="304" cm="1">
        <f t="array" ref="AK81">_xlfn.SINGLE(IF(ISERROR(_xll.FDSB($C$2,"FE_ESTIMATE(CAPEX,MEAN,QUARTERLY_ROLL,"&amp;AK$9&amp;","&amp;$C$5&amp;",,,'')")), "--", _xll.FDSB($C$2,"FE_ESTIMATE(CAPEX,MEAN,QUARTERLY_ROLL,"&amp;AK$9&amp;","&amp;$C$5&amp;",,,'')")))</f>
        <v>4.9342220000000001</v>
      </c>
      <c r="AL81" s="305" cm="1">
        <f t="array" ref="AL81">_xlfn.SINGLE(IF(ISERROR(_xll.FDSB($C$2,"FE_ESTIMATE(CAPEX,MEAN,ANNUAL_ROLL,"&amp;AL$9&amp;","&amp;$C$5&amp;",,,'')")), "--", _xll.FDSB($C$2,"FE_ESTIMATE(CAPEX,MEAN,ANNUAL_ROLL,"&amp;AL$9&amp;","&amp;$C$5&amp;",,,'')")))</f>
        <v>19.111462</v>
      </c>
      <c r="AM81" s="304" cm="1">
        <f t="array" ref="AM81">_xlfn.SINGLE(IF(ISERROR(_xll.FDSB($C$2,"FE_ESTIMATE(CAPEX,MEAN,QUARTERLY_ROLL,"&amp;AM$9&amp;","&amp;$C$5&amp;",,,'')")), "--", _xll.FDSB($C$2,"FE_ESTIMATE(CAPEX,MEAN,QUARTERLY_ROLL,"&amp;AM$9&amp;","&amp;$C$5&amp;",,,'')")))</f>
        <v>8.2431819999999991</v>
      </c>
      <c r="AN81" s="304" cm="1">
        <f t="array" ref="AN81">_xlfn.SINGLE(IF(ISERROR(_xll.FDSB($C$2,"FE_ESTIMATE(CAPEX,MEAN,QUARTERLY_ROLL,"&amp;AN$9&amp;","&amp;$C$5&amp;",,,'')")), "--", _xll.FDSB($C$2,"FE_ESTIMATE(CAPEX,MEAN,QUARTERLY_ROLL,"&amp;AN$9&amp;","&amp;$C$5&amp;",,,'')")))</f>
        <v>4.4567275000000004</v>
      </c>
      <c r="AO81" s="304" cm="1">
        <f t="array" ref="AO81">_xlfn.SINGLE(IF(ISERROR(_xll.FDSB($C$2,"FE_ESTIMATE(CAPEX,MEAN,QUARTERLY_ROLL,"&amp;AO$9&amp;","&amp;$C$5&amp;",,,'')")), "--", _xll.FDSB($C$2,"FE_ESTIMATE(CAPEX,MEAN,QUARTERLY_ROLL,"&amp;AO$9&amp;","&amp;$C$5&amp;",,,'')")))</f>
        <v>9.9363574999999997</v>
      </c>
      <c r="AP81" s="304" cm="1">
        <f t="array" ref="AP81">_xlfn.SINGLE(IF(ISERROR(_xll.FDSB($C$2,"FE_ESTIMATE(CAPEX,MEAN,QUARTERLY_ROLL,"&amp;AP$9&amp;","&amp;$C$5&amp;",,,'')")), "--", _xll.FDSB($C$2,"FE_ESTIMATE(CAPEX,MEAN,QUARTERLY_ROLL,"&amp;AP$9&amp;","&amp;$C$5&amp;",,,'')")))</f>
        <v>7.3803000000000001</v>
      </c>
      <c r="AQ81" s="305" cm="1">
        <f t="array" ref="AQ81">_xlfn.SINGLE(IF(ISERROR(_xll.FDSB($C$2,"FE_ESTIMATE(CAPEX,MEAN,ANNUAL_ROLL,"&amp;AQ$9&amp;","&amp;$C$5&amp;",,,'')")), "--", _xll.FDSB($C$2,"FE_ESTIMATE(CAPEX,MEAN,ANNUAL_ROLL,"&amp;AQ$9&amp;","&amp;$C$5&amp;",,,'')")))</f>
        <v>32.592376999999999</v>
      </c>
      <c r="AR81" s="304" cm="1">
        <f t="array" ref="AR81">_xlfn.SINGLE(IF(ISERROR(_xll.FDSB($C$2,"FE_ESTIMATE(CAPEX,MEAN,QUARTERLY_ROLL,"&amp;AR$9&amp;","&amp;$C$5&amp;",,,'')")), "--", _xll.FDSB($C$2,"FE_ESTIMATE(CAPEX,MEAN,QUARTERLY_ROLL,"&amp;AR$9&amp;","&amp;$C$5&amp;",,,'')")))</f>
        <v>9.6043570000000003</v>
      </c>
      <c r="AS81" s="304" cm="1">
        <f t="array" ref="AS81">_xlfn.SINGLE(IF(ISERROR(_xll.FDSB($C$2,"FE_ESTIMATE(CAPEX,MEAN,QUARTERLY_ROLL,"&amp;AS$9&amp;","&amp;$C$5&amp;",,,'')")), "--", _xll.FDSB($C$2,"FE_ESTIMATE(CAPEX,MEAN,QUARTERLY_ROLL,"&amp;AS$9&amp;","&amp;$C$5&amp;",,,'')")))</f>
        <v>8.5187139999999992</v>
      </c>
      <c r="AT81" s="304" cm="1">
        <f t="array" ref="AT81">_xlfn.SINGLE(IF(ISERROR(_xll.FDSB($C$2,"FE_ESTIMATE(CAPEX,MEAN,QUARTERLY_ROLL,"&amp;AT$9&amp;","&amp;$C$5&amp;",,,'')")), "--", _xll.FDSB($C$2,"FE_ESTIMATE(CAPEX,MEAN,QUARTERLY_ROLL,"&amp;AT$9&amp;","&amp;$C$5&amp;",,,'')")))</f>
        <v>11.916562000000001</v>
      </c>
      <c r="AU81" s="304" cm="1">
        <f t="array" ref="AU81">_xlfn.SINGLE(IF(ISERROR(_xll.FDSB($C$2,"FE_ESTIMATE(CAPEX,MEAN,QUARTERLY_ROLL,"&amp;AU$9&amp;","&amp;$C$5&amp;",,,'')")), "--", _xll.FDSB($C$2,"FE_ESTIMATE(CAPEX,MEAN,QUARTERLY_ROLL,"&amp;AU$9&amp;","&amp;$C$5&amp;",,,'')")))</f>
        <v>14.635062</v>
      </c>
      <c r="AV81" s="305" cm="1">
        <f t="array" ref="AV81">_xlfn.SINGLE(IF(ISERROR(_xll.FDSB($C$2,"FE_ESTIMATE(CAPEX,MEAN,ANNUAL_ROLL,"&amp;AV$9&amp;","&amp;$C$5&amp;",,,'')")), "--", _xll.FDSB($C$2,"FE_ESTIMATE(CAPEX,MEAN,ANNUAL_ROLL,"&amp;AV$9&amp;","&amp;$C$5&amp;",,,'')")))</f>
        <v>44.276653000000003</v>
      </c>
      <c r="AW81" s="304" cm="1">
        <f t="array" ref="AW81">_xlfn.SINGLE(IF(ISERROR(_xll.FDSB($C$2,"FE_ESTIMATE(CAPEX,MEAN,QUARTERLY_ROLL,"&amp;AW$9&amp;","&amp;$C$5&amp;",,,'')")), "--", _xll.FDSB($C$2,"FE_ESTIMATE(CAPEX,MEAN,QUARTERLY_ROLL,"&amp;AW$9&amp;","&amp;$C$5&amp;",,,'')")))</f>
        <v>19.154</v>
      </c>
      <c r="AX81" s="304" cm="1">
        <f t="array" ref="AX81">_xlfn.SINGLE(IF(ISERROR(_xll.FDSB($C$2,"FE_ESTIMATE(CAPEX,MEAN,QUARTERLY_ROLL,"&amp;AX$9&amp;","&amp;$C$5&amp;",,,'')")), "--", _xll.FDSB($C$2,"FE_ESTIMATE(CAPEX,MEAN,QUARTERLY_ROLL,"&amp;AX$9&amp;","&amp;$C$5&amp;",,,'')")))</f>
        <v>7.265625</v>
      </c>
      <c r="AY81" s="304" cm="1">
        <f t="array" ref="AY81">_xlfn.SINGLE(IF(ISERROR(_xll.FDSB($C$2,"FE_ESTIMATE(CAPEX,MEAN,QUARTERLY_ROLL,"&amp;AY$9&amp;","&amp;$C$5&amp;",,,'')")), "--", _xll.FDSB($C$2,"FE_ESTIMATE(CAPEX,MEAN,QUARTERLY_ROLL,"&amp;AY$9&amp;","&amp;$C$5&amp;",,,'')")))</f>
        <v>17.418133000000001</v>
      </c>
      <c r="AZ81" s="304" cm="1">
        <f t="array" ref="AZ81">_xlfn.SINGLE(IF(ISERROR(_xll.FDSB($C$2,"FE_ESTIMATE(CAPEX,MEAN,QUARTERLY_ROLL,"&amp;AZ$9&amp;","&amp;$C$5&amp;",,,'')")), "--", _xll.FDSB($C$2,"FE_ESTIMATE(CAPEX,MEAN,QUARTERLY_ROLL,"&amp;AZ$9&amp;","&amp;$C$5&amp;",,,'')")))</f>
        <v>13.112845999999999</v>
      </c>
      <c r="BA81" s="305" cm="1">
        <f t="array" ref="BA81">_xlfn.SINGLE(IF(ISERROR(_xll.FDSB($C$2,"FE_ESTIMATE(CAPEX,MEAN,ANNUAL_ROLL,"&amp;BA$9&amp;","&amp;$C$5&amp;",,,'')")), "--", _xll.FDSB($C$2,"FE_ESTIMATE(CAPEX,MEAN,ANNUAL_ROLL,"&amp;BA$9&amp;","&amp;$C$5&amp;",,,'')")))</f>
        <v>42.862900000000003</v>
      </c>
      <c r="BB81" s="304" cm="1">
        <f t="array" ref="BB81">_xlfn.SINGLE(IF(ISERROR(_xll.FDSB($C$2,"FE_ESTIMATE(CAPEX,MEAN,QUARTERLY_ROLL,"&amp;BB$9&amp;","&amp;$C$5&amp;",,,'')")), "--", _xll.FDSB($C$2,"FE_ESTIMATE(CAPEX,MEAN,QUARTERLY_ROLL,"&amp;BB$9&amp;","&amp;$C$5&amp;",,,'')")))</f>
        <v>44.995600000000003</v>
      </c>
      <c r="BC81" s="304" cm="1">
        <f t="array" ref="BC81">_xlfn.SINGLE(IF(ISERROR(_xll.FDSB($C$2,"FE_ESTIMATE(CAPEX,MEAN,QUARTERLY_ROLL,"&amp;BC$9&amp;","&amp;$C$5&amp;",,,'')")), "--", _xll.FDSB($C$2,"FE_ESTIMATE(CAPEX,MEAN,QUARTERLY_ROLL,"&amp;BC$9&amp;","&amp;$C$5&amp;",,,'')")))</f>
        <v>16.706429</v>
      </c>
      <c r="BD81" s="304" cm="1">
        <f t="array" ref="BD81">_xlfn.SINGLE(IF(ISERROR(_xll.FDSB($C$2,"FE_ESTIMATE(CAPEX,MEAN,QUARTERLY_ROLL,"&amp;BD$9&amp;","&amp;$C$5&amp;",,,'')")), "--", _xll.FDSB($C$2,"FE_ESTIMATE(CAPEX,MEAN,QUARTERLY_ROLL,"&amp;BD$9&amp;","&amp;$C$5&amp;",,,'')")))</f>
        <v>17.324663000000001</v>
      </c>
      <c r="BE81" s="304" cm="1">
        <f t="array" ref="BE81">_xlfn.SINGLE(IF(ISERROR(_xll.FDSB($C$2,"FE_ESTIMATE(CAPEX,MEAN,QUARTERLY_ROLL,"&amp;BE$9&amp;","&amp;$C$5&amp;",,,'')")), "--", _xll.FDSB($C$2,"FE_ESTIMATE(CAPEX,MEAN,QUARTERLY_ROLL,"&amp;BE$9&amp;","&amp;$C$5&amp;",,,'')")))</f>
        <v>16.446272</v>
      </c>
      <c r="BF81" s="305" cm="1">
        <f t="array" ref="BF81">_xlfn.SINGLE(IF(ISERROR(_xll.FDSB($C$2,"FE_ESTIMATE(CAPEX,MEAN,ANNUAL_ROLL,"&amp;BF$9&amp;","&amp;$C$5&amp;",,,'')")), "--", _xll.FDSB($C$2,"FE_ESTIMATE(CAPEX,MEAN,ANNUAL_ROLL,"&amp;BF$9&amp;","&amp;$C$5&amp;",,,'')")))</f>
        <v>87.966089999999994</v>
      </c>
      <c r="BG81" s="304" cm="1">
        <f t="array" ref="BG81">_xlfn.SINGLE(IF(ISERROR(_xll.FDSB($C$2,"FE_ESTIMATE(CAPEX,MEAN,QUARTERLY_ROLL,"&amp;BG$9&amp;","&amp;$C$5&amp;",,,'')")), "--", _xll.FDSB($C$2,"FE_ESTIMATE(CAPEX,MEAN,QUARTERLY_ROLL,"&amp;BG$9&amp;","&amp;$C$5&amp;",,,'')")))</f>
        <v>16.669976999999999</v>
      </c>
      <c r="BH81" s="304" cm="1">
        <f t="array" ref="BH81">_xlfn.SINGLE(IF(ISERROR(_xll.FDSB($C$2,"FE_ESTIMATE(CAPEX,MEAN,QUARTERLY_ROLL,"&amp;BH$9&amp;","&amp;$C$5&amp;",,,'')")), "--", _xll.FDSB($C$2,"FE_ESTIMATE(CAPEX,MEAN,QUARTERLY_ROLL,"&amp;BH$9&amp;","&amp;$C$5&amp;",,,'')")))</f>
        <v>16.158064</v>
      </c>
      <c r="BI81" s="304" cm="1">
        <f t="array" ref="BI81">_xlfn.SINGLE(IF(ISERROR(_xll.FDSB($C$2,"FE_ESTIMATE(CAPEX,MEAN,QUARTERLY_ROLL,"&amp;BI$9&amp;","&amp;$C$5&amp;",,,'')")), "--", _xll.FDSB($C$2,"FE_ESTIMATE(CAPEX,MEAN,QUARTERLY_ROLL,"&amp;BI$9&amp;","&amp;$C$5&amp;",,,'')")))</f>
        <v>17.801445000000001</v>
      </c>
      <c r="BJ81" s="304" cm="1">
        <f t="array" ref="BJ81">_xlfn.SINGLE(IF(ISERROR(_xll.FDSB($C$2,"FE_ESTIMATE(CAPEX,MEAN,QUARTERLY_ROLL,"&amp;BJ$9&amp;","&amp;$C$5&amp;",,,'')")), "--", _xll.FDSB($C$2,"FE_ESTIMATE(CAPEX,MEAN,QUARTERLY_ROLL,"&amp;BJ$9&amp;","&amp;$C$5&amp;",,,'')")))</f>
        <v>17.786974000000001</v>
      </c>
      <c r="BK81" s="305" cm="1">
        <f t="array" ref="BK81">_xlfn.SINGLE(IF(ISERROR(_xll.FDSB($C$2,"FE_ESTIMATE(CAPEX,MEAN,ANNUAL_ROLL,"&amp;BK$9&amp;","&amp;$C$5&amp;",,,'')")), "--", _xll.FDSB($C$2,"FE_ESTIMATE(CAPEX,MEAN,ANNUAL_ROLL,"&amp;BK$9&amp;","&amp;$C$5&amp;",,,'')")))</f>
        <v>86.680080000000004</v>
      </c>
      <c r="BL81" s="304" cm="1">
        <f t="array" ref="BL81">_xlfn.SINGLE(IF(ISERROR(_xll.FDSB($C$2,"FE_ESTIMATE(CAPEX,MEAN,QUARTERLY_ROLL,"&amp;BL$9&amp;","&amp;$C$5&amp;",,,'')")), "--", _xll.FDSB($C$2,"FE_ESTIMATE(CAPEX,MEAN,QUARTERLY_ROLL,"&amp;BL$9&amp;","&amp;$C$5&amp;",,,'')")))</f>
        <v>19.839787000000001</v>
      </c>
      <c r="BM81" s="304" cm="1">
        <f t="array" ref="BM81">_xlfn.SINGLE(IF(ISERROR(_xll.FDSB($C$2,"FE_ESTIMATE(CAPEX,MEAN,QUARTERLY_ROLL,"&amp;BM$9&amp;","&amp;$C$5&amp;",,,'')")), "--", _xll.FDSB($C$2,"FE_ESTIMATE(CAPEX,MEAN,QUARTERLY_ROLL,"&amp;BM$9&amp;","&amp;$C$5&amp;",,,'')")))</f>
        <v>20.476206000000001</v>
      </c>
      <c r="BN81" s="304" cm="1">
        <f t="array" ref="BN81">_xlfn.SINGLE(IF(ISERROR(_xll.FDSB($C$2,"FE_ESTIMATE(CAPEX,MEAN,QUARTERLY_ROLL,"&amp;BN$9&amp;","&amp;$C$5&amp;",,,'')")), "--", _xll.FDSB($C$2,"FE_ESTIMATE(CAPEX,MEAN,QUARTERLY_ROLL,"&amp;BN$9&amp;","&amp;$C$5&amp;",,,'')")))</f>
        <v>21.213640000000002</v>
      </c>
      <c r="BO81" s="304" cm="1">
        <f t="array" ref="BO81">_xlfn.SINGLE(IF(ISERROR(_xll.FDSB($C$2,"FE_ESTIMATE(CAPEX,MEAN,QUARTERLY_ROLL,"&amp;BO$9&amp;","&amp;$C$5&amp;",,,'')")), "--", _xll.FDSB($C$2,"FE_ESTIMATE(CAPEX,MEAN,QUARTERLY_ROLL,"&amp;BO$9&amp;","&amp;$C$5&amp;",,,'')")))</f>
        <v>21.673828</v>
      </c>
      <c r="BP81" s="305" cm="1">
        <f t="array" ref="BP81">_xlfn.SINGLE(IF(ISERROR(_xll.FDSB($C$2,"FE_ESTIMATE(CAPEX,MEAN,ANNUAL_ROLL,"&amp;BP$9&amp;","&amp;$C$5&amp;",,,'')")), "--", _xll.FDSB($C$2,"FE_ESTIMATE(CAPEX,MEAN,ANNUAL_ROLL,"&amp;BP$9&amp;","&amp;$C$5&amp;",,,'')")))</f>
        <v>104.42695999999999</v>
      </c>
    </row>
    <row r="82" spans="1:68" s="310" customFormat="1" outlineLevel="1">
      <c r="A82" s="293"/>
      <c r="B82" s="307" t="s">
        <v>32</v>
      </c>
      <c r="C82" s="307"/>
      <c r="D82" s="308"/>
      <c r="E82" s="308"/>
      <c r="F82" s="308"/>
      <c r="G82" s="308"/>
      <c r="H82" s="309"/>
      <c r="I82" s="308" t="str">
        <f t="shared" ref="I82:AN82" si="47">IFERROR(I81/D81-1,"--")</f>
        <v>--</v>
      </c>
      <c r="J82" s="308" t="str">
        <f t="shared" si="47"/>
        <v>--</v>
      </c>
      <c r="K82" s="308" t="str">
        <f t="shared" si="47"/>
        <v>--</v>
      </c>
      <c r="L82" s="308" t="str">
        <f t="shared" si="47"/>
        <v>--</v>
      </c>
      <c r="M82" s="309" t="str">
        <f t="shared" si="47"/>
        <v>--</v>
      </c>
      <c r="N82" s="308" t="str">
        <f t="shared" si="47"/>
        <v>--</v>
      </c>
      <c r="O82" s="308" t="str">
        <f t="shared" si="47"/>
        <v>--</v>
      </c>
      <c r="P82" s="308" t="str">
        <f t="shared" si="47"/>
        <v>--</v>
      </c>
      <c r="Q82" s="308" t="str">
        <f t="shared" si="47"/>
        <v>--</v>
      </c>
      <c r="R82" s="309" t="str">
        <f t="shared" si="47"/>
        <v>--</v>
      </c>
      <c r="S82" s="308" t="str">
        <f t="shared" si="47"/>
        <v>--</v>
      </c>
      <c r="T82" s="308" t="str">
        <f t="shared" si="47"/>
        <v>--</v>
      </c>
      <c r="U82" s="308" t="str">
        <f t="shared" si="47"/>
        <v>--</v>
      </c>
      <c r="V82" s="308" t="str">
        <f t="shared" si="47"/>
        <v>--</v>
      </c>
      <c r="W82" s="309" t="str">
        <f t="shared" si="47"/>
        <v>--</v>
      </c>
      <c r="X82" s="308" t="str">
        <f t="shared" si="47"/>
        <v>--</v>
      </c>
      <c r="Y82" s="308" t="str">
        <f t="shared" si="47"/>
        <v>--</v>
      </c>
      <c r="Z82" s="308" t="str">
        <f t="shared" si="47"/>
        <v>--</v>
      </c>
      <c r="AA82" s="308" t="str">
        <f t="shared" si="47"/>
        <v>--</v>
      </c>
      <c r="AB82" s="309" t="str">
        <f t="shared" si="47"/>
        <v>--</v>
      </c>
      <c r="AC82" s="308" t="str">
        <f t="shared" si="47"/>
        <v>--</v>
      </c>
      <c r="AD82" s="308" t="str">
        <f t="shared" si="47"/>
        <v>--</v>
      </c>
      <c r="AE82" s="308" t="str">
        <f t="shared" si="47"/>
        <v>--</v>
      </c>
      <c r="AF82" s="308" t="str">
        <f t="shared" si="47"/>
        <v>--</v>
      </c>
      <c r="AG82" s="309" t="str">
        <f t="shared" si="47"/>
        <v>--</v>
      </c>
      <c r="AH82" s="308">
        <f t="shared" si="47"/>
        <v>0.46500108861310685</v>
      </c>
      <c r="AI82" s="308">
        <f t="shared" si="47"/>
        <v>-0.22763475851496151</v>
      </c>
      <c r="AJ82" s="308">
        <f t="shared" si="47"/>
        <v>-0.81360836020267158</v>
      </c>
      <c r="AK82" s="308">
        <f t="shared" si="47"/>
        <v>-0.58175343719802664</v>
      </c>
      <c r="AL82" s="309">
        <f t="shared" si="47"/>
        <v>-0.47099227724416648</v>
      </c>
      <c r="AM82" s="308">
        <f t="shared" si="47"/>
        <v>0.22506884636819602</v>
      </c>
      <c r="AN82" s="308">
        <f t="shared" si="47"/>
        <v>0.11020368214576703</v>
      </c>
      <c r="AO82" s="308">
        <f t="shared" ref="AO82:BP82" si="48">IFERROR(AO81/AJ81-1,"--")</f>
        <v>2.0693821916750328</v>
      </c>
      <c r="AP82" s="308">
        <f t="shared" si="48"/>
        <v>0.49573732191214748</v>
      </c>
      <c r="AQ82" s="309">
        <f t="shared" si="48"/>
        <v>0.70538376394228752</v>
      </c>
      <c r="AR82" s="308">
        <f t="shared" si="48"/>
        <v>0.16512737435616498</v>
      </c>
      <c r="AS82" s="308">
        <f t="shared" si="48"/>
        <v>0.91142806016297806</v>
      </c>
      <c r="AT82" s="308">
        <f t="shared" si="48"/>
        <v>0.19928877357723906</v>
      </c>
      <c r="AU82" s="308">
        <f t="shared" si="48"/>
        <v>0.98299012235274974</v>
      </c>
      <c r="AV82" s="309">
        <f t="shared" si="48"/>
        <v>0.35849720319570455</v>
      </c>
      <c r="AW82" s="308">
        <f t="shared" si="48"/>
        <v>0.99430321051164583</v>
      </c>
      <c r="AX82" s="308">
        <f t="shared" si="48"/>
        <v>-0.14709837658594938</v>
      </c>
      <c r="AY82" s="308">
        <f t="shared" si="48"/>
        <v>0.46167434869218149</v>
      </c>
      <c r="AZ82" s="308">
        <f t="shared" si="48"/>
        <v>-0.10401158532843935</v>
      </c>
      <c r="BA82" s="309">
        <f t="shared" si="48"/>
        <v>-3.1929988023259082E-2</v>
      </c>
      <c r="BB82" s="308">
        <f t="shared" si="48"/>
        <v>1.3491490028192548</v>
      </c>
      <c r="BC82" s="308">
        <f t="shared" si="48"/>
        <v>1.2993794752688173</v>
      </c>
      <c r="BD82" s="308">
        <f t="shared" si="48"/>
        <v>-5.3662467728314844E-3</v>
      </c>
      <c r="BE82" s="308">
        <f t="shared" si="48"/>
        <v>0.25421071825292541</v>
      </c>
      <c r="BF82" s="309">
        <f t="shared" si="48"/>
        <v>1.0522664122119592</v>
      </c>
      <c r="BG82" s="308">
        <f t="shared" si="48"/>
        <v>-0.62951984194010091</v>
      </c>
      <c r="BH82" s="308">
        <f t="shared" si="48"/>
        <v>-3.2823591444946176E-2</v>
      </c>
      <c r="BI82" s="308">
        <f t="shared" si="48"/>
        <v>2.7520419877719915E-2</v>
      </c>
      <c r="BJ82" s="308">
        <f t="shared" si="48"/>
        <v>8.1520115926575931E-2</v>
      </c>
      <c r="BK82" s="309">
        <f t="shared" si="48"/>
        <v>-1.4619383446507483E-2</v>
      </c>
      <c r="BL82" s="308">
        <f t="shared" si="48"/>
        <v>0.19015083224170026</v>
      </c>
      <c r="BM82" s="308">
        <f t="shared" si="48"/>
        <v>0.26724377375903452</v>
      </c>
      <c r="BN82" s="308">
        <f t="shared" si="48"/>
        <v>0.19168078771133468</v>
      </c>
      <c r="BO82" s="308">
        <f t="shared" si="48"/>
        <v>0.21852249854303496</v>
      </c>
      <c r="BP82" s="309">
        <f t="shared" si="48"/>
        <v>0.20474000485463306</v>
      </c>
    </row>
    <row r="83" spans="1:68" s="310" customFormat="1" outlineLevel="1">
      <c r="A83" s="293"/>
      <c r="B83" s="307" t="s">
        <v>33</v>
      </c>
      <c r="C83" s="307"/>
      <c r="D83" s="308"/>
      <c r="E83" s="308"/>
      <c r="F83" s="308"/>
      <c r="G83" s="308"/>
      <c r="H83" s="311"/>
      <c r="I83" s="308" t="str">
        <f>IFERROR(I81/G81-1,"--")</f>
        <v>--</v>
      </c>
      <c r="J83" s="308" t="str">
        <f>IFERROR(J81/I81-1,"--")</f>
        <v>--</v>
      </c>
      <c r="K83" s="308" t="str">
        <f>IFERROR(K81/J81-1,"--")</f>
        <v>--</v>
      </c>
      <c r="L83" s="308" t="str">
        <f>IFERROR(L81/K81-1,"--")</f>
        <v>--</v>
      </c>
      <c r="M83" s="311"/>
      <c r="N83" s="308" t="str">
        <f>IFERROR(N81/L81-1,"--")</f>
        <v>--</v>
      </c>
      <c r="O83" s="308" t="str">
        <f>IFERROR(O81/N81-1,"--")</f>
        <v>--</v>
      </c>
      <c r="P83" s="308" t="str">
        <f>IFERROR(P81/O81-1,"--")</f>
        <v>--</v>
      </c>
      <c r="Q83" s="308" t="str">
        <f>IFERROR(Q81/P81-1,"--")</f>
        <v>--</v>
      </c>
      <c r="R83" s="311"/>
      <c r="S83" s="308" t="str">
        <f>IFERROR(S81/Q81-1,"--")</f>
        <v>--</v>
      </c>
      <c r="T83" s="308" t="str">
        <f>IFERROR(T81/S81-1,"--")</f>
        <v>--</v>
      </c>
      <c r="U83" s="308" t="str">
        <f>IFERROR(U81/T81-1,"--")</f>
        <v>--</v>
      </c>
      <c r="V83" s="308" t="str">
        <f>IFERROR(V81/U81-1,"--")</f>
        <v>--</v>
      </c>
      <c r="W83" s="311"/>
      <c r="X83" s="308" t="str">
        <f>IFERROR(X81/V81-1,"--")</f>
        <v>--</v>
      </c>
      <c r="Y83" s="308" t="str">
        <f>IFERROR(Y81/X81-1,"--")</f>
        <v>--</v>
      </c>
      <c r="Z83" s="308" t="str">
        <f>IFERROR(Z81/Y81-1,"--")</f>
        <v>--</v>
      </c>
      <c r="AA83" s="308" t="str">
        <f>IFERROR(AA81/Z81-1,"--")</f>
        <v>--</v>
      </c>
      <c r="AB83" s="311"/>
      <c r="AC83" s="308" t="str">
        <f>IFERROR(AC81/AA81-1,"--")</f>
        <v>--</v>
      </c>
      <c r="AD83" s="308">
        <f>IFERROR(AD81/AC81-1,"--")</f>
        <v>0.13160341824515576</v>
      </c>
      <c r="AE83" s="308">
        <f>IFERROR(AE81/AD81-1,"--")</f>
        <v>2.3416357949838713</v>
      </c>
      <c r="AF83" s="308">
        <f>IFERROR(AF81/AE81-1,"--")</f>
        <v>-0.32073929064947027</v>
      </c>
      <c r="AG83" s="311"/>
      <c r="AH83" s="308">
        <f>IFERROR(AH81/AF81-1,"--")</f>
        <v>-0.42964127689151843</v>
      </c>
      <c r="AI83" s="308">
        <f>IFERROR(AI81/AH81-1,"--")</f>
        <v>-0.40340580345532229</v>
      </c>
      <c r="AJ83" s="308">
        <f>IFERROR(AJ81/AI81-1,"--")</f>
        <v>-0.19357715498055827</v>
      </c>
      <c r="AK83" s="308">
        <f>IFERROR(AK81/AJ81-1,"--")</f>
        <v>0.52420171441810193</v>
      </c>
      <c r="AL83" s="311"/>
      <c r="AM83" s="308">
        <f>IFERROR(AM81/AK81-1,"--")</f>
        <v>0.67061433393146852</v>
      </c>
      <c r="AN83" s="308">
        <f>IFERROR(AN81/AM81-1,"--")</f>
        <v>-0.45934379466570063</v>
      </c>
      <c r="AO83" s="308">
        <f>IFERROR(AO81/AN81-1,"--")</f>
        <v>1.2295187444150444</v>
      </c>
      <c r="AP83" s="308">
        <f>IFERROR(AP81/AO81-1,"--")</f>
        <v>-0.25724290817837414</v>
      </c>
      <c r="AQ83" s="311"/>
      <c r="AR83" s="308">
        <f>IFERROR(AR81/AP81-1,"--")</f>
        <v>0.30135048710757006</v>
      </c>
      <c r="AS83" s="308">
        <f>IFERROR(AS81/AR81-1,"--")</f>
        <v>-0.11303651040876561</v>
      </c>
      <c r="AT83" s="308">
        <f>IFERROR(AT81/AS81-1,"--")</f>
        <v>0.39886865552711392</v>
      </c>
      <c r="AU83" s="308">
        <f>IFERROR(AU81/AT81-1,"--")</f>
        <v>0.22812787782247912</v>
      </c>
      <c r="AV83" s="311"/>
      <c r="AW83" s="308">
        <f>IFERROR(AW81/AU81-1,"--")</f>
        <v>0.30877477662889308</v>
      </c>
      <c r="AX83" s="308">
        <f>IFERROR(AX81/AW81-1,"--")</f>
        <v>-0.62067322752427689</v>
      </c>
      <c r="AY83" s="308">
        <f>IFERROR(AY81/AX81-1,"--")</f>
        <v>1.3973344344086023</v>
      </c>
      <c r="AZ83" s="308">
        <f>IFERROR(AZ81/AY81-1,"--")</f>
        <v>-0.2471727021489617</v>
      </c>
      <c r="BA83" s="311"/>
      <c r="BB83" s="308">
        <f>IFERROR(BB81/AZ81-1,"--")</f>
        <v>2.4314137449642894</v>
      </c>
      <c r="BC83" s="308">
        <f>IFERROR(BC81/BB81-1,"--")</f>
        <v>-0.62870971828356548</v>
      </c>
      <c r="BD83" s="308">
        <f>IFERROR(BD81/BC81-1,"--")</f>
        <v>3.7005753892707993E-2</v>
      </c>
      <c r="BE83" s="308">
        <f>IFERROR(BE81/BD81-1,"--")</f>
        <v>-5.0701765454254422E-2</v>
      </c>
      <c r="BF83" s="311"/>
      <c r="BG83" s="308">
        <f>IFERROR(BG81/BE81-1,"--")</f>
        <v>1.3602170753347576E-2</v>
      </c>
      <c r="BH83" s="308">
        <f>IFERROR(BH81/BG81-1,"--")</f>
        <v>-3.0708680641850949E-2</v>
      </c>
      <c r="BI83" s="308">
        <f>IFERROR(BI81/BH81-1,"--")</f>
        <v>0.10170655345838475</v>
      </c>
      <c r="BJ83" s="308">
        <f>IFERROR(BJ81/BI81-1,"--")</f>
        <v>-8.129115361140693E-4</v>
      </c>
      <c r="BK83" s="311"/>
      <c r="BL83" s="308">
        <f>IFERROR(BL81/BJ81-1,"--")</f>
        <v>0.11541103056652591</v>
      </c>
      <c r="BM83" s="308">
        <f>IFERROR(BM81/BL81-1,"--")</f>
        <v>3.2077914949389275E-2</v>
      </c>
      <c r="BN83" s="308">
        <f>IFERROR(BN81/BM81-1,"--")</f>
        <v>3.6014191300868914E-2</v>
      </c>
      <c r="BO83" s="308">
        <f>IFERROR(BO81/BN81-1,"--")</f>
        <v>2.169302392234429E-2</v>
      </c>
      <c r="BP83" s="311"/>
    </row>
    <row r="84" spans="1:68" s="310" customFormat="1" outlineLevel="1">
      <c r="A84" s="293"/>
      <c r="B84" s="307"/>
      <c r="C84" s="307"/>
      <c r="D84" s="308"/>
      <c r="E84" s="308"/>
      <c r="F84" s="308"/>
      <c r="G84" s="308"/>
      <c r="H84" s="311"/>
      <c r="I84" s="308"/>
      <c r="J84" s="308"/>
      <c r="K84" s="308"/>
      <c r="L84" s="308"/>
      <c r="M84" s="311"/>
      <c r="N84" s="308"/>
      <c r="O84" s="308"/>
      <c r="P84" s="308"/>
      <c r="Q84" s="308"/>
      <c r="R84" s="311"/>
      <c r="S84" s="308"/>
      <c r="T84" s="308"/>
      <c r="U84" s="308"/>
      <c r="V84" s="308"/>
      <c r="W84" s="311"/>
      <c r="X84" s="308"/>
      <c r="Y84" s="308"/>
      <c r="Z84" s="308"/>
      <c r="AA84" s="308"/>
      <c r="AB84" s="311"/>
      <c r="AC84" s="308"/>
      <c r="AD84" s="308"/>
      <c r="AE84" s="308"/>
      <c r="AF84" s="308"/>
      <c r="AG84" s="311"/>
      <c r="AH84" s="308"/>
      <c r="AI84" s="308"/>
      <c r="AJ84" s="308"/>
      <c r="AK84" s="308"/>
      <c r="AL84" s="311"/>
      <c r="AM84" s="308"/>
      <c r="AN84" s="308"/>
      <c r="AO84" s="308"/>
      <c r="AP84" s="308"/>
      <c r="AQ84" s="311"/>
      <c r="AR84" s="308"/>
      <c r="AS84" s="308"/>
      <c r="AT84" s="308"/>
      <c r="AU84" s="308"/>
      <c r="AV84" s="311"/>
      <c r="AW84" s="308"/>
      <c r="AX84" s="308"/>
      <c r="AY84" s="308"/>
      <c r="AZ84" s="308"/>
      <c r="BA84" s="311"/>
      <c r="BB84" s="308"/>
      <c r="BC84" s="308"/>
      <c r="BD84" s="308"/>
      <c r="BE84" s="308"/>
      <c r="BF84" s="311"/>
      <c r="BG84" s="308"/>
      <c r="BH84" s="308"/>
      <c r="BI84" s="308"/>
      <c r="BJ84" s="308"/>
      <c r="BK84" s="311"/>
      <c r="BL84" s="308"/>
      <c r="BM84" s="308"/>
      <c r="BN84" s="308"/>
      <c r="BO84" s="308"/>
      <c r="BP84" s="311"/>
    </row>
    <row r="85" spans="1:68" s="306" customFormat="1" ht="14.25" outlineLevel="1">
      <c r="A85" s="129" t="s">
        <v>82</v>
      </c>
      <c r="B85" s="302" t="s">
        <v>47</v>
      </c>
      <c r="C85" s="303"/>
      <c r="D85" s="304"/>
      <c r="E85" s="304"/>
      <c r="F85" s="304"/>
      <c r="G85" s="304"/>
      <c r="H85" s="305"/>
      <c r="I85" s="304" t="str" cm="1">
        <f t="array" ref="I85">_xlfn.SINGLE(IF(ISERROR(_xll.FDSB($C$2,"FE_ESTIMATE(FCF,MEAN,QUARTERLY_ROLL,"&amp;I$9&amp;","&amp;$C$5&amp;",,,'')")), "--", _xll.FDSB($C$2,"FE_ESTIMATE(FCF,MEAN,QUARTERLY_ROLL,"&amp;I$9&amp;","&amp;$C$5&amp;",,,'')")))</f>
        <v/>
      </c>
      <c r="J85" s="304" t="str" cm="1">
        <f t="array" ref="J85">_xlfn.SINGLE(IF(ISERROR(_xll.FDSB($C$2,"FE_ESTIMATE(FCF,MEAN,QUARTERLY_ROLL,"&amp;J$9&amp;","&amp;$C$5&amp;",,,'')")), "--", _xll.FDSB($C$2,"FE_ESTIMATE(FCF,MEAN,QUARTERLY_ROLL,"&amp;J$9&amp;","&amp;$C$5&amp;",,,'')")))</f>
        <v/>
      </c>
      <c r="K85" s="304" t="str" cm="1">
        <f t="array" ref="K85">_xlfn.SINGLE(IF(ISERROR(_xll.FDSB($C$2,"FE_ESTIMATE(FCF,MEAN,QUARTERLY_ROLL,"&amp;K$9&amp;","&amp;$C$5&amp;",,,'')")), "--", _xll.FDSB($C$2,"FE_ESTIMATE(FCF,MEAN,QUARTERLY_ROLL,"&amp;K$9&amp;","&amp;$C$5&amp;",,,'')")))</f>
        <v/>
      </c>
      <c r="L85" s="304" t="str" cm="1">
        <f t="array" ref="L85">_xlfn.SINGLE(IF(ISERROR(_xll.FDSB($C$2,"FE_ESTIMATE(FCF,MEAN,QUARTERLY_ROLL,"&amp;L$9&amp;","&amp;$C$5&amp;",,,'')")), "--", _xll.FDSB($C$2,"FE_ESTIMATE(FCF,MEAN,QUARTERLY_ROLL,"&amp;L$9&amp;","&amp;$C$5&amp;",,,'')")))</f>
        <v/>
      </c>
      <c r="M85" s="305" t="str" cm="1">
        <f t="array" ref="M85">_xlfn.SINGLE(IF(ISERROR(_xll.FDSB($C$2,"FE_ESTIMATE(FCF,MEAN,ANNUAL_ROLL,"&amp;M$9&amp;","&amp;$C$5&amp;",,,'')")), "--", _xll.FDSB($C$2,"FE_ESTIMATE(FCF,MEAN,ANNUAL_ROLL,"&amp;M$9&amp;","&amp;$C$5&amp;",,,'')")))</f>
        <v/>
      </c>
      <c r="N85" s="304" t="str" cm="1">
        <f t="array" ref="N85">_xlfn.SINGLE(IF(ISERROR(_xll.FDSB($C$2,"FE_ESTIMATE(FCF,MEAN,QUARTERLY_ROLL,"&amp;N$9&amp;","&amp;$C$5&amp;",,,'')")), "--", _xll.FDSB($C$2,"FE_ESTIMATE(FCF,MEAN,QUARTERLY_ROLL,"&amp;N$9&amp;","&amp;$C$5&amp;",,,'')")))</f>
        <v/>
      </c>
      <c r="O85" s="304" t="str" cm="1">
        <f t="array" ref="O85">_xlfn.SINGLE(IF(ISERROR(_xll.FDSB($C$2,"FE_ESTIMATE(FCF,MEAN,QUARTERLY_ROLL,"&amp;O$9&amp;","&amp;$C$5&amp;",,,'')")), "--", _xll.FDSB($C$2,"FE_ESTIMATE(FCF,MEAN,QUARTERLY_ROLL,"&amp;O$9&amp;","&amp;$C$5&amp;",,,'')")))</f>
        <v/>
      </c>
      <c r="P85" s="304" t="str" cm="1">
        <f t="array" ref="P85">_xlfn.SINGLE(IF(ISERROR(_xll.FDSB($C$2,"FE_ESTIMATE(FCF,MEAN,QUARTERLY_ROLL,"&amp;P$9&amp;","&amp;$C$5&amp;",,,'')")), "--", _xll.FDSB($C$2,"FE_ESTIMATE(FCF,MEAN,QUARTERLY_ROLL,"&amp;P$9&amp;","&amp;$C$5&amp;",,,'')")))</f>
        <v/>
      </c>
      <c r="Q85" s="304" t="str" cm="1">
        <f t="array" ref="Q85">_xlfn.SINGLE(IF(ISERROR(_xll.FDSB($C$2,"FE_ESTIMATE(FCF,MEAN,QUARTERLY_ROLL,"&amp;Q$9&amp;","&amp;$C$5&amp;",,,'')")), "--", _xll.FDSB($C$2,"FE_ESTIMATE(FCF,MEAN,QUARTERLY_ROLL,"&amp;Q$9&amp;","&amp;$C$5&amp;",,,'')")))</f>
        <v/>
      </c>
      <c r="R85" s="305" t="str" cm="1">
        <f t="array" ref="R85">_xlfn.SINGLE(IF(ISERROR(_xll.FDSB($C$2,"FE_ESTIMATE(FCF,MEAN,ANNUAL_ROLL,"&amp;R$9&amp;","&amp;$C$5&amp;",,,'')")), "--", _xll.FDSB($C$2,"FE_ESTIMATE(FCF,MEAN,ANNUAL_ROLL,"&amp;R$9&amp;","&amp;$C$5&amp;",,,'')")))</f>
        <v/>
      </c>
      <c r="S85" s="304" t="str" cm="1">
        <f t="array" ref="S85">_xlfn.SINGLE(IF(ISERROR(_xll.FDSB($C$2,"FE_ESTIMATE(FCF,MEAN,QUARTERLY_ROLL,"&amp;S$9&amp;","&amp;$C$5&amp;",,,'')")), "--", _xll.FDSB($C$2,"FE_ESTIMATE(FCF,MEAN,QUARTERLY_ROLL,"&amp;S$9&amp;","&amp;$C$5&amp;",,,'')")))</f>
        <v/>
      </c>
      <c r="T85" s="304" t="str" cm="1">
        <f t="array" ref="T85">_xlfn.SINGLE(IF(ISERROR(_xll.FDSB($C$2,"FE_ESTIMATE(FCF,MEAN,QUARTERLY_ROLL,"&amp;T$9&amp;","&amp;$C$5&amp;",,,'')")), "--", _xll.FDSB($C$2,"FE_ESTIMATE(FCF,MEAN,QUARTERLY_ROLL,"&amp;T$9&amp;","&amp;$C$5&amp;",,,'')")))</f>
        <v/>
      </c>
      <c r="U85" s="304" t="str" cm="1">
        <f t="array" ref="U85">_xlfn.SINGLE(IF(ISERROR(_xll.FDSB($C$2,"FE_ESTIMATE(FCF,MEAN,QUARTERLY_ROLL,"&amp;U$9&amp;","&amp;$C$5&amp;",,,'')")), "--", _xll.FDSB($C$2,"FE_ESTIMATE(FCF,MEAN,QUARTERLY_ROLL,"&amp;U$9&amp;","&amp;$C$5&amp;",,,'')")))</f>
        <v/>
      </c>
      <c r="V85" s="304" t="str" cm="1">
        <f t="array" ref="V85">_xlfn.SINGLE(IF(ISERROR(_xll.FDSB($C$2,"FE_ESTIMATE(FCF,MEAN,QUARTERLY_ROLL,"&amp;V$9&amp;","&amp;$C$5&amp;",,,'')")), "--", _xll.FDSB($C$2,"FE_ESTIMATE(FCF,MEAN,QUARTERLY_ROLL,"&amp;V$9&amp;","&amp;$C$5&amp;",,,'')")))</f>
        <v/>
      </c>
      <c r="W85" s="305" t="str" cm="1">
        <f t="array" ref="W85">_xlfn.SINGLE(IF(ISERROR(_xll.FDSB($C$2,"FE_ESTIMATE(FCF,MEAN,ANNUAL_ROLL,"&amp;W$9&amp;","&amp;$C$5&amp;",,,'')")), "--", _xll.FDSB($C$2,"FE_ESTIMATE(FCF,MEAN,ANNUAL_ROLL,"&amp;W$9&amp;","&amp;$C$5&amp;",,,'')")))</f>
        <v/>
      </c>
      <c r="X85" s="304" t="str" cm="1">
        <f t="array" ref="X85">_xlfn.SINGLE(IF(ISERROR(_xll.FDSB($C$2,"FE_ESTIMATE(FCF,MEAN,QUARTERLY_ROLL,"&amp;X$9&amp;","&amp;$C$5&amp;",,,'')")), "--", _xll.FDSB($C$2,"FE_ESTIMATE(FCF,MEAN,QUARTERLY_ROLL,"&amp;X$9&amp;","&amp;$C$5&amp;",,,'')")))</f>
        <v/>
      </c>
      <c r="Y85" s="304" t="str" cm="1">
        <f t="array" ref="Y85">_xlfn.SINGLE(IF(ISERROR(_xll.FDSB($C$2,"FE_ESTIMATE(FCF,MEAN,QUARTERLY_ROLL,"&amp;Y$9&amp;","&amp;$C$5&amp;",,,'')")), "--", _xll.FDSB($C$2,"FE_ESTIMATE(FCF,MEAN,QUARTERLY_ROLL,"&amp;Y$9&amp;","&amp;$C$5&amp;",,,'')")))</f>
        <v/>
      </c>
      <c r="Z85" s="304" t="str" cm="1">
        <f t="array" ref="Z85">_xlfn.SINGLE(IF(ISERROR(_xll.FDSB($C$2,"FE_ESTIMATE(FCF,MEAN,QUARTERLY_ROLL,"&amp;Z$9&amp;","&amp;$C$5&amp;",,,'')")), "--", _xll.FDSB($C$2,"FE_ESTIMATE(FCF,MEAN,QUARTERLY_ROLL,"&amp;Z$9&amp;","&amp;$C$5&amp;",,,'')")))</f>
        <v/>
      </c>
      <c r="AA85" s="304" t="str" cm="1">
        <f t="array" ref="AA85">_xlfn.SINGLE(IF(ISERROR(_xll.FDSB($C$2,"FE_ESTIMATE(FCF,MEAN,QUARTERLY_ROLL,"&amp;AA$9&amp;","&amp;$C$5&amp;",,,'')")), "--", _xll.FDSB($C$2,"FE_ESTIMATE(FCF,MEAN,QUARTERLY_ROLL,"&amp;AA$9&amp;","&amp;$C$5&amp;",,,'')")))</f>
        <v/>
      </c>
      <c r="AB85" s="305" t="str" cm="1">
        <f t="array" ref="AB85">_xlfn.SINGLE(IF(ISERROR(_xll.FDSB($C$2,"FE_ESTIMATE(FCF,MEAN,ANNUAL_ROLL,"&amp;AB$9&amp;","&amp;$C$5&amp;",,,'')")), "--", _xll.FDSB($C$2,"FE_ESTIMATE(FCF,MEAN,ANNUAL_ROLL,"&amp;AB$9&amp;","&amp;$C$5&amp;",,,'')")))</f>
        <v/>
      </c>
      <c r="AC85" s="304" cm="1">
        <f t="array" ref="AC85">_xlfn.SINGLE(IF(ISERROR(_xll.FDSB($C$2,"FE_ESTIMATE(FCF,MEAN,QUARTERLY_ROLL,"&amp;AC$9&amp;","&amp;$C$5&amp;",,,'')")), "--", _xll.FDSB($C$2,"FE_ESTIMATE(FCF,MEAN,QUARTERLY_ROLL,"&amp;AC$9&amp;","&amp;$C$5&amp;",,,'')")))</f>
        <v>-10.8</v>
      </c>
      <c r="AD85" s="304" cm="1">
        <f t="array" ref="AD85">_xlfn.SINGLE(IF(ISERROR(_xll.FDSB($C$2,"FE_ESTIMATE(FCF,MEAN,QUARTERLY_ROLL,"&amp;AD$9&amp;","&amp;$C$5&amp;",,,'')")), "--", _xll.FDSB($C$2,"FE_ESTIMATE(FCF,MEAN,QUARTERLY_ROLL,"&amp;AD$9&amp;","&amp;$C$5&amp;",,,'')")))</f>
        <v>-44.199333000000003</v>
      </c>
      <c r="AE85" s="304" cm="1">
        <f t="array" ref="AE85">_xlfn.SINGLE(IF(ISERROR(_xll.FDSB($C$2,"FE_ESTIMATE(FCF,MEAN,QUARTERLY_ROLL,"&amp;AE$9&amp;","&amp;$C$5&amp;",,,'')")), "--", _xll.FDSB($C$2,"FE_ESTIMATE(FCF,MEAN,QUARTERLY_ROLL,"&amp;AE$9&amp;","&amp;$C$5&amp;",,,'')")))</f>
        <v>-37.558</v>
      </c>
      <c r="AF85" s="304" cm="1">
        <f t="array" ref="AF85">_xlfn.SINGLE(IF(ISERROR(_xll.FDSB($C$2,"FE_ESTIMATE(FCF,MEAN,QUARTERLY_ROLL,"&amp;AF$9&amp;","&amp;$C$5&amp;",,,'')")), "--", _xll.FDSB($C$2,"FE_ESTIMATE(FCF,MEAN,QUARTERLY_ROLL,"&amp;AF$9&amp;","&amp;$C$5&amp;",,,'')")))</f>
        <v>8.5136669999999999</v>
      </c>
      <c r="AG85" s="305" cm="1">
        <f t="array" ref="AG85">_xlfn.SINGLE(IF(ISERROR(_xll.FDSB($C$2,"FE_ESTIMATE(FCF,MEAN,ANNUAL_ROLL,"&amp;AG$9&amp;","&amp;$C$5&amp;",,,'')")), "--", _xll.FDSB($C$2,"FE_ESTIMATE(FCF,MEAN,ANNUAL_ROLL,"&amp;AG$9&amp;","&amp;$C$5&amp;",,,'')")))</f>
        <v>-83.855609999999999</v>
      </c>
      <c r="AH85" s="304" cm="1">
        <f t="array" ref="AH85">_xlfn.SINGLE(IF(ISERROR(_xll.FDSB($C$2,"FE_ESTIMATE(FCF,MEAN,QUARTERLY_ROLL,"&amp;AH$9&amp;","&amp;$C$5&amp;",,,'')")), "--", _xll.FDSB($C$2,"FE_ESTIMATE(FCF,MEAN,QUARTERLY_ROLL,"&amp;AH$9&amp;","&amp;$C$5&amp;",,,'')")))</f>
        <v>14.532125000000001</v>
      </c>
      <c r="AI85" s="304" cm="1">
        <f t="array" ref="AI85">_xlfn.SINGLE(IF(ISERROR(_xll.FDSB($C$2,"FE_ESTIMATE(FCF,MEAN,QUARTERLY_ROLL,"&amp;AI$9&amp;","&amp;$C$5&amp;",,,'')")), "--", _xll.FDSB($C$2,"FE_ESTIMATE(FCF,MEAN,QUARTERLY_ROLL,"&amp;AI$9&amp;","&amp;$C$5&amp;",,,'')")))</f>
        <v>-6.7928889999999997</v>
      </c>
      <c r="AJ85" s="304" cm="1">
        <f t="array" ref="AJ85">_xlfn.SINGLE(IF(ISERROR(_xll.FDSB($C$2,"FE_ESTIMATE(FCF,MEAN,QUARTERLY_ROLL,"&amp;AJ$9&amp;","&amp;$C$5&amp;",,,'')")), "--", _xll.FDSB($C$2,"FE_ESTIMATE(FCF,MEAN,QUARTERLY_ROLL,"&amp;AJ$9&amp;","&amp;$C$5&amp;",,,'')")))</f>
        <v>12.583333</v>
      </c>
      <c r="AK85" s="304" cm="1">
        <f t="array" ref="AK85">_xlfn.SINGLE(IF(ISERROR(_xll.FDSB($C$2,"FE_ESTIMATE(FCF,MEAN,QUARTERLY_ROLL,"&amp;AK$9&amp;","&amp;$C$5&amp;",,,'')")), "--", _xll.FDSB($C$2,"FE_ESTIMATE(FCF,MEAN,QUARTERLY_ROLL,"&amp;AK$9&amp;","&amp;$C$5&amp;",,,'')")))</f>
        <v>82.121269999999996</v>
      </c>
      <c r="AL85" s="305" cm="1">
        <f t="array" ref="AL85">_xlfn.SINGLE(IF(ISERROR(_xll.FDSB($C$2,"FE_ESTIMATE(FCF,MEAN,ANNUAL_ROLL,"&amp;AL$9&amp;","&amp;$C$5&amp;",,,'')")), "--", _xll.FDSB($C$2,"FE_ESTIMATE(FCF,MEAN,ANNUAL_ROLL,"&amp;AL$9&amp;","&amp;$C$5&amp;",,,'')")))</f>
        <v>94.710303999999994</v>
      </c>
      <c r="AM85" s="304" cm="1">
        <f t="array" ref="AM85">_xlfn.SINGLE(IF(ISERROR(_xll.FDSB($C$2,"FE_ESTIMATE(FCF,MEAN,QUARTERLY_ROLL,"&amp;AM$9&amp;","&amp;$C$5&amp;",,,'')")), "--", _xll.FDSB($C$2,"FE_ESTIMATE(FCF,MEAN,QUARTERLY_ROLL,"&amp;AM$9&amp;","&amp;$C$5&amp;",,,'')")))</f>
        <v>176.87658999999999</v>
      </c>
      <c r="AN85" s="304" cm="1">
        <f t="array" ref="AN85">_xlfn.SINGLE(IF(ISERROR(_xll.FDSB($C$2,"FE_ESTIMATE(FCF,MEAN,QUARTERLY_ROLL,"&amp;AN$9&amp;","&amp;$C$5&amp;",,,'')")), "--", _xll.FDSB($C$2,"FE_ESTIMATE(FCF,MEAN,QUARTERLY_ROLL,"&amp;AN$9&amp;","&amp;$C$5&amp;",,,'')")))</f>
        <v>41.698616000000001</v>
      </c>
      <c r="AO85" s="304" cm="1">
        <f t="array" ref="AO85">_xlfn.SINGLE(IF(ISERROR(_xll.FDSB($C$2,"FE_ESTIMATE(FCF,MEAN,QUARTERLY_ROLL,"&amp;AO$9&amp;","&amp;$C$5&amp;",,,'')")), "--", _xll.FDSB($C$2,"FE_ESTIMATE(FCF,MEAN,QUARTERLY_ROLL,"&amp;AO$9&amp;","&amp;$C$5&amp;",,,'')")))</f>
        <v>65.557749999999999</v>
      </c>
      <c r="AP85" s="304" cm="1">
        <f t="array" ref="AP85">_xlfn.SINGLE(IF(ISERROR(_xll.FDSB($C$2,"FE_ESTIMATE(FCF,MEAN,QUARTERLY_ROLL,"&amp;AP$9&amp;","&amp;$C$5&amp;",,,'')")), "--", _xll.FDSB($C$2,"FE_ESTIMATE(FCF,MEAN,QUARTERLY_ROLL,"&amp;AP$9&amp;","&amp;$C$5&amp;",,,'')")))</f>
        <v>205.28581</v>
      </c>
      <c r="AQ85" s="305" cm="1">
        <f t="array" ref="AQ85">_xlfn.SINGLE(IF(ISERROR(_xll.FDSB($C$2,"FE_ESTIMATE(FCF,MEAN,ANNUAL_ROLL,"&amp;AQ$9&amp;","&amp;$C$5&amp;",,,'')")), "--", _xll.FDSB($C$2,"FE_ESTIMATE(FCF,MEAN,ANNUAL_ROLL,"&amp;AQ$9&amp;","&amp;$C$5&amp;",,,'')")))</f>
        <v>499.10730000000001</v>
      </c>
      <c r="AR85" s="304" cm="1">
        <f t="array" ref="AR85">_xlfn.SINGLE(IF(ISERROR(_xll.FDSB($C$2,"FE_ESTIMATE(FCF,MEAN,QUARTERLY_ROLL,"&amp;AR$9&amp;","&amp;$C$5&amp;",,,'')")), "--", _xll.FDSB($C$2,"FE_ESTIMATE(FCF,MEAN,QUARTERLY_ROLL,"&amp;AR$9&amp;","&amp;$C$5&amp;",,,'')")))</f>
        <v>284.11016999999998</v>
      </c>
      <c r="AS85" s="304" cm="1">
        <f t="array" ref="AS85">_xlfn.SINGLE(IF(ISERROR(_xll.FDSB($C$2,"FE_ESTIMATE(FCF,MEAN,QUARTERLY_ROLL,"&amp;AS$9&amp;","&amp;$C$5&amp;",,,'')")), "--", _xll.FDSB($C$2,"FE_ESTIMATE(FCF,MEAN,QUARTERLY_ROLL,"&amp;AS$9&amp;","&amp;$C$5&amp;",,,'')")))</f>
        <v>69.805430000000001</v>
      </c>
      <c r="AT85" s="304" cm="1">
        <f t="array" ref="AT85">_xlfn.SINGLE(IF(ISERROR(_xll.FDSB($C$2,"FE_ESTIMATE(FCF,MEAN,QUARTERLY_ROLL,"&amp;AT$9&amp;","&amp;$C$5&amp;",,,'')")), "--", _xll.FDSB($C$2,"FE_ESTIMATE(FCF,MEAN,QUARTERLY_ROLL,"&amp;AT$9&amp;","&amp;$C$5&amp;",,,'')")))</f>
        <v>105.12860000000001</v>
      </c>
      <c r="AU85" s="304" cm="1">
        <f t="array" ref="AU85">_xlfn.SINGLE(IF(ISERROR(_xll.FDSB($C$2,"FE_ESTIMATE(FCF,MEAN,QUARTERLY_ROLL,"&amp;AU$9&amp;","&amp;$C$5&amp;",,,'')")), "--", _xll.FDSB($C$2,"FE_ESTIMATE(FCF,MEAN,QUARTERLY_ROLL,"&amp;AU$9&amp;","&amp;$C$5&amp;",,,'')")))</f>
        <v>324.3</v>
      </c>
      <c r="AV85" s="305" cm="1">
        <f t="array" ref="AV85">_xlfn.SINGLE(IF(ISERROR(_xll.FDSB($C$2,"FE_ESTIMATE(FCF,MEAN,ANNUAL_ROLL,"&amp;AV$9&amp;","&amp;$C$5&amp;",,,'')")), "--", _xll.FDSB($C$2,"FE_ESTIMATE(FCF,MEAN,ANNUAL_ROLL,"&amp;AV$9&amp;","&amp;$C$5&amp;",,,'')")))</f>
        <v>810.2</v>
      </c>
      <c r="AW85" s="304" cm="1">
        <f t="array" ref="AW85">_xlfn.SINGLE(IF(ISERROR(_xll.FDSB($C$2,"FE_ESTIMATE(FCF,MEAN,QUARTERLY_ROLL,"&amp;AW$9&amp;","&amp;$C$5&amp;",,,'')")), "--", _xll.FDSB($C$2,"FE_ESTIMATE(FCF,MEAN,QUARTERLY_ROLL,"&amp;AW$9&amp;","&amp;$C$5&amp;",,,'')")))</f>
        <v>331.54500000000002</v>
      </c>
      <c r="AX85" s="304" cm="1">
        <f t="array" ref="AX85">_xlfn.SINGLE(IF(ISERROR(_xll.FDSB($C$2,"FE_ESTIMATE(FCF,MEAN,QUARTERLY_ROLL,"&amp;AX$9&amp;","&amp;$C$5&amp;",,,'')")), "--", _xll.FDSB($C$2,"FE_ESTIMATE(FCF,MEAN,QUARTERLY_ROLL,"&amp;AX$9&amp;","&amp;$C$5&amp;",,,'')")))</f>
        <v>60.856999999999999</v>
      </c>
      <c r="AY85" s="304" cm="1">
        <f t="array" ref="AY85">_xlfn.SINGLE(IF(ISERROR(_xll.FDSB($C$2,"FE_ESTIMATE(FCF,MEAN,QUARTERLY_ROLL,"&amp;AY$9&amp;","&amp;$C$5&amp;",,,'')")), "--", _xll.FDSB($C$2,"FE_ESTIMATE(FCF,MEAN,QUARTERLY_ROLL,"&amp;AY$9&amp;","&amp;$C$5&amp;",,,'')")))</f>
        <v>80.335434000000006</v>
      </c>
      <c r="AZ85" s="304" cm="1">
        <f t="array" ref="AZ85">_xlfn.SINGLE(IF(ISERROR(_xll.FDSB($C$2,"FE_ESTIMATE(FCF,MEAN,QUARTERLY_ROLL,"&amp;AZ$9&amp;","&amp;$C$5&amp;",,,'')")), "--", _xll.FDSB($C$2,"FE_ESTIMATE(FCF,MEAN,QUARTERLY_ROLL,"&amp;AZ$9&amp;","&amp;$C$5&amp;",,,'')")))</f>
        <v>417.53946000000002</v>
      </c>
      <c r="BA85" s="305" cm="1">
        <f t="array" ref="BA85">_xlfn.SINGLE(IF(ISERROR(_xll.FDSB($C$2,"FE_ESTIMATE(FCF,MEAN,ANNUAL_ROLL,"&amp;BA$9&amp;","&amp;$C$5&amp;",,,'')")), "--", _xll.FDSB($C$2,"FE_ESTIMATE(FCF,MEAN,ANNUAL_ROLL,"&amp;BA$9&amp;","&amp;$C$5&amp;",,,'')")))</f>
        <v>902.78160000000003</v>
      </c>
      <c r="BB85" s="304" cm="1">
        <f t="array" ref="BB85">_xlfn.SINGLE(IF(ISERROR(_xll.FDSB($C$2,"FE_ESTIMATE(FCF,MEAN,QUARTERLY_ROLL,"&amp;BB$9&amp;","&amp;$C$5&amp;",,,'')")), "--", _xll.FDSB($C$2,"FE_ESTIMATE(FCF,MEAN,QUARTERLY_ROLL,"&amp;BB$9&amp;","&amp;$C$5&amp;",,,'')")))</f>
        <v>192.09440000000001</v>
      </c>
      <c r="BC85" s="304" cm="1">
        <f t="array" ref="BC85">_xlfn.SINGLE(IF(ISERROR(_xll.FDSB($C$2,"FE_ESTIMATE(FCF,MEAN,QUARTERLY_ROLL,"&amp;BC$9&amp;","&amp;$C$5&amp;",,,'')")), "--", _xll.FDSB($C$2,"FE_ESTIMATE(FCF,MEAN,QUARTERLY_ROLL,"&amp;BC$9&amp;","&amp;$C$5&amp;",,,'')")))</f>
        <v>62.392600000000002</v>
      </c>
      <c r="BD85" s="304" cm="1">
        <f t="array" ref="BD85">_xlfn.SINGLE(IF(ISERROR(_xll.FDSB($C$2,"FE_ESTIMATE(FCF,MEAN,QUARTERLY_ROLL,"&amp;BD$9&amp;","&amp;$C$5&amp;",,,'')")), "--", _xll.FDSB($C$2,"FE_ESTIMATE(FCF,MEAN,QUARTERLY_ROLL,"&amp;BD$9&amp;","&amp;$C$5&amp;",,,'')")))</f>
        <v>306.11685</v>
      </c>
      <c r="BE85" s="304" cm="1">
        <f t="array" ref="BE85">_xlfn.SINGLE(IF(ISERROR(_xll.FDSB($C$2,"FE_ESTIMATE(FCF,MEAN,QUARTERLY_ROLL,"&amp;BE$9&amp;","&amp;$C$5&amp;",,,'')")), "--", _xll.FDSB($C$2,"FE_ESTIMATE(FCF,MEAN,QUARTERLY_ROLL,"&amp;BE$9&amp;","&amp;$C$5&amp;",,,'')")))</f>
        <v>603.96045000000004</v>
      </c>
      <c r="BF85" s="305" cm="1">
        <f t="array" ref="BF85">_xlfn.SINGLE(IF(ISERROR(_xll.FDSB($C$2,"FE_ESTIMATE(FCF,MEAN,ANNUAL_ROLL,"&amp;BF$9&amp;","&amp;$C$5&amp;",,,'')")), "--", _xll.FDSB($C$2,"FE_ESTIMATE(FCF,MEAN,ANNUAL_ROLL,"&amp;BF$9&amp;","&amp;$C$5&amp;",,,'')")))</f>
        <v>1063.4867999999999</v>
      </c>
      <c r="BG85" s="304" cm="1">
        <f t="array" ref="BG85">_xlfn.SINGLE(IF(ISERROR(_xll.FDSB($C$2,"FE_ESTIMATE(FCF,MEAN,QUARTERLY_ROLL,"&amp;BG$9&amp;","&amp;$C$5&amp;",,,'')")), "--", _xll.FDSB($C$2,"FE_ESTIMATE(FCF,MEAN,QUARTERLY_ROLL,"&amp;BG$9&amp;","&amp;$C$5&amp;",,,'')")))</f>
        <v>361.71785999999997</v>
      </c>
      <c r="BH85" s="304" cm="1">
        <f t="array" ref="BH85">_xlfn.SINGLE(IF(ISERROR(_xll.FDSB($C$2,"FE_ESTIMATE(FCF,MEAN,QUARTERLY_ROLL,"&amp;BH$9&amp;","&amp;$C$5&amp;",,,'')")), "--", _xll.FDSB($C$2,"FE_ESTIMATE(FCF,MEAN,QUARTERLY_ROLL,"&amp;BH$9&amp;","&amp;$C$5&amp;",,,'')")))</f>
        <v>149.34845000000001</v>
      </c>
      <c r="BI85" s="304" cm="1">
        <f t="array" ref="BI85">_xlfn.SINGLE(IF(ISERROR(_xll.FDSB($C$2,"FE_ESTIMATE(FCF,MEAN,QUARTERLY_ROLL,"&amp;BI$9&amp;","&amp;$C$5&amp;",,,'')")), "--", _xll.FDSB($C$2,"FE_ESTIMATE(FCF,MEAN,QUARTERLY_ROLL,"&amp;BI$9&amp;","&amp;$C$5&amp;",,,'')")))</f>
        <v>222.06406000000001</v>
      </c>
      <c r="BJ85" s="304" cm="1">
        <f t="array" ref="BJ85">_xlfn.SINGLE(IF(ISERROR(_xll.FDSB($C$2,"FE_ESTIMATE(FCF,MEAN,QUARTERLY_ROLL,"&amp;BJ$9&amp;","&amp;$C$5&amp;",,,'')")), "--", _xll.FDSB($C$2,"FE_ESTIMATE(FCF,MEAN,QUARTERLY_ROLL,"&amp;BJ$9&amp;","&amp;$C$5&amp;",,,'')")))</f>
        <v>658.22095000000002</v>
      </c>
      <c r="BK85" s="305" cm="1">
        <f t="array" ref="BK85">_xlfn.SINGLE(IF(ISERROR(_xll.FDSB($C$2,"FE_ESTIMATE(FCF,MEAN,ANNUAL_ROLL,"&amp;BK$9&amp;","&amp;$C$5&amp;",,,'')")), "--", _xll.FDSB($C$2,"FE_ESTIMATE(FCF,MEAN,ANNUAL_ROLL,"&amp;BK$9&amp;","&amp;$C$5&amp;",,,'')")))</f>
        <v>1386.6895</v>
      </c>
      <c r="BL85" s="304" cm="1">
        <f t="array" ref="BL85">_xlfn.SINGLE(IF(ISERROR(_xll.FDSB($C$2,"FE_ESTIMATE(FCF,MEAN,QUARTERLY_ROLL,"&amp;BL$9&amp;","&amp;$C$5&amp;",,,'')")), "--", _xll.FDSB($C$2,"FE_ESTIMATE(FCF,MEAN,QUARTERLY_ROLL,"&amp;BL$9&amp;","&amp;$C$5&amp;",,,'')")))</f>
        <v>555.68535999999995</v>
      </c>
      <c r="BM85" s="304" cm="1">
        <f t="array" ref="BM85">_xlfn.SINGLE(IF(ISERROR(_xll.FDSB($C$2,"FE_ESTIMATE(FCF,MEAN,QUARTERLY_ROLL,"&amp;BM$9&amp;","&amp;$C$5&amp;",,,'')")), "--", _xll.FDSB($C$2,"FE_ESTIMATE(FCF,MEAN,QUARTERLY_ROLL,"&amp;BM$9&amp;","&amp;$C$5&amp;",,,'')")))</f>
        <v>192.73666</v>
      </c>
      <c r="BN85" s="304" cm="1">
        <f t="array" ref="BN85">_xlfn.SINGLE(IF(ISERROR(_xll.FDSB($C$2,"FE_ESTIMATE(FCF,MEAN,QUARTERLY_ROLL,"&amp;BN$9&amp;","&amp;$C$5&amp;",,,'')")), "--", _xll.FDSB($C$2,"FE_ESTIMATE(FCF,MEAN,QUARTERLY_ROLL,"&amp;BN$9&amp;","&amp;$C$5&amp;",,,'')")))</f>
        <v>292.67</v>
      </c>
      <c r="BO85" s="304" cm="1">
        <f t="array" ref="BO85">_xlfn.SINGLE(IF(ISERROR(_xll.FDSB($C$2,"FE_ESTIMATE(FCF,MEAN,QUARTERLY_ROLL,"&amp;BO$9&amp;","&amp;$C$5&amp;",,,'')")), "--", _xll.FDSB($C$2,"FE_ESTIMATE(FCF,MEAN,QUARTERLY_ROLL,"&amp;BO$9&amp;","&amp;$C$5&amp;",,,'')")))</f>
        <v>821.67399999999998</v>
      </c>
      <c r="BP85" s="305" cm="1">
        <f t="array" ref="BP85">_xlfn.SINGLE(IF(ISERROR(_xll.FDSB($C$2,"FE_ESTIMATE(FCF,MEAN,ANNUAL_ROLL,"&amp;BP$9&amp;","&amp;$C$5&amp;",,,'')")), "--", _xll.FDSB($C$2,"FE_ESTIMATE(FCF,MEAN,ANNUAL_ROLL,"&amp;BP$9&amp;","&amp;$C$5&amp;",,,'')")))</f>
        <v>1912.4612</v>
      </c>
    </row>
    <row r="86" spans="1:68" s="12" customFormat="1" ht="15" customHeight="1" outlineLevel="1">
      <c r="A86" s="130"/>
      <c r="B86" s="307" t="s">
        <v>32</v>
      </c>
      <c r="C86" s="312"/>
      <c r="D86" s="308"/>
      <c r="E86" s="308"/>
      <c r="F86" s="308"/>
      <c r="G86" s="308"/>
      <c r="H86" s="309"/>
      <c r="I86" s="308" t="str">
        <f t="shared" ref="I86:AN86" si="49">IFERROR(I85/D85-1,"--")</f>
        <v>--</v>
      </c>
      <c r="J86" s="308" t="str">
        <f t="shared" si="49"/>
        <v>--</v>
      </c>
      <c r="K86" s="308" t="str">
        <f t="shared" si="49"/>
        <v>--</v>
      </c>
      <c r="L86" s="308" t="str">
        <f t="shared" si="49"/>
        <v>--</v>
      </c>
      <c r="M86" s="309" t="str">
        <f t="shared" si="49"/>
        <v>--</v>
      </c>
      <c r="N86" s="308" t="str">
        <f t="shared" si="49"/>
        <v>--</v>
      </c>
      <c r="O86" s="308" t="str">
        <f t="shared" si="49"/>
        <v>--</v>
      </c>
      <c r="P86" s="308" t="str">
        <f t="shared" si="49"/>
        <v>--</v>
      </c>
      <c r="Q86" s="308" t="str">
        <f t="shared" si="49"/>
        <v>--</v>
      </c>
      <c r="R86" s="309" t="str">
        <f t="shared" si="49"/>
        <v>--</v>
      </c>
      <c r="S86" s="308" t="str">
        <f t="shared" si="49"/>
        <v>--</v>
      </c>
      <c r="T86" s="308" t="str">
        <f t="shared" si="49"/>
        <v>--</v>
      </c>
      <c r="U86" s="308" t="str">
        <f t="shared" si="49"/>
        <v>--</v>
      </c>
      <c r="V86" s="308" t="str">
        <f t="shared" si="49"/>
        <v>--</v>
      </c>
      <c r="W86" s="309" t="str">
        <f t="shared" si="49"/>
        <v>--</v>
      </c>
      <c r="X86" s="308" t="str">
        <f t="shared" si="49"/>
        <v>--</v>
      </c>
      <c r="Y86" s="308" t="str">
        <f t="shared" si="49"/>
        <v>--</v>
      </c>
      <c r="Z86" s="308" t="str">
        <f t="shared" si="49"/>
        <v>--</v>
      </c>
      <c r="AA86" s="308" t="str">
        <f t="shared" si="49"/>
        <v>--</v>
      </c>
      <c r="AB86" s="309" t="str">
        <f t="shared" si="49"/>
        <v>--</v>
      </c>
      <c r="AC86" s="308" t="str">
        <f t="shared" si="49"/>
        <v>--</v>
      </c>
      <c r="AD86" s="308" t="str">
        <f t="shared" si="49"/>
        <v>--</v>
      </c>
      <c r="AE86" s="308" t="str">
        <f t="shared" si="49"/>
        <v>--</v>
      </c>
      <c r="AF86" s="308" t="str">
        <f t="shared" si="49"/>
        <v>--</v>
      </c>
      <c r="AG86" s="309" t="str">
        <f t="shared" si="49"/>
        <v>--</v>
      </c>
      <c r="AH86" s="308">
        <f t="shared" si="49"/>
        <v>-2.3455671296296297</v>
      </c>
      <c r="AI86" s="308">
        <f t="shared" si="49"/>
        <v>-0.84631240928454732</v>
      </c>
      <c r="AJ86" s="308">
        <f t="shared" si="49"/>
        <v>-1.335037355556739</v>
      </c>
      <c r="AK86" s="308">
        <f t="shared" si="49"/>
        <v>8.6458165441518915</v>
      </c>
      <c r="AL86" s="309">
        <f t="shared" si="49"/>
        <v>-2.1294450544215229</v>
      </c>
      <c r="AM86" s="308">
        <f t="shared" si="49"/>
        <v>11.171419527426304</v>
      </c>
      <c r="AN86" s="308">
        <f t="shared" si="49"/>
        <v>-7.1385687297407632</v>
      </c>
      <c r="AO86" s="308">
        <f t="shared" ref="AO86:BP86" si="50">IFERROR(AO85/AJ85-1,"--")</f>
        <v>4.2098875552288098</v>
      </c>
      <c r="AP86" s="308">
        <f t="shared" si="50"/>
        <v>1.4997885444294763</v>
      </c>
      <c r="AQ86" s="309">
        <f t="shared" si="50"/>
        <v>4.2698310418262411</v>
      </c>
      <c r="AR86" s="308">
        <f t="shared" si="50"/>
        <v>0.60626214017355262</v>
      </c>
      <c r="AS86" s="308">
        <f t="shared" si="50"/>
        <v>0.67404668778455368</v>
      </c>
      <c r="AT86" s="308">
        <f t="shared" si="50"/>
        <v>0.60360293024089451</v>
      </c>
      <c r="AU86" s="308">
        <f t="shared" si="50"/>
        <v>0.57974874152285549</v>
      </c>
      <c r="AV86" s="309">
        <f t="shared" si="50"/>
        <v>0.62329823667175388</v>
      </c>
      <c r="AW86" s="308">
        <f t="shared" si="50"/>
        <v>0.1669592820278134</v>
      </c>
      <c r="AX86" s="308">
        <f t="shared" si="50"/>
        <v>-0.12819103041124458</v>
      </c>
      <c r="AY86" s="308">
        <f t="shared" si="50"/>
        <v>-0.23583654685784838</v>
      </c>
      <c r="AZ86" s="308">
        <f t="shared" si="50"/>
        <v>0.28750989824236828</v>
      </c>
      <c r="BA86" s="309">
        <f t="shared" si="50"/>
        <v>0.11427005677610458</v>
      </c>
      <c r="BB86" s="308">
        <f t="shared" si="50"/>
        <v>-0.42060836387217426</v>
      </c>
      <c r="BC86" s="308">
        <f t="shared" si="50"/>
        <v>2.5232923081978997E-2</v>
      </c>
      <c r="BD86" s="308">
        <f t="shared" si="50"/>
        <v>2.8104835532474994</v>
      </c>
      <c r="BE86" s="308">
        <f t="shared" si="50"/>
        <v>0.44647514273261746</v>
      </c>
      <c r="BF86" s="309">
        <f t="shared" si="50"/>
        <v>0.17801116017428775</v>
      </c>
      <c r="BG86" s="308">
        <f t="shared" si="50"/>
        <v>0.88302136866040848</v>
      </c>
      <c r="BH86" s="308">
        <f t="shared" si="50"/>
        <v>1.3936885143430473</v>
      </c>
      <c r="BI86" s="308">
        <f t="shared" si="50"/>
        <v>-0.27457746935524785</v>
      </c>
      <c r="BJ86" s="308">
        <f t="shared" si="50"/>
        <v>8.9841147710913782E-2</v>
      </c>
      <c r="BK86" s="309">
        <f t="shared" si="50"/>
        <v>0.30390852053828987</v>
      </c>
      <c r="BL86" s="308">
        <f t="shared" si="50"/>
        <v>0.53623976432902709</v>
      </c>
      <c r="BM86" s="308">
        <f t="shared" si="50"/>
        <v>0.29051664078201012</v>
      </c>
      <c r="BN86" s="308">
        <f t="shared" si="50"/>
        <v>0.31795302670769865</v>
      </c>
      <c r="BO86" s="308">
        <f t="shared" si="50"/>
        <v>0.24832550528815589</v>
      </c>
      <c r="BP86" s="309">
        <f t="shared" si="50"/>
        <v>0.37915604033923955</v>
      </c>
    </row>
    <row r="87" spans="1:68" s="12" customFormat="1" ht="15" customHeight="1" outlineLevel="1">
      <c r="A87" s="293"/>
      <c r="B87" s="307" t="s">
        <v>33</v>
      </c>
      <c r="C87" s="312"/>
      <c r="D87" s="308"/>
      <c r="E87" s="308"/>
      <c r="F87" s="308"/>
      <c r="G87" s="308"/>
      <c r="H87" s="313"/>
      <c r="I87" s="308" t="str">
        <f>IFERROR(I85/G85-1,"--")</f>
        <v>--</v>
      </c>
      <c r="J87" s="308" t="str">
        <f>IFERROR(J85/I85-1,"--")</f>
        <v>--</v>
      </c>
      <c r="K87" s="308" t="str">
        <f>IFERROR(K85/J85-1,"--")</f>
        <v>--</v>
      </c>
      <c r="L87" s="308" t="str">
        <f>IFERROR(L85/K85-1,"--")</f>
        <v>--</v>
      </c>
      <c r="M87" s="311"/>
      <c r="N87" s="308" t="str">
        <f>IFERROR(N85/L85-1,"--")</f>
        <v>--</v>
      </c>
      <c r="O87" s="308" t="str">
        <f>IFERROR(O85/N85-1,"--")</f>
        <v>--</v>
      </c>
      <c r="P87" s="308" t="str">
        <f>IFERROR(P85/O85-1,"--")</f>
        <v>--</v>
      </c>
      <c r="Q87" s="308" t="str">
        <f>IFERROR(Q85/P85-1,"--")</f>
        <v>--</v>
      </c>
      <c r="R87" s="311"/>
      <c r="S87" s="308" t="str">
        <f>IFERROR(S85/Q85-1,"--")</f>
        <v>--</v>
      </c>
      <c r="T87" s="308" t="str">
        <f>IFERROR(T85/S85-1,"--")</f>
        <v>--</v>
      </c>
      <c r="U87" s="308" t="str">
        <f>IFERROR(U85/T85-1,"--")</f>
        <v>--</v>
      </c>
      <c r="V87" s="308" t="str">
        <f>IFERROR(V85/U85-1,"--")</f>
        <v>--</v>
      </c>
      <c r="W87" s="311"/>
      <c r="X87" s="308" t="str">
        <f>IFERROR(X85/V85-1,"--")</f>
        <v>--</v>
      </c>
      <c r="Y87" s="308" t="str">
        <f>IFERROR(Y85/X85-1,"--")</f>
        <v>--</v>
      </c>
      <c r="Z87" s="308" t="str">
        <f>IFERROR(Z85/Y85-1,"--")</f>
        <v>--</v>
      </c>
      <c r="AA87" s="308" t="str">
        <f>IFERROR(AA85/Z85-1,"--")</f>
        <v>--</v>
      </c>
      <c r="AB87" s="311"/>
      <c r="AC87" s="308" t="str">
        <f>IFERROR(AC85/AA85-1,"--")</f>
        <v>--</v>
      </c>
      <c r="AD87" s="308">
        <f>IFERROR(AD85/AC85-1,"--")</f>
        <v>3.092530833333333</v>
      </c>
      <c r="AE87" s="308">
        <f>IFERROR(AE85/AD85-1,"--")</f>
        <v>-0.15025867019305483</v>
      </c>
      <c r="AF87" s="308">
        <f>IFERROR(AF85/AE85-1,"--")</f>
        <v>-1.2266805207945044</v>
      </c>
      <c r="AG87" s="311"/>
      <c r="AH87" s="308">
        <f>IFERROR(AH85/AF85-1,"--")</f>
        <v>0.70691724259358524</v>
      </c>
      <c r="AI87" s="308">
        <f>IFERROR(AI85/AH85-1,"--")</f>
        <v>-1.4674394832139139</v>
      </c>
      <c r="AJ87" s="308">
        <f>IFERROR(AJ85/AI85-1,"--")</f>
        <v>-2.8524272956616841</v>
      </c>
      <c r="AK87" s="308">
        <f>IFERROR(AK85/AJ85-1,"--")</f>
        <v>5.5261938152634125</v>
      </c>
      <c r="AL87" s="311"/>
      <c r="AM87" s="308">
        <f>IFERROR(AM85/AK85-1,"--")</f>
        <v>1.1538462568832655</v>
      </c>
      <c r="AN87" s="308">
        <f>IFERROR(AN85/AM85-1,"--")</f>
        <v>-0.7642502266693405</v>
      </c>
      <c r="AO87" s="308">
        <f>IFERROR(AO85/AN85-1,"--")</f>
        <v>0.57218047716499743</v>
      </c>
      <c r="AP87" s="308">
        <f>IFERROR(AP85/AO85-1,"--")</f>
        <v>2.1313736362214994</v>
      </c>
      <c r="AQ87" s="311"/>
      <c r="AR87" s="308">
        <f>IFERROR(AR85/AP85-1,"--")</f>
        <v>0.38397373885705965</v>
      </c>
      <c r="AS87" s="308">
        <f>IFERROR(AS85/AR85-1,"--")</f>
        <v>-0.75430154436217467</v>
      </c>
      <c r="AT87" s="308">
        <f>IFERROR(AT85/AS85-1,"--")</f>
        <v>0.5060232420314581</v>
      </c>
      <c r="AU87" s="308">
        <f>IFERROR(AU85/AT85-1,"--")</f>
        <v>2.0847932912642229</v>
      </c>
      <c r="AV87" s="311"/>
      <c r="AW87" s="308">
        <f>IFERROR(AW85/AU85-1,"--")</f>
        <v>2.2340425531914843E-2</v>
      </c>
      <c r="AX87" s="308">
        <f>IFERROR(AX85/AW85-1,"--")</f>
        <v>-0.81644422325777799</v>
      </c>
      <c r="AY87" s="308">
        <f>IFERROR(AY85/AX85-1,"--")</f>
        <v>0.32006891565473161</v>
      </c>
      <c r="AZ87" s="308">
        <f>IFERROR(AZ85/AY85-1,"--")</f>
        <v>4.197450728902516</v>
      </c>
      <c r="BA87" s="311"/>
      <c r="BB87" s="308">
        <f>IFERROR(BB85/AZ85-1,"--")</f>
        <v>-0.53993713552247247</v>
      </c>
      <c r="BC87" s="308">
        <f>IFERROR(BC85/BB85-1,"--")</f>
        <v>-0.67519823586736516</v>
      </c>
      <c r="BD87" s="308">
        <f>IFERROR(BD85/BC85-1,"--")</f>
        <v>3.9063005869285776</v>
      </c>
      <c r="BE87" s="308">
        <f>IFERROR(BE85/BD85-1,"--")</f>
        <v>0.9729735556863337</v>
      </c>
      <c r="BF87" s="311"/>
      <c r="BG87" s="308">
        <f>IFERROR(BG85/BE85-1,"--")</f>
        <v>-0.40109015416489613</v>
      </c>
      <c r="BH87" s="308">
        <f>IFERROR(BH85/BG85-1,"--")</f>
        <v>-0.58711342038792325</v>
      </c>
      <c r="BI87" s="308">
        <f>IFERROR(BI85/BH85-1,"--")</f>
        <v>0.48688560209362719</v>
      </c>
      <c r="BJ87" s="308">
        <f>IFERROR(BJ85/BI85-1,"--")</f>
        <v>1.9641039166806191</v>
      </c>
      <c r="BK87" s="311"/>
      <c r="BL87" s="308">
        <f>IFERROR(BL85/BJ85-1,"--")</f>
        <v>-0.15577685578072231</v>
      </c>
      <c r="BM87" s="308">
        <f>IFERROR(BM85/BL85-1,"--")</f>
        <v>-0.65315505162849707</v>
      </c>
      <c r="BN87" s="308">
        <f>IFERROR(BN85/BM85-1,"--")</f>
        <v>0.5184967924628352</v>
      </c>
      <c r="BO87" s="308">
        <f>IFERROR(BO85/BN85-1,"--")</f>
        <v>1.8075101650322889</v>
      </c>
      <c r="BP87" s="311"/>
    </row>
    <row r="88" spans="1:68" s="12" customFormat="1" ht="15" customHeight="1" outlineLevel="1">
      <c r="A88" s="293"/>
      <c r="B88" s="307" t="s">
        <v>202</v>
      </c>
      <c r="C88" s="312"/>
      <c r="D88" s="308"/>
      <c r="E88" s="308"/>
      <c r="F88" s="308"/>
      <c r="G88" s="308"/>
      <c r="H88" s="313"/>
      <c r="I88" s="308" t="str">
        <f>IFERROR(I85/I40,"--")</f>
        <v>--</v>
      </c>
      <c r="J88" s="308" t="str">
        <f>IFERROR(J85/J40,"--")</f>
        <v>--</v>
      </c>
      <c r="K88" s="308" t="str">
        <f>IFERROR(K85/K40,"--")</f>
        <v>--</v>
      </c>
      <c r="L88" s="308" t="str">
        <f>IFERROR(L85/L40,"--")</f>
        <v>--</v>
      </c>
      <c r="M88" s="309" t="str">
        <f>IFERROR(M85/M40,"--")</f>
        <v>--</v>
      </c>
      <c r="N88" s="308" t="str">
        <f t="shared" ref="N88:AB88" si="51">IFERROR(N85/N40,"--")</f>
        <v>--</v>
      </c>
      <c r="O88" s="308" t="str">
        <f t="shared" si="51"/>
        <v>--</v>
      </c>
      <c r="P88" s="308" t="str">
        <f t="shared" si="51"/>
        <v>--</v>
      </c>
      <c r="Q88" s="308" t="str">
        <f t="shared" si="51"/>
        <v>--</v>
      </c>
      <c r="R88" s="309" t="str">
        <f t="shared" si="51"/>
        <v>--</v>
      </c>
      <c r="S88" s="308" t="str">
        <f t="shared" si="51"/>
        <v>--</v>
      </c>
      <c r="T88" s="308" t="str">
        <f t="shared" si="51"/>
        <v>--</v>
      </c>
      <c r="U88" s="308" t="str">
        <f t="shared" si="51"/>
        <v>--</v>
      </c>
      <c r="V88" s="308" t="str">
        <f t="shared" si="51"/>
        <v>--</v>
      </c>
      <c r="W88" s="309" t="str">
        <f t="shared" si="51"/>
        <v>--</v>
      </c>
      <c r="X88" s="308" t="str">
        <f t="shared" si="51"/>
        <v>--</v>
      </c>
      <c r="Y88" s="308" t="str">
        <f t="shared" si="51"/>
        <v>--</v>
      </c>
      <c r="Z88" s="308" t="str">
        <f t="shared" si="51"/>
        <v>--</v>
      </c>
      <c r="AA88" s="308" t="str">
        <f t="shared" si="51"/>
        <v>--</v>
      </c>
      <c r="AB88" s="309" t="str">
        <f t="shared" si="51"/>
        <v>--</v>
      </c>
      <c r="AC88" s="308">
        <f>IFERROR(AC85/AC40,"--")</f>
        <v>-9.9261284652413184E-2</v>
      </c>
      <c r="AD88" s="308">
        <f>IFERROR(AD85/AD40,"--")</f>
        <v>-0.33204262710381666</v>
      </c>
      <c r="AE88" s="308">
        <f>IFERROR(AE85/AE40,"--")</f>
        <v>-0.23529043251641357</v>
      </c>
      <c r="AF88" s="308">
        <f>IFERROR(AF85/AF40,"--")</f>
        <v>4.4699377838448004E-2</v>
      </c>
      <c r="AG88" s="309">
        <f>IFERROR(AG85/AG40,"--")</f>
        <v>-0.1416362665927989</v>
      </c>
      <c r="AH88" s="308">
        <f t="shared" ref="AH88:BK88" si="52">IFERROR(AH85/AH40,"--")</f>
        <v>6.3482901875813624E-2</v>
      </c>
      <c r="AI88" s="308">
        <f t="shared" si="52"/>
        <v>-2.4955690343059098E-2</v>
      </c>
      <c r="AJ88" s="308">
        <f t="shared" si="52"/>
        <v>3.7624971220633838E-2</v>
      </c>
      <c r="AK88" s="308">
        <f t="shared" si="52"/>
        <v>0.21398341211233693</v>
      </c>
      <c r="AL88" s="309">
        <f t="shared" si="52"/>
        <v>7.7674244890829122E-2</v>
      </c>
      <c r="AM88" s="308">
        <f t="shared" si="52"/>
        <v>0.41877067791112554</v>
      </c>
      <c r="AN88" s="308">
        <f t="shared" si="52"/>
        <v>8.3858790784477763E-2</v>
      </c>
      <c r="AO88" s="308">
        <f t="shared" si="52"/>
        <v>0.11769201907264984</v>
      </c>
      <c r="AP88" s="308">
        <f t="shared" si="52"/>
        <v>0.34852568368725939</v>
      </c>
      <c r="AQ88" s="309">
        <f t="shared" si="52"/>
        <v>0.24162134214795375</v>
      </c>
      <c r="AR88" s="308">
        <f t="shared" si="52"/>
        <v>0.45559753944441855</v>
      </c>
      <c r="AS88" s="308">
        <f t="shared" si="52"/>
        <v>0.10356612137954772</v>
      </c>
      <c r="AT88" s="308">
        <f t="shared" si="52"/>
        <v>0.14319322557489858</v>
      </c>
      <c r="AU88" s="308">
        <f t="shared" si="52"/>
        <v>0.41861419725596655</v>
      </c>
      <c r="AV88" s="309">
        <f t="shared" si="52"/>
        <v>0.28868810816646706</v>
      </c>
      <c r="AW88" s="308">
        <f t="shared" si="52"/>
        <v>0.4000740911465907</v>
      </c>
      <c r="AX88" s="308">
        <f t="shared" si="52"/>
        <v>7.0045337197564977E-2</v>
      </c>
      <c r="AY88" s="308">
        <f t="shared" si="52"/>
        <v>8.5273267848006679E-2</v>
      </c>
      <c r="AZ88" s="308">
        <f t="shared" si="52"/>
        <v>0.42313757005178515</v>
      </c>
      <c r="BA88" s="309">
        <f t="shared" si="52"/>
        <v>0.24894732952496088</v>
      </c>
      <c r="BB88" s="308">
        <f t="shared" si="52"/>
        <v>0.18433854025721783</v>
      </c>
      <c r="BC88" s="308">
        <f t="shared" si="52"/>
        <v>5.4492829063494293E-2</v>
      </c>
      <c r="BD88" s="308">
        <f t="shared" si="52"/>
        <v>0.25847028295745328</v>
      </c>
      <c r="BE88" s="308">
        <f t="shared" si="52"/>
        <v>0.48815468436510318</v>
      </c>
      <c r="BF88" s="309">
        <f t="shared" si="52"/>
        <v>0.23062909501841472</v>
      </c>
      <c r="BG88" s="308">
        <f t="shared" si="52"/>
        <v>0.27885554454167799</v>
      </c>
      <c r="BH88" s="308">
        <f t="shared" si="52"/>
        <v>0.1070898750437847</v>
      </c>
      <c r="BI88" s="308">
        <f t="shared" si="52"/>
        <v>0.15197887856612749</v>
      </c>
      <c r="BJ88" s="308">
        <f t="shared" si="52"/>
        <v>0.43079382066811234</v>
      </c>
      <c r="BK88" s="309">
        <f t="shared" si="52"/>
        <v>0.24270212276266309</v>
      </c>
      <c r="BL88" s="308">
        <f>IFERROR(BL85/BL40,"--")</f>
        <v>0.34656235636180388</v>
      </c>
      <c r="BM88" s="308">
        <f>IFERROR(BM85/BM40,"--")</f>
        <v>0.11325579382410872</v>
      </c>
      <c r="BN88" s="308">
        <f>IFERROR(BN85/BN40,"--")</f>
        <v>0.16328684416413983</v>
      </c>
      <c r="BO88" s="308">
        <f>IFERROR(BO85/BO40,"--")</f>
        <v>0.43954728353376599</v>
      </c>
      <c r="BP88" s="309">
        <f>IFERROR(BP85/BP40,"--")</f>
        <v>0.26997639264412687</v>
      </c>
    </row>
    <row r="89" spans="1:68" s="12" customFormat="1" ht="15" customHeight="1">
      <c r="A89" s="293"/>
      <c r="B89" s="307"/>
      <c r="C89" s="312"/>
      <c r="D89" s="308"/>
      <c r="E89" s="308"/>
      <c r="F89" s="308"/>
      <c r="G89" s="308"/>
      <c r="H89" s="313"/>
      <c r="I89" s="308"/>
      <c r="J89" s="308"/>
      <c r="K89" s="308"/>
      <c r="L89" s="308"/>
      <c r="M89" s="309"/>
      <c r="N89" s="308"/>
      <c r="O89" s="308"/>
      <c r="P89" s="308"/>
      <c r="Q89" s="308"/>
      <c r="R89" s="309"/>
      <c r="S89" s="308"/>
      <c r="T89" s="308"/>
      <c r="U89" s="308"/>
      <c r="V89" s="308"/>
      <c r="W89" s="309"/>
      <c r="X89" s="308"/>
      <c r="Y89" s="308"/>
      <c r="Z89" s="308"/>
      <c r="AA89" s="308"/>
      <c r="AB89" s="309"/>
      <c r="AC89" s="308"/>
      <c r="AD89" s="308"/>
      <c r="AE89" s="308"/>
      <c r="AF89" s="308"/>
      <c r="AG89" s="309"/>
      <c r="AH89" s="308"/>
      <c r="AI89" s="308"/>
      <c r="AJ89" s="308"/>
      <c r="AK89" s="308"/>
      <c r="AL89" s="309"/>
      <c r="AM89" s="308"/>
      <c r="AN89" s="308"/>
      <c r="AO89" s="308"/>
      <c r="AP89" s="308"/>
      <c r="AQ89" s="309"/>
      <c r="AR89" s="308"/>
      <c r="AS89" s="308"/>
      <c r="AT89" s="308"/>
      <c r="AU89" s="308"/>
      <c r="AV89" s="309"/>
      <c r="AW89" s="308"/>
      <c r="AX89" s="308"/>
      <c r="AY89" s="308"/>
      <c r="AZ89" s="308"/>
      <c r="BA89" s="309"/>
      <c r="BB89" s="308"/>
      <c r="BC89" s="308"/>
      <c r="BD89" s="308"/>
      <c r="BE89" s="308"/>
      <c r="BF89" s="309"/>
      <c r="BG89" s="308"/>
      <c r="BH89" s="308"/>
      <c r="BI89" s="308"/>
      <c r="BJ89" s="308"/>
      <c r="BK89" s="309"/>
      <c r="BL89" s="308"/>
      <c r="BM89" s="308"/>
      <c r="BN89" s="308"/>
      <c r="BO89" s="308"/>
      <c r="BP89" s="309"/>
    </row>
    <row r="90" spans="1:68" s="12" customFormat="1" ht="15" customHeight="1">
      <c r="A90" s="293"/>
      <c r="B90" s="286" t="s">
        <v>45</v>
      </c>
      <c r="C90" s="312"/>
      <c r="D90" s="308"/>
      <c r="E90" s="308"/>
      <c r="F90" s="308"/>
      <c r="G90" s="308"/>
      <c r="H90" s="313"/>
      <c r="I90" s="308"/>
      <c r="J90" s="308"/>
      <c r="K90" s="308"/>
      <c r="L90" s="308"/>
      <c r="M90" s="313"/>
      <c r="N90" s="308"/>
      <c r="O90" s="308"/>
      <c r="P90" s="308"/>
      <c r="Q90" s="308"/>
      <c r="R90" s="313"/>
      <c r="S90" s="308"/>
      <c r="T90" s="308"/>
      <c r="U90" s="308"/>
      <c r="V90" s="308"/>
      <c r="W90" s="313"/>
      <c r="X90" s="308"/>
      <c r="Y90" s="308"/>
      <c r="Z90" s="308"/>
      <c r="AA90" s="308"/>
      <c r="AB90" s="313"/>
      <c r="AC90" s="308"/>
      <c r="AD90" s="308"/>
      <c r="AE90" s="308"/>
      <c r="AF90" s="308"/>
      <c r="AG90" s="313"/>
      <c r="AH90" s="308"/>
      <c r="AI90" s="308"/>
      <c r="AJ90" s="308"/>
      <c r="AK90" s="308"/>
      <c r="AL90" s="313"/>
      <c r="AM90" s="308"/>
      <c r="AN90" s="308"/>
      <c r="AO90" s="308"/>
      <c r="AP90" s="308"/>
      <c r="AQ90" s="313"/>
      <c r="AR90" s="308"/>
      <c r="AS90" s="308"/>
      <c r="AT90" s="308"/>
      <c r="AU90" s="308"/>
      <c r="AV90" s="313"/>
      <c r="AW90" s="308"/>
      <c r="AX90" s="308"/>
      <c r="AY90" s="308"/>
      <c r="AZ90" s="308"/>
      <c r="BA90" s="313"/>
      <c r="BB90" s="308"/>
      <c r="BC90" s="308"/>
      <c r="BD90" s="308"/>
      <c r="BE90" s="308"/>
      <c r="BF90" s="313"/>
      <c r="BG90" s="308"/>
      <c r="BH90" s="308"/>
      <c r="BI90" s="308"/>
      <c r="BJ90" s="308"/>
      <c r="BK90" s="313"/>
      <c r="BL90" s="308"/>
      <c r="BM90" s="308"/>
      <c r="BN90" s="308"/>
      <c r="BO90" s="308"/>
      <c r="BP90" s="313"/>
    </row>
    <row r="91" spans="1:68" s="306" customFormat="1" outlineLevel="1">
      <c r="A91" s="245" t="s">
        <v>131</v>
      </c>
      <c r="B91" s="302" t="s">
        <v>203</v>
      </c>
      <c r="C91" s="303"/>
      <c r="D91" s="304"/>
      <c r="E91" s="304"/>
      <c r="F91" s="304"/>
      <c r="G91" s="304"/>
      <c r="H91" s="305"/>
      <c r="I91" s="304" t="str" cm="1">
        <f t="array" ref="I91">_xlfn.SINGLE(IF(ISERROR(_xll.FDS($C$2,"FE_ESTIMATE(DEFREVENUE_ST,MEAN,QUARTERLY_ROLL,"&amp;I$9&amp;","&amp;$C$5&amp;",,,'')")), "--", _xll.FDS($C$2,"FE_ESTIMATE(DEFREVENUE_ST,MEAN,QUARTERLY_ROLL,"&amp;I$9&amp;","&amp;$C$5&amp;",,,'')")))</f>
        <v>--</v>
      </c>
      <c r="J91" s="304" t="str" cm="1">
        <f t="array" ref="J91">_xlfn.SINGLE(IF(ISERROR(_xll.FDS($C$2,"FE_ESTIMATE(DEFREVENUE_ST,MEAN,QUARTERLY_ROLL,"&amp;J$9&amp;","&amp;$C$5&amp;",,,'')")), "--", _xll.FDS($C$2,"FE_ESTIMATE(DEFREVENUE_ST,MEAN,QUARTERLY_ROLL,"&amp;J$9&amp;","&amp;$C$5&amp;",,,'')")))</f>
        <v>--</v>
      </c>
      <c r="K91" s="304" t="str" cm="1">
        <f t="array" ref="K91">_xlfn.SINGLE(IF(ISERROR(_xll.FDS($C$2,"FE_ESTIMATE(DEFREVENUE_ST,MEAN,QUARTERLY_ROLL,"&amp;K$9&amp;","&amp;$C$5&amp;",,,'')")), "--", _xll.FDS($C$2,"FE_ESTIMATE(DEFREVENUE_ST,MEAN,QUARTERLY_ROLL,"&amp;K$9&amp;","&amp;$C$5&amp;",,,'')")))</f>
        <v>--</v>
      </c>
      <c r="L91" s="304" t="str" cm="1">
        <f t="array" ref="L91">_xlfn.SINGLE(IF(ISERROR(_xll.FDS($C$2,"FE_ESTIMATE(DEFREVENUE_ST,MEAN,QUARTERLY_ROLL,"&amp;L$9&amp;","&amp;$C$5&amp;",,,'')")), "--", _xll.FDS($C$2,"FE_ESTIMATE(DEFREVENUE_ST,MEAN,QUARTERLY_ROLL,"&amp;L$9&amp;","&amp;$C$5&amp;",,,'')")))</f>
        <v>--</v>
      </c>
      <c r="M91" s="305" t="str" cm="1">
        <f t="array" ref="M91">_xlfn.SINGLE(IF(ISERROR(_xll.FDS($C$2,"FE_ESTIMATE(DEFREVENUE_ST,MEAN,ANNUAL_ROLL,"&amp;M$9&amp;","&amp;$C$5&amp;",,,'')")), "--", _xll.FDS($C$2,"FE_ESTIMATE(DEFREVENUE_ST,MEAN,ANNUAL_ROLL,"&amp;M$9&amp;","&amp;$C$5&amp;",,,'')")))</f>
        <v>--</v>
      </c>
      <c r="N91" s="304" t="str" cm="1">
        <f t="array" ref="N91">_xlfn.SINGLE(IF(ISERROR(_xll.FDS($C$2,"FE_ESTIMATE(DEFREVENUE_ST,MEAN,QUARTERLY_ROLL,"&amp;N$9&amp;","&amp;$C$5&amp;",,,'')")), "--", _xll.FDS($C$2,"FE_ESTIMATE(DEFREVENUE_ST,MEAN,QUARTERLY_ROLL,"&amp;N$9&amp;","&amp;$C$5&amp;",,,'')")))</f>
        <v>--</v>
      </c>
      <c r="O91" s="304" t="str" cm="1">
        <f t="array" ref="O91">_xlfn.SINGLE(IF(ISERROR(_xll.FDS($C$2,"FE_ESTIMATE(DEFREVENUE_ST,MEAN,QUARTERLY_ROLL,"&amp;O$9&amp;","&amp;$C$5&amp;",,,'')")), "--", _xll.FDS($C$2,"FE_ESTIMATE(DEFREVENUE_ST,MEAN,QUARTERLY_ROLL,"&amp;O$9&amp;","&amp;$C$5&amp;",,,'')")))</f>
        <v>--</v>
      </c>
      <c r="P91" s="304" t="str" cm="1">
        <f t="array" ref="P91">_xlfn.SINGLE(IF(ISERROR(_xll.FDS($C$2,"FE_ESTIMATE(DEFREVENUE_ST,MEAN,QUARTERLY_ROLL,"&amp;P$9&amp;","&amp;$C$5&amp;",,,'')")), "--", _xll.FDS($C$2,"FE_ESTIMATE(DEFREVENUE_ST,MEAN,QUARTERLY_ROLL,"&amp;P$9&amp;","&amp;$C$5&amp;",,,'')")))</f>
        <v>--</v>
      </c>
      <c r="Q91" s="304" t="str" cm="1">
        <f t="array" ref="Q91">_xlfn.SINGLE(IF(ISERROR(_xll.FDS($C$2,"FE_ESTIMATE(DEFREVENUE_ST,MEAN,QUARTERLY_ROLL,"&amp;Q$9&amp;","&amp;$C$5&amp;",,,'')")), "--", _xll.FDS($C$2,"FE_ESTIMATE(DEFREVENUE_ST,MEAN,QUARTERLY_ROLL,"&amp;Q$9&amp;","&amp;$C$5&amp;",,,'')")))</f>
        <v>--</v>
      </c>
      <c r="R91" s="305" t="str" cm="1">
        <f t="array" ref="R91">_xlfn.SINGLE(IF(ISERROR(_xll.FDS($C$2,"FE_ESTIMATE(DEFREVENUE_ST,MEAN,ANNUAL_ROLL,"&amp;R$9&amp;","&amp;$C$5&amp;",,,'')")), "--", _xll.FDS($C$2,"FE_ESTIMATE(DEFREVENUE_ST,MEAN,ANNUAL_ROLL,"&amp;R$9&amp;","&amp;$C$5&amp;",,,'')")))</f>
        <v>--</v>
      </c>
      <c r="S91" s="304" t="str" cm="1">
        <f t="array" ref="S91">_xlfn.SINGLE(IF(ISERROR(_xll.FDS($C$2,"FE_ESTIMATE(DEFREVENUE_ST,MEAN,QUARTERLY_ROLL,"&amp;S$9&amp;","&amp;$C$5&amp;",,,'')")), "--", _xll.FDS($C$2,"FE_ESTIMATE(DEFREVENUE_ST,MEAN,QUARTERLY_ROLL,"&amp;S$9&amp;","&amp;$C$5&amp;",,,'')")))</f>
        <v>--</v>
      </c>
      <c r="T91" s="304" t="str" cm="1">
        <f t="array" ref="T91">_xlfn.SINGLE(IF(ISERROR(_xll.FDS($C$2,"FE_ESTIMATE(DEFREVENUE_ST,MEAN,QUARTERLY_ROLL,"&amp;T$9&amp;","&amp;$C$5&amp;",,,'')")), "--", _xll.FDS($C$2,"FE_ESTIMATE(DEFREVENUE_ST,MEAN,QUARTERLY_ROLL,"&amp;T$9&amp;","&amp;$C$5&amp;",,,'')")))</f>
        <v>--</v>
      </c>
      <c r="U91" s="304" t="str" cm="1">
        <f t="array" ref="U91">_xlfn.SINGLE(IF(ISERROR(_xll.FDS($C$2,"FE_ESTIMATE(DEFREVENUE_ST,MEAN,QUARTERLY_ROLL,"&amp;U$9&amp;","&amp;$C$5&amp;",,,'')")), "--", _xll.FDS($C$2,"FE_ESTIMATE(DEFREVENUE_ST,MEAN,QUARTERLY_ROLL,"&amp;U$9&amp;","&amp;$C$5&amp;",,,'')")))</f>
        <v>--</v>
      </c>
      <c r="V91" s="304" t="str" cm="1">
        <f t="array" ref="V91">_xlfn.SINGLE(IF(ISERROR(_xll.FDS($C$2,"FE_ESTIMATE(DEFREVENUE_ST,MEAN,QUARTERLY_ROLL,"&amp;V$9&amp;","&amp;$C$5&amp;",,,'')")), "--", _xll.FDS($C$2,"FE_ESTIMATE(DEFREVENUE_ST,MEAN,QUARTERLY_ROLL,"&amp;V$9&amp;","&amp;$C$5&amp;",,,'')")))</f>
        <v>--</v>
      </c>
      <c r="W91" s="305" t="str" cm="1">
        <f t="array" ref="W91">_xlfn.SINGLE(IF(ISERROR(_xll.FDS($C$2,"FE_ESTIMATE(DEFREVENUE_ST,MEAN,ANNUAL_ROLL,"&amp;W$9&amp;","&amp;$C$5&amp;",,,'')")), "--", _xll.FDS($C$2,"FE_ESTIMATE(DEFREVENUE_ST,MEAN,ANNUAL_ROLL,"&amp;W$9&amp;","&amp;$C$5&amp;",,,'')")))</f>
        <v>--</v>
      </c>
      <c r="X91" s="304" t="str" cm="1">
        <f t="array" ref="X91">_xlfn.SINGLE(IF(ISERROR(_xll.FDS($C$2,"FE_ESTIMATE(DEFREVENUE_ST,MEAN,QUARTERLY_ROLL,"&amp;X$9&amp;","&amp;$C$5&amp;",,,'')")), "--", _xll.FDS($C$2,"FE_ESTIMATE(DEFREVENUE_ST,MEAN,QUARTERLY_ROLL,"&amp;X$9&amp;","&amp;$C$5&amp;",,,'')")))</f>
        <v>--</v>
      </c>
      <c r="Y91" s="304" t="str" cm="1">
        <f t="array" ref="Y91">_xlfn.SINGLE(IF(ISERROR(_xll.FDS($C$2,"FE_ESTIMATE(DEFREVENUE_ST,MEAN,QUARTERLY_ROLL,"&amp;Y$9&amp;","&amp;$C$5&amp;",,,'')")), "--", _xll.FDS($C$2,"FE_ESTIMATE(DEFREVENUE_ST,MEAN,QUARTERLY_ROLL,"&amp;Y$9&amp;","&amp;$C$5&amp;",,,'')")))</f>
        <v>--</v>
      </c>
      <c r="Z91" s="304" t="str" cm="1">
        <f t="array" ref="Z91">_xlfn.SINGLE(IF(ISERROR(_xll.FDS($C$2,"FE_ESTIMATE(DEFREVENUE_ST,MEAN,QUARTERLY_ROLL,"&amp;Z$9&amp;","&amp;$C$5&amp;",,,'')")), "--", _xll.FDS($C$2,"FE_ESTIMATE(DEFREVENUE_ST,MEAN,QUARTERLY_ROLL,"&amp;Z$9&amp;","&amp;$C$5&amp;",,,'')")))</f>
        <v>--</v>
      </c>
      <c r="AA91" s="304" t="str" cm="1">
        <f t="array" ref="AA91">_xlfn.SINGLE(IF(ISERROR(_xll.FDS($C$2,"FE_ESTIMATE(DEFREVENUE_ST,MEAN,QUARTERLY_ROLL,"&amp;AA$9&amp;","&amp;$C$5&amp;",,,'')")), "--", _xll.FDS($C$2,"FE_ESTIMATE(DEFREVENUE_ST,MEAN,QUARTERLY_ROLL,"&amp;AA$9&amp;","&amp;$C$5&amp;",,,'')")))</f>
        <v>--</v>
      </c>
      <c r="AB91" s="305" t="str" cm="1">
        <f t="array" ref="AB91">_xlfn.SINGLE(IF(ISERROR(_xll.FDS($C$2,"FE_ESTIMATE(DEFREVENUE_ST,MEAN,ANNUAL_ROLL,"&amp;AB$9&amp;","&amp;$C$5&amp;",,,'')")), "--", _xll.FDS($C$2,"FE_ESTIMATE(DEFREVENUE_ST,MEAN,ANNUAL_ROLL,"&amp;AB$9&amp;","&amp;$C$5&amp;",,,'')")))</f>
        <v>--</v>
      </c>
      <c r="AC91" s="304" t="str" cm="1">
        <f t="array" ref="AC91">_xlfn.SINGLE(IF(ISERROR(_xll.FDS($C$2,"FE_ESTIMATE(DEFREVENUE_ST,MEAN,QUARTERLY_ROLL,"&amp;AC$9&amp;","&amp;$C$5&amp;",,,'')")), "--", _xll.FDS($C$2,"FE_ESTIMATE(DEFREVENUE_ST,MEAN,QUARTERLY_ROLL,"&amp;AC$9&amp;","&amp;$C$5&amp;",,,'')")))</f>
        <v>--</v>
      </c>
      <c r="AD91" s="304" cm="1">
        <f t="array" ref="AD91">_xlfn.SINGLE(IF(ISERROR(_xll.FDS($C$2,"FE_ESTIMATE(DEFREVENUE_ST,MEAN,QUARTERLY_ROLL,"&amp;AD$9&amp;","&amp;$C$5&amp;",,,'')")), "--", _xll.FDS($C$2,"FE_ESTIMATE(DEFREVENUE_ST,MEAN,QUARTERLY_ROLL,"&amp;AD$9&amp;","&amp;$C$5&amp;",,,'')")))</f>
        <v>373.59399999999999</v>
      </c>
      <c r="AE91" s="304" cm="1">
        <f t="array" ref="AE91">_xlfn.SINGLE(IF(ISERROR(_xll.FDS($C$2,"FE_ESTIMATE(DEFREVENUE_ST,MEAN,QUARTERLY_ROLL,"&amp;AE$9&amp;","&amp;$C$5&amp;",,,'')")), "--", _xll.FDS($C$2,"FE_ESTIMATE(DEFREVENUE_ST,MEAN,QUARTERLY_ROLL,"&amp;AE$9&amp;","&amp;$C$5&amp;",,,'')")))</f>
        <v>438.20675999999997</v>
      </c>
      <c r="AF91" s="304" cm="1">
        <f t="array" ref="AF91">_xlfn.SINGLE(IF(ISERROR(_xll.FDS($C$2,"FE_ESTIMATE(DEFREVENUE_ST,MEAN,QUARTERLY_ROLL,"&amp;AF$9&amp;","&amp;$C$5&amp;",,,'')")), "--", _xll.FDS($C$2,"FE_ESTIMATE(DEFREVENUE_ST,MEAN,QUARTERLY_ROLL,"&amp;AF$9&amp;","&amp;$C$5&amp;",,,'')")))</f>
        <v>638.69200000000001</v>
      </c>
      <c r="AG91" s="305" cm="1">
        <f t="array" ref="AG91">_xlfn.SINGLE(IF(ISERROR(_xll.FDS($C$2,"FE_ESTIMATE(DEFREVENUE_ST,MEAN,ANNUAL_ROLL,"&amp;AG$9&amp;","&amp;$C$5&amp;",,,'')")), "--", _xll.FDS($C$2,"FE_ESTIMATE(DEFREVENUE_ST,MEAN,ANNUAL_ROLL,"&amp;AG$9&amp;","&amp;$C$5&amp;",,,'')")))</f>
        <v>638.69309999999996</v>
      </c>
      <c r="AH91" s="304" cm="1">
        <f t="array" ref="AH91">_xlfn.SINGLE(IF(ISERROR(_xll.FDS($C$2,"FE_ESTIMATE(DEFREVENUE_ST,MEAN,QUARTERLY_ROLL,"&amp;AH$9&amp;","&amp;$C$5&amp;",,,'')")), "--", _xll.FDS($C$2,"FE_ESTIMATE(DEFREVENUE_ST,MEAN,QUARTERLY_ROLL,"&amp;AH$9&amp;","&amp;$C$5&amp;",,,'')")))</f>
        <v>635.09720000000004</v>
      </c>
      <c r="AI91" s="304" cm="1">
        <f t="array" ref="AI91">_xlfn.SINGLE(IF(ISERROR(_xll.FDS($C$2,"FE_ESTIMATE(DEFREVENUE_ST,MEAN,QUARTERLY_ROLL,"&amp;AI$9&amp;","&amp;$C$5&amp;",,,'')")), "--", _xll.FDS($C$2,"FE_ESTIMATE(DEFREVENUE_ST,MEAN,QUARTERLY_ROLL,"&amp;AI$9&amp;","&amp;$C$5&amp;",,,'')")))</f>
        <v>701.78949999999998</v>
      </c>
      <c r="AJ91" s="304" cm="1">
        <f t="array" ref="AJ91">_xlfn.SINGLE(IF(ISERROR(_xll.FDS($C$2,"FE_ESTIMATE(DEFREVENUE_ST,MEAN,QUARTERLY_ROLL,"&amp;AJ$9&amp;","&amp;$C$5&amp;",,,'')")), "--", _xll.FDS($C$2,"FE_ESTIMATE(DEFREVENUE_ST,MEAN,QUARTERLY_ROLL,"&amp;AJ$9&amp;","&amp;$C$5&amp;",,,'')")))</f>
        <v>759.71100000000001</v>
      </c>
      <c r="AK91" s="304" cm="1">
        <f t="array" ref="AK91">_xlfn.SINGLE(IF(ISERROR(_xll.FDS($C$2,"FE_ESTIMATE(DEFREVENUE_ST,MEAN,QUARTERLY_ROLL,"&amp;AK$9&amp;","&amp;$C$5&amp;",,,'')")), "--", _xll.FDS($C$2,"FE_ESTIMATE(DEFREVENUE_ST,MEAN,QUARTERLY_ROLL,"&amp;AK$9&amp;","&amp;$C$5&amp;",,,'')")))</f>
        <v>1157.9105</v>
      </c>
      <c r="AL91" s="305" cm="1">
        <f t="array" ref="AL91">_xlfn.SINGLE(IF(ISERROR(_xll.FDS($C$2,"FE_ESTIMATE(DEFREVENUE_ST,MEAN,ANNUAL_ROLL,"&amp;AL$9&amp;","&amp;$C$5&amp;",,,'')")), "--", _xll.FDS($C$2,"FE_ESTIMATE(DEFREVENUE_ST,MEAN,ANNUAL_ROLL,"&amp;AL$9&amp;","&amp;$C$5&amp;",,,'')")))</f>
        <v>1157.9093</v>
      </c>
      <c r="AM91" s="304" cm="1">
        <f t="array" ref="AM91">_xlfn.SINGLE(IF(ISERROR(_xll.FDS($C$2,"FE_ESTIMATE(DEFREVENUE_ST,MEAN,QUARTERLY_ROLL,"&amp;AM$9&amp;","&amp;$C$5&amp;",,,'')")), "--", _xll.FDS($C$2,"FE_ESTIMATE(DEFREVENUE_ST,MEAN,QUARTERLY_ROLL,"&amp;AM$9&amp;","&amp;$C$5&amp;",,,'')")))</f>
        <v>1132.7372</v>
      </c>
      <c r="AN91" s="304" cm="1">
        <f t="array" ref="AN91">_xlfn.SINGLE(IF(ISERROR(_xll.FDS($C$2,"FE_ESTIMATE(DEFREVENUE_ST,MEAN,QUARTERLY_ROLL,"&amp;AN$9&amp;","&amp;$C$5&amp;",,,'')")), "--", _xll.FDS($C$2,"FE_ESTIMATE(DEFREVENUE_ST,MEAN,QUARTERLY_ROLL,"&amp;AN$9&amp;","&amp;$C$5&amp;",,,'')")))</f>
        <v>1144.8162</v>
      </c>
      <c r="AO91" s="304" cm="1">
        <f t="array" ref="AO91">_xlfn.SINGLE(IF(ISERROR(_xll.FDS($C$2,"FE_ESTIMATE(DEFREVENUE_ST,MEAN,QUARTERLY_ROLL,"&amp;AO$9&amp;","&amp;$C$5&amp;",,,'')")), "--", _xll.FDS($C$2,"FE_ESTIMATE(DEFREVENUE_ST,MEAN,QUARTERLY_ROLL,"&amp;AO$9&amp;","&amp;$C$5&amp;",,,'')")))</f>
        <v>1205.5114000000001</v>
      </c>
      <c r="AP91" s="304" cm="1">
        <f t="array" ref="AP91">_xlfn.SINGLE(IF(ISERROR(_xll.FDS($C$2,"FE_ESTIMATE(DEFREVENUE_ST,MEAN,QUARTERLY_ROLL,"&amp;AP$9&amp;","&amp;$C$5&amp;",,,'')")), "--", _xll.FDS($C$2,"FE_ESTIMATE(DEFREVENUE_ST,MEAN,QUARTERLY_ROLL,"&amp;AP$9&amp;","&amp;$C$5&amp;",,,'')")))</f>
        <v>1673.4277</v>
      </c>
      <c r="AQ91" s="305" cm="1">
        <f t="array" ref="AQ91">_xlfn.SINGLE(IF(ISERROR(_xll.FDS($C$2,"FE_ESTIMATE(DEFREVENUE_ST,MEAN,ANNUAL_ROLL,"&amp;AQ$9&amp;","&amp;$C$5&amp;",,,'')")), "--", _xll.FDS($C$2,"FE_ESTIMATE(DEFREVENUE_ST,MEAN,ANNUAL_ROLL,"&amp;AQ$9&amp;","&amp;$C$5&amp;",,,'')")))</f>
        <v>1673.3722</v>
      </c>
      <c r="AR91" s="304" cm="1">
        <f t="array" ref="AR91">_xlfn.SINGLE(IF(ISERROR(_xll.FDS($C$2,"FE_ESTIMATE(DEFREVENUE_ST,MEAN,QUARTERLY_ROLL,"&amp;AR$9&amp;","&amp;$C$5&amp;",,,'')")), "--", _xll.FDS($C$2,"FE_ESTIMATE(DEFREVENUE_ST,MEAN,QUARTERLY_ROLL,"&amp;AR$9&amp;","&amp;$C$5&amp;",,,'')")))</f>
        <v>1560.3656000000001</v>
      </c>
      <c r="AS91" s="304" cm="1">
        <f t="array" ref="AS91">_xlfn.SINGLE(IF(ISERROR(_xll.FDS($C$2,"FE_ESTIMATE(DEFREVENUE_ST,MEAN,QUARTERLY_ROLL,"&amp;AS$9&amp;","&amp;$C$5&amp;",,,'')")), "--", _xll.FDS($C$2,"FE_ESTIMATE(DEFREVENUE_ST,MEAN,QUARTERLY_ROLL,"&amp;AS$9&amp;","&amp;$C$5&amp;",,,'')")))</f>
        <v>1523.0839000000001</v>
      </c>
      <c r="AT91" s="304" cm="1">
        <f t="array" ref="AT91">_xlfn.SINGLE(IF(ISERROR(_xll.FDS($C$2,"FE_ESTIMATE(DEFREVENUE_ST,MEAN,QUARTERLY_ROLL,"&amp;AT$9&amp;","&amp;$C$5&amp;",,,'')")), "--", _xll.FDS($C$2,"FE_ESTIMATE(DEFREVENUE_ST,MEAN,QUARTERLY_ROLL,"&amp;AT$9&amp;","&amp;$C$5&amp;",,,'')")))</f>
        <v>1605.5951</v>
      </c>
      <c r="AU91" s="304" cm="1">
        <f t="array" ref="AU91">_xlfn.SINGLE(IF(ISERROR(_xll.FDS($C$2,"FE_ESTIMATE(DEFREVENUE_ST,MEAN,QUARTERLY_ROLL,"&amp;AU$9&amp;","&amp;$C$5&amp;",,,'')")), "--", _xll.FDS($C$2,"FE_ESTIMATE(DEFREVENUE_ST,MEAN,QUARTERLY_ROLL,"&amp;AU$9&amp;","&amp;$C$5&amp;",,,'')")))</f>
        <v>2198.7314000000001</v>
      </c>
      <c r="AV91" s="305" cm="1">
        <f t="array" ref="AV91">_xlfn.SINGLE(IF(ISERROR(_xll.FDS($C$2,"FE_ESTIMATE(DEFREVENUE_ST,MEAN,ANNUAL_ROLL,"&amp;AV$9&amp;","&amp;$C$5&amp;",,,'')")), "--", _xll.FDS($C$2,"FE_ESTIMATE(DEFREVENUE_ST,MEAN,ANNUAL_ROLL,"&amp;AV$9&amp;","&amp;$C$5&amp;",,,'')")))</f>
        <v>2198.7314000000001</v>
      </c>
      <c r="AW91" s="304" cm="1">
        <f t="array" ref="AW91">_xlfn.SINGLE(IF(ISERROR(_xll.FDS($C$2,"FE_ESTIMATE(DEFREVENUE_ST,MEAN,QUARTERLY_ROLL,"&amp;AW$9&amp;","&amp;$C$5&amp;",,,'')")), "--", _xll.FDS($C$2,"FE_ESTIMATE(DEFREVENUE_ST,MEAN,QUARTERLY_ROLL,"&amp;AW$9&amp;","&amp;$C$5&amp;",,,'')")))</f>
        <v>1935.6525999999999</v>
      </c>
      <c r="AX91" s="304" cm="1">
        <f t="array" ref="AX91">_xlfn.SINGLE(IF(ISERROR(_xll.FDS($C$2,"FE_ESTIMATE(DEFREVENUE_ST,MEAN,QUARTERLY_ROLL,"&amp;AX$9&amp;","&amp;$C$5&amp;",,,'')")), "--", _xll.FDS($C$2,"FE_ESTIMATE(DEFREVENUE_ST,MEAN,QUARTERLY_ROLL,"&amp;AX$9&amp;","&amp;$C$5&amp;",,,'')")))</f>
        <v>1848.3527999999999</v>
      </c>
      <c r="AY91" s="304" cm="1">
        <f t="array" ref="AY91">_xlfn.SINGLE(IF(ISERROR(_xll.FDS($C$2,"FE_ESTIMATE(DEFREVENUE_ST,MEAN,QUARTERLY_ROLL,"&amp;AY$9&amp;","&amp;$C$5&amp;",,,'')")), "--", _xll.FDS($C$2,"FE_ESTIMATE(DEFREVENUE_ST,MEAN,QUARTERLY_ROLL,"&amp;AY$9&amp;","&amp;$C$5&amp;",,,'')")))</f>
        <v>1974.9202</v>
      </c>
      <c r="AZ91" s="304" cm="1">
        <f t="array" ref="AZ91">_xlfn.SINGLE(IF(ISERROR(_xll.FDS($C$2,"FE_ESTIMATE(DEFREVENUE_ST,MEAN,QUARTERLY_ROLL,"&amp;AZ$9&amp;","&amp;$C$5&amp;",,,'')")), "--", _xll.FDS($C$2,"FE_ESTIMATE(DEFREVENUE_ST,MEAN,QUARTERLY_ROLL,"&amp;AZ$9&amp;","&amp;$C$5&amp;",,,'')")))</f>
        <v>2581.5657000000001</v>
      </c>
      <c r="BA91" s="305" cm="1">
        <f t="array" ref="BA91">_xlfn.SINGLE(IF(ISERROR(_xll.FDS($C$2,"FE_ESTIMATE(DEFREVENUE_ST,MEAN,ANNUAL_ROLL,"&amp;BA$9&amp;","&amp;$C$5&amp;",,,'')")), "--", _xll.FDS($C$2,"FE_ESTIMATE(DEFREVENUE_ST,MEAN,ANNUAL_ROLL,"&amp;BA$9&amp;","&amp;$C$5&amp;",,,'')")))</f>
        <v>2581.5657000000001</v>
      </c>
      <c r="BB91" s="304" cm="1">
        <f t="array" ref="BB91">_xlfn.SINGLE(IF(ISERROR(_xll.FDS($C$2,"FE_ESTIMATE(DEFREVENUE_ST,MEAN,QUARTERLY_ROLL,"&amp;BB$9&amp;","&amp;$C$5&amp;",,,'')")), "--", _xll.FDS($C$2,"FE_ESTIMATE(DEFREVENUE_ST,MEAN,QUARTERLY_ROLL,"&amp;BB$9&amp;","&amp;$C$5&amp;",,,'')")))</f>
        <v>2311.1736000000001</v>
      </c>
      <c r="BC91" s="304" cm="1">
        <f t="array" ref="BC91">_xlfn.SINGLE(IF(ISERROR(_xll.FDS($C$2,"FE_ESTIMATE(DEFREVENUE_ST,MEAN,QUARTERLY_ROLL,"&amp;BC$9&amp;","&amp;$C$5&amp;",,,'')")), "--", _xll.FDS($C$2,"FE_ESTIMATE(DEFREVENUE_ST,MEAN,QUARTERLY_ROLL,"&amp;BC$9&amp;","&amp;$C$5&amp;",,,'')")))</f>
        <v>2269.6765</v>
      </c>
      <c r="BD91" s="304" cm="1">
        <f t="array" ref="BD91">_xlfn.SINGLE(IF(ISERROR(_xll.FDS($C$2,"FE_ESTIMATE(DEFREVENUE_ST,MEAN,QUARTERLY_ROLL,"&amp;BD$9&amp;","&amp;$C$5&amp;",,,'')")), "--", _xll.FDS($C$2,"FE_ESTIMATE(DEFREVENUE_ST,MEAN,QUARTERLY_ROLL,"&amp;BD$9&amp;","&amp;$C$5&amp;",,,'')")))</f>
        <v>2452.4342999999999</v>
      </c>
      <c r="BE91" s="304" cm="1">
        <f t="array" ref="BE91">_xlfn.SINGLE(IF(ISERROR(_xll.FDS($C$2,"FE_ESTIMATE(DEFREVENUE_ST,MEAN,QUARTERLY_ROLL,"&amp;BE$9&amp;","&amp;$C$5&amp;",,,'')")), "--", _xll.FDS($C$2,"FE_ESTIMATE(DEFREVENUE_ST,MEAN,QUARTERLY_ROLL,"&amp;BE$9&amp;","&amp;$C$5&amp;",,,'')")))</f>
        <v>3139.0378000000001</v>
      </c>
      <c r="BF91" s="305" cm="1">
        <f t="array" ref="BF91">_xlfn.SINGLE(IF(ISERROR(_xll.FDS($C$2,"FE_ESTIMATE(DEFREVENUE_ST,MEAN,ANNUAL_ROLL,"&amp;BF$9&amp;","&amp;$C$5&amp;",,,'')")), "--", _xll.FDS($C$2,"FE_ESTIMATE(DEFREVENUE_ST,MEAN,ANNUAL_ROLL,"&amp;BF$9&amp;","&amp;$C$5&amp;",,,'')")))</f>
        <v>3056.114</v>
      </c>
      <c r="BG91" s="304" cm="1">
        <f t="array" ref="BG91">_xlfn.SINGLE(IF(ISERROR(_xll.FDS($C$2,"FE_ESTIMATE(DEFREVENUE_ST,MEAN,QUARTERLY_ROLL,"&amp;BG$9&amp;","&amp;$C$5&amp;",,,'')")), "--", _xll.FDS($C$2,"FE_ESTIMATE(DEFREVENUE_ST,MEAN,QUARTERLY_ROLL,"&amp;BG$9&amp;","&amp;$C$5&amp;",,,'')")))</f>
        <v>2931.5030000000002</v>
      </c>
      <c r="BH91" s="304" cm="1">
        <f t="array" ref="BH91">_xlfn.SINGLE(IF(ISERROR(_xll.FDS($C$2,"FE_ESTIMATE(DEFREVENUE_ST,MEAN,QUARTERLY_ROLL,"&amp;BH$9&amp;","&amp;$C$5&amp;",,,'')")), "--", _xll.FDS($C$2,"FE_ESTIMATE(DEFREVENUE_ST,MEAN,QUARTERLY_ROLL,"&amp;BH$9&amp;","&amp;$C$5&amp;",,,'')")))</f>
        <v>2847.6414</v>
      </c>
      <c r="BI91" s="304" cm="1">
        <f t="array" ref="BI91">_xlfn.SINGLE(IF(ISERROR(_xll.FDS($C$2,"FE_ESTIMATE(DEFREVENUE_ST,MEAN,QUARTERLY_ROLL,"&amp;BI$9&amp;","&amp;$C$5&amp;",,,'')")), "--", _xll.FDS($C$2,"FE_ESTIMATE(DEFREVENUE_ST,MEAN,QUARTERLY_ROLL,"&amp;BI$9&amp;","&amp;$C$5&amp;",,,'')")))</f>
        <v>2921.7456000000002</v>
      </c>
      <c r="BJ91" s="304" cm="1">
        <f t="array" ref="BJ91">_xlfn.SINGLE(IF(ISERROR(_xll.FDS($C$2,"FE_ESTIMATE(DEFREVENUE_ST,MEAN,QUARTERLY_ROLL,"&amp;BJ$9&amp;","&amp;$C$5&amp;",,,'')")), "--", _xll.FDS($C$2,"FE_ESTIMATE(DEFREVENUE_ST,MEAN,QUARTERLY_ROLL,"&amp;BJ$9&amp;","&amp;$C$5&amp;",,,'')")))</f>
        <v>3678.5164</v>
      </c>
      <c r="BK91" s="305" cm="1">
        <f t="array" ref="BK91">_xlfn.SINGLE(IF(ISERROR(_xll.FDS($C$2,"FE_ESTIMATE(DEFREVENUE_ST,MEAN,ANNUAL_ROLL,"&amp;BK$9&amp;","&amp;$C$5&amp;",,,'')")), "--", _xll.FDS($C$2,"FE_ESTIMATE(DEFREVENUE_ST,MEAN,ANNUAL_ROLL,"&amp;BK$9&amp;","&amp;$C$5&amp;",,,'')")))</f>
        <v>3568.723</v>
      </c>
      <c r="BL91" s="304" t="str" cm="1">
        <f t="array" ref="BL91">_xlfn.SINGLE(IF(ISERROR(_xll.FDS($C$2,"FE_ESTIMATE(DEFREVENUE_ST,MEAN,QUARTERLY_ROLL,"&amp;BL$9&amp;","&amp;$C$5&amp;",,,'')")), "--", _xll.FDS($C$2,"FE_ESTIMATE(DEFREVENUE_ST,MEAN,QUARTERLY_ROLL,"&amp;BL$9&amp;","&amp;$C$5&amp;",,,'')")))</f>
        <v>--</v>
      </c>
      <c r="BM91" s="304" t="str" cm="1">
        <f t="array" ref="BM91">_xlfn.SINGLE(IF(ISERROR(_xll.FDS($C$2,"FE_ESTIMATE(DEFREVENUE_ST,MEAN,QUARTERLY_ROLL,"&amp;BM$9&amp;","&amp;$C$5&amp;",,,'')")), "--", _xll.FDS($C$2,"FE_ESTIMATE(DEFREVENUE_ST,MEAN,QUARTERLY_ROLL,"&amp;BM$9&amp;","&amp;$C$5&amp;",,,'')")))</f>
        <v>--</v>
      </c>
      <c r="BN91" s="304" t="str" cm="1">
        <f t="array" ref="BN91">_xlfn.SINGLE(IF(ISERROR(_xll.FDS($C$2,"FE_ESTIMATE(DEFREVENUE_ST,MEAN,QUARTERLY_ROLL,"&amp;BN$9&amp;","&amp;$C$5&amp;",,,'')")), "--", _xll.FDS($C$2,"FE_ESTIMATE(DEFREVENUE_ST,MEAN,QUARTERLY_ROLL,"&amp;BN$9&amp;","&amp;$C$5&amp;",,,'')")))</f>
        <v>--</v>
      </c>
      <c r="BO91" s="304" t="str" cm="1">
        <f t="array" ref="BO91">_xlfn.SINGLE(IF(ISERROR(_xll.FDS($C$2,"FE_ESTIMATE(DEFREVENUE_ST,MEAN,QUARTERLY_ROLL,"&amp;BO$9&amp;","&amp;$C$5&amp;",,,'')")), "--", _xll.FDS($C$2,"FE_ESTIMATE(DEFREVENUE_ST,MEAN,QUARTERLY_ROLL,"&amp;BO$9&amp;","&amp;$C$5&amp;",,,'')")))</f>
        <v>--</v>
      </c>
      <c r="BP91" s="305" cm="1">
        <f t="array" ref="BP91">_xlfn.SINGLE(IF(ISERROR(_xll.FDS($C$2,"FE_ESTIMATE(DEFREVENUE_ST,MEAN,ANNUAL_ROLL,"&amp;BP$9&amp;","&amp;$C$5&amp;",,,'')")), "--", _xll.FDS($C$2,"FE_ESTIMATE(DEFREVENUE_ST,MEAN,ANNUAL_ROLL,"&amp;BP$9&amp;","&amp;$C$5&amp;",,,'')")))</f>
        <v>4479.25</v>
      </c>
    </row>
    <row r="92" spans="1:68" s="310" customFormat="1" outlineLevel="1">
      <c r="A92" s="245" t="s">
        <v>132</v>
      </c>
      <c r="B92" s="307" t="s">
        <v>204</v>
      </c>
      <c r="C92" s="307"/>
      <c r="D92" s="323"/>
      <c r="E92" s="323"/>
      <c r="F92" s="323"/>
      <c r="G92" s="323"/>
      <c r="H92" s="309"/>
      <c r="I92" s="308" t="str">
        <f t="shared" ref="I92:AN92" si="53">IFERROR(I91/D91-1,"--")</f>
        <v>--</v>
      </c>
      <c r="J92" s="308" t="str">
        <f t="shared" si="53"/>
        <v>--</v>
      </c>
      <c r="K92" s="308" t="str">
        <f t="shared" si="53"/>
        <v>--</v>
      </c>
      <c r="L92" s="308" t="str">
        <f t="shared" si="53"/>
        <v>--</v>
      </c>
      <c r="M92" s="309" t="str">
        <f t="shared" si="53"/>
        <v>--</v>
      </c>
      <c r="N92" s="308" t="str">
        <f t="shared" si="53"/>
        <v>--</v>
      </c>
      <c r="O92" s="308" t="str">
        <f t="shared" si="53"/>
        <v>--</v>
      </c>
      <c r="P92" s="308" t="str">
        <f t="shared" si="53"/>
        <v>--</v>
      </c>
      <c r="Q92" s="308" t="str">
        <f t="shared" si="53"/>
        <v>--</v>
      </c>
      <c r="R92" s="309" t="str">
        <f t="shared" si="53"/>
        <v>--</v>
      </c>
      <c r="S92" s="308" t="str">
        <f t="shared" si="53"/>
        <v>--</v>
      </c>
      <c r="T92" s="308" t="str">
        <f t="shared" si="53"/>
        <v>--</v>
      </c>
      <c r="U92" s="308" t="str">
        <f t="shared" si="53"/>
        <v>--</v>
      </c>
      <c r="V92" s="308" t="str">
        <f t="shared" si="53"/>
        <v>--</v>
      </c>
      <c r="W92" s="309" t="str">
        <f t="shared" si="53"/>
        <v>--</v>
      </c>
      <c r="X92" s="308" t="str">
        <f t="shared" si="53"/>
        <v>--</v>
      </c>
      <c r="Y92" s="308" t="str">
        <f t="shared" si="53"/>
        <v>--</v>
      </c>
      <c r="Z92" s="308" t="str">
        <f t="shared" si="53"/>
        <v>--</v>
      </c>
      <c r="AA92" s="308" t="str">
        <f t="shared" si="53"/>
        <v>--</v>
      </c>
      <c r="AB92" s="309" t="str">
        <f t="shared" si="53"/>
        <v>--</v>
      </c>
      <c r="AC92" s="308" t="str">
        <f t="shared" si="53"/>
        <v>--</v>
      </c>
      <c r="AD92" s="308" t="str">
        <f t="shared" si="53"/>
        <v>--</v>
      </c>
      <c r="AE92" s="308" t="str">
        <f t="shared" si="53"/>
        <v>--</v>
      </c>
      <c r="AF92" s="308" t="str">
        <f t="shared" si="53"/>
        <v>--</v>
      </c>
      <c r="AG92" s="309" t="str">
        <f t="shared" si="53"/>
        <v>--</v>
      </c>
      <c r="AH92" s="308" t="str">
        <f t="shared" si="53"/>
        <v>--</v>
      </c>
      <c r="AI92" s="308">
        <f t="shared" si="53"/>
        <v>0.87848172079851383</v>
      </c>
      <c r="AJ92" s="308">
        <f t="shared" si="53"/>
        <v>0.73368160728510912</v>
      </c>
      <c r="AK92" s="308">
        <f t="shared" si="53"/>
        <v>0.81294035309664125</v>
      </c>
      <c r="AL92" s="309">
        <f t="shared" si="53"/>
        <v>0.81293535189279509</v>
      </c>
      <c r="AM92" s="308">
        <f t="shared" si="53"/>
        <v>0.783565098381791</v>
      </c>
      <c r="AN92" s="308">
        <f t="shared" si="53"/>
        <v>0.63128145975395755</v>
      </c>
      <c r="AO92" s="308">
        <f t="shared" ref="AO92:BP92" si="54">IFERROR(AO91/AJ91-1,"--")</f>
        <v>0.58680261309892856</v>
      </c>
      <c r="AP92" s="308">
        <f t="shared" si="54"/>
        <v>0.44521333902749816</v>
      </c>
      <c r="AQ92" s="309">
        <f t="shared" si="54"/>
        <v>0.44516690555987415</v>
      </c>
      <c r="AR92" s="308">
        <f t="shared" si="54"/>
        <v>0.37751775080751293</v>
      </c>
      <c r="AS92" s="308">
        <f t="shared" si="54"/>
        <v>0.33041784349313019</v>
      </c>
      <c r="AT92" s="308">
        <f t="shared" si="54"/>
        <v>0.33187881922974749</v>
      </c>
      <c r="AU92" s="308">
        <f t="shared" si="54"/>
        <v>0.31390881123815517</v>
      </c>
      <c r="AV92" s="309">
        <f t="shared" si="54"/>
        <v>0.31395238907399081</v>
      </c>
      <c r="AW92" s="308">
        <f t="shared" si="54"/>
        <v>0.24051222354555857</v>
      </c>
      <c r="AX92" s="308">
        <f t="shared" si="54"/>
        <v>0.21355941061421491</v>
      </c>
      <c r="AY92" s="308">
        <f t="shared" si="54"/>
        <v>0.23002380861775173</v>
      </c>
      <c r="AZ92" s="308">
        <f t="shared" si="54"/>
        <v>0.1741159925218696</v>
      </c>
      <c r="BA92" s="309">
        <f t="shared" si="54"/>
        <v>0.1741159925218696</v>
      </c>
      <c r="BB92" s="308">
        <f t="shared" si="54"/>
        <v>0.19400227086203392</v>
      </c>
      <c r="BC92" s="308">
        <f t="shared" si="54"/>
        <v>0.22794549828366106</v>
      </c>
      <c r="BD92" s="308">
        <f t="shared" si="54"/>
        <v>0.24178906064153871</v>
      </c>
      <c r="BE92" s="308">
        <f t="shared" si="54"/>
        <v>0.21594340984620297</v>
      </c>
      <c r="BF92" s="309">
        <f t="shared" si="54"/>
        <v>0.18382189537147942</v>
      </c>
      <c r="BG92" s="308">
        <f t="shared" si="54"/>
        <v>0.26840450237057056</v>
      </c>
      <c r="BH92" s="308">
        <f t="shared" si="54"/>
        <v>0.2546463780190702</v>
      </c>
      <c r="BI92" s="308">
        <f t="shared" si="54"/>
        <v>0.19136549346092591</v>
      </c>
      <c r="BJ92" s="308">
        <f t="shared" si="54"/>
        <v>0.17186113528164593</v>
      </c>
      <c r="BK92" s="309">
        <f t="shared" si="54"/>
        <v>0.16773229009127277</v>
      </c>
      <c r="BL92" s="308" t="str">
        <f t="shared" si="54"/>
        <v>--</v>
      </c>
      <c r="BM92" s="308" t="str">
        <f t="shared" si="54"/>
        <v>--</v>
      </c>
      <c r="BN92" s="308" t="str">
        <f t="shared" si="54"/>
        <v>--</v>
      </c>
      <c r="BO92" s="308" t="str">
        <f t="shared" si="54"/>
        <v>--</v>
      </c>
      <c r="BP92" s="309">
        <f t="shared" si="54"/>
        <v>0.25514084449815799</v>
      </c>
    </row>
    <row r="93" spans="1:68" s="310" customFormat="1" outlineLevel="1">
      <c r="A93" s="245" t="s">
        <v>133</v>
      </c>
      <c r="B93" s="307" t="s">
        <v>205</v>
      </c>
      <c r="C93" s="307"/>
      <c r="D93" s="323"/>
      <c r="E93" s="308"/>
      <c r="F93" s="308"/>
      <c r="G93" s="308"/>
      <c r="H93" s="309"/>
      <c r="I93" s="308" t="str">
        <f>IFERROR(I91/G91-1,"--")</f>
        <v>--</v>
      </c>
      <c r="J93" s="308" t="str">
        <f>IFERROR(J91/I91-1,"--")</f>
        <v>--</v>
      </c>
      <c r="K93" s="308" t="str">
        <f>IFERROR(K91/J91-1,"--")</f>
        <v>--</v>
      </c>
      <c r="L93" s="308" t="str">
        <f>IFERROR(L91/K91-1,"--")</f>
        <v>--</v>
      </c>
      <c r="M93" s="311"/>
      <c r="N93" s="308" t="str">
        <f>IFERROR(N91/L91-1,"--")</f>
        <v>--</v>
      </c>
      <c r="O93" s="308" t="str">
        <f>IFERROR(O91/N91-1,"--")</f>
        <v>--</v>
      </c>
      <c r="P93" s="308" t="str">
        <f>IFERROR(P91/O91-1,"--")</f>
        <v>--</v>
      </c>
      <c r="Q93" s="308" t="str">
        <f>IFERROR(Q91/P91-1,"--")</f>
        <v>--</v>
      </c>
      <c r="R93" s="311"/>
      <c r="S93" s="308" t="str">
        <f>IFERROR(S91/Q91-1,"--")</f>
        <v>--</v>
      </c>
      <c r="T93" s="308" t="str">
        <f>IFERROR(T91/S91-1,"--")</f>
        <v>--</v>
      </c>
      <c r="U93" s="308" t="str">
        <f>IFERROR(U91/T91-1,"--")</f>
        <v>--</v>
      </c>
      <c r="V93" s="308" t="str">
        <f>IFERROR(V91/U91-1,"--")</f>
        <v>--</v>
      </c>
      <c r="W93" s="311"/>
      <c r="X93" s="308" t="str">
        <f>IFERROR(X91/V91-1,"--")</f>
        <v>--</v>
      </c>
      <c r="Y93" s="308" t="str">
        <f>IFERROR(Y91/X91-1,"--")</f>
        <v>--</v>
      </c>
      <c r="Z93" s="308" t="str">
        <f>IFERROR(Z91/Y91-1,"--")</f>
        <v>--</v>
      </c>
      <c r="AA93" s="308" t="str">
        <f>IFERROR(AA91/Z91-1,"--")</f>
        <v>--</v>
      </c>
      <c r="AB93" s="311"/>
      <c r="AC93" s="308" t="str">
        <f>IFERROR(AC91/AA91-1,"--")</f>
        <v>--</v>
      </c>
      <c r="AD93" s="308" t="str">
        <f>IFERROR(AD91/AC91-1,"--")</f>
        <v>--</v>
      </c>
      <c r="AE93" s="308">
        <f>IFERROR(AE91/AD91-1,"--")</f>
        <v>0.17294913729877881</v>
      </c>
      <c r="AF93" s="308">
        <f>IFERROR(AF91/AE91-1,"--")</f>
        <v>0.45751288729548589</v>
      </c>
      <c r="AG93" s="311"/>
      <c r="AH93" s="308">
        <f>IFERROR(AH91/AF91-1,"--")</f>
        <v>-5.6283779975323522E-3</v>
      </c>
      <c r="AI93" s="308">
        <f>IFERROR(AI91/AH91-1,"--")</f>
        <v>0.10501116994375015</v>
      </c>
      <c r="AJ93" s="308">
        <f>IFERROR(AJ91/AI91-1,"--")</f>
        <v>8.2534007704589518E-2</v>
      </c>
      <c r="AK93" s="308">
        <f>IFERROR(AK91/AJ91-1,"--")</f>
        <v>0.52414602394858045</v>
      </c>
      <c r="AL93" s="311"/>
      <c r="AM93" s="308">
        <f>IFERROR(AM91/AK91-1,"--")</f>
        <v>-2.1740281308443077E-2</v>
      </c>
      <c r="AN93" s="308">
        <f>IFERROR(AN91/AM91-1,"--")</f>
        <v>1.0663550203877881E-2</v>
      </c>
      <c r="AO93" s="308">
        <f>IFERROR(AO91/AN91-1,"--")</f>
        <v>5.301741886601552E-2</v>
      </c>
      <c r="AP93" s="308">
        <f>IFERROR(AP91/AO91-1,"--")</f>
        <v>0.3881475529804197</v>
      </c>
      <c r="AQ93" s="311"/>
      <c r="AR93" s="308">
        <f>IFERROR(AR91/AP91-1,"--")</f>
        <v>-6.7563181845262776E-2</v>
      </c>
      <c r="AS93" s="308">
        <f>IFERROR(AS91/AR91-1,"--")</f>
        <v>-2.3892926119365887E-2</v>
      </c>
      <c r="AT93" s="308">
        <f>IFERROR(AT91/AS91-1,"--")</f>
        <v>5.4173772042367396E-2</v>
      </c>
      <c r="AU93" s="308">
        <f>IFERROR(AU91/AT91-1,"--")</f>
        <v>0.36941835460260197</v>
      </c>
      <c r="AV93" s="311"/>
      <c r="AW93" s="308">
        <f>IFERROR(AW91/AU91-1,"--")</f>
        <v>-0.11965026742238738</v>
      </c>
      <c r="AX93" s="308">
        <f>IFERROR(AX91/AW91-1,"--")</f>
        <v>-4.5100964914881914E-2</v>
      </c>
      <c r="AY93" s="308">
        <f>IFERROR(AY91/AX91-1,"--")</f>
        <v>6.8475780164912292E-2</v>
      </c>
      <c r="AZ93" s="308">
        <f>IFERROR(AZ91/AY91-1,"--")</f>
        <v>0.30717468989379926</v>
      </c>
      <c r="BA93" s="311"/>
      <c r="BB93" s="308">
        <f>IFERROR(BB91/AZ91-1,"--")</f>
        <v>-0.10473957722633209</v>
      </c>
      <c r="BC93" s="308">
        <f>IFERROR(BC91/BB91-1,"--")</f>
        <v>-1.7954990486218847E-2</v>
      </c>
      <c r="BD93" s="308">
        <f>IFERROR(BD91/BC91-1,"--")</f>
        <v>8.0521519256158358E-2</v>
      </c>
      <c r="BE93" s="308">
        <f>IFERROR(BE91/BD91-1,"--")</f>
        <v>0.27996815245978257</v>
      </c>
      <c r="BF93" s="311"/>
      <c r="BG93" s="308">
        <f>IFERROR(BG91/BE91-1,"--")</f>
        <v>-6.6114144914087958E-2</v>
      </c>
      <c r="BH93" s="308">
        <f>IFERROR(BH91/BG91-1,"--")</f>
        <v>-2.8607031955962592E-2</v>
      </c>
      <c r="BI93" s="308">
        <f>IFERROR(BI91/BH91-1,"--")</f>
        <v>2.6023009779251094E-2</v>
      </c>
      <c r="BJ93" s="308">
        <f>IFERROR(BJ91/BI91-1,"--")</f>
        <v>0.25901324194686892</v>
      </c>
      <c r="BK93" s="311"/>
      <c r="BL93" s="308" t="str">
        <f>IFERROR(BL91/BJ91-1,"--")</f>
        <v>--</v>
      </c>
      <c r="BM93" s="308" t="str">
        <f>IFERROR(BM91/BL91-1,"--")</f>
        <v>--</v>
      </c>
      <c r="BN93" s="308" t="str">
        <f>IFERROR(BN91/BM91-1,"--")</f>
        <v>--</v>
      </c>
      <c r="BO93" s="308" t="str">
        <f>IFERROR(BO91/BN91-1,"--")</f>
        <v>--</v>
      </c>
      <c r="BP93" s="311"/>
    </row>
    <row r="94" spans="1:68" s="310" customFormat="1" outlineLevel="1">
      <c r="A94" s="293"/>
      <c r="B94" s="324"/>
      <c r="C94" s="307"/>
      <c r="D94" s="325"/>
      <c r="E94" s="308"/>
      <c r="F94" s="308"/>
      <c r="G94" s="308"/>
      <c r="H94" s="311"/>
      <c r="I94" s="322"/>
      <c r="J94" s="322"/>
      <c r="K94" s="322"/>
      <c r="L94" s="322"/>
      <c r="M94" s="321"/>
      <c r="N94" s="322"/>
      <c r="O94" s="322"/>
      <c r="P94" s="322"/>
      <c r="Q94" s="322"/>
      <c r="R94" s="321"/>
      <c r="S94" s="322"/>
      <c r="T94" s="322"/>
      <c r="U94" s="322"/>
      <c r="V94" s="322"/>
      <c r="W94" s="321"/>
      <c r="X94" s="322"/>
      <c r="Y94" s="322"/>
      <c r="Z94" s="322"/>
      <c r="AA94" s="322"/>
      <c r="AB94" s="321"/>
      <c r="AC94" s="322"/>
      <c r="AD94" s="322"/>
      <c r="AE94" s="322"/>
      <c r="AF94" s="322"/>
      <c r="AG94" s="321"/>
      <c r="AH94" s="322"/>
      <c r="AI94" s="322"/>
      <c r="AJ94" s="322"/>
      <c r="AK94" s="322"/>
      <c r="AL94" s="321"/>
      <c r="AM94" s="322"/>
      <c r="AN94" s="322"/>
      <c r="AO94" s="322"/>
      <c r="AP94" s="322"/>
      <c r="AQ94" s="321"/>
      <c r="AR94" s="322"/>
      <c r="AS94" s="322"/>
      <c r="AT94" s="322"/>
      <c r="AU94" s="322"/>
      <c r="AV94" s="321"/>
      <c r="AW94" s="322"/>
      <c r="AX94" s="322"/>
      <c r="AY94" s="322"/>
      <c r="AZ94" s="322"/>
      <c r="BA94" s="321"/>
      <c r="BB94" s="322"/>
      <c r="BC94" s="322"/>
      <c r="BD94" s="322"/>
      <c r="BE94" s="322"/>
      <c r="BF94" s="321"/>
      <c r="BG94" s="322"/>
      <c r="BH94" s="322"/>
      <c r="BI94" s="322"/>
      <c r="BJ94" s="322"/>
      <c r="BK94" s="321"/>
      <c r="BL94" s="322"/>
      <c r="BM94" s="322"/>
      <c r="BN94" s="322"/>
      <c r="BO94" s="322"/>
      <c r="BP94" s="321"/>
    </row>
    <row r="95" spans="1:68" s="306" customFormat="1" outlineLevel="1">
      <c r="A95" s="245" t="s">
        <v>134</v>
      </c>
      <c r="B95" s="302" t="s">
        <v>206</v>
      </c>
      <c r="C95" s="303"/>
      <c r="D95" s="304"/>
      <c r="E95" s="304"/>
      <c r="F95" s="304"/>
      <c r="G95" s="304"/>
      <c r="H95" s="305"/>
      <c r="I95" s="304" t="str" cm="1">
        <f t="array" ref="I95">_xlfn.SINGLE(IF(ISERROR(_xll.FDS($C$2,"FE_ESTIMATE(DEFREVENUE_LT,MEAN,QUARTERLY_ROLL,"&amp;I$9&amp;","&amp;$C$5&amp;",,,'')")), "--", _xll.FDS($C$2,"FE_ESTIMATE(DEFREVENUE_LT,MEAN,QUARTERLY_ROLL,"&amp;I$9&amp;","&amp;$C$5&amp;",,,'')")))</f>
        <v>--</v>
      </c>
      <c r="J95" s="304" t="str" cm="1">
        <f t="array" ref="J95">_xlfn.SINGLE(IF(ISERROR(_xll.FDS($C$2,"FE_ESTIMATE(DEFREVENUE_LT,MEAN,QUARTERLY_ROLL,"&amp;J$9&amp;","&amp;$C$5&amp;",,,'')")), "--", _xll.FDS($C$2,"FE_ESTIMATE(DEFREVENUE_LT,MEAN,QUARTERLY_ROLL,"&amp;J$9&amp;","&amp;$C$5&amp;",,,'')")))</f>
        <v>--</v>
      </c>
      <c r="K95" s="304" t="str" cm="1">
        <f t="array" ref="K95">_xlfn.SINGLE(IF(ISERROR(_xll.FDS($C$2,"FE_ESTIMATE(DEFREVENUE_LT,MEAN,QUARTERLY_ROLL,"&amp;K$9&amp;","&amp;$C$5&amp;",,,'')")), "--", _xll.FDS($C$2,"FE_ESTIMATE(DEFREVENUE_LT,MEAN,QUARTERLY_ROLL,"&amp;K$9&amp;","&amp;$C$5&amp;",,,'')")))</f>
        <v>--</v>
      </c>
      <c r="L95" s="304" t="str" cm="1">
        <f t="array" ref="L95">_xlfn.SINGLE(IF(ISERROR(_xll.FDS($C$2,"FE_ESTIMATE(DEFREVENUE_LT,MEAN,QUARTERLY_ROLL,"&amp;L$9&amp;","&amp;$C$5&amp;",,,'')")), "--", _xll.FDS($C$2,"FE_ESTIMATE(DEFREVENUE_LT,MEAN,QUARTERLY_ROLL,"&amp;L$9&amp;","&amp;$C$5&amp;",,,'')")))</f>
        <v>--</v>
      </c>
      <c r="M95" s="305" t="str" cm="1">
        <f t="array" ref="M95">_xlfn.SINGLE(IF(ISERROR(_xll.FDS($C$2,"FE_ESTIMATE(DEFREVENUE_LT,MEAN,ANNUAL_ROLL,"&amp;M$9&amp;","&amp;$C$5&amp;",,,'')")), "--", _xll.FDS($C$2,"FE_ESTIMATE(DEFREVENUE_LT,MEAN,ANNUAL_ROLL,"&amp;M$9&amp;","&amp;$C$5&amp;",,,'')")))</f>
        <v>--</v>
      </c>
      <c r="N95" s="304" t="str" cm="1">
        <f t="array" ref="N95">_xlfn.SINGLE(IF(ISERROR(_xll.FDS($C$2,"FE_ESTIMATE(DEFREVENUE_LT,MEAN,QUARTERLY_ROLL,"&amp;N$9&amp;","&amp;$C$5&amp;",,,'')")), "--", _xll.FDS($C$2,"FE_ESTIMATE(DEFREVENUE_LT,MEAN,QUARTERLY_ROLL,"&amp;N$9&amp;","&amp;$C$5&amp;",,,'')")))</f>
        <v>--</v>
      </c>
      <c r="O95" s="304" t="str" cm="1">
        <f t="array" ref="O95">_xlfn.SINGLE(IF(ISERROR(_xll.FDS($C$2,"FE_ESTIMATE(DEFREVENUE_LT,MEAN,QUARTERLY_ROLL,"&amp;O$9&amp;","&amp;$C$5&amp;",,,'')")), "--", _xll.FDS($C$2,"FE_ESTIMATE(DEFREVENUE_LT,MEAN,QUARTERLY_ROLL,"&amp;O$9&amp;","&amp;$C$5&amp;",,,'')")))</f>
        <v>--</v>
      </c>
      <c r="P95" s="304" t="str" cm="1">
        <f t="array" ref="P95">_xlfn.SINGLE(IF(ISERROR(_xll.FDS($C$2,"FE_ESTIMATE(DEFREVENUE_LT,MEAN,QUARTERLY_ROLL,"&amp;P$9&amp;","&amp;$C$5&amp;",,,'')")), "--", _xll.FDS($C$2,"FE_ESTIMATE(DEFREVENUE_LT,MEAN,QUARTERLY_ROLL,"&amp;P$9&amp;","&amp;$C$5&amp;",,,'')")))</f>
        <v>--</v>
      </c>
      <c r="Q95" s="304" t="str" cm="1">
        <f t="array" ref="Q95">_xlfn.SINGLE(IF(ISERROR(_xll.FDS($C$2,"FE_ESTIMATE(DEFREVENUE_LT,MEAN,QUARTERLY_ROLL,"&amp;Q$9&amp;","&amp;$C$5&amp;",,,'')")), "--", _xll.FDS($C$2,"FE_ESTIMATE(DEFREVENUE_LT,MEAN,QUARTERLY_ROLL,"&amp;Q$9&amp;","&amp;$C$5&amp;",,,'')")))</f>
        <v>--</v>
      </c>
      <c r="R95" s="305" t="str" cm="1">
        <f t="array" ref="R95">_xlfn.SINGLE(IF(ISERROR(_xll.FDS($C$2,"FE_ESTIMATE(DEFREVENUE_LT,MEAN,ANNUAL_ROLL,"&amp;R$9&amp;","&amp;$C$5&amp;",,,'')")), "--", _xll.FDS($C$2,"FE_ESTIMATE(DEFREVENUE_LT,MEAN,ANNUAL_ROLL,"&amp;R$9&amp;","&amp;$C$5&amp;",,,'')")))</f>
        <v>--</v>
      </c>
      <c r="S95" s="304" t="str" cm="1">
        <f t="array" ref="S95">_xlfn.SINGLE(IF(ISERROR(_xll.FDS($C$2,"FE_ESTIMATE(DEFREVENUE_LT,MEAN,QUARTERLY_ROLL,"&amp;S$9&amp;","&amp;$C$5&amp;",,,'')")), "--", _xll.FDS($C$2,"FE_ESTIMATE(DEFREVENUE_LT,MEAN,QUARTERLY_ROLL,"&amp;S$9&amp;","&amp;$C$5&amp;",,,'')")))</f>
        <v>--</v>
      </c>
      <c r="T95" s="304" t="str" cm="1">
        <f t="array" ref="T95">_xlfn.SINGLE(IF(ISERROR(_xll.FDS($C$2,"FE_ESTIMATE(DEFREVENUE_LT,MEAN,QUARTERLY_ROLL,"&amp;T$9&amp;","&amp;$C$5&amp;",,,'')")), "--", _xll.FDS($C$2,"FE_ESTIMATE(DEFREVENUE_LT,MEAN,QUARTERLY_ROLL,"&amp;T$9&amp;","&amp;$C$5&amp;",,,'')")))</f>
        <v>--</v>
      </c>
      <c r="U95" s="304" t="str" cm="1">
        <f t="array" ref="U95">_xlfn.SINGLE(IF(ISERROR(_xll.FDS($C$2,"FE_ESTIMATE(DEFREVENUE_LT,MEAN,QUARTERLY_ROLL,"&amp;U$9&amp;","&amp;$C$5&amp;",,,'')")), "--", _xll.FDS($C$2,"FE_ESTIMATE(DEFREVENUE_LT,MEAN,QUARTERLY_ROLL,"&amp;U$9&amp;","&amp;$C$5&amp;",,,'')")))</f>
        <v>--</v>
      </c>
      <c r="V95" s="304" t="str" cm="1">
        <f t="array" ref="V95">_xlfn.SINGLE(IF(ISERROR(_xll.FDS($C$2,"FE_ESTIMATE(DEFREVENUE_LT,MEAN,QUARTERLY_ROLL,"&amp;V$9&amp;","&amp;$C$5&amp;",,,'')")), "--", _xll.FDS($C$2,"FE_ESTIMATE(DEFREVENUE_LT,MEAN,QUARTERLY_ROLL,"&amp;V$9&amp;","&amp;$C$5&amp;",,,'')")))</f>
        <v>--</v>
      </c>
      <c r="W95" s="305" t="str" cm="1">
        <f t="array" ref="W95">_xlfn.SINGLE(IF(ISERROR(_xll.FDS($C$2,"FE_ESTIMATE(DEFREVENUE_LT,MEAN,ANNUAL_ROLL,"&amp;W$9&amp;","&amp;$C$5&amp;",,,'')")), "--", _xll.FDS($C$2,"FE_ESTIMATE(DEFREVENUE_LT,MEAN,ANNUAL_ROLL,"&amp;W$9&amp;","&amp;$C$5&amp;",,,'')")))</f>
        <v>--</v>
      </c>
      <c r="X95" s="304" t="str" cm="1">
        <f t="array" ref="X95">_xlfn.SINGLE(IF(ISERROR(_xll.FDS($C$2,"FE_ESTIMATE(DEFREVENUE_LT,MEAN,QUARTERLY_ROLL,"&amp;X$9&amp;","&amp;$C$5&amp;",,,'')")), "--", _xll.FDS($C$2,"FE_ESTIMATE(DEFREVENUE_LT,MEAN,QUARTERLY_ROLL,"&amp;X$9&amp;","&amp;$C$5&amp;",,,'')")))</f>
        <v>--</v>
      </c>
      <c r="Y95" s="304" t="str" cm="1">
        <f t="array" ref="Y95">_xlfn.SINGLE(IF(ISERROR(_xll.FDS($C$2,"FE_ESTIMATE(DEFREVENUE_LT,MEAN,QUARTERLY_ROLL,"&amp;Y$9&amp;","&amp;$C$5&amp;",,,'')")), "--", _xll.FDS($C$2,"FE_ESTIMATE(DEFREVENUE_LT,MEAN,QUARTERLY_ROLL,"&amp;Y$9&amp;","&amp;$C$5&amp;",,,'')")))</f>
        <v>--</v>
      </c>
      <c r="Z95" s="304" t="str" cm="1">
        <f t="array" ref="Z95">_xlfn.SINGLE(IF(ISERROR(_xll.FDS($C$2,"FE_ESTIMATE(DEFREVENUE_LT,MEAN,QUARTERLY_ROLL,"&amp;Z$9&amp;","&amp;$C$5&amp;",,,'')")), "--", _xll.FDS($C$2,"FE_ESTIMATE(DEFREVENUE_LT,MEAN,QUARTERLY_ROLL,"&amp;Z$9&amp;","&amp;$C$5&amp;",,,'')")))</f>
        <v>--</v>
      </c>
      <c r="AA95" s="304" t="str" cm="1">
        <f t="array" ref="AA95">_xlfn.SINGLE(IF(ISERROR(_xll.FDS($C$2,"FE_ESTIMATE(DEFREVENUE_LT,MEAN,QUARTERLY_ROLL,"&amp;AA$9&amp;","&amp;$C$5&amp;",,,'')")), "--", _xll.FDS($C$2,"FE_ESTIMATE(DEFREVENUE_LT,MEAN,QUARTERLY_ROLL,"&amp;AA$9&amp;","&amp;$C$5&amp;",,,'')")))</f>
        <v>--</v>
      </c>
      <c r="AB95" s="305" t="str" cm="1">
        <f t="array" ref="AB95">_xlfn.SINGLE(IF(ISERROR(_xll.FDS($C$2,"FE_ESTIMATE(DEFREVENUE_LT,MEAN,ANNUAL_ROLL,"&amp;AB$9&amp;","&amp;$C$5&amp;",,,'')")), "--", _xll.FDS($C$2,"FE_ESTIMATE(DEFREVENUE_LT,MEAN,ANNUAL_ROLL,"&amp;AB$9&amp;","&amp;$C$5&amp;",,,'')")))</f>
        <v>--</v>
      </c>
      <c r="AC95" s="304" t="str" cm="1">
        <f t="array" ref="AC95">_xlfn.SINGLE(IF(ISERROR(_xll.FDS($C$2,"FE_ESTIMATE(DEFREVENUE_LT,MEAN,QUARTERLY_ROLL,"&amp;AC$9&amp;","&amp;$C$5&amp;",,,'')")), "--", _xll.FDS($C$2,"FE_ESTIMATE(DEFREVENUE_LT,MEAN,QUARTERLY_ROLL,"&amp;AC$9&amp;","&amp;$C$5&amp;",,,'')")))</f>
        <v>--</v>
      </c>
      <c r="AD95" s="304" cm="1">
        <f t="array" ref="AD95">_xlfn.SINGLE(IF(ISERROR(_xll.FDS($C$2,"FE_ESTIMATE(DEFREVENUE_LT,MEAN,QUARTERLY_ROLL,"&amp;AD$9&amp;","&amp;$C$5&amp;",,,'')")), "--", _xll.FDS($C$2,"FE_ESTIMATE(DEFREVENUE_LT,MEAN,QUARTERLY_ROLL,"&amp;AD$9&amp;","&amp;$C$5&amp;",,,'')")))</f>
        <v>3.1139999999999999</v>
      </c>
      <c r="AE95" s="304" cm="1">
        <f t="array" ref="AE95">_xlfn.SINGLE(IF(ISERROR(_xll.FDS($C$2,"FE_ESTIMATE(DEFREVENUE_LT,MEAN,QUARTERLY_ROLL,"&amp;AE$9&amp;","&amp;$C$5&amp;",,,'')")), "--", _xll.FDS($C$2,"FE_ESTIMATE(DEFREVENUE_LT,MEAN,QUARTERLY_ROLL,"&amp;AE$9&amp;","&amp;$C$5&amp;",,,'')")))</f>
        <v>3.4942500000000001</v>
      </c>
      <c r="AF95" s="304" cm="1">
        <f t="array" ref="AF95">_xlfn.SINGLE(IF(ISERROR(_xll.FDS($C$2,"FE_ESTIMATE(DEFREVENUE_LT,MEAN,QUARTERLY_ROLL,"&amp;AF$9&amp;","&amp;$C$5&amp;",,,'')")), "--", _xll.FDS($C$2,"FE_ESTIMATE(DEFREVENUE_LT,MEAN,QUARTERLY_ROLL,"&amp;AF$9&amp;","&amp;$C$5&amp;",,,'')")))</f>
        <v>4.1989999999999998</v>
      </c>
      <c r="AG95" s="305" cm="1">
        <f t="array" ref="AG95">_xlfn.SINGLE(IF(ISERROR(_xll.FDS($C$2,"FE_ESTIMATE(DEFREVENUE_LT,MEAN,ANNUAL_ROLL,"&amp;AG$9&amp;","&amp;$C$5&amp;",,,'')")), "--", _xll.FDS($C$2,"FE_ESTIMATE(DEFREVENUE_LT,MEAN,ANNUAL_ROLL,"&amp;AG$9&amp;","&amp;$C$5&amp;",,,'')")))</f>
        <v>4.1991430000000003</v>
      </c>
      <c r="AH95" s="304" cm="1">
        <f t="array" ref="AH95">_xlfn.SINGLE(IF(ISERROR(_xll.FDS($C$2,"FE_ESTIMATE(DEFREVENUE_LT,MEAN,QUARTERLY_ROLL,"&amp;AH$9&amp;","&amp;$C$5&amp;",,,'')")), "--", _xll.FDS($C$2,"FE_ESTIMATE(DEFREVENUE_LT,MEAN,QUARTERLY_ROLL,"&amp;AH$9&amp;","&amp;$C$5&amp;",,,'')")))</f>
        <v>3.69</v>
      </c>
      <c r="AI95" s="304" cm="1">
        <f t="array" ref="AI95">_xlfn.SINGLE(IF(ISERROR(_xll.FDS($C$2,"FE_ESTIMATE(DEFREVENUE_LT,MEAN,QUARTERLY_ROLL,"&amp;AI$9&amp;","&amp;$C$5&amp;",,,'')")), "--", _xll.FDS($C$2,"FE_ESTIMATE(DEFREVENUE_LT,MEAN,QUARTERLY_ROLL,"&amp;AI$9&amp;","&amp;$C$5&amp;",,,'')")))</f>
        <v>7.1</v>
      </c>
      <c r="AJ95" s="304" cm="1">
        <f t="array" ref="AJ95">_xlfn.SINGLE(IF(ISERROR(_xll.FDS($C$2,"FE_ESTIMATE(DEFREVENUE_LT,MEAN,QUARTERLY_ROLL,"&amp;AJ$9&amp;","&amp;$C$5&amp;",,,'')")), "--", _xll.FDS($C$2,"FE_ESTIMATE(DEFREVENUE_LT,MEAN,QUARTERLY_ROLL,"&amp;AJ$9&amp;","&amp;$C$5&amp;",,,'')")))</f>
        <v>7.1079999999999997</v>
      </c>
      <c r="AK95" s="304" cm="1">
        <f t="array" ref="AK95">_xlfn.SINGLE(IF(ISERROR(_xll.FDS($C$2,"FE_ESTIMATE(DEFREVENUE_LT,MEAN,QUARTERLY_ROLL,"&amp;AK$9&amp;","&amp;$C$5&amp;",,,'')")), "--", _xll.FDS($C$2,"FE_ESTIMATE(DEFREVENUE_LT,MEAN,QUARTERLY_ROLL,"&amp;AK$9&amp;","&amp;$C$5&amp;",,,'')")))</f>
        <v>11.163333</v>
      </c>
      <c r="AL95" s="305" cm="1">
        <f t="array" ref="AL95">_xlfn.SINGLE(IF(ISERROR(_xll.FDS($C$2,"FE_ESTIMATE(DEFREVENUE_LT,MEAN,ANNUAL_ROLL,"&amp;AL$9&amp;","&amp;$C$5&amp;",,,'')")), "--", _xll.FDS($C$2,"FE_ESTIMATE(DEFREVENUE_LT,MEAN,ANNUAL_ROLL,"&amp;AL$9&amp;","&amp;$C$5&amp;",,,'')")))</f>
        <v>11.168571</v>
      </c>
      <c r="AM95" s="304" cm="1">
        <f t="array" ref="AM95">_xlfn.SINGLE(IF(ISERROR(_xll.FDS($C$2,"FE_ESTIMATE(DEFREVENUE_LT,MEAN,QUARTERLY_ROLL,"&amp;AM$9&amp;","&amp;$C$5&amp;",,,'')")), "--", _xll.FDS($C$2,"FE_ESTIMATE(DEFREVENUE_LT,MEAN,QUARTERLY_ROLL,"&amp;AM$9&amp;","&amp;$C$5&amp;",,,'')")))</f>
        <v>10.35425</v>
      </c>
      <c r="AN95" s="304" cm="1">
        <f t="array" ref="AN95">_xlfn.SINGLE(IF(ISERROR(_xll.FDS($C$2,"FE_ESTIMATE(DEFREVENUE_LT,MEAN,QUARTERLY_ROLL,"&amp;AN$9&amp;","&amp;$C$5&amp;",,,'')")), "--", _xll.FDS($C$2,"FE_ESTIMATE(DEFREVENUE_LT,MEAN,QUARTERLY_ROLL,"&amp;AN$9&amp;","&amp;$C$5&amp;",,,'')")))</f>
        <v>8.8206659999999992</v>
      </c>
      <c r="AO95" s="304" cm="1">
        <f t="array" ref="AO95">_xlfn.SINGLE(IF(ISERROR(_xll.FDS($C$2,"FE_ESTIMATE(DEFREVENUE_LT,MEAN,QUARTERLY_ROLL,"&amp;AO$9&amp;","&amp;$C$5&amp;",,,'')")), "--", _xll.FDS($C$2,"FE_ESTIMATE(DEFREVENUE_LT,MEAN,QUARTERLY_ROLL,"&amp;AO$9&amp;","&amp;$C$5&amp;",,,'')")))</f>
        <v>7.3094286999999998</v>
      </c>
      <c r="AP95" s="304" cm="1">
        <f t="array" ref="AP95">_xlfn.SINGLE(IF(ISERROR(_xll.FDS($C$2,"FE_ESTIMATE(DEFREVENUE_LT,MEAN,QUARTERLY_ROLL,"&amp;AP$9&amp;","&amp;$C$5&amp;",,,'')")), "--", _xll.FDS($C$2,"FE_ESTIMATE(DEFREVENUE_LT,MEAN,QUARTERLY_ROLL,"&amp;AP$9&amp;","&amp;$C$5&amp;",,,'')")))</f>
        <v>11.425110999999999</v>
      </c>
      <c r="AQ95" s="305" cm="1">
        <f t="array" ref="AQ95">_xlfn.SINGLE(IF(ISERROR(_xll.FDS($C$2,"FE_ESTIMATE(DEFREVENUE_LT,MEAN,ANNUAL_ROLL,"&amp;AQ$9&amp;","&amp;$C$5&amp;",,,'')")), "--", _xll.FDS($C$2,"FE_ESTIMATE(DEFREVENUE_LT,MEAN,ANNUAL_ROLL,"&amp;AQ$9&amp;","&amp;$C$5&amp;",,,'')")))</f>
        <v>11.425110999999999</v>
      </c>
      <c r="AR95" s="304" cm="1">
        <f t="array" ref="AR95">_xlfn.SINGLE(IF(ISERROR(_xll.FDS($C$2,"FE_ESTIMATE(DEFREVENUE_LT,MEAN,QUARTERLY_ROLL,"&amp;AR$9&amp;","&amp;$C$5&amp;",,,'')")), "--", _xll.FDS($C$2,"FE_ESTIMATE(DEFREVENUE_LT,MEAN,QUARTERLY_ROLL,"&amp;AR$9&amp;","&amp;$C$5&amp;",,,'')")))</f>
        <v>14.167111</v>
      </c>
      <c r="AS95" s="304" cm="1">
        <f t="array" ref="AS95">_xlfn.SINGLE(IF(ISERROR(_xll.FDS($C$2,"FE_ESTIMATE(DEFREVENUE_LT,MEAN,QUARTERLY_ROLL,"&amp;AS$9&amp;","&amp;$C$5&amp;",,,'')")), "--", _xll.FDS($C$2,"FE_ESTIMATE(DEFREVENUE_LT,MEAN,QUARTERLY_ROLL,"&amp;AS$9&amp;","&amp;$C$5&amp;",,,'')")))</f>
        <v>12.436778</v>
      </c>
      <c r="AT95" s="304" cm="1">
        <f t="array" ref="AT95">_xlfn.SINGLE(IF(ISERROR(_xll.FDS($C$2,"FE_ESTIMATE(DEFREVENUE_LT,MEAN,QUARTERLY_ROLL,"&amp;AT$9&amp;","&amp;$C$5&amp;",,,'')")), "--", _xll.FDS($C$2,"FE_ESTIMATE(DEFREVENUE_LT,MEAN,QUARTERLY_ROLL,"&amp;AT$9&amp;","&amp;$C$5&amp;",,,'')")))</f>
        <v>12.093249999999999</v>
      </c>
      <c r="AU95" s="304" cm="1">
        <f t="array" ref="AU95">_xlfn.SINGLE(IF(ISERROR(_xll.FDS($C$2,"FE_ESTIMATE(DEFREVENUE_LT,MEAN,QUARTERLY_ROLL,"&amp;AU$9&amp;","&amp;$C$5&amp;",,,'')")), "--", _xll.FDS($C$2,"FE_ESTIMATE(DEFREVENUE_LT,MEAN,QUARTERLY_ROLL,"&amp;AU$9&amp;","&amp;$C$5&amp;",,,'')")))</f>
        <v>14.3606</v>
      </c>
      <c r="AV95" s="305" cm="1">
        <f t="array" ref="AV95">_xlfn.SINGLE(IF(ISERROR(_xll.FDS($C$2,"FE_ESTIMATE(DEFREVENUE_LT,MEAN,ANNUAL_ROLL,"&amp;AV$9&amp;","&amp;$C$5&amp;",,,'')")), "--", _xll.FDS($C$2,"FE_ESTIMATE(DEFREVENUE_LT,MEAN,ANNUAL_ROLL,"&amp;AV$9&amp;","&amp;$C$5&amp;",,,'')")))</f>
        <v>14.3606</v>
      </c>
      <c r="AW95" s="304" cm="1">
        <f t="array" ref="AW95">_xlfn.SINGLE(IF(ISERROR(_xll.FDS($C$2,"FE_ESTIMATE(DEFREVENUE_LT,MEAN,QUARTERLY_ROLL,"&amp;AW$9&amp;","&amp;$C$5&amp;",,,'')")), "--", _xll.FDS($C$2,"FE_ESTIMATE(DEFREVENUE_LT,MEAN,QUARTERLY_ROLL,"&amp;AW$9&amp;","&amp;$C$5&amp;",,,'')")))</f>
        <v>14.727600000000001</v>
      </c>
      <c r="AX95" s="304" cm="1">
        <f t="array" ref="AX95">_xlfn.SINGLE(IF(ISERROR(_xll.FDS($C$2,"FE_ESTIMATE(DEFREVENUE_LT,MEAN,QUARTERLY_ROLL,"&amp;AX$9&amp;","&amp;$C$5&amp;",,,'')")), "--", _xll.FDS($C$2,"FE_ESTIMATE(DEFREVENUE_LT,MEAN,QUARTERLY_ROLL,"&amp;AX$9&amp;","&amp;$C$5&amp;",,,'')")))</f>
        <v>12.263999999999999</v>
      </c>
      <c r="AY95" s="304" cm="1">
        <f t="array" ref="AY95">_xlfn.SINGLE(IF(ISERROR(_xll.FDS($C$2,"FE_ESTIMATE(DEFREVENUE_LT,MEAN,QUARTERLY_ROLL,"&amp;AY$9&amp;","&amp;$C$5&amp;",,,'')")), "--", _xll.FDS($C$2,"FE_ESTIMATE(DEFREVENUE_LT,MEAN,QUARTERLY_ROLL,"&amp;AY$9&amp;","&amp;$C$5&amp;",,,'')")))</f>
        <v>11.991899999999999</v>
      </c>
      <c r="AZ95" s="304" cm="1">
        <f t="array" ref="AZ95">_xlfn.SINGLE(IF(ISERROR(_xll.FDS($C$2,"FE_ESTIMATE(DEFREVENUE_LT,MEAN,QUARTERLY_ROLL,"&amp;AZ$9&amp;","&amp;$C$5&amp;",,,'')")), "--", _xll.FDS($C$2,"FE_ESTIMATE(DEFREVENUE_LT,MEAN,QUARTERLY_ROLL,"&amp;AZ$9&amp;","&amp;$C$5&amp;",,,'')")))</f>
        <v>15.555889000000001</v>
      </c>
      <c r="BA95" s="305" cm="1">
        <f t="array" ref="BA95">_xlfn.SINGLE(IF(ISERROR(_xll.FDS($C$2,"FE_ESTIMATE(DEFREVENUE_LT,MEAN,ANNUAL_ROLL,"&amp;BA$9&amp;","&amp;$C$5&amp;",,,'')")), "--", _xll.FDS($C$2,"FE_ESTIMATE(DEFREVENUE_LT,MEAN,ANNUAL_ROLL,"&amp;BA$9&amp;","&amp;$C$5&amp;",,,'')")))</f>
        <v>15.555889000000001</v>
      </c>
      <c r="BB95" s="304" cm="1">
        <f t="array" ref="BB95">_xlfn.SINGLE(IF(ISERROR(_xll.FDS($C$2,"FE_ESTIMATE(DEFREVENUE_LT,MEAN,QUARTERLY_ROLL,"&amp;BB$9&amp;","&amp;$C$5&amp;",,,'')")), "--", _xll.FDS($C$2,"FE_ESTIMATE(DEFREVENUE_LT,MEAN,QUARTERLY_ROLL,"&amp;BB$9&amp;","&amp;$C$5&amp;",,,'')")))</f>
        <v>13.708</v>
      </c>
      <c r="BC95" s="304" cm="1">
        <f t="array" ref="BC95">_xlfn.SINGLE(IF(ISERROR(_xll.FDS($C$2,"FE_ESTIMATE(DEFREVENUE_LT,MEAN,QUARTERLY_ROLL,"&amp;BC$9&amp;","&amp;$C$5&amp;",,,'')")), "--", _xll.FDS($C$2,"FE_ESTIMATE(DEFREVENUE_LT,MEAN,QUARTERLY_ROLL,"&amp;BC$9&amp;","&amp;$C$5&amp;",,,'')")))</f>
        <v>11.515000000000001</v>
      </c>
      <c r="BD95" s="304" cm="1">
        <f t="array" ref="BD95">_xlfn.SINGLE(IF(ISERROR(_xll.FDS($C$2,"FE_ESTIMATE(DEFREVENUE_LT,MEAN,QUARTERLY_ROLL,"&amp;BD$9&amp;","&amp;$C$5&amp;",,,'')")), "--", _xll.FDS($C$2,"FE_ESTIMATE(DEFREVENUE_LT,MEAN,QUARTERLY_ROLL,"&amp;BD$9&amp;","&amp;$C$5&amp;",,,'')")))</f>
        <v>12.083</v>
      </c>
      <c r="BE95" s="304" cm="1">
        <f t="array" ref="BE95">_xlfn.SINGLE(IF(ISERROR(_xll.FDS($C$2,"FE_ESTIMATE(DEFREVENUE_LT,MEAN,QUARTERLY_ROLL,"&amp;BE$9&amp;","&amp;$C$5&amp;",,,'')")), "--", _xll.FDS($C$2,"FE_ESTIMATE(DEFREVENUE_LT,MEAN,QUARTERLY_ROLL,"&amp;BE$9&amp;","&amp;$C$5&amp;",,,'')")))</f>
        <v>15.217750000000001</v>
      </c>
      <c r="BF95" s="305" cm="1">
        <f t="array" ref="BF95">_xlfn.SINGLE(IF(ISERROR(_xll.FDS($C$2,"FE_ESTIMATE(DEFREVENUE_LT,MEAN,ANNUAL_ROLL,"&amp;BF$9&amp;","&amp;$C$5&amp;",,,'')")), "--", _xll.FDS($C$2,"FE_ESTIMATE(DEFREVENUE_LT,MEAN,ANNUAL_ROLL,"&amp;BF$9&amp;","&amp;$C$5&amp;",,,'')")))</f>
        <v>15.049111</v>
      </c>
      <c r="BG95" s="304" cm="1">
        <f t="array" ref="BG95">_xlfn.SINGLE(IF(ISERROR(_xll.FDS($C$2,"FE_ESTIMATE(DEFREVENUE_LT,MEAN,QUARTERLY_ROLL,"&amp;BG$9&amp;","&amp;$C$5&amp;",,,'')")), "--", _xll.FDS($C$2,"FE_ESTIMATE(DEFREVENUE_LT,MEAN,QUARTERLY_ROLL,"&amp;BG$9&amp;","&amp;$C$5&amp;",,,'')")))</f>
        <v>13.412143</v>
      </c>
      <c r="BH95" s="304" cm="1">
        <f t="array" ref="BH95">_xlfn.SINGLE(IF(ISERROR(_xll.FDS($C$2,"FE_ESTIMATE(DEFREVENUE_LT,MEAN,QUARTERLY_ROLL,"&amp;BH$9&amp;","&amp;$C$5&amp;",,,'')")), "--", _xll.FDS($C$2,"FE_ESTIMATE(DEFREVENUE_LT,MEAN,QUARTERLY_ROLL,"&amp;BH$9&amp;","&amp;$C$5&amp;",,,'')")))</f>
        <v>12.415571</v>
      </c>
      <c r="BI95" s="304" cm="1">
        <f t="array" ref="BI95">_xlfn.SINGLE(IF(ISERROR(_xll.FDS($C$2,"FE_ESTIMATE(DEFREVENUE_LT,MEAN,QUARTERLY_ROLL,"&amp;BI$9&amp;","&amp;$C$5&amp;",,,'')")), "--", _xll.FDS($C$2,"FE_ESTIMATE(DEFREVENUE_LT,MEAN,QUARTERLY_ROLL,"&amp;BI$9&amp;","&amp;$C$5&amp;",,,'')")))</f>
        <v>12.554</v>
      </c>
      <c r="BJ95" s="304" cm="1">
        <f t="array" ref="BJ95">_xlfn.SINGLE(IF(ISERROR(_xll.FDS($C$2,"FE_ESTIMATE(DEFREVENUE_LT,MEAN,QUARTERLY_ROLL,"&amp;BJ$9&amp;","&amp;$C$5&amp;",,,'')")), "--", _xll.FDS($C$2,"FE_ESTIMATE(DEFREVENUE_LT,MEAN,QUARTERLY_ROLL,"&amp;BJ$9&amp;","&amp;$C$5&amp;",,,'')")))</f>
        <v>14.959286000000001</v>
      </c>
      <c r="BK95" s="305" cm="1">
        <f t="array" ref="BK95">_xlfn.SINGLE(IF(ISERROR(_xll.FDS($C$2,"FE_ESTIMATE(DEFREVENUE_LT,MEAN,ANNUAL_ROLL,"&amp;BK$9&amp;","&amp;$C$5&amp;",,,'')")), "--", _xll.FDS($C$2,"FE_ESTIMATE(DEFREVENUE_LT,MEAN,ANNUAL_ROLL,"&amp;BK$9&amp;","&amp;$C$5&amp;",,,'')")))</f>
        <v>15.357222999999999</v>
      </c>
      <c r="BL95" s="304" t="str" cm="1">
        <f t="array" ref="BL95">_xlfn.SINGLE(IF(ISERROR(_xll.FDS($C$2,"FE_ESTIMATE(DEFREVENUE_LT,MEAN,QUARTERLY_ROLL,"&amp;BL$9&amp;","&amp;$C$5&amp;",,,'')")), "--", _xll.FDS($C$2,"FE_ESTIMATE(DEFREVENUE_LT,MEAN,QUARTERLY_ROLL,"&amp;BL$9&amp;","&amp;$C$5&amp;",,,'')")))</f>
        <v>--</v>
      </c>
      <c r="BM95" s="304" t="str" cm="1">
        <f t="array" ref="BM95">_xlfn.SINGLE(IF(ISERROR(_xll.FDS($C$2,"FE_ESTIMATE(DEFREVENUE_LT,MEAN,QUARTERLY_ROLL,"&amp;BM$9&amp;","&amp;$C$5&amp;",,,'')")), "--", _xll.FDS($C$2,"FE_ESTIMATE(DEFREVENUE_LT,MEAN,QUARTERLY_ROLL,"&amp;BM$9&amp;","&amp;$C$5&amp;",,,'')")))</f>
        <v>--</v>
      </c>
      <c r="BN95" s="304" t="str" cm="1">
        <f t="array" ref="BN95">_xlfn.SINGLE(IF(ISERROR(_xll.FDS($C$2,"FE_ESTIMATE(DEFREVENUE_LT,MEAN,QUARTERLY_ROLL,"&amp;BN$9&amp;","&amp;$C$5&amp;",,,'')")), "--", _xll.FDS($C$2,"FE_ESTIMATE(DEFREVENUE_LT,MEAN,QUARTERLY_ROLL,"&amp;BN$9&amp;","&amp;$C$5&amp;",,,'')")))</f>
        <v>--</v>
      </c>
      <c r="BO95" s="304" t="str" cm="1">
        <f t="array" ref="BO95">_xlfn.SINGLE(IF(ISERROR(_xll.FDS($C$2,"FE_ESTIMATE(DEFREVENUE_LT,MEAN,QUARTERLY_ROLL,"&amp;BO$9&amp;","&amp;$C$5&amp;",,,'')")), "--", _xll.FDS($C$2,"FE_ESTIMATE(DEFREVENUE_LT,MEAN,QUARTERLY_ROLL,"&amp;BO$9&amp;","&amp;$C$5&amp;",,,'')")))</f>
        <v>--</v>
      </c>
      <c r="BP95" s="305" cm="1">
        <f t="array" ref="BP95">_xlfn.SINGLE(IF(ISERROR(_xll.FDS($C$2,"FE_ESTIMATE(DEFREVENUE_LT,MEAN,ANNUAL_ROLL,"&amp;BP$9&amp;","&amp;$C$5&amp;",,,'')")), "--", _xll.FDS($C$2,"FE_ESTIMATE(DEFREVENUE_LT,MEAN,ANNUAL_ROLL,"&amp;BP$9&amp;","&amp;$C$5&amp;",,,'')")))</f>
        <v>15.9</v>
      </c>
    </row>
    <row r="96" spans="1:68" s="12" customFormat="1" outlineLevel="1">
      <c r="A96" s="245" t="s">
        <v>135</v>
      </c>
      <c r="B96" s="307" t="s">
        <v>204</v>
      </c>
      <c r="C96" s="312"/>
      <c r="D96" s="323"/>
      <c r="E96" s="323"/>
      <c r="F96" s="323"/>
      <c r="G96" s="323"/>
      <c r="H96" s="309"/>
      <c r="I96" s="308" t="str">
        <f t="shared" ref="I96:AN96" si="55">IFERROR(I95/D95-1,"--")</f>
        <v>--</v>
      </c>
      <c r="J96" s="308" t="str">
        <f t="shared" si="55"/>
        <v>--</v>
      </c>
      <c r="K96" s="308" t="str">
        <f t="shared" si="55"/>
        <v>--</v>
      </c>
      <c r="L96" s="308" t="str">
        <f t="shared" si="55"/>
        <v>--</v>
      </c>
      <c r="M96" s="309" t="str">
        <f t="shared" si="55"/>
        <v>--</v>
      </c>
      <c r="N96" s="308" t="str">
        <f t="shared" si="55"/>
        <v>--</v>
      </c>
      <c r="O96" s="308" t="str">
        <f t="shared" si="55"/>
        <v>--</v>
      </c>
      <c r="P96" s="308" t="str">
        <f t="shared" si="55"/>
        <v>--</v>
      </c>
      <c r="Q96" s="308" t="str">
        <f t="shared" si="55"/>
        <v>--</v>
      </c>
      <c r="R96" s="309" t="str">
        <f t="shared" si="55"/>
        <v>--</v>
      </c>
      <c r="S96" s="308" t="str">
        <f t="shared" si="55"/>
        <v>--</v>
      </c>
      <c r="T96" s="308" t="str">
        <f t="shared" si="55"/>
        <v>--</v>
      </c>
      <c r="U96" s="308" t="str">
        <f t="shared" si="55"/>
        <v>--</v>
      </c>
      <c r="V96" s="308" t="str">
        <f t="shared" si="55"/>
        <v>--</v>
      </c>
      <c r="W96" s="309" t="str">
        <f t="shared" si="55"/>
        <v>--</v>
      </c>
      <c r="X96" s="308" t="str">
        <f t="shared" si="55"/>
        <v>--</v>
      </c>
      <c r="Y96" s="308" t="str">
        <f t="shared" si="55"/>
        <v>--</v>
      </c>
      <c r="Z96" s="308" t="str">
        <f t="shared" si="55"/>
        <v>--</v>
      </c>
      <c r="AA96" s="308" t="str">
        <f t="shared" si="55"/>
        <v>--</v>
      </c>
      <c r="AB96" s="309" t="str">
        <f t="shared" si="55"/>
        <v>--</v>
      </c>
      <c r="AC96" s="308" t="str">
        <f t="shared" si="55"/>
        <v>--</v>
      </c>
      <c r="AD96" s="308" t="str">
        <f t="shared" si="55"/>
        <v>--</v>
      </c>
      <c r="AE96" s="308" t="str">
        <f t="shared" si="55"/>
        <v>--</v>
      </c>
      <c r="AF96" s="308" t="str">
        <f t="shared" si="55"/>
        <v>--</v>
      </c>
      <c r="AG96" s="309" t="str">
        <f t="shared" si="55"/>
        <v>--</v>
      </c>
      <c r="AH96" s="308" t="str">
        <f t="shared" si="55"/>
        <v>--</v>
      </c>
      <c r="AI96" s="308">
        <f t="shared" si="55"/>
        <v>1.2800256904303149</v>
      </c>
      <c r="AJ96" s="308">
        <f t="shared" si="55"/>
        <v>1.0341990412821063</v>
      </c>
      <c r="AK96" s="308">
        <f t="shared" si="55"/>
        <v>1.6585694212907836</v>
      </c>
      <c r="AL96" s="309">
        <f t="shared" si="55"/>
        <v>1.6597262822437813</v>
      </c>
      <c r="AM96" s="308">
        <f t="shared" si="55"/>
        <v>1.8060298102981029</v>
      </c>
      <c r="AN96" s="308">
        <f t="shared" si="55"/>
        <v>0.24234732394366199</v>
      </c>
      <c r="AO96" s="308">
        <f t="shared" ref="AO96:BP96" si="56">IFERROR(AO95/AJ95-1,"--")</f>
        <v>2.8338308947664537E-2</v>
      </c>
      <c r="AP96" s="308">
        <f t="shared" si="56"/>
        <v>2.3449806612415802E-2</v>
      </c>
      <c r="AQ96" s="309">
        <f t="shared" si="56"/>
        <v>2.2969814132891342E-2</v>
      </c>
      <c r="AR96" s="308">
        <f t="shared" si="56"/>
        <v>0.36824115701282079</v>
      </c>
      <c r="AS96" s="308">
        <f t="shared" si="56"/>
        <v>0.40995906658295422</v>
      </c>
      <c r="AT96" s="308">
        <f t="shared" si="56"/>
        <v>0.65447266761080791</v>
      </c>
      <c r="AU96" s="308">
        <f t="shared" si="56"/>
        <v>0.25693308362605838</v>
      </c>
      <c r="AV96" s="309">
        <f t="shared" si="56"/>
        <v>0.25693308362605838</v>
      </c>
      <c r="AW96" s="308">
        <f t="shared" si="56"/>
        <v>3.9562688539674706E-2</v>
      </c>
      <c r="AX96" s="308">
        <f t="shared" si="56"/>
        <v>-1.3892504955865692E-2</v>
      </c>
      <c r="AY96" s="308">
        <f t="shared" si="56"/>
        <v>-8.3807082463357441E-3</v>
      </c>
      <c r="AZ96" s="308">
        <f t="shared" si="56"/>
        <v>8.3233917802877366E-2</v>
      </c>
      <c r="BA96" s="309">
        <f t="shared" si="56"/>
        <v>8.3233917802877366E-2</v>
      </c>
      <c r="BB96" s="308">
        <f t="shared" si="56"/>
        <v>-6.923056030853636E-2</v>
      </c>
      <c r="BC96" s="308">
        <f t="shared" si="56"/>
        <v>-6.1073059360730486E-2</v>
      </c>
      <c r="BD96" s="308">
        <f t="shared" si="56"/>
        <v>7.59679450295625E-3</v>
      </c>
      <c r="BE96" s="308">
        <f t="shared" si="56"/>
        <v>-2.1737041193852669E-2</v>
      </c>
      <c r="BF96" s="309">
        <f t="shared" si="56"/>
        <v>-3.2577887383999804E-2</v>
      </c>
      <c r="BG96" s="308">
        <f t="shared" si="56"/>
        <v>-2.1582798365917699E-2</v>
      </c>
      <c r="BH96" s="308">
        <f t="shared" si="56"/>
        <v>7.8208510638297701E-2</v>
      </c>
      <c r="BI96" s="308">
        <f t="shared" si="56"/>
        <v>3.8980385665811523E-2</v>
      </c>
      <c r="BJ96" s="308">
        <f t="shared" si="56"/>
        <v>-1.6984376796832623E-2</v>
      </c>
      <c r="BK96" s="309">
        <f t="shared" si="56"/>
        <v>2.0473767520220898E-2</v>
      </c>
      <c r="BL96" s="308" t="str">
        <f t="shared" si="56"/>
        <v>--</v>
      </c>
      <c r="BM96" s="308" t="str">
        <f t="shared" si="56"/>
        <v>--</v>
      </c>
      <c r="BN96" s="308" t="str">
        <f t="shared" si="56"/>
        <v>--</v>
      </c>
      <c r="BO96" s="308" t="str">
        <f t="shared" si="56"/>
        <v>--</v>
      </c>
      <c r="BP96" s="309">
        <f t="shared" si="56"/>
        <v>3.5343434161241305E-2</v>
      </c>
    </row>
    <row r="97" spans="1:68" s="12" customFormat="1" outlineLevel="1">
      <c r="A97" s="245" t="s">
        <v>136</v>
      </c>
      <c r="B97" s="307" t="s">
        <v>205</v>
      </c>
      <c r="C97" s="312"/>
      <c r="D97" s="323"/>
      <c r="E97" s="308"/>
      <c r="F97" s="308"/>
      <c r="G97" s="308"/>
      <c r="H97" s="309"/>
      <c r="I97" s="308" t="str">
        <f>IFERROR(I95/G95-1,"--")</f>
        <v>--</v>
      </c>
      <c r="J97" s="308" t="str">
        <f>IFERROR(J95/I95-1,"--")</f>
        <v>--</v>
      </c>
      <c r="K97" s="308" t="str">
        <f>IFERROR(K95/J95-1,"--")</f>
        <v>--</v>
      </c>
      <c r="L97" s="308" t="str">
        <f>IFERROR(L95/K95-1,"--")</f>
        <v>--</v>
      </c>
      <c r="M97" s="311"/>
      <c r="N97" s="308" t="str">
        <f>IFERROR(N95/L95-1,"--")</f>
        <v>--</v>
      </c>
      <c r="O97" s="308" t="str">
        <f>IFERROR(O95/N95-1,"--")</f>
        <v>--</v>
      </c>
      <c r="P97" s="308" t="str">
        <f>IFERROR(P95/O95-1,"--")</f>
        <v>--</v>
      </c>
      <c r="Q97" s="308" t="str">
        <f>IFERROR(Q95/P95-1,"--")</f>
        <v>--</v>
      </c>
      <c r="R97" s="311"/>
      <c r="S97" s="308" t="str">
        <f>IFERROR(S95/Q95-1,"--")</f>
        <v>--</v>
      </c>
      <c r="T97" s="308" t="str">
        <f>IFERROR(T95/S95-1,"--")</f>
        <v>--</v>
      </c>
      <c r="U97" s="308" t="str">
        <f>IFERROR(U95/T95-1,"--")</f>
        <v>--</v>
      </c>
      <c r="V97" s="308" t="str">
        <f>IFERROR(V95/U95-1,"--")</f>
        <v>--</v>
      </c>
      <c r="W97" s="311"/>
      <c r="X97" s="308" t="str">
        <f>IFERROR(X95/V95-1,"--")</f>
        <v>--</v>
      </c>
      <c r="Y97" s="308" t="str">
        <f>IFERROR(Y95/X95-1,"--")</f>
        <v>--</v>
      </c>
      <c r="Z97" s="308" t="str">
        <f>IFERROR(Z95/Y95-1,"--")</f>
        <v>--</v>
      </c>
      <c r="AA97" s="308" t="str">
        <f>IFERROR(AA95/Z95-1,"--")</f>
        <v>--</v>
      </c>
      <c r="AB97" s="311"/>
      <c r="AC97" s="308" t="str">
        <f>IFERROR(AC95/AA95-1,"--")</f>
        <v>--</v>
      </c>
      <c r="AD97" s="308" t="str">
        <f>IFERROR(AD95/AC95-1,"--")</f>
        <v>--</v>
      </c>
      <c r="AE97" s="308">
        <f>IFERROR(AE95/AD95-1,"--")</f>
        <v>0.12210982658959546</v>
      </c>
      <c r="AF97" s="308">
        <f>IFERROR(AF95/AE95-1,"--")</f>
        <v>0.20168848823066465</v>
      </c>
      <c r="AG97" s="311"/>
      <c r="AH97" s="308">
        <f>IFERROR(AH95/AF95-1,"--")</f>
        <v>-0.1212193379376042</v>
      </c>
      <c r="AI97" s="308">
        <f>IFERROR(AI95/AH95-1,"--")</f>
        <v>0.92411924119241196</v>
      </c>
      <c r="AJ97" s="308">
        <f>IFERROR(AJ95/AI95-1,"--")</f>
        <v>1.1267605633802358E-3</v>
      </c>
      <c r="AK97" s="308">
        <f>IFERROR(AK95/AJ95-1,"--")</f>
        <v>0.57053081035453013</v>
      </c>
      <c r="AL97" s="311"/>
      <c r="AM97" s="308">
        <f>IFERROR(AM95/AK95-1,"--")</f>
        <v>-7.2476831068283953E-2</v>
      </c>
      <c r="AN97" s="308">
        <f>IFERROR(AN95/AM95-1,"--")</f>
        <v>-0.14811154839800089</v>
      </c>
      <c r="AO97" s="308">
        <f>IFERROR(AO95/AN95-1,"--")</f>
        <v>-0.17132916040580148</v>
      </c>
      <c r="AP97" s="308">
        <f>IFERROR(AP95/AO95-1,"--")</f>
        <v>0.56306483980068101</v>
      </c>
      <c r="AQ97" s="311"/>
      <c r="AR97" s="308">
        <f>IFERROR(AR95/AP95-1,"--")</f>
        <v>0.23999766829398861</v>
      </c>
      <c r="AS97" s="308">
        <f>IFERROR(AS95/AR95-1,"--")</f>
        <v>-0.12213732213999029</v>
      </c>
      <c r="AT97" s="308">
        <f>IFERROR(AT95/AS95-1,"--")</f>
        <v>-2.7621945169400086E-2</v>
      </c>
      <c r="AU97" s="308">
        <f>IFERROR(AU95/AT95-1,"--")</f>
        <v>0.18748888842949585</v>
      </c>
      <c r="AV97" s="311"/>
      <c r="AW97" s="308">
        <f>IFERROR(AW95/AU95-1,"--")</f>
        <v>2.5556035263150534E-2</v>
      </c>
      <c r="AX97" s="308">
        <f>IFERROR(AX95/AW95-1,"--")</f>
        <v>-0.16727776419783269</v>
      </c>
      <c r="AY97" s="308">
        <f>IFERROR(AY95/AX95-1,"--")</f>
        <v>-2.2186888454011733E-2</v>
      </c>
      <c r="AZ97" s="308">
        <f>IFERROR(AZ95/AY95-1,"--")</f>
        <v>0.29719969312619354</v>
      </c>
      <c r="BA97" s="311"/>
      <c r="BB97" s="308">
        <f>IFERROR(BB95/AZ95-1,"--")</f>
        <v>-0.11879031793039929</v>
      </c>
      <c r="BC97" s="308">
        <f>IFERROR(BC95/BB95-1,"--")</f>
        <v>-0.1599795739714035</v>
      </c>
      <c r="BD97" s="308">
        <f>IFERROR(BD95/BC95-1,"--")</f>
        <v>4.9326964828484643E-2</v>
      </c>
      <c r="BE97" s="308">
        <f>IFERROR(BE95/BD95-1,"--")</f>
        <v>0.25943474302739378</v>
      </c>
      <c r="BF97" s="311"/>
      <c r="BG97" s="308">
        <f>IFERROR(BG95/BE95-1,"--")</f>
        <v>-0.11865137750324461</v>
      </c>
      <c r="BH97" s="308">
        <f>IFERROR(BH95/BG95-1,"--")</f>
        <v>-7.4303711196637257E-2</v>
      </c>
      <c r="BI97" s="308">
        <f>IFERROR(BI95/BH95-1,"--")</f>
        <v>1.1149628156449598E-2</v>
      </c>
      <c r="BJ97" s="308">
        <f>IFERROR(BJ95/BI95-1,"--")</f>
        <v>0.19159518878445114</v>
      </c>
      <c r="BK97" s="311"/>
      <c r="BL97" s="308" t="str">
        <f>IFERROR(BL95/BJ95-1,"--")</f>
        <v>--</v>
      </c>
      <c r="BM97" s="308" t="str">
        <f>IFERROR(BM95/BL95-1,"--")</f>
        <v>--</v>
      </c>
      <c r="BN97" s="308" t="str">
        <f>IFERROR(BN95/BM95-1,"--")</f>
        <v>--</v>
      </c>
      <c r="BO97" s="308" t="str">
        <f>IFERROR(BO95/BN95-1,"--")</f>
        <v>--</v>
      </c>
      <c r="BP97" s="311"/>
    </row>
    <row r="98" spans="1:68" s="12" customFormat="1" outlineLevel="1">
      <c r="A98" s="293"/>
      <c r="B98" s="326"/>
      <c r="C98" s="312"/>
      <c r="D98" s="325"/>
      <c r="E98" s="308"/>
      <c r="F98" s="308"/>
      <c r="G98" s="308"/>
      <c r="H98" s="327"/>
      <c r="I98" s="308"/>
      <c r="J98" s="308"/>
      <c r="K98" s="308"/>
      <c r="L98" s="308"/>
      <c r="M98" s="311"/>
      <c r="N98" s="308"/>
      <c r="O98" s="308"/>
      <c r="P98" s="308"/>
      <c r="Q98" s="308"/>
      <c r="R98" s="311"/>
      <c r="S98" s="308"/>
      <c r="T98" s="308"/>
      <c r="U98" s="308"/>
      <c r="V98" s="308"/>
      <c r="W98" s="311"/>
      <c r="X98" s="308"/>
      <c r="Y98" s="308"/>
      <c r="Z98" s="308"/>
      <c r="AA98" s="308"/>
      <c r="AB98" s="311"/>
      <c r="AC98" s="308"/>
      <c r="AD98" s="308"/>
      <c r="AE98" s="308"/>
      <c r="AF98" s="308"/>
      <c r="AG98" s="311"/>
      <c r="AH98" s="308"/>
      <c r="AI98" s="308"/>
      <c r="AJ98" s="308"/>
      <c r="AK98" s="308"/>
      <c r="AL98" s="311"/>
      <c r="AM98" s="308"/>
      <c r="AN98" s="308"/>
      <c r="AO98" s="308"/>
      <c r="AP98" s="308"/>
      <c r="AQ98" s="311"/>
      <c r="AR98" s="308"/>
      <c r="AS98" s="308"/>
      <c r="AT98" s="308"/>
      <c r="AU98" s="308"/>
      <c r="AV98" s="311"/>
      <c r="AW98" s="308"/>
      <c r="AX98" s="308"/>
      <c r="AY98" s="308"/>
      <c r="AZ98" s="308"/>
      <c r="BA98" s="311"/>
      <c r="BB98" s="308"/>
      <c r="BC98" s="308"/>
      <c r="BD98" s="308"/>
      <c r="BE98" s="308"/>
      <c r="BF98" s="311"/>
      <c r="BG98" s="308"/>
      <c r="BH98" s="308"/>
      <c r="BI98" s="308"/>
      <c r="BJ98" s="308"/>
      <c r="BK98" s="311"/>
      <c r="BL98" s="308"/>
      <c r="BM98" s="308"/>
      <c r="BN98" s="308"/>
      <c r="BO98" s="308"/>
      <c r="BP98" s="311"/>
    </row>
    <row r="99" spans="1:68" s="306" customFormat="1" outlineLevel="1">
      <c r="A99" s="245" t="s">
        <v>137</v>
      </c>
      <c r="B99" s="302" t="s">
        <v>207</v>
      </c>
      <c r="C99" s="303"/>
      <c r="D99" s="304"/>
      <c r="E99" s="304"/>
      <c r="F99" s="304"/>
      <c r="G99" s="304"/>
      <c r="H99" s="305"/>
      <c r="I99" s="304" t="str" cm="1">
        <f t="array" ref="I99">_xlfn.SINGLE(IF(ISERROR(_xll.FDS($C$2,"FE_ESTIMATE(DEFREVENUE,MEAN,QUARTERLY_ROLL,"&amp;I$9&amp;","&amp;$C$5&amp;",,,'')")), "--", _xll.FDS($C$2,"FE_ESTIMATE(DEFREVENUE,MEAN,QUARTERLY_ROLL,"&amp;I$9&amp;","&amp;$C$5&amp;",,,'')")))</f>
        <v>--</v>
      </c>
      <c r="J99" s="304" t="str" cm="1">
        <f t="array" ref="J99">_xlfn.SINGLE(IF(ISERROR(_xll.FDS($C$2,"FE_ESTIMATE(DEFREVENUE,MEAN,QUARTERLY_ROLL,"&amp;J$9&amp;","&amp;$C$5&amp;",,,'')")), "--", _xll.FDS($C$2,"FE_ESTIMATE(DEFREVENUE,MEAN,QUARTERLY_ROLL,"&amp;J$9&amp;","&amp;$C$5&amp;",,,'')")))</f>
        <v>--</v>
      </c>
      <c r="K99" s="304" t="str" cm="1">
        <f t="array" ref="K99">_xlfn.SINGLE(IF(ISERROR(_xll.FDS($C$2,"FE_ESTIMATE(DEFREVENUE,MEAN,QUARTERLY_ROLL,"&amp;K$9&amp;","&amp;$C$5&amp;",,,'')")), "--", _xll.FDS($C$2,"FE_ESTIMATE(DEFREVENUE,MEAN,QUARTERLY_ROLL,"&amp;K$9&amp;","&amp;$C$5&amp;",,,'')")))</f>
        <v>--</v>
      </c>
      <c r="L99" s="304" t="str" cm="1">
        <f t="array" ref="L99">_xlfn.SINGLE(IF(ISERROR(_xll.FDS($C$2,"FE_ESTIMATE(DEFREVENUE,MEAN,QUARTERLY_ROLL,"&amp;L$9&amp;","&amp;$C$5&amp;",,,'')")), "--", _xll.FDS($C$2,"FE_ESTIMATE(DEFREVENUE,MEAN,QUARTERLY_ROLL,"&amp;L$9&amp;","&amp;$C$5&amp;",,,'')")))</f>
        <v>--</v>
      </c>
      <c r="M99" s="305" t="str" cm="1">
        <f t="array" ref="M99">_xlfn.SINGLE(IF(ISERROR(_xll.FDS($C$2,"FE_ESTIMATE(DEFREVENUE,MEAN,ANNUAL_ROLL,"&amp;M$9&amp;","&amp;$C$5&amp;",,,'')")), "--", _xll.FDS($C$2,"FE_ESTIMATE(DEFREVENUE,MEAN,ANNUAL_ROLL,"&amp;M$9&amp;","&amp;$C$5&amp;",,,'')")))</f>
        <v>--</v>
      </c>
      <c r="N99" s="304" t="str" cm="1">
        <f t="array" ref="N99">_xlfn.SINGLE(IF(ISERROR(_xll.FDS($C$2,"FE_ESTIMATE(DEFREVENUE,MEAN,QUARTERLY_ROLL,"&amp;N$9&amp;","&amp;$C$5&amp;",,,'')")), "--", _xll.FDS($C$2,"FE_ESTIMATE(DEFREVENUE,MEAN,QUARTERLY_ROLL,"&amp;N$9&amp;","&amp;$C$5&amp;",,,'')")))</f>
        <v>--</v>
      </c>
      <c r="O99" s="304" t="str" cm="1">
        <f t="array" ref="O99">_xlfn.SINGLE(IF(ISERROR(_xll.FDS($C$2,"FE_ESTIMATE(DEFREVENUE,MEAN,QUARTERLY_ROLL,"&amp;O$9&amp;","&amp;$C$5&amp;",,,'')")), "--", _xll.FDS($C$2,"FE_ESTIMATE(DEFREVENUE,MEAN,QUARTERLY_ROLL,"&amp;O$9&amp;","&amp;$C$5&amp;",,,'')")))</f>
        <v>--</v>
      </c>
      <c r="P99" s="304" t="str" cm="1">
        <f t="array" ref="P99">_xlfn.SINGLE(IF(ISERROR(_xll.FDS($C$2,"FE_ESTIMATE(DEFREVENUE,MEAN,QUARTERLY_ROLL,"&amp;P$9&amp;","&amp;$C$5&amp;",,,'')")), "--", _xll.FDS($C$2,"FE_ESTIMATE(DEFREVENUE,MEAN,QUARTERLY_ROLL,"&amp;P$9&amp;","&amp;$C$5&amp;",,,'')")))</f>
        <v>--</v>
      </c>
      <c r="Q99" s="304" t="str" cm="1">
        <f t="array" ref="Q99">_xlfn.SINGLE(IF(ISERROR(_xll.FDS($C$2,"FE_ESTIMATE(DEFREVENUE,MEAN,QUARTERLY_ROLL,"&amp;Q$9&amp;","&amp;$C$5&amp;",,,'')")), "--", _xll.FDS($C$2,"FE_ESTIMATE(DEFREVENUE,MEAN,QUARTERLY_ROLL,"&amp;Q$9&amp;","&amp;$C$5&amp;",,,'')")))</f>
        <v>--</v>
      </c>
      <c r="R99" s="305" t="str" cm="1">
        <f t="array" ref="R99">_xlfn.SINGLE(IF(ISERROR(_xll.FDS($C$2,"FE_ESTIMATE(DEFREVENUE,MEAN,ANNUAL_ROLL,"&amp;R$9&amp;","&amp;$C$5&amp;",,,'')")), "--", _xll.FDS($C$2,"FE_ESTIMATE(DEFREVENUE,MEAN,ANNUAL_ROLL,"&amp;R$9&amp;","&amp;$C$5&amp;",,,'')")))</f>
        <v>--</v>
      </c>
      <c r="S99" s="304" t="str" cm="1">
        <f t="array" ref="S99">_xlfn.SINGLE(IF(ISERROR(_xll.FDS($C$2,"FE_ESTIMATE(DEFREVENUE,MEAN,QUARTERLY_ROLL,"&amp;S$9&amp;","&amp;$C$5&amp;",,,'')")), "--", _xll.FDS($C$2,"FE_ESTIMATE(DEFREVENUE,MEAN,QUARTERLY_ROLL,"&amp;S$9&amp;","&amp;$C$5&amp;",,,'')")))</f>
        <v>--</v>
      </c>
      <c r="T99" s="304" t="str" cm="1">
        <f t="array" ref="T99">_xlfn.SINGLE(IF(ISERROR(_xll.FDS($C$2,"FE_ESTIMATE(DEFREVENUE,MEAN,QUARTERLY_ROLL,"&amp;T$9&amp;","&amp;$C$5&amp;",,,'')")), "--", _xll.FDS($C$2,"FE_ESTIMATE(DEFREVENUE,MEAN,QUARTERLY_ROLL,"&amp;T$9&amp;","&amp;$C$5&amp;",,,'')")))</f>
        <v>--</v>
      </c>
      <c r="U99" s="304" t="str" cm="1">
        <f t="array" ref="U99">_xlfn.SINGLE(IF(ISERROR(_xll.FDS($C$2,"FE_ESTIMATE(DEFREVENUE,MEAN,QUARTERLY_ROLL,"&amp;U$9&amp;","&amp;$C$5&amp;",,,'')")), "--", _xll.FDS($C$2,"FE_ESTIMATE(DEFREVENUE,MEAN,QUARTERLY_ROLL,"&amp;U$9&amp;","&amp;$C$5&amp;",,,'')")))</f>
        <v>--</v>
      </c>
      <c r="V99" s="304" t="str" cm="1">
        <f t="array" ref="V99">_xlfn.SINGLE(IF(ISERROR(_xll.FDS($C$2,"FE_ESTIMATE(DEFREVENUE,MEAN,QUARTERLY_ROLL,"&amp;V$9&amp;","&amp;$C$5&amp;",,,'')")), "--", _xll.FDS($C$2,"FE_ESTIMATE(DEFREVENUE,MEAN,QUARTERLY_ROLL,"&amp;V$9&amp;","&amp;$C$5&amp;",,,'')")))</f>
        <v>--</v>
      </c>
      <c r="W99" s="305" t="str" cm="1">
        <f t="array" ref="W99">_xlfn.SINGLE(IF(ISERROR(_xll.FDS($C$2,"FE_ESTIMATE(DEFREVENUE,MEAN,ANNUAL_ROLL,"&amp;W$9&amp;","&amp;$C$5&amp;",,,'')")), "--", _xll.FDS($C$2,"FE_ESTIMATE(DEFREVENUE,MEAN,ANNUAL_ROLL,"&amp;W$9&amp;","&amp;$C$5&amp;",,,'')")))</f>
        <v>--</v>
      </c>
      <c r="X99" s="304" t="str" cm="1">
        <f t="array" ref="X99">_xlfn.SINGLE(IF(ISERROR(_xll.FDS($C$2,"FE_ESTIMATE(DEFREVENUE,MEAN,QUARTERLY_ROLL,"&amp;X$9&amp;","&amp;$C$5&amp;",,,'')")), "--", _xll.FDS($C$2,"FE_ESTIMATE(DEFREVENUE,MEAN,QUARTERLY_ROLL,"&amp;X$9&amp;","&amp;$C$5&amp;",,,'')")))</f>
        <v>--</v>
      </c>
      <c r="Y99" s="304" t="str" cm="1">
        <f t="array" ref="Y99">_xlfn.SINGLE(IF(ISERROR(_xll.FDS($C$2,"FE_ESTIMATE(DEFREVENUE,MEAN,QUARTERLY_ROLL,"&amp;Y$9&amp;","&amp;$C$5&amp;",,,'')")), "--", _xll.FDS($C$2,"FE_ESTIMATE(DEFREVENUE,MEAN,QUARTERLY_ROLL,"&amp;Y$9&amp;","&amp;$C$5&amp;",,,'')")))</f>
        <v>--</v>
      </c>
      <c r="Z99" s="304" t="str" cm="1">
        <f t="array" ref="Z99">_xlfn.SINGLE(IF(ISERROR(_xll.FDS($C$2,"FE_ESTIMATE(DEFREVENUE,MEAN,QUARTERLY_ROLL,"&amp;Z$9&amp;","&amp;$C$5&amp;",,,'')")), "--", _xll.FDS($C$2,"FE_ESTIMATE(DEFREVENUE,MEAN,QUARTERLY_ROLL,"&amp;Z$9&amp;","&amp;$C$5&amp;",,,'')")))</f>
        <v>--</v>
      </c>
      <c r="AA99" s="304" t="str" cm="1">
        <f t="array" ref="AA99">_xlfn.SINGLE(IF(ISERROR(_xll.FDS($C$2,"FE_ESTIMATE(DEFREVENUE,MEAN,QUARTERLY_ROLL,"&amp;AA$9&amp;","&amp;$C$5&amp;",,,'')")), "--", _xll.FDS($C$2,"FE_ESTIMATE(DEFREVENUE,MEAN,QUARTERLY_ROLL,"&amp;AA$9&amp;","&amp;$C$5&amp;",,,'')")))</f>
        <v>--</v>
      </c>
      <c r="AB99" s="305" t="str" cm="1">
        <f t="array" ref="AB99">_xlfn.SINGLE(IF(ISERROR(_xll.FDS($C$2,"FE_ESTIMATE(DEFREVENUE,MEAN,ANNUAL_ROLL,"&amp;AB$9&amp;","&amp;$C$5&amp;",,,'')")), "--", _xll.FDS($C$2,"FE_ESTIMATE(DEFREVENUE,MEAN,ANNUAL_ROLL,"&amp;AB$9&amp;","&amp;$C$5&amp;",,,'')")))</f>
        <v>--</v>
      </c>
      <c r="AC99" s="304" t="str" cm="1">
        <f t="array" ref="AC99">_xlfn.SINGLE(IF(ISERROR(_xll.FDS($C$2,"FE_ESTIMATE(DEFREVENUE,MEAN,QUARTERLY_ROLL,"&amp;AC$9&amp;","&amp;$C$5&amp;",,,'')")), "--", _xll.FDS($C$2,"FE_ESTIMATE(DEFREVENUE,MEAN,QUARTERLY_ROLL,"&amp;AC$9&amp;","&amp;$C$5&amp;",,,'')")))</f>
        <v>--</v>
      </c>
      <c r="AD99" s="304" cm="1">
        <f t="array" ref="AD99">_xlfn.SINGLE(IF(ISERROR(_xll.FDS($C$2,"FE_ESTIMATE(DEFREVENUE,MEAN,QUARTERLY_ROLL,"&amp;AD$9&amp;","&amp;$C$5&amp;",,,'')")), "--", _xll.FDS($C$2,"FE_ESTIMATE(DEFREVENUE,MEAN,QUARTERLY_ROLL,"&amp;AD$9&amp;","&amp;$C$5&amp;",,,'')")))</f>
        <v>376.70666999999997</v>
      </c>
      <c r="AE99" s="304" cm="1">
        <f t="array" ref="AE99">_xlfn.SINGLE(IF(ISERROR(_xll.FDS($C$2,"FE_ESTIMATE(DEFREVENUE,MEAN,QUARTERLY_ROLL,"&amp;AE$9&amp;","&amp;$C$5&amp;",,,'')")), "--", _xll.FDS($C$2,"FE_ESTIMATE(DEFREVENUE,MEAN,QUARTERLY_ROLL,"&amp;AE$9&amp;","&amp;$C$5&amp;",,,'')")))</f>
        <v>441.70089999999999</v>
      </c>
      <c r="AF99" s="304" cm="1">
        <f t="array" ref="AF99">_xlfn.SINGLE(IF(ISERROR(_xll.FDS($C$2,"FE_ESTIMATE(DEFREVENUE,MEAN,QUARTERLY_ROLL,"&amp;AF$9&amp;","&amp;$C$5&amp;",,,'')")), "--", _xll.FDS($C$2,"FE_ESTIMATE(DEFREVENUE,MEAN,QUARTERLY_ROLL,"&amp;AF$9&amp;","&amp;$C$5&amp;",,,'')")))</f>
        <v>642.86369999999999</v>
      </c>
      <c r="AG99" s="305" cm="1">
        <f t="array" ref="AG99">_xlfn.SINGLE(IF(ISERROR(_xll.FDS($C$2,"FE_ESTIMATE(DEFREVENUE,MEAN,ANNUAL_ROLL,"&amp;AG$9&amp;","&amp;$C$5&amp;",,,'')")), "--", _xll.FDS($C$2,"FE_ESTIMATE(DEFREVENUE,MEAN,ANNUAL_ROLL,"&amp;AG$9&amp;","&amp;$C$5&amp;",,,'')")))</f>
        <v>601.6182</v>
      </c>
      <c r="AH99" s="304" cm="1">
        <f t="array" ref="AH99">_xlfn.SINGLE(IF(ISERROR(_xll.FDS($C$2,"FE_ESTIMATE(DEFREVENUE,MEAN,QUARTERLY_ROLL,"&amp;AH$9&amp;","&amp;$C$5&amp;",,,'')")), "--", _xll.FDS($C$2,"FE_ESTIMATE(DEFREVENUE,MEAN,QUARTERLY_ROLL,"&amp;AH$9&amp;","&amp;$C$5&amp;",,,'')")))</f>
        <v>638.75599999999997</v>
      </c>
      <c r="AI99" s="304" cm="1">
        <f t="array" ref="AI99">_xlfn.SINGLE(IF(ISERROR(_xll.FDS($C$2,"FE_ESTIMATE(DEFREVENUE,MEAN,QUARTERLY_ROLL,"&amp;AI$9&amp;","&amp;$C$5&amp;",,,'')")), "--", _xll.FDS($C$2,"FE_ESTIMATE(DEFREVENUE,MEAN,QUARTERLY_ROLL,"&amp;AI$9&amp;","&amp;$C$5&amp;",,,'')")))</f>
        <v>707.70965999999999</v>
      </c>
      <c r="AJ99" s="304" cm="1">
        <f t="array" ref="AJ99">_xlfn.SINGLE(IF(ISERROR(_xll.FDS($C$2,"FE_ESTIMATE(DEFREVENUE,MEAN,QUARTERLY_ROLL,"&amp;AJ$9&amp;","&amp;$C$5&amp;",,,'')")), "--", _xll.FDS($C$2,"FE_ESTIMATE(DEFREVENUE,MEAN,QUARTERLY_ROLL,"&amp;AJ$9&amp;","&amp;$C$5&amp;",,,'')")))</f>
        <v>766.85519999999997</v>
      </c>
      <c r="AK99" s="304" cm="1">
        <f t="array" ref="AK99">_xlfn.SINGLE(IF(ISERROR(_xll.FDS($C$2,"FE_ESTIMATE(DEFREVENUE,MEAN,QUARTERLY_ROLL,"&amp;AK$9&amp;","&amp;$C$5&amp;",,,'')")), "--", _xll.FDS($C$2,"FE_ESTIMATE(DEFREVENUE,MEAN,QUARTERLY_ROLL,"&amp;AK$9&amp;","&amp;$C$5&amp;",,,'')")))</f>
        <v>1169.0809999999999</v>
      </c>
      <c r="AL99" s="305" cm="1">
        <f t="array" ref="AL99">_xlfn.SINGLE(IF(ISERROR(_xll.FDS($C$2,"FE_ESTIMATE(DEFREVENUE,MEAN,ANNUAL_ROLL,"&amp;AL$9&amp;","&amp;$C$5&amp;",,,'')")), "--", _xll.FDS($C$2,"FE_ESTIMATE(DEFREVENUE,MEAN,ANNUAL_ROLL,"&amp;AL$9&amp;","&amp;$C$5&amp;",,,'')")))</f>
        <v>1088.7208000000001</v>
      </c>
      <c r="AM99" s="304" cm="1">
        <f t="array" ref="AM99">_xlfn.SINGLE(IF(ISERROR(_xll.FDS($C$2,"FE_ESTIMATE(DEFREVENUE,MEAN,QUARTERLY_ROLL,"&amp;AM$9&amp;","&amp;$C$5&amp;",,,'')")), "--", _xll.FDS($C$2,"FE_ESTIMATE(DEFREVENUE,MEAN,QUARTERLY_ROLL,"&amp;AM$9&amp;","&amp;$C$5&amp;",,,'')")))</f>
        <v>1143.0962</v>
      </c>
      <c r="AN99" s="304" cm="1">
        <f t="array" ref="AN99">_xlfn.SINGLE(IF(ISERROR(_xll.FDS($C$2,"FE_ESTIMATE(DEFREVENUE,MEAN,QUARTERLY_ROLL,"&amp;AN$9&amp;","&amp;$C$5&amp;",,,'')")), "--", _xll.FDS($C$2,"FE_ESTIMATE(DEFREVENUE,MEAN,QUARTERLY_ROLL,"&amp;AN$9&amp;","&amp;$C$5&amp;",,,'')")))</f>
        <v>1153.6270999999999</v>
      </c>
      <c r="AO99" s="304" cm="1">
        <f t="array" ref="AO99">_xlfn.SINGLE(IF(ISERROR(_xll.FDS($C$2,"FE_ESTIMATE(DEFREVENUE,MEAN,QUARTERLY_ROLL,"&amp;AO$9&amp;","&amp;$C$5&amp;",,,'')")), "--", _xll.FDS($C$2,"FE_ESTIMATE(DEFREVENUE,MEAN,QUARTERLY_ROLL,"&amp;AO$9&amp;","&amp;$C$5&amp;",,,'')")))</f>
        <v>1213.8502000000001</v>
      </c>
      <c r="AP99" s="304" cm="1">
        <f t="array" ref="AP99">_xlfn.SINGLE(IF(ISERROR(_xll.FDS($C$2,"FE_ESTIMATE(DEFREVENUE,MEAN,QUARTERLY_ROLL,"&amp;AP$9&amp;","&amp;$C$5&amp;",,,'')")), "--", _xll.FDS($C$2,"FE_ESTIMATE(DEFREVENUE,MEAN,QUARTERLY_ROLL,"&amp;AP$9&amp;","&amp;$C$5&amp;",,,'')")))</f>
        <v>1684.8467000000001</v>
      </c>
      <c r="AQ99" s="305" cm="1">
        <f t="array" ref="AQ99">_xlfn.SINGLE(IF(ISERROR(_xll.FDS($C$2,"FE_ESTIMATE(DEFREVENUE,MEAN,ANNUAL_ROLL,"&amp;AQ$9&amp;","&amp;$C$5&amp;",,,'')")), "--", _xll.FDS($C$2,"FE_ESTIMATE(DEFREVENUE,MEAN,ANNUAL_ROLL,"&amp;AQ$9&amp;","&amp;$C$5&amp;",,,'')")))</f>
        <v>1684.8467000000001</v>
      </c>
      <c r="AR99" s="304" cm="1">
        <f t="array" ref="AR99">_xlfn.SINGLE(IF(ISERROR(_xll.FDS($C$2,"FE_ESTIMATE(DEFREVENUE,MEAN,QUARTERLY_ROLL,"&amp;AR$9&amp;","&amp;$C$5&amp;",,,'')")), "--", _xll.FDS($C$2,"FE_ESTIMATE(DEFREVENUE,MEAN,QUARTERLY_ROLL,"&amp;AR$9&amp;","&amp;$C$5&amp;",,,'')")))</f>
        <v>1574.5446999999999</v>
      </c>
      <c r="AS99" s="304" cm="1">
        <f t="array" ref="AS99">_xlfn.SINGLE(IF(ISERROR(_xll.FDS($C$2,"FE_ESTIMATE(DEFREVENUE,MEAN,QUARTERLY_ROLL,"&amp;AS$9&amp;","&amp;$C$5&amp;",,,'')")), "--", _xll.FDS($C$2,"FE_ESTIMATE(DEFREVENUE,MEAN,QUARTERLY_ROLL,"&amp;AS$9&amp;","&amp;$C$5&amp;",,,'')")))</f>
        <v>1535.5316</v>
      </c>
      <c r="AT99" s="304" cm="1">
        <f t="array" ref="AT99">_xlfn.SINGLE(IF(ISERROR(_xll.FDS($C$2,"FE_ESTIMATE(DEFREVENUE,MEAN,QUARTERLY_ROLL,"&amp;AT$9&amp;","&amp;$C$5&amp;",,,'')")), "--", _xll.FDS($C$2,"FE_ESTIMATE(DEFREVENUE,MEAN,QUARTERLY_ROLL,"&amp;AT$9&amp;","&amp;$C$5&amp;",,,'')")))</f>
        <v>1617.6886999999999</v>
      </c>
      <c r="AU99" s="304" cm="1">
        <f t="array" ref="AU99">_xlfn.SINGLE(IF(ISERROR(_xll.FDS($C$2,"FE_ESTIMATE(DEFREVENUE,MEAN,QUARTERLY_ROLL,"&amp;AU$9&amp;","&amp;$C$5&amp;",,,'')")), "--", _xll.FDS($C$2,"FE_ESTIMATE(DEFREVENUE,MEAN,QUARTERLY_ROLL,"&amp;AU$9&amp;","&amp;$C$5&amp;",,,'')")))</f>
        <v>2213.0945000000002</v>
      </c>
      <c r="AV99" s="305" cm="1">
        <f t="array" ref="AV99">_xlfn.SINGLE(IF(ISERROR(_xll.FDS($C$2,"FE_ESTIMATE(DEFREVENUE,MEAN,ANNUAL_ROLL,"&amp;AV$9&amp;","&amp;$C$5&amp;",,,'')")), "--", _xll.FDS($C$2,"FE_ESTIMATE(DEFREVENUE,MEAN,ANNUAL_ROLL,"&amp;AV$9&amp;","&amp;$C$5&amp;",,,'')")))</f>
        <v>2213.0945000000002</v>
      </c>
      <c r="AW99" s="304" cm="1">
        <f t="array" ref="AW99">_xlfn.SINGLE(IF(ISERROR(_xll.FDS($C$2,"FE_ESTIMATE(DEFREVENUE,MEAN,QUARTERLY_ROLL,"&amp;AW$9&amp;","&amp;$C$5&amp;",,,'')")), "--", _xll.FDS($C$2,"FE_ESTIMATE(DEFREVENUE,MEAN,QUARTERLY_ROLL,"&amp;AW$9&amp;","&amp;$C$5&amp;",,,'')")))</f>
        <v>1950.3643</v>
      </c>
      <c r="AX99" s="304" cm="1">
        <f t="array" ref="AX99">_xlfn.SINGLE(IF(ISERROR(_xll.FDS($C$2,"FE_ESTIMATE(DEFREVENUE,MEAN,QUARTERLY_ROLL,"&amp;AX$9&amp;","&amp;$C$5&amp;",,,'')")), "--", _xll.FDS($C$2,"FE_ESTIMATE(DEFREVENUE,MEAN,QUARTERLY_ROLL,"&amp;AX$9&amp;","&amp;$C$5&amp;",,,'')")))</f>
        <v>1860.6325999999999</v>
      </c>
      <c r="AY99" s="304" cm="1">
        <f t="array" ref="AY99">_xlfn.SINGLE(IF(ISERROR(_xll.FDS($C$2,"FE_ESTIMATE(DEFREVENUE,MEAN,QUARTERLY_ROLL,"&amp;AY$9&amp;","&amp;$C$5&amp;",,,'')")), "--", _xll.FDS($C$2,"FE_ESTIMATE(DEFREVENUE,MEAN,QUARTERLY_ROLL,"&amp;AY$9&amp;","&amp;$C$5&amp;",,,'')")))</f>
        <v>2006.913</v>
      </c>
      <c r="AZ99" s="304" cm="1">
        <f t="array" ref="AZ99">_xlfn.SINGLE(IF(ISERROR(_xll.FDS($C$2,"FE_ESTIMATE(DEFREVENUE,MEAN,QUARTERLY_ROLL,"&amp;AZ$9&amp;","&amp;$C$5&amp;",,,'')")), "--", _xll.FDS($C$2,"FE_ESTIMATE(DEFREVENUE,MEAN,QUARTERLY_ROLL,"&amp;AZ$9&amp;","&amp;$C$5&amp;",,,'')")))</f>
        <v>2595.5862000000002</v>
      </c>
      <c r="BA99" s="305" cm="1">
        <f t="array" ref="BA99">_xlfn.SINGLE(IF(ISERROR(_xll.FDS($C$2,"FE_ESTIMATE(DEFREVENUE,MEAN,ANNUAL_ROLL,"&amp;BA$9&amp;","&amp;$C$5&amp;",,,'')")), "--", _xll.FDS($C$2,"FE_ESTIMATE(DEFREVENUE,MEAN,ANNUAL_ROLL,"&amp;BA$9&amp;","&amp;$C$5&amp;",,,'')")))</f>
        <v>2595.6244999999999</v>
      </c>
      <c r="BB99" s="304" cm="1">
        <f t="array" ref="BB99">_xlfn.SINGLE(IF(ISERROR(_xll.FDS($C$2,"FE_ESTIMATE(DEFREVENUE,MEAN,QUARTERLY_ROLL,"&amp;BB$9&amp;","&amp;$C$5&amp;",,,'')")), "--", _xll.FDS($C$2,"FE_ESTIMATE(DEFREVENUE,MEAN,QUARTERLY_ROLL,"&amp;BB$9&amp;","&amp;$C$5&amp;",,,'')")))</f>
        <v>2323.5446999999999</v>
      </c>
      <c r="BC99" s="304" cm="1">
        <f t="array" ref="BC99">_xlfn.SINGLE(IF(ISERROR(_xll.FDS($C$2,"FE_ESTIMATE(DEFREVENUE,MEAN,QUARTERLY_ROLL,"&amp;BC$9&amp;","&amp;$C$5&amp;",,,'')")), "--", _xll.FDS($C$2,"FE_ESTIMATE(DEFREVENUE,MEAN,QUARTERLY_ROLL,"&amp;BC$9&amp;","&amp;$C$5&amp;",,,'')")))</f>
        <v>2279.915</v>
      </c>
      <c r="BD99" s="304" cm="1">
        <f t="array" ref="BD99">_xlfn.SINGLE(IF(ISERROR(_xll.FDS($C$2,"FE_ESTIMATE(DEFREVENUE,MEAN,QUARTERLY_ROLL,"&amp;BD$9&amp;","&amp;$C$5&amp;",,,'')")), "--", _xll.FDS($C$2,"FE_ESTIMATE(DEFREVENUE,MEAN,QUARTERLY_ROLL,"&amp;BD$9&amp;","&amp;$C$5&amp;",,,'')")))</f>
        <v>2461.4119999999998</v>
      </c>
      <c r="BE99" s="304" cm="1">
        <f t="array" ref="BE99">_xlfn.SINGLE(IF(ISERROR(_xll.FDS($C$2,"FE_ESTIMATE(DEFREVENUE,MEAN,QUARTERLY_ROLL,"&amp;BE$9&amp;","&amp;$C$5&amp;",,,'')")), "--", _xll.FDS($C$2,"FE_ESTIMATE(DEFREVENUE,MEAN,QUARTERLY_ROLL,"&amp;BE$9&amp;","&amp;$C$5&amp;",,,'')")))</f>
        <v>3180.2546000000002</v>
      </c>
      <c r="BF99" s="305" cm="1">
        <f t="array" ref="BF99">_xlfn.SINGLE(IF(ISERROR(_xll.FDS($C$2,"FE_ESTIMATE(DEFREVENUE,MEAN,ANNUAL_ROLL,"&amp;BF$9&amp;","&amp;$C$5&amp;",,,'')")), "--", _xll.FDS($C$2,"FE_ESTIMATE(DEFREVENUE,MEAN,ANNUAL_ROLL,"&amp;BF$9&amp;","&amp;$C$5&amp;",,,'')")))</f>
        <v>3114.3195999999998</v>
      </c>
      <c r="BG99" s="304" cm="1">
        <f t="array" ref="BG99">_xlfn.SINGLE(IF(ISERROR(_xll.FDS($C$2,"FE_ESTIMATE(DEFREVENUE,MEAN,QUARTERLY_ROLL,"&amp;BG$9&amp;","&amp;$C$5&amp;",,,'')")), "--", _xll.FDS($C$2,"FE_ESTIMATE(DEFREVENUE,MEAN,QUARTERLY_ROLL,"&amp;BG$9&amp;","&amp;$C$5&amp;",,,'')")))</f>
        <v>2929.2550999999999</v>
      </c>
      <c r="BH99" s="304" cm="1">
        <f t="array" ref="BH99">_xlfn.SINGLE(IF(ISERROR(_xll.FDS($C$2,"FE_ESTIMATE(DEFREVENUE,MEAN,QUARTERLY_ROLL,"&amp;BH$9&amp;","&amp;$C$5&amp;",,,'')")), "--", _xll.FDS($C$2,"FE_ESTIMATE(DEFREVENUE,MEAN,QUARTERLY_ROLL,"&amp;BH$9&amp;","&amp;$C$5&amp;",,,'')")))</f>
        <v>2849.6361999999999</v>
      </c>
      <c r="BI99" s="304" cm="1">
        <f t="array" ref="BI99">_xlfn.SINGLE(IF(ISERROR(_xll.FDS($C$2,"FE_ESTIMATE(DEFREVENUE,MEAN,QUARTERLY_ROLL,"&amp;BI$9&amp;","&amp;$C$5&amp;",,,'')")), "--", _xll.FDS($C$2,"FE_ESTIMATE(DEFREVENUE,MEAN,QUARTERLY_ROLL,"&amp;BI$9&amp;","&amp;$C$5&amp;",,,'')")))</f>
        <v>2970.9906999999998</v>
      </c>
      <c r="BJ99" s="304" cm="1">
        <f t="array" ref="BJ99">_xlfn.SINGLE(IF(ISERROR(_xll.FDS($C$2,"FE_ESTIMATE(DEFREVENUE,MEAN,QUARTERLY_ROLL,"&amp;BJ$9&amp;","&amp;$C$5&amp;",,,'')")), "--", _xll.FDS($C$2,"FE_ESTIMATE(DEFREVENUE,MEAN,QUARTERLY_ROLL,"&amp;BJ$9&amp;","&amp;$C$5&amp;",,,'')")))</f>
        <v>3802.4481999999998</v>
      </c>
      <c r="BK99" s="305" cm="1">
        <f t="array" ref="BK99">_xlfn.SINGLE(IF(ISERROR(_xll.FDS($C$2,"FE_ESTIMATE(DEFREVENUE,MEAN,ANNUAL_ROLL,"&amp;BK$9&amp;","&amp;$C$5&amp;",,,'')")), "--", _xll.FDS($C$2,"FE_ESTIMATE(DEFREVENUE,MEAN,ANNUAL_ROLL,"&amp;BK$9&amp;","&amp;$C$5&amp;",,,'')")))</f>
        <v>3702.5792999999999</v>
      </c>
      <c r="BL99" s="304" cm="1">
        <f t="array" ref="BL99">_xlfn.SINGLE(IF(ISERROR(_xll.FDS($C$2,"FE_ESTIMATE(DEFREVENUE,MEAN,QUARTERLY_ROLL,"&amp;BL$9&amp;","&amp;$C$5&amp;",,,'')")), "--", _xll.FDS($C$2,"FE_ESTIMATE(DEFREVENUE,MEAN,QUARTERLY_ROLL,"&amp;BL$9&amp;","&amp;$C$5&amp;",,,'')")))</f>
        <v>3596.5</v>
      </c>
      <c r="BM99" s="304" cm="1">
        <f t="array" ref="BM99">_xlfn.SINGLE(IF(ISERROR(_xll.FDS($C$2,"FE_ESTIMATE(DEFREVENUE,MEAN,QUARTERLY_ROLL,"&amp;BM$9&amp;","&amp;$C$5&amp;",,,'')")), "--", _xll.FDS($C$2,"FE_ESTIMATE(DEFREVENUE,MEAN,QUARTERLY_ROLL,"&amp;BM$9&amp;","&amp;$C$5&amp;",,,'')")))</f>
        <v>3524.8</v>
      </c>
      <c r="BN99" s="304" cm="1">
        <f t="array" ref="BN99">_xlfn.SINGLE(IF(ISERROR(_xll.FDS($C$2,"FE_ESTIMATE(DEFREVENUE,MEAN,QUARTERLY_ROLL,"&amp;BN$9&amp;","&amp;$C$5&amp;",,,'')")), "--", _xll.FDS($C$2,"FE_ESTIMATE(DEFREVENUE,MEAN,QUARTERLY_ROLL,"&amp;BN$9&amp;","&amp;$C$5&amp;",,,'')")))</f>
        <v>3736.2</v>
      </c>
      <c r="BO99" s="304" cm="1">
        <f t="array" ref="BO99">_xlfn.SINGLE(IF(ISERROR(_xll.FDS($C$2,"FE_ESTIMATE(DEFREVENUE,MEAN,QUARTERLY_ROLL,"&amp;BO$9&amp;","&amp;$C$5&amp;",,,'')")), "--", _xll.FDS($C$2,"FE_ESTIMATE(DEFREVENUE,MEAN,QUARTERLY_ROLL,"&amp;BO$9&amp;","&amp;$C$5&amp;",,,'')")))</f>
        <v>4782.3999999999996</v>
      </c>
      <c r="BP99" s="305" cm="1">
        <f t="array" ref="BP99">_xlfn.SINGLE(IF(ISERROR(_xll.FDS($C$2,"FE_ESTIMATE(DEFREVENUE,MEAN,ANNUAL_ROLL,"&amp;BP$9&amp;","&amp;$C$5&amp;",,,'')")), "--", _xll.FDS($C$2,"FE_ESTIMATE(DEFREVENUE,MEAN,ANNUAL_ROLL,"&amp;BP$9&amp;","&amp;$C$5&amp;",,,'')")))</f>
        <v>4734.1400000000003</v>
      </c>
    </row>
    <row r="100" spans="1:68" s="306" customFormat="1" outlineLevel="1">
      <c r="A100" s="245" t="s">
        <v>138</v>
      </c>
      <c r="B100" s="307" t="s">
        <v>204</v>
      </c>
      <c r="C100" s="328"/>
      <c r="D100" s="323"/>
      <c r="E100" s="323"/>
      <c r="F100" s="323"/>
      <c r="G100" s="323"/>
      <c r="H100" s="309"/>
      <c r="I100" s="308" t="str">
        <f t="shared" ref="I100:AN100" si="57">IFERROR(I99/D99-1,"--")</f>
        <v>--</v>
      </c>
      <c r="J100" s="308" t="str">
        <f t="shared" si="57"/>
        <v>--</v>
      </c>
      <c r="K100" s="308" t="str">
        <f t="shared" si="57"/>
        <v>--</v>
      </c>
      <c r="L100" s="308" t="str">
        <f t="shared" si="57"/>
        <v>--</v>
      </c>
      <c r="M100" s="309" t="str">
        <f t="shared" si="57"/>
        <v>--</v>
      </c>
      <c r="N100" s="308" t="str">
        <f t="shared" si="57"/>
        <v>--</v>
      </c>
      <c r="O100" s="308" t="str">
        <f t="shared" si="57"/>
        <v>--</v>
      </c>
      <c r="P100" s="308" t="str">
        <f t="shared" si="57"/>
        <v>--</v>
      </c>
      <c r="Q100" s="308" t="str">
        <f t="shared" si="57"/>
        <v>--</v>
      </c>
      <c r="R100" s="309" t="str">
        <f t="shared" si="57"/>
        <v>--</v>
      </c>
      <c r="S100" s="308" t="str">
        <f t="shared" si="57"/>
        <v>--</v>
      </c>
      <c r="T100" s="308" t="str">
        <f t="shared" si="57"/>
        <v>--</v>
      </c>
      <c r="U100" s="308" t="str">
        <f t="shared" si="57"/>
        <v>--</v>
      </c>
      <c r="V100" s="308" t="str">
        <f t="shared" si="57"/>
        <v>--</v>
      </c>
      <c r="W100" s="309" t="str">
        <f t="shared" si="57"/>
        <v>--</v>
      </c>
      <c r="X100" s="308" t="str">
        <f t="shared" si="57"/>
        <v>--</v>
      </c>
      <c r="Y100" s="308" t="str">
        <f t="shared" si="57"/>
        <v>--</v>
      </c>
      <c r="Z100" s="308" t="str">
        <f t="shared" si="57"/>
        <v>--</v>
      </c>
      <c r="AA100" s="308" t="str">
        <f t="shared" si="57"/>
        <v>--</v>
      </c>
      <c r="AB100" s="309" t="str">
        <f t="shared" si="57"/>
        <v>--</v>
      </c>
      <c r="AC100" s="308" t="str">
        <f t="shared" si="57"/>
        <v>--</v>
      </c>
      <c r="AD100" s="308" t="str">
        <f t="shared" si="57"/>
        <v>--</v>
      </c>
      <c r="AE100" s="308" t="str">
        <f t="shared" si="57"/>
        <v>--</v>
      </c>
      <c r="AF100" s="308" t="str">
        <f t="shared" si="57"/>
        <v>--</v>
      </c>
      <c r="AG100" s="309" t="str">
        <f t="shared" si="57"/>
        <v>--</v>
      </c>
      <c r="AH100" s="308" t="str">
        <f t="shared" si="57"/>
        <v>--</v>
      </c>
      <c r="AI100" s="308">
        <f t="shared" si="57"/>
        <v>0.87867568153226494</v>
      </c>
      <c r="AJ100" s="308">
        <f t="shared" si="57"/>
        <v>0.7361413571944273</v>
      </c>
      <c r="AK100" s="308">
        <f t="shared" si="57"/>
        <v>0.81855189521511318</v>
      </c>
      <c r="AL100" s="309">
        <f t="shared" si="57"/>
        <v>0.80965402974843514</v>
      </c>
      <c r="AM100" s="308">
        <f t="shared" si="57"/>
        <v>0.78956628196056089</v>
      </c>
      <c r="AN100" s="308">
        <f t="shared" si="57"/>
        <v>0.63008528101764205</v>
      </c>
      <c r="AO100" s="308">
        <f t="shared" ref="AO100:BP100" si="58">IFERROR(AO99/AJ99-1,"--")</f>
        <v>0.58289361537875739</v>
      </c>
      <c r="AP100" s="308">
        <f t="shared" si="58"/>
        <v>0.44117191195477501</v>
      </c>
      <c r="AQ100" s="309">
        <f t="shared" si="58"/>
        <v>0.54754708461526591</v>
      </c>
      <c r="AR100" s="308">
        <f t="shared" si="58"/>
        <v>0.37743848680452263</v>
      </c>
      <c r="AS100" s="308">
        <f t="shared" si="58"/>
        <v>0.33104674812164192</v>
      </c>
      <c r="AT100" s="308">
        <f t="shared" si="58"/>
        <v>0.33269220534790844</v>
      </c>
      <c r="AU100" s="308">
        <f t="shared" si="58"/>
        <v>0.31352870264101784</v>
      </c>
      <c r="AV100" s="309">
        <f t="shared" si="58"/>
        <v>0.31352870264101784</v>
      </c>
      <c r="AW100" s="308">
        <f t="shared" si="58"/>
        <v>0.23868461784540007</v>
      </c>
      <c r="AX100" s="308">
        <f t="shared" si="58"/>
        <v>0.21171886010030661</v>
      </c>
      <c r="AY100" s="308">
        <f t="shared" si="58"/>
        <v>0.24060519183944362</v>
      </c>
      <c r="AZ100" s="308">
        <f t="shared" si="58"/>
        <v>0.1728311646881775</v>
      </c>
      <c r="BA100" s="309">
        <f t="shared" si="58"/>
        <v>0.172848470772486</v>
      </c>
      <c r="BB100" s="308">
        <f t="shared" si="58"/>
        <v>0.19133881808644682</v>
      </c>
      <c r="BC100" s="308">
        <f t="shared" si="58"/>
        <v>0.2253440039694028</v>
      </c>
      <c r="BD100" s="308">
        <f t="shared" si="58"/>
        <v>0.22646671778995886</v>
      </c>
      <c r="BE100" s="308">
        <f t="shared" si="58"/>
        <v>0.22525485765026798</v>
      </c>
      <c r="BF100" s="309">
        <f t="shared" si="58"/>
        <v>0.19983441364496279</v>
      </c>
      <c r="BG100" s="308">
        <f t="shared" si="58"/>
        <v>0.2606837733743621</v>
      </c>
      <c r="BH100" s="308">
        <f t="shared" si="58"/>
        <v>0.24988703526227951</v>
      </c>
      <c r="BI100" s="308">
        <f t="shared" si="58"/>
        <v>0.20702698288624588</v>
      </c>
      <c r="BJ100" s="308">
        <f t="shared" si="58"/>
        <v>0.19564270105921699</v>
      </c>
      <c r="BK100" s="309">
        <f t="shared" si="58"/>
        <v>0.1888886741103899</v>
      </c>
      <c r="BL100" s="308">
        <f t="shared" si="58"/>
        <v>0.22778654545997035</v>
      </c>
      <c r="BM100" s="308">
        <f t="shared" si="58"/>
        <v>0.23692982283141983</v>
      </c>
      <c r="BN100" s="308">
        <f t="shared" si="58"/>
        <v>0.25756031481350639</v>
      </c>
      <c r="BO100" s="308">
        <f t="shared" si="58"/>
        <v>0.25771601569746561</v>
      </c>
      <c r="BP100" s="309">
        <f t="shared" si="58"/>
        <v>0.27860597070804149</v>
      </c>
    </row>
    <row r="101" spans="1:68" outlineLevel="1">
      <c r="A101" s="245" t="s">
        <v>139</v>
      </c>
      <c r="B101" s="307" t="s">
        <v>205</v>
      </c>
      <c r="D101" s="323"/>
      <c r="E101" s="308"/>
      <c r="F101" s="308"/>
      <c r="G101" s="308"/>
      <c r="H101" s="309"/>
      <c r="I101" s="308" t="str">
        <f>IFERROR(I99/G99-1,"--")</f>
        <v>--</v>
      </c>
      <c r="J101" s="308" t="str">
        <f>IFERROR(J99/I99-1,"--")</f>
        <v>--</v>
      </c>
      <c r="K101" s="308" t="str">
        <f>IFERROR(K99/J99-1,"--")</f>
        <v>--</v>
      </c>
      <c r="L101" s="308" t="str">
        <f>IFERROR(L99/K99-1,"--")</f>
        <v>--</v>
      </c>
      <c r="M101" s="311"/>
      <c r="N101" s="308" t="str">
        <f>IFERROR(N99/L99-1,"--")</f>
        <v>--</v>
      </c>
      <c r="O101" s="308" t="str">
        <f>IFERROR(O99/N99-1,"--")</f>
        <v>--</v>
      </c>
      <c r="P101" s="308" t="str">
        <f>IFERROR(P99/O99-1,"--")</f>
        <v>--</v>
      </c>
      <c r="Q101" s="308" t="str">
        <f>IFERROR(Q99/P99-1,"--")</f>
        <v>--</v>
      </c>
      <c r="R101" s="311"/>
      <c r="S101" s="308" t="str">
        <f>IFERROR(S99/Q99-1,"--")</f>
        <v>--</v>
      </c>
      <c r="T101" s="308" t="str">
        <f>IFERROR(T99/S99-1,"--")</f>
        <v>--</v>
      </c>
      <c r="U101" s="308" t="str">
        <f>IFERROR(U99/T99-1,"--")</f>
        <v>--</v>
      </c>
      <c r="V101" s="308" t="str">
        <f>IFERROR(V99/U99-1,"--")</f>
        <v>--</v>
      </c>
      <c r="W101" s="311"/>
      <c r="X101" s="308" t="str">
        <f>IFERROR(X99/V99-1,"--")</f>
        <v>--</v>
      </c>
      <c r="Y101" s="308" t="str">
        <f>IFERROR(Y99/X99-1,"--")</f>
        <v>--</v>
      </c>
      <c r="Z101" s="308" t="str">
        <f>IFERROR(Z99/Y99-1,"--")</f>
        <v>--</v>
      </c>
      <c r="AA101" s="308" t="str">
        <f>IFERROR(AA99/Z99-1,"--")</f>
        <v>--</v>
      </c>
      <c r="AB101" s="311"/>
      <c r="AC101" s="308" t="str">
        <f>IFERROR(AC99/AA99-1,"--")</f>
        <v>--</v>
      </c>
      <c r="AD101" s="308" t="str">
        <f>IFERROR(AD99/AC99-1,"--")</f>
        <v>--</v>
      </c>
      <c r="AE101" s="308">
        <f>IFERROR(AE99/AD99-1,"--")</f>
        <v>0.17253272951073573</v>
      </c>
      <c r="AF101" s="308">
        <f>IFERROR(AF99/AE99-1,"--")</f>
        <v>0.45542764345737119</v>
      </c>
      <c r="AG101" s="311"/>
      <c r="AH101" s="308">
        <f>IFERROR(AH99/AF99-1,"--")</f>
        <v>-6.3896903807136862E-3</v>
      </c>
      <c r="AI101" s="308">
        <f>IFERROR(AI99/AH99-1,"--")</f>
        <v>0.10794992140974013</v>
      </c>
      <c r="AJ101" s="308">
        <f>IFERROR(AJ99/AI99-1,"--")</f>
        <v>8.357317038741563E-2</v>
      </c>
      <c r="AK101" s="308">
        <f>IFERROR(AK99/AJ99-1,"--")</f>
        <v>0.52451336314861008</v>
      </c>
      <c r="AL101" s="311"/>
      <c r="AM101" s="308">
        <f>IFERROR(AM99/AK99-1,"--")</f>
        <v>-2.2226689168671765E-2</v>
      </c>
      <c r="AN101" s="308">
        <f>IFERROR(AN99/AM99-1,"--")</f>
        <v>9.2126104522085583E-3</v>
      </c>
      <c r="AO101" s="308">
        <f>IFERROR(AO99/AN99-1,"--")</f>
        <v>5.2203263948983336E-2</v>
      </c>
      <c r="AP101" s="308">
        <f>IFERROR(AP99/AO99-1,"--")</f>
        <v>0.38801863689605187</v>
      </c>
      <c r="AQ101" s="311"/>
      <c r="AR101" s="308">
        <f>IFERROR(AR99/AP99-1,"--")</f>
        <v>-6.5467083741209242E-2</v>
      </c>
      <c r="AS101" s="308">
        <f>IFERROR(AS99/AR99-1,"--")</f>
        <v>-2.4777384852903817E-2</v>
      </c>
      <c r="AT101" s="308">
        <f>IFERROR(AT99/AS99-1,"--")</f>
        <v>5.3504011249263739E-2</v>
      </c>
      <c r="AU101" s="308">
        <f>IFERROR(AU99/AT99-1,"--")</f>
        <v>0.36805956547758556</v>
      </c>
      <c r="AV101" s="311"/>
      <c r="AW101" s="308">
        <f>IFERROR(AW99/AU99-1,"--")</f>
        <v>-0.11871621388060938</v>
      </c>
      <c r="AX101" s="308">
        <f>IFERROR(AX99/AW99-1,"--")</f>
        <v>-4.6007661235390795E-2</v>
      </c>
      <c r="AY101" s="308">
        <f>IFERROR(AY99/AX99-1,"--")</f>
        <v>7.8618637553700799E-2</v>
      </c>
      <c r="AZ101" s="308">
        <f>IFERROR(AZ99/AY99-1,"--")</f>
        <v>0.29332272998381104</v>
      </c>
      <c r="BA101" s="311"/>
      <c r="BB101" s="308">
        <f>IFERROR(BB99/AZ99-1,"--")</f>
        <v>-0.10480927198642076</v>
      </c>
      <c r="BC101" s="308">
        <f>IFERROR(BC99/BB99-1,"--")</f>
        <v>-1.8777215691180738E-2</v>
      </c>
      <c r="BD101" s="308">
        <f>IFERROR(BD99/BC99-1,"--")</f>
        <v>7.9606915170083115E-2</v>
      </c>
      <c r="BE101" s="308">
        <f>IFERROR(BE99/BD99-1,"--")</f>
        <v>0.29204481005211669</v>
      </c>
      <c r="BF101" s="311"/>
      <c r="BG101" s="308">
        <f>IFERROR(BG99/BE99-1,"--")</f>
        <v>-7.8924341466246273E-2</v>
      </c>
      <c r="BH101" s="308">
        <f>IFERROR(BH99/BG99-1,"--")</f>
        <v>-2.7180596186382022E-2</v>
      </c>
      <c r="BI101" s="308">
        <f>IFERROR(BI99/BH99-1,"--")</f>
        <v>4.2585962376530784E-2</v>
      </c>
      <c r="BJ101" s="308">
        <f>IFERROR(BJ99/BI99-1,"--")</f>
        <v>0.27985866801939174</v>
      </c>
      <c r="BK101" s="311"/>
      <c r="BL101" s="308">
        <f>IFERROR(BL99/BJ99-1,"--")</f>
        <v>-5.4162000155583923E-2</v>
      </c>
      <c r="BM101" s="308">
        <f>IFERROR(BM99/BL99-1,"--")</f>
        <v>-1.9936048936465944E-2</v>
      </c>
      <c r="BN101" s="308">
        <f>IFERROR(BN99/BM99-1,"--")</f>
        <v>5.9975034044484676E-2</v>
      </c>
      <c r="BO101" s="308">
        <f>IFERROR(BO99/BN99-1,"--")</f>
        <v>0.2800171297039773</v>
      </c>
      <c r="BP101" s="311"/>
    </row>
    <row r="102" spans="1:68">
      <c r="B102" s="307"/>
      <c r="D102" s="323"/>
      <c r="E102" s="308"/>
      <c r="F102" s="308"/>
      <c r="G102" s="308"/>
      <c r="H102" s="309"/>
      <c r="I102" s="308"/>
      <c r="J102" s="308"/>
      <c r="K102" s="308"/>
      <c r="L102" s="308"/>
      <c r="M102" s="309"/>
      <c r="N102" s="308"/>
      <c r="O102" s="308"/>
      <c r="P102" s="308"/>
      <c r="Q102" s="308"/>
      <c r="R102" s="309"/>
      <c r="S102" s="308"/>
      <c r="T102" s="308"/>
      <c r="U102" s="308"/>
      <c r="V102" s="308"/>
      <c r="W102" s="309"/>
      <c r="X102" s="308"/>
      <c r="Y102" s="308"/>
      <c r="Z102" s="308"/>
      <c r="AA102" s="308"/>
      <c r="AB102" s="309"/>
      <c r="AC102" s="308"/>
      <c r="AD102" s="308"/>
      <c r="AE102" s="308"/>
      <c r="AF102" s="308"/>
      <c r="AG102" s="309"/>
      <c r="AH102" s="308"/>
      <c r="AI102" s="308"/>
      <c r="AJ102" s="308"/>
      <c r="AK102" s="308"/>
      <c r="AL102" s="309"/>
      <c r="AM102" s="308"/>
      <c r="AN102" s="308"/>
      <c r="AO102" s="308"/>
      <c r="AP102" s="308"/>
      <c r="AQ102" s="309"/>
      <c r="AR102" s="308"/>
      <c r="AS102" s="308"/>
      <c r="AT102" s="308"/>
      <c r="AU102" s="308"/>
      <c r="AV102" s="309"/>
      <c r="AW102" s="308"/>
      <c r="AX102" s="308"/>
      <c r="AY102" s="308"/>
      <c r="AZ102" s="308"/>
      <c r="BA102" s="309"/>
      <c r="BB102" s="308"/>
      <c r="BC102" s="308"/>
      <c r="BD102" s="308"/>
      <c r="BE102" s="308"/>
      <c r="BF102" s="309"/>
      <c r="BG102" s="308"/>
      <c r="BH102" s="308"/>
      <c r="BI102" s="308"/>
      <c r="BJ102" s="308"/>
      <c r="BK102" s="309"/>
      <c r="BL102" s="308"/>
      <c r="BM102" s="308"/>
      <c r="BN102" s="308"/>
      <c r="BO102" s="308"/>
      <c r="BP102" s="309"/>
    </row>
    <row r="103" spans="1:68">
      <c r="B103" s="290" t="s">
        <v>208</v>
      </c>
      <c r="H103" s="329"/>
      <c r="M103" s="329"/>
      <c r="R103" s="329"/>
      <c r="W103" s="329"/>
      <c r="AB103" s="329"/>
      <c r="AG103" s="329"/>
      <c r="AL103" s="329"/>
      <c r="AQ103" s="329"/>
      <c r="AV103" s="329"/>
      <c r="BA103" s="329"/>
      <c r="BF103" s="329"/>
      <c r="BK103" s="329"/>
      <c r="BP103" s="329"/>
    </row>
    <row r="104" spans="1:68" s="306" customFormat="1" outlineLevel="1">
      <c r="A104" s="283"/>
      <c r="B104" s="302" t="s">
        <v>209</v>
      </c>
      <c r="C104" s="303"/>
      <c r="D104" s="304"/>
      <c r="E104" s="304"/>
      <c r="F104" s="304"/>
      <c r="G104" s="304"/>
      <c r="H104" s="305"/>
      <c r="I104" s="304" t="str">
        <f>IFERROR(I91-G91,"--")</f>
        <v>--</v>
      </c>
      <c r="J104" s="304" t="str">
        <f>IFERROR(J91-I91,"--")</f>
        <v>--</v>
      </c>
      <c r="K104" s="304" t="str">
        <f>IFERROR(K91-J91,"--")</f>
        <v>--</v>
      </c>
      <c r="L104" s="304" t="str">
        <f>IFERROR(L91-K91,"--")</f>
        <v>--</v>
      </c>
      <c r="M104" s="305" t="str">
        <f>IFERROR(M91-H91,"--")</f>
        <v>--</v>
      </c>
      <c r="N104" s="304" t="str">
        <f>IFERROR(N91-L91,"--")</f>
        <v>--</v>
      </c>
      <c r="O104" s="304" t="str">
        <f>IFERROR(O91-N91,"--")</f>
        <v>--</v>
      </c>
      <c r="P104" s="304" t="str">
        <f>IFERROR(P91-O91,"--")</f>
        <v>--</v>
      </c>
      <c r="Q104" s="304" t="str">
        <f>IFERROR(Q91-P91,"--")</f>
        <v>--</v>
      </c>
      <c r="R104" s="305" t="str">
        <f>IFERROR(R91-M91,"--")</f>
        <v>--</v>
      </c>
      <c r="S104" s="304" t="str">
        <f>IFERROR(S91-Q91,"--")</f>
        <v>--</v>
      </c>
      <c r="T104" s="304" t="str">
        <f>IFERROR(T91-S91,"--")</f>
        <v>--</v>
      </c>
      <c r="U104" s="304" t="str">
        <f>IFERROR(U91-T91,"--")</f>
        <v>--</v>
      </c>
      <c r="V104" s="304" t="str">
        <f>IFERROR(V91-U91,"--")</f>
        <v>--</v>
      </c>
      <c r="W104" s="305" t="str">
        <f>IFERROR(W91-R91,"--")</f>
        <v>--</v>
      </c>
      <c r="X104" s="304" t="str">
        <f>IFERROR(X91-V91,"--")</f>
        <v>--</v>
      </c>
      <c r="Y104" s="304" t="str">
        <f>IFERROR(Y91-X91,"--")</f>
        <v>--</v>
      </c>
      <c r="Z104" s="304" t="str">
        <f>IFERROR(Z91-Y91,"--")</f>
        <v>--</v>
      </c>
      <c r="AA104" s="304" t="str">
        <f>IFERROR(AA91-Z91,"--")</f>
        <v>--</v>
      </c>
      <c r="AB104" s="305" t="str">
        <f>IFERROR(AB91-W91,"--")</f>
        <v>--</v>
      </c>
      <c r="AC104" s="304" t="str">
        <f>IFERROR(AC91-AA91,"--")</f>
        <v>--</v>
      </c>
      <c r="AD104" s="304" t="str">
        <f>IFERROR(AD91-AC91,"--")</f>
        <v>--</v>
      </c>
      <c r="AE104" s="304">
        <f>IFERROR(AE91-AD91,"--")</f>
        <v>64.61275999999998</v>
      </c>
      <c r="AF104" s="304">
        <f>IFERROR(AF91-AE91,"--")</f>
        <v>200.48524000000003</v>
      </c>
      <c r="AG104" s="305" t="str">
        <f>IFERROR(AG91-AB91,"--")</f>
        <v>--</v>
      </c>
      <c r="AH104" s="304">
        <f>IFERROR(AH91-AF91,"--")</f>
        <v>-3.5947999999999638</v>
      </c>
      <c r="AI104" s="304">
        <f>IFERROR(AI91-AH91,"--")</f>
        <v>66.692299999999932</v>
      </c>
      <c r="AJ104" s="304">
        <f>IFERROR(AJ91-AI91,"--")</f>
        <v>57.921500000000037</v>
      </c>
      <c r="AK104" s="304">
        <f>IFERROR(AK91-AJ91,"--")</f>
        <v>398.19949999999994</v>
      </c>
      <c r="AL104" s="305">
        <f>IFERROR(AL91-AG91,"--")</f>
        <v>519.21620000000007</v>
      </c>
      <c r="AM104" s="304">
        <f>IFERROR(AM91-AK91,"--")</f>
        <v>-25.173299999999927</v>
      </c>
      <c r="AN104" s="304">
        <f>IFERROR(AN91-AM91,"--")</f>
        <v>12.078999999999951</v>
      </c>
      <c r="AO104" s="304">
        <f>IFERROR(AO91-AN91,"--")</f>
        <v>60.695200000000114</v>
      </c>
      <c r="AP104" s="304">
        <f>IFERROR(AP91-AO91,"--")</f>
        <v>467.91629999999986</v>
      </c>
      <c r="AQ104" s="305">
        <f>IFERROR(AQ91-AL91,"--")</f>
        <v>515.46289999999999</v>
      </c>
      <c r="AR104" s="304">
        <f>IFERROR(AR91-AP91,"--")</f>
        <v>-113.06209999999987</v>
      </c>
      <c r="AS104" s="304">
        <f>IFERROR(AS91-AR91,"--")</f>
        <v>-37.281700000000001</v>
      </c>
      <c r="AT104" s="304">
        <f>IFERROR(AT91-AS91,"--")</f>
        <v>82.511199999999917</v>
      </c>
      <c r="AU104" s="304">
        <f>IFERROR(AU91-AT91,"--")</f>
        <v>593.13630000000012</v>
      </c>
      <c r="AV104" s="305">
        <f>IFERROR(AV91-AQ91,"--")</f>
        <v>525.3592000000001</v>
      </c>
      <c r="AW104" s="304">
        <f>IFERROR(AW91-AU91,"--")</f>
        <v>-263.07880000000023</v>
      </c>
      <c r="AX104" s="304">
        <f>IFERROR(AX91-AW91,"--")</f>
        <v>-87.299800000000005</v>
      </c>
      <c r="AY104" s="304">
        <f>IFERROR(AY91-AX91,"--")</f>
        <v>126.56740000000013</v>
      </c>
      <c r="AZ104" s="304">
        <f>IFERROR(AZ91-AY91,"--")</f>
        <v>606.64550000000008</v>
      </c>
      <c r="BA104" s="305">
        <f>IFERROR(BA91-AV91,"--")</f>
        <v>382.83429999999998</v>
      </c>
      <c r="BB104" s="304">
        <f>IFERROR(BB91-AZ91,"--")</f>
        <v>-270.39210000000003</v>
      </c>
      <c r="BC104" s="304">
        <f>IFERROR(BC91-BB91,"--")</f>
        <v>-41.497100000000046</v>
      </c>
      <c r="BD104" s="304">
        <f>IFERROR(BD91-BC91,"--")</f>
        <v>182.75779999999986</v>
      </c>
      <c r="BE104" s="304">
        <f>IFERROR(BE91-BD91,"--")</f>
        <v>686.60350000000017</v>
      </c>
      <c r="BF104" s="305">
        <f>IFERROR(BF91-BA91,"--")</f>
        <v>474.54829999999993</v>
      </c>
      <c r="BG104" s="304">
        <f>IFERROR(BG91-BE91,"--")</f>
        <v>-207.5347999999999</v>
      </c>
      <c r="BH104" s="304">
        <f>IFERROR(BH91-BG91,"--")</f>
        <v>-83.86160000000018</v>
      </c>
      <c r="BI104" s="304">
        <f>IFERROR(BI91-BH91,"--")</f>
        <v>74.104200000000219</v>
      </c>
      <c r="BJ104" s="304">
        <f>IFERROR(BJ91-BI91,"--")</f>
        <v>756.77079999999978</v>
      </c>
      <c r="BK104" s="305">
        <f>IFERROR(BK91-BF91,"--")</f>
        <v>512.60899999999992</v>
      </c>
      <c r="BL104" s="304" t="str">
        <f>IFERROR(BL91-BJ91,"--")</f>
        <v>--</v>
      </c>
      <c r="BM104" s="304" t="str">
        <f>IFERROR(BM91-BL91,"--")</f>
        <v>--</v>
      </c>
      <c r="BN104" s="304" t="str">
        <f>IFERROR(BN91-BM91,"--")</f>
        <v>--</v>
      </c>
      <c r="BO104" s="304" t="str">
        <f>IFERROR(BO91-BN91,"--")</f>
        <v>--</v>
      </c>
      <c r="BP104" s="305">
        <f>IFERROR(BP91-BK91,"--")</f>
        <v>910.52700000000004</v>
      </c>
    </row>
    <row r="105" spans="1:68" s="310" customFormat="1" outlineLevel="1">
      <c r="A105" s="293"/>
      <c r="B105" s="307" t="s">
        <v>204</v>
      </c>
      <c r="C105" s="307"/>
      <c r="D105" s="323"/>
      <c r="E105" s="323"/>
      <c r="F105" s="323"/>
      <c r="G105" s="323"/>
      <c r="H105" s="309"/>
      <c r="I105" s="308" t="str">
        <f t="shared" ref="I105:AN105" si="59">IFERROR(I104/D104-1,"--")</f>
        <v>--</v>
      </c>
      <c r="J105" s="308" t="str">
        <f t="shared" si="59"/>
        <v>--</v>
      </c>
      <c r="K105" s="308" t="str">
        <f t="shared" si="59"/>
        <v>--</v>
      </c>
      <c r="L105" s="308" t="str">
        <f t="shared" si="59"/>
        <v>--</v>
      </c>
      <c r="M105" s="309" t="str">
        <f t="shared" si="59"/>
        <v>--</v>
      </c>
      <c r="N105" s="308" t="str">
        <f t="shared" si="59"/>
        <v>--</v>
      </c>
      <c r="O105" s="308" t="str">
        <f t="shared" si="59"/>
        <v>--</v>
      </c>
      <c r="P105" s="308" t="str">
        <f t="shared" si="59"/>
        <v>--</v>
      </c>
      <c r="Q105" s="308" t="str">
        <f t="shared" si="59"/>
        <v>--</v>
      </c>
      <c r="R105" s="309" t="str">
        <f t="shared" si="59"/>
        <v>--</v>
      </c>
      <c r="S105" s="308" t="str">
        <f t="shared" si="59"/>
        <v>--</v>
      </c>
      <c r="T105" s="308" t="str">
        <f t="shared" si="59"/>
        <v>--</v>
      </c>
      <c r="U105" s="308" t="str">
        <f t="shared" si="59"/>
        <v>--</v>
      </c>
      <c r="V105" s="308" t="str">
        <f t="shared" si="59"/>
        <v>--</v>
      </c>
      <c r="W105" s="309" t="str">
        <f t="shared" si="59"/>
        <v>--</v>
      </c>
      <c r="X105" s="308" t="str">
        <f t="shared" si="59"/>
        <v>--</v>
      </c>
      <c r="Y105" s="308" t="str">
        <f t="shared" si="59"/>
        <v>--</v>
      </c>
      <c r="Z105" s="308" t="str">
        <f t="shared" si="59"/>
        <v>--</v>
      </c>
      <c r="AA105" s="308" t="str">
        <f t="shared" si="59"/>
        <v>--</v>
      </c>
      <c r="AB105" s="309" t="str">
        <f t="shared" si="59"/>
        <v>--</v>
      </c>
      <c r="AC105" s="308" t="str">
        <f t="shared" si="59"/>
        <v>--</v>
      </c>
      <c r="AD105" s="308" t="str">
        <f t="shared" si="59"/>
        <v>--</v>
      </c>
      <c r="AE105" s="308" t="str">
        <f t="shared" si="59"/>
        <v>--</v>
      </c>
      <c r="AF105" s="308" t="str">
        <f t="shared" si="59"/>
        <v>--</v>
      </c>
      <c r="AG105" s="309" t="str">
        <f t="shared" si="59"/>
        <v>--</v>
      </c>
      <c r="AH105" s="308" t="str">
        <f t="shared" si="59"/>
        <v>--</v>
      </c>
      <c r="AI105" s="308" t="str">
        <f t="shared" si="59"/>
        <v>--</v>
      </c>
      <c r="AJ105" s="308">
        <f t="shared" si="59"/>
        <v>-0.10355942077075708</v>
      </c>
      <c r="AK105" s="308">
        <f t="shared" si="59"/>
        <v>0.98617863339964518</v>
      </c>
      <c r="AL105" s="309" t="str">
        <f t="shared" si="59"/>
        <v>--</v>
      </c>
      <c r="AM105" s="308">
        <f t="shared" si="59"/>
        <v>6.0026983420496771</v>
      </c>
      <c r="AN105" s="308">
        <f t="shared" si="59"/>
        <v>-0.81888463885636031</v>
      </c>
      <c r="AO105" s="308">
        <f t="shared" ref="AO105:BP105" si="60">IFERROR(AO104/AJ104-1,"--")</f>
        <v>4.7887226677487238E-2</v>
      </c>
      <c r="AP105" s="308">
        <f t="shared" si="60"/>
        <v>0.17508007920652813</v>
      </c>
      <c r="AQ105" s="309">
        <f t="shared" si="60"/>
        <v>-7.2287806120072684E-3</v>
      </c>
      <c r="AR105" s="308">
        <f t="shared" si="60"/>
        <v>3.4913499620629871</v>
      </c>
      <c r="AS105" s="308">
        <f t="shared" si="60"/>
        <v>-4.0864889477605892</v>
      </c>
      <c r="AT105" s="308">
        <f t="shared" si="60"/>
        <v>0.35943534249824971</v>
      </c>
      <c r="AU105" s="308">
        <f t="shared" si="60"/>
        <v>0.2676119639345762</v>
      </c>
      <c r="AV105" s="309">
        <f t="shared" si="60"/>
        <v>1.9198859898549747E-2</v>
      </c>
      <c r="AW105" s="308">
        <f t="shared" si="60"/>
        <v>1.3268522343031002</v>
      </c>
      <c r="AX105" s="308">
        <f t="shared" si="60"/>
        <v>1.3416260524600543</v>
      </c>
      <c r="AY105" s="308">
        <f t="shared" si="60"/>
        <v>0.5339420587750543</v>
      </c>
      <c r="AZ105" s="308">
        <f t="shared" si="60"/>
        <v>2.2775877989595239E-2</v>
      </c>
      <c r="BA105" s="309">
        <f t="shared" si="60"/>
        <v>-0.27129038570182096</v>
      </c>
      <c r="BB105" s="308">
        <f t="shared" si="60"/>
        <v>2.779889523595136E-2</v>
      </c>
      <c r="BC105" s="308">
        <f t="shared" si="60"/>
        <v>-0.52465985030893492</v>
      </c>
      <c r="BD105" s="308">
        <f t="shared" si="60"/>
        <v>0.44395634262851003</v>
      </c>
      <c r="BE105" s="308">
        <f t="shared" si="60"/>
        <v>0.13180349973749106</v>
      </c>
      <c r="BF105" s="309">
        <f t="shared" si="60"/>
        <v>0.23956578603327849</v>
      </c>
      <c r="BG105" s="308">
        <f t="shared" si="60"/>
        <v>-0.23246722075090254</v>
      </c>
      <c r="BH105" s="308">
        <f t="shared" si="60"/>
        <v>1.02090266548747</v>
      </c>
      <c r="BI105" s="308">
        <f t="shared" si="60"/>
        <v>-0.59452236785515988</v>
      </c>
      <c r="BJ105" s="308">
        <f t="shared" si="60"/>
        <v>0.10219478927794512</v>
      </c>
      <c r="BK105" s="309">
        <f t="shared" si="60"/>
        <v>8.0204059312824372E-2</v>
      </c>
      <c r="BL105" s="308" t="str">
        <f t="shared" si="60"/>
        <v>--</v>
      </c>
      <c r="BM105" s="308" t="str">
        <f t="shared" si="60"/>
        <v>--</v>
      </c>
      <c r="BN105" s="308" t="str">
        <f t="shared" si="60"/>
        <v>--</v>
      </c>
      <c r="BO105" s="308" t="str">
        <f t="shared" si="60"/>
        <v>--</v>
      </c>
      <c r="BP105" s="309">
        <f t="shared" si="60"/>
        <v>0.77626026854776287</v>
      </c>
    </row>
    <row r="106" spans="1:68" s="310" customFormat="1" outlineLevel="1">
      <c r="A106" s="293"/>
      <c r="B106" s="307" t="s">
        <v>205</v>
      </c>
      <c r="C106" s="307"/>
      <c r="D106" s="323"/>
      <c r="E106" s="308"/>
      <c r="F106" s="308"/>
      <c r="G106" s="308"/>
      <c r="H106" s="309"/>
      <c r="I106" s="308" t="str">
        <f>IFERROR(I104/G104-1,"--")</f>
        <v>--</v>
      </c>
      <c r="J106" s="308" t="str">
        <f>IFERROR(J104/I104-1,"--")</f>
        <v>--</v>
      </c>
      <c r="K106" s="308" t="str">
        <f>IFERROR(K104/J104-1,"--")</f>
        <v>--</v>
      </c>
      <c r="L106" s="308" t="str">
        <f>IFERROR(L104/K104-1,"--")</f>
        <v>--</v>
      </c>
      <c r="M106" s="311"/>
      <c r="N106" s="308" t="str">
        <f>IFERROR(N104/L104-1,"--")</f>
        <v>--</v>
      </c>
      <c r="O106" s="308" t="str">
        <f>IFERROR(O104/N104-1,"--")</f>
        <v>--</v>
      </c>
      <c r="P106" s="308" t="str">
        <f>IFERROR(P104/O104-1,"--")</f>
        <v>--</v>
      </c>
      <c r="Q106" s="308" t="str">
        <f>IFERROR(Q104/P104-1,"--")</f>
        <v>--</v>
      </c>
      <c r="R106" s="311"/>
      <c r="S106" s="308" t="str">
        <f>IFERROR(S104/Q104-1,"--")</f>
        <v>--</v>
      </c>
      <c r="T106" s="308" t="str">
        <f>IFERROR(T104/S104-1,"--")</f>
        <v>--</v>
      </c>
      <c r="U106" s="308" t="str">
        <f>IFERROR(U104/T104-1,"--")</f>
        <v>--</v>
      </c>
      <c r="V106" s="308" t="str">
        <f>IFERROR(V104/U104-1,"--")</f>
        <v>--</v>
      </c>
      <c r="W106" s="311"/>
      <c r="X106" s="308" t="str">
        <f>IFERROR(X104/V104-1,"--")</f>
        <v>--</v>
      </c>
      <c r="Y106" s="308" t="str">
        <f>IFERROR(Y104/X104-1,"--")</f>
        <v>--</v>
      </c>
      <c r="Z106" s="308" t="str">
        <f>IFERROR(Z104/Y104-1,"--")</f>
        <v>--</v>
      </c>
      <c r="AA106" s="308" t="str">
        <f>IFERROR(AA104/Z104-1,"--")</f>
        <v>--</v>
      </c>
      <c r="AB106" s="311"/>
      <c r="AC106" s="308" t="str">
        <f>IFERROR(AC104/AA104-1,"--")</f>
        <v>--</v>
      </c>
      <c r="AD106" s="308" t="str">
        <f>IFERROR(AD104/AC104-1,"--")</f>
        <v>--</v>
      </c>
      <c r="AE106" s="308" t="str">
        <f>IFERROR(AE104/AD104-1,"--")</f>
        <v>--</v>
      </c>
      <c r="AF106" s="308">
        <f>IFERROR(AF104/AE104-1,"--")</f>
        <v>2.1028737976833072</v>
      </c>
      <c r="AG106" s="311"/>
      <c r="AH106" s="308">
        <f>IFERROR(AH104/AF104-1,"--")</f>
        <v>-1.0179304970281102</v>
      </c>
      <c r="AI106" s="308">
        <f>IFERROR(AI104/AH104-1,"--")</f>
        <v>-19.552436853232614</v>
      </c>
      <c r="AJ106" s="308">
        <f>IFERROR(AJ104/AI104-1,"--")</f>
        <v>-0.1315114338536818</v>
      </c>
      <c r="AK106" s="308">
        <f>IFERROR(AK104/AJ104-1,"--")</f>
        <v>5.8748133249311518</v>
      </c>
      <c r="AL106" s="311"/>
      <c r="AM106" s="308">
        <f>IFERROR(AM104/AK104-1,"--")</f>
        <v>-1.063217809163497</v>
      </c>
      <c r="AN106" s="308">
        <f>IFERROR(AN104/AM104-1,"--")</f>
        <v>-1.4798337921527962</v>
      </c>
      <c r="AO106" s="308">
        <f>IFERROR(AO104/AN104-1,"--")</f>
        <v>4.0248530507492637</v>
      </c>
      <c r="AP106" s="308">
        <f>IFERROR(AP104/AO104-1,"--")</f>
        <v>6.7092801407689402</v>
      </c>
      <c r="AQ106" s="311"/>
      <c r="AR106" s="308">
        <f>IFERROR(AR104/AP104-1,"--")</f>
        <v>-1.2416288981597776</v>
      </c>
      <c r="AS106" s="308">
        <f>IFERROR(AS104/AR104-1,"--")</f>
        <v>-0.67025466535647182</v>
      </c>
      <c r="AT106" s="308">
        <f>IFERROR(AT104/AS104-1,"--")</f>
        <v>-3.2131823387881968</v>
      </c>
      <c r="AU106" s="308">
        <f>IFERROR(AU104/AT104-1,"--")</f>
        <v>6.188555008289792</v>
      </c>
      <c r="AV106" s="311"/>
      <c r="AW106" s="308">
        <f>IFERROR(AW104/AU104-1,"--")</f>
        <v>-1.4435385256306184</v>
      </c>
      <c r="AX106" s="308">
        <f>IFERROR(AX104/AW104-1,"--")</f>
        <v>-0.66816102247691589</v>
      </c>
      <c r="AY106" s="308">
        <f>IFERROR(AY104/AX104-1,"--")</f>
        <v>-2.4498017177588052</v>
      </c>
      <c r="AZ106" s="308">
        <f>IFERROR(AZ104/AY104-1,"--")</f>
        <v>3.7930628266046345</v>
      </c>
      <c r="BA106" s="311"/>
      <c r="BB106" s="308">
        <f>IFERROR(BB104/AZ104-1,"--")</f>
        <v>-1.4457168148449135</v>
      </c>
      <c r="BC106" s="308">
        <f>IFERROR(BC104/BB104-1,"--")</f>
        <v>-0.84652990971259867</v>
      </c>
      <c r="BD106" s="308">
        <f>IFERROR(BD104/BC104-1,"--")</f>
        <v>-5.4041101667345348</v>
      </c>
      <c r="BE106" s="308">
        <f>IFERROR(BE104/BD104-1,"--")</f>
        <v>2.7569039460969691</v>
      </c>
      <c r="BF106" s="311"/>
      <c r="BG106" s="308">
        <f>IFERROR(BG104/BE104-1,"--")</f>
        <v>-1.3022629508879577</v>
      </c>
      <c r="BH106" s="308">
        <f>IFERROR(BH104/BG104-1,"--")</f>
        <v>-0.59591548019898244</v>
      </c>
      <c r="BI106" s="308">
        <f>IFERROR(BI104/BH104-1,"--")</f>
        <v>-1.883648773693801</v>
      </c>
      <c r="BJ106" s="308">
        <f>IFERROR(BJ104/BI104-1,"--")</f>
        <v>9.2122524769176053</v>
      </c>
      <c r="BK106" s="311"/>
      <c r="BL106" s="308" t="str">
        <f>IFERROR(BL104/BJ104-1,"--")</f>
        <v>--</v>
      </c>
      <c r="BM106" s="308" t="str">
        <f>IFERROR(BM104/BL104-1,"--")</f>
        <v>--</v>
      </c>
      <c r="BN106" s="308" t="str">
        <f>IFERROR(BN104/BM104-1,"--")</f>
        <v>--</v>
      </c>
      <c r="BO106" s="308" t="str">
        <f>IFERROR(BO104/BN104-1,"--")</f>
        <v>--</v>
      </c>
      <c r="BP106" s="311"/>
    </row>
    <row r="107" spans="1:68" s="310" customFormat="1" outlineLevel="1">
      <c r="A107" s="293"/>
      <c r="B107" s="324"/>
      <c r="C107" s="307"/>
      <c r="D107" s="325"/>
      <c r="E107" s="308"/>
      <c r="F107" s="308"/>
      <c r="G107" s="308"/>
      <c r="H107" s="311"/>
      <c r="I107" s="322"/>
      <c r="J107" s="322"/>
      <c r="K107" s="322"/>
      <c r="L107" s="322"/>
      <c r="M107" s="321"/>
      <c r="N107" s="322"/>
      <c r="O107" s="322"/>
      <c r="P107" s="322"/>
      <c r="Q107" s="322"/>
      <c r="R107" s="321"/>
      <c r="S107" s="322"/>
      <c r="T107" s="322"/>
      <c r="U107" s="322"/>
      <c r="V107" s="322"/>
      <c r="W107" s="321"/>
      <c r="X107" s="322"/>
      <c r="Y107" s="322"/>
      <c r="Z107" s="322"/>
      <c r="AA107" s="322"/>
      <c r="AB107" s="321"/>
      <c r="AC107" s="322"/>
      <c r="AD107" s="322"/>
      <c r="AE107" s="322"/>
      <c r="AF107" s="322"/>
      <c r="AG107" s="321"/>
      <c r="AH107" s="322"/>
      <c r="AI107" s="322"/>
      <c r="AJ107" s="322"/>
      <c r="AK107" s="322"/>
      <c r="AL107" s="321"/>
      <c r="AM107" s="322"/>
      <c r="AN107" s="322"/>
      <c r="AO107" s="322"/>
      <c r="AP107" s="322"/>
      <c r="AQ107" s="321"/>
      <c r="AR107" s="322"/>
      <c r="AS107" s="322"/>
      <c r="AT107" s="322"/>
      <c r="AU107" s="322"/>
      <c r="AV107" s="321"/>
      <c r="AW107" s="322"/>
      <c r="AX107" s="322"/>
      <c r="AY107" s="322"/>
      <c r="AZ107" s="322"/>
      <c r="BA107" s="321"/>
      <c r="BB107" s="322"/>
      <c r="BC107" s="322"/>
      <c r="BD107" s="322"/>
      <c r="BE107" s="322"/>
      <c r="BF107" s="321"/>
      <c r="BG107" s="322"/>
      <c r="BH107" s="322"/>
      <c r="BI107" s="322"/>
      <c r="BJ107" s="322"/>
      <c r="BK107" s="321"/>
      <c r="BL107" s="322"/>
      <c r="BM107" s="322"/>
      <c r="BN107" s="322"/>
      <c r="BO107" s="322"/>
      <c r="BP107" s="321"/>
    </row>
    <row r="108" spans="1:68" s="306" customFormat="1" outlineLevel="1">
      <c r="A108" s="283"/>
      <c r="B108" s="302" t="s">
        <v>210</v>
      </c>
      <c r="C108" s="303"/>
      <c r="D108" s="304"/>
      <c r="E108" s="304"/>
      <c r="F108" s="304"/>
      <c r="G108" s="304"/>
      <c r="H108" s="305"/>
      <c r="I108" s="304" t="str">
        <f>IFERROR(I116-I40,"--")</f>
        <v>--</v>
      </c>
      <c r="J108" s="304" t="str">
        <f>IFERROR(J116-J40,"--")</f>
        <v>--</v>
      </c>
      <c r="K108" s="304" t="str">
        <f>IFERROR(K116-K40,"--")</f>
        <v>--</v>
      </c>
      <c r="L108" s="304" t="str">
        <f>IFERROR(L116-L40,"--")</f>
        <v>--</v>
      </c>
      <c r="M108" s="305" t="str">
        <f>IFERROR(M116-M40,"--")</f>
        <v>--</v>
      </c>
      <c r="N108" s="304" t="str">
        <f t="shared" ref="N108:AB108" si="61">IFERROR(N116-N40,"--")</f>
        <v>--</v>
      </c>
      <c r="O108" s="304" t="str">
        <f t="shared" si="61"/>
        <v>--</v>
      </c>
      <c r="P108" s="304" t="str">
        <f t="shared" si="61"/>
        <v>--</v>
      </c>
      <c r="Q108" s="304" t="str">
        <f t="shared" si="61"/>
        <v>--</v>
      </c>
      <c r="R108" s="305" t="str">
        <f t="shared" si="61"/>
        <v>--</v>
      </c>
      <c r="S108" s="304" t="str">
        <f t="shared" si="61"/>
        <v>--</v>
      </c>
      <c r="T108" s="304" t="str">
        <f t="shared" si="61"/>
        <v>--</v>
      </c>
      <c r="U108" s="304" t="str">
        <f t="shared" si="61"/>
        <v>--</v>
      </c>
      <c r="V108" s="304" t="str">
        <f t="shared" si="61"/>
        <v>--</v>
      </c>
      <c r="W108" s="305" t="str">
        <f t="shared" si="61"/>
        <v>--</v>
      </c>
      <c r="X108" s="304" t="str">
        <f t="shared" si="61"/>
        <v>--</v>
      </c>
      <c r="Y108" s="304" t="str">
        <f t="shared" si="61"/>
        <v>--</v>
      </c>
      <c r="Z108" s="304" t="str">
        <f t="shared" si="61"/>
        <v>--</v>
      </c>
      <c r="AA108" s="304" t="str">
        <f t="shared" si="61"/>
        <v>--</v>
      </c>
      <c r="AB108" s="305" t="str">
        <f t="shared" si="61"/>
        <v>--</v>
      </c>
      <c r="AC108" s="304" t="str">
        <f>IFERROR(AC116-AC40,"--")</f>
        <v>--</v>
      </c>
      <c r="AD108" s="304">
        <f>IFERROR(AD116-AD40,"--")</f>
        <v>49.48657</v>
      </c>
      <c r="AE108" s="304">
        <f>IFERROR(AE116-AE40,"--")</f>
        <v>64.975999999999999</v>
      </c>
      <c r="AF108" s="304">
        <f>IFERROR(AF116-AF40,"--")</f>
        <v>201.23499999999999</v>
      </c>
      <c r="AG108" s="305">
        <f>IFERROR(AG116-AG40,"--")</f>
        <v>312.851</v>
      </c>
      <c r="AH108" s="304">
        <f t="shared" ref="AH108:BK108" si="62">IFERROR(AH116-AH40,"--")</f>
        <v>-4.0739999999999839</v>
      </c>
      <c r="AI108" s="304">
        <f t="shared" si="62"/>
        <v>70.04200000000003</v>
      </c>
      <c r="AJ108" s="304">
        <f t="shared" si="62"/>
        <v>58.059000000000026</v>
      </c>
      <c r="AK108" s="304">
        <f t="shared" si="62"/>
        <v>402.21900000000005</v>
      </c>
      <c r="AL108" s="305">
        <f t="shared" si="62"/>
        <v>526.18260000000009</v>
      </c>
      <c r="AM108" s="304">
        <f t="shared" si="62"/>
        <v>-29.314149999999984</v>
      </c>
      <c r="AN108" s="304">
        <f t="shared" si="62"/>
        <v>5.2858400000000074</v>
      </c>
      <c r="AO108" s="304">
        <f t="shared" si="62"/>
        <v>47.060560000000009</v>
      </c>
      <c r="AP108" s="304">
        <f t="shared" si="62"/>
        <v>473.41010000000006</v>
      </c>
      <c r="AQ108" s="305">
        <f t="shared" si="62"/>
        <v>494.66669999999976</v>
      </c>
      <c r="AR108" s="304">
        <f t="shared" si="62"/>
        <v>-110.29900000000009</v>
      </c>
      <c r="AS108" s="304">
        <f t="shared" si="62"/>
        <v>-39.022299999999973</v>
      </c>
      <c r="AT108" s="304">
        <f t="shared" si="62"/>
        <v>82.121999999999957</v>
      </c>
      <c r="AU108" s="304">
        <f t="shared" si="62"/>
        <v>595.40719999999999</v>
      </c>
      <c r="AV108" s="305">
        <f t="shared" si="62"/>
        <v>528.20269999999982</v>
      </c>
      <c r="AW108" s="304">
        <f t="shared" si="62"/>
        <v>-262.80449999999996</v>
      </c>
      <c r="AX108" s="304">
        <f t="shared" si="62"/>
        <v>-89.716549999999984</v>
      </c>
      <c r="AY108" s="304">
        <f t="shared" si="62"/>
        <v>126.16949999999997</v>
      </c>
      <c r="AZ108" s="304">
        <f t="shared" si="62"/>
        <v>608.58030000000008</v>
      </c>
      <c r="BA108" s="305">
        <f t="shared" si="62"/>
        <v>382.45749999999998</v>
      </c>
      <c r="BB108" s="304">
        <f t="shared" si="62"/>
        <v>-271.9894700000001</v>
      </c>
      <c r="BC108" s="304">
        <f t="shared" si="62"/>
        <v>-43.616999999999962</v>
      </c>
      <c r="BD108" s="304">
        <f t="shared" si="62"/>
        <v>154.96199999999999</v>
      </c>
      <c r="BE108" s="304">
        <f t="shared" si="62"/>
        <v>769.91039999999998</v>
      </c>
      <c r="BF108" s="305">
        <f t="shared" si="62"/>
        <v>606.59400000000005</v>
      </c>
      <c r="BG108" s="304">
        <f t="shared" si="62"/>
        <v>-324.22280000000001</v>
      </c>
      <c r="BH108" s="304">
        <f t="shared" si="62"/>
        <v>-71.308500000000095</v>
      </c>
      <c r="BI108" s="304">
        <f t="shared" si="62"/>
        <v>190.42060000000015</v>
      </c>
      <c r="BJ108" s="304">
        <f t="shared" si="62"/>
        <v>920.7315000000001</v>
      </c>
      <c r="BK108" s="305">
        <f t="shared" si="62"/>
        <v>714.1269999999995</v>
      </c>
      <c r="BL108" s="304">
        <f>IFERROR(BL116-BL40,"--")</f>
        <v>-529.52099999999996</v>
      </c>
      <c r="BM108" s="304">
        <f>IFERROR(BM116-BM40,"--")</f>
        <v>-156.88189999999986</v>
      </c>
      <c r="BN108" s="304">
        <f>IFERROR(BN116-BN40,"--")</f>
        <v>150.0327000000002</v>
      </c>
      <c r="BO108" s="304">
        <f>IFERROR(BO116-BO40,"--")</f>
        <v>1017.8356999999999</v>
      </c>
      <c r="BP108" s="305">
        <f>IFERROR(BP116-BP40,"--")</f>
        <v>560.44799999999941</v>
      </c>
    </row>
    <row r="109" spans="1:68" s="12" customFormat="1" outlineLevel="1">
      <c r="A109" s="293"/>
      <c r="B109" s="307" t="s">
        <v>204</v>
      </c>
      <c r="C109" s="312"/>
      <c r="D109" s="323"/>
      <c r="E109" s="323"/>
      <c r="F109" s="323"/>
      <c r="G109" s="323"/>
      <c r="H109" s="309"/>
      <c r="I109" s="308" t="str">
        <f t="shared" ref="I109:AN109" si="63">IFERROR(I108/D108-1,"--")</f>
        <v>--</v>
      </c>
      <c r="J109" s="308" t="str">
        <f t="shared" si="63"/>
        <v>--</v>
      </c>
      <c r="K109" s="308" t="str">
        <f t="shared" si="63"/>
        <v>--</v>
      </c>
      <c r="L109" s="308" t="str">
        <f t="shared" si="63"/>
        <v>--</v>
      </c>
      <c r="M109" s="309" t="str">
        <f t="shared" si="63"/>
        <v>--</v>
      </c>
      <c r="N109" s="308" t="str">
        <f t="shared" si="63"/>
        <v>--</v>
      </c>
      <c r="O109" s="308" t="str">
        <f t="shared" si="63"/>
        <v>--</v>
      </c>
      <c r="P109" s="308" t="str">
        <f t="shared" si="63"/>
        <v>--</v>
      </c>
      <c r="Q109" s="308" t="str">
        <f t="shared" si="63"/>
        <v>--</v>
      </c>
      <c r="R109" s="309" t="str">
        <f t="shared" si="63"/>
        <v>--</v>
      </c>
      <c r="S109" s="308" t="str">
        <f t="shared" si="63"/>
        <v>--</v>
      </c>
      <c r="T109" s="308" t="str">
        <f t="shared" si="63"/>
        <v>--</v>
      </c>
      <c r="U109" s="308" t="str">
        <f t="shared" si="63"/>
        <v>--</v>
      </c>
      <c r="V109" s="308" t="str">
        <f t="shared" si="63"/>
        <v>--</v>
      </c>
      <c r="W109" s="309" t="str">
        <f t="shared" si="63"/>
        <v>--</v>
      </c>
      <c r="X109" s="308" t="str">
        <f t="shared" si="63"/>
        <v>--</v>
      </c>
      <c r="Y109" s="308" t="str">
        <f t="shared" si="63"/>
        <v>--</v>
      </c>
      <c r="Z109" s="308" t="str">
        <f t="shared" si="63"/>
        <v>--</v>
      </c>
      <c r="AA109" s="308" t="str">
        <f t="shared" si="63"/>
        <v>--</v>
      </c>
      <c r="AB109" s="309" t="str">
        <f t="shared" si="63"/>
        <v>--</v>
      </c>
      <c r="AC109" s="308" t="str">
        <f t="shared" si="63"/>
        <v>--</v>
      </c>
      <c r="AD109" s="308" t="str">
        <f t="shared" si="63"/>
        <v>--</v>
      </c>
      <c r="AE109" s="308" t="str">
        <f t="shared" si="63"/>
        <v>--</v>
      </c>
      <c r="AF109" s="308" t="str">
        <f t="shared" si="63"/>
        <v>--</v>
      </c>
      <c r="AG109" s="309" t="str">
        <f t="shared" si="63"/>
        <v>--</v>
      </c>
      <c r="AH109" s="308" t="str">
        <f t="shared" si="63"/>
        <v>--</v>
      </c>
      <c r="AI109" s="308">
        <f t="shared" si="63"/>
        <v>0.41537390851699829</v>
      </c>
      <c r="AJ109" s="308">
        <f t="shared" si="63"/>
        <v>-0.10645469096281668</v>
      </c>
      <c r="AK109" s="308">
        <f t="shared" si="63"/>
        <v>0.99875270206475064</v>
      </c>
      <c r="AL109" s="309">
        <f t="shared" si="63"/>
        <v>0.68189521529418196</v>
      </c>
      <c r="AM109" s="308">
        <f t="shared" si="63"/>
        <v>6.1954221894943791</v>
      </c>
      <c r="AN109" s="308">
        <f t="shared" si="63"/>
        <v>-0.92453328003198076</v>
      </c>
      <c r="AO109" s="308">
        <f t="shared" ref="AO109:BP109" si="64">IFERROR(AO108/AJ108-1,"--")</f>
        <v>-0.18943557415732293</v>
      </c>
      <c r="AP109" s="308">
        <f t="shared" si="64"/>
        <v>0.17699586543649115</v>
      </c>
      <c r="AQ109" s="309">
        <f t="shared" si="64"/>
        <v>-5.989536712160437E-2</v>
      </c>
      <c r="AR109" s="308">
        <f t="shared" si="64"/>
        <v>2.762653871935572</v>
      </c>
      <c r="AS109" s="308">
        <f t="shared" si="64"/>
        <v>-8.3824217153754024</v>
      </c>
      <c r="AT109" s="308">
        <f t="shared" si="64"/>
        <v>0.74502810846279655</v>
      </c>
      <c r="AU109" s="308">
        <f t="shared" si="64"/>
        <v>0.2576985577620754</v>
      </c>
      <c r="AV109" s="309">
        <f t="shared" si="64"/>
        <v>6.7795143679572734E-2</v>
      </c>
      <c r="AW109" s="308">
        <f t="shared" si="64"/>
        <v>1.3826553277908209</v>
      </c>
      <c r="AX109" s="308">
        <f t="shared" si="64"/>
        <v>1.2991097398154401</v>
      </c>
      <c r="AY109" s="308">
        <f t="shared" si="64"/>
        <v>0.53636662526485024</v>
      </c>
      <c r="AZ109" s="308">
        <f t="shared" si="64"/>
        <v>2.2124522511652644E-2</v>
      </c>
      <c r="BA109" s="309">
        <f t="shared" si="64"/>
        <v>-0.27592664709968329</v>
      </c>
      <c r="BB109" s="308">
        <f t="shared" si="64"/>
        <v>3.4949820113430841E-2</v>
      </c>
      <c r="BC109" s="308">
        <f t="shared" si="64"/>
        <v>-0.51383551864176713</v>
      </c>
      <c r="BD109" s="308">
        <f t="shared" si="64"/>
        <v>0.22820491481697269</v>
      </c>
      <c r="BE109" s="308">
        <f t="shared" si="64"/>
        <v>0.26509254407347704</v>
      </c>
      <c r="BF109" s="309">
        <f t="shared" si="64"/>
        <v>0.58604289365485074</v>
      </c>
      <c r="BG109" s="308">
        <f t="shared" si="64"/>
        <v>0.19204173602750085</v>
      </c>
      <c r="BH109" s="308">
        <f t="shared" si="64"/>
        <v>0.63487860237980964</v>
      </c>
      <c r="BI109" s="308">
        <f t="shared" si="64"/>
        <v>0.22882125940553277</v>
      </c>
      <c r="BJ109" s="308">
        <f t="shared" si="64"/>
        <v>0.1958943534208657</v>
      </c>
      <c r="BK109" s="309">
        <f t="shared" si="64"/>
        <v>0.17727343165280152</v>
      </c>
      <c r="BL109" s="308">
        <f t="shared" si="64"/>
        <v>0.6332009963518912</v>
      </c>
      <c r="BM109" s="308">
        <f t="shared" si="64"/>
        <v>1.2000448754356023</v>
      </c>
      <c r="BN109" s="308">
        <f t="shared" si="64"/>
        <v>-0.21209837591100922</v>
      </c>
      <c r="BO109" s="308">
        <f t="shared" si="64"/>
        <v>0.10546418798531354</v>
      </c>
      <c r="BP109" s="309">
        <f t="shared" si="64"/>
        <v>-0.21519841708827725</v>
      </c>
    </row>
    <row r="110" spans="1:68" s="12" customFormat="1" outlineLevel="1">
      <c r="A110" s="293"/>
      <c r="B110" s="307" t="s">
        <v>205</v>
      </c>
      <c r="C110" s="312"/>
      <c r="D110" s="323"/>
      <c r="E110" s="308"/>
      <c r="F110" s="308"/>
      <c r="G110" s="308"/>
      <c r="H110" s="309"/>
      <c r="I110" s="308" t="str">
        <f>IFERROR(I108/G108-1,"--")</f>
        <v>--</v>
      </c>
      <c r="J110" s="308" t="str">
        <f>IFERROR(J108/I108-1,"--")</f>
        <v>--</v>
      </c>
      <c r="K110" s="308" t="str">
        <f>IFERROR(K108/J108-1,"--")</f>
        <v>--</v>
      </c>
      <c r="L110" s="308" t="str">
        <f>IFERROR(L108/K108-1,"--")</f>
        <v>--</v>
      </c>
      <c r="M110" s="311"/>
      <c r="N110" s="308" t="str">
        <f>IFERROR(N108/L108-1,"--")</f>
        <v>--</v>
      </c>
      <c r="O110" s="308" t="str">
        <f>IFERROR(O108/N108-1,"--")</f>
        <v>--</v>
      </c>
      <c r="P110" s="308" t="str">
        <f>IFERROR(P108/O108-1,"--")</f>
        <v>--</v>
      </c>
      <c r="Q110" s="308" t="str">
        <f>IFERROR(Q108/P108-1,"--")</f>
        <v>--</v>
      </c>
      <c r="R110" s="311"/>
      <c r="S110" s="308" t="str">
        <f>IFERROR(S108/Q108-1,"--")</f>
        <v>--</v>
      </c>
      <c r="T110" s="308" t="str">
        <f>IFERROR(T108/S108-1,"--")</f>
        <v>--</v>
      </c>
      <c r="U110" s="308" t="str">
        <f>IFERROR(U108/T108-1,"--")</f>
        <v>--</v>
      </c>
      <c r="V110" s="308" t="str">
        <f>IFERROR(V108/U108-1,"--")</f>
        <v>--</v>
      </c>
      <c r="W110" s="311"/>
      <c r="X110" s="308" t="str">
        <f>IFERROR(X108/V108-1,"--")</f>
        <v>--</v>
      </c>
      <c r="Y110" s="308" t="str">
        <f>IFERROR(Y108/X108-1,"--")</f>
        <v>--</v>
      </c>
      <c r="Z110" s="308" t="str">
        <f>IFERROR(Z108/Y108-1,"--")</f>
        <v>--</v>
      </c>
      <c r="AA110" s="308" t="str">
        <f>IFERROR(AA108/Z108-1,"--")</f>
        <v>--</v>
      </c>
      <c r="AB110" s="311"/>
      <c r="AC110" s="308" t="str">
        <f>IFERROR(AC108/AA108-1,"--")</f>
        <v>--</v>
      </c>
      <c r="AD110" s="308" t="str">
        <f>IFERROR(AD108/AC108-1,"--")</f>
        <v>--</v>
      </c>
      <c r="AE110" s="308">
        <f>IFERROR(AE108/AD108-1,"--")</f>
        <v>0.31300269952029414</v>
      </c>
      <c r="AF110" s="308">
        <f>IFERROR(AF108/AE108-1,"--")</f>
        <v>2.0970666092095542</v>
      </c>
      <c r="AG110" s="311"/>
      <c r="AH110" s="308">
        <f>IFERROR(AH108/AF108-1,"--")</f>
        <v>-1.0202449872040151</v>
      </c>
      <c r="AI110" s="308">
        <f>IFERROR(AI108/AH108-1,"--")</f>
        <v>-18.192439862543029</v>
      </c>
      <c r="AJ110" s="308">
        <f>IFERROR(AJ108/AI108-1,"--")</f>
        <v>-0.17108306444704602</v>
      </c>
      <c r="AK110" s="308">
        <f>IFERROR(AK108/AJ108-1,"--")</f>
        <v>5.9277631374980597</v>
      </c>
      <c r="AL110" s="311"/>
      <c r="AM110" s="308">
        <f>IFERROR(AM108/AK108-1,"--")</f>
        <v>-1.0728810672792681</v>
      </c>
      <c r="AN110" s="308">
        <f>IFERROR(AN108/AM108-1,"--")</f>
        <v>-1.1803170141382238</v>
      </c>
      <c r="AO110" s="308">
        <f>IFERROR(AO108/AN108-1,"--")</f>
        <v>7.9031374388933351</v>
      </c>
      <c r="AP110" s="308">
        <f>IFERROR(AP108/AO108-1,"--")</f>
        <v>9.0595934260025803</v>
      </c>
      <c r="AQ110" s="311"/>
      <c r="AR110" s="308">
        <f>IFERROR(AR108/AP108-1,"--")</f>
        <v>-1.2329882695785326</v>
      </c>
      <c r="AS110" s="308">
        <f>IFERROR(AS108/AR108-1,"--")</f>
        <v>-0.64621347428353892</v>
      </c>
      <c r="AT110" s="308">
        <f>IFERROR(AT108/AS108-1,"--")</f>
        <v>-3.1044889716905466</v>
      </c>
      <c r="AU110" s="308">
        <f>IFERROR(AU108/AT108-1,"--")</f>
        <v>6.2502764180122297</v>
      </c>
      <c r="AV110" s="311"/>
      <c r="AW110" s="308">
        <f>IFERROR(AW108/AU108-1,"--")</f>
        <v>-1.4413861639563645</v>
      </c>
      <c r="AX110" s="308">
        <f>IFERROR(AX108/AW108-1,"--")</f>
        <v>-0.65861866901061439</v>
      </c>
      <c r="AY110" s="308">
        <f>IFERROR(AY108/AX108-1,"--")</f>
        <v>-2.4063124362227484</v>
      </c>
      <c r="AZ110" s="308">
        <f>IFERROR(AZ108/AY108-1,"--")</f>
        <v>3.823513606695756</v>
      </c>
      <c r="BA110" s="311"/>
      <c r="BB110" s="308">
        <f>IFERROR(BB108/AZ108-1,"--")</f>
        <v>-1.4469245389638805</v>
      </c>
      <c r="BC110" s="308">
        <f>IFERROR(BC108/BB108-1,"--")</f>
        <v>-0.83963717418913331</v>
      </c>
      <c r="BD110" s="308">
        <f>IFERROR(BD108/BC108-1,"--")</f>
        <v>-4.5527890501410031</v>
      </c>
      <c r="BE110" s="308">
        <f>IFERROR(BE108/BD108-1,"--")</f>
        <v>3.9683819258915092</v>
      </c>
      <c r="BF110" s="311"/>
      <c r="BG110" s="308">
        <f>IFERROR(BG108/BE108-1,"--")</f>
        <v>-1.4211175742008422</v>
      </c>
      <c r="BH110" s="308">
        <f>IFERROR(BH108/BG108-1,"--")</f>
        <v>-0.78006327747462523</v>
      </c>
      <c r="BI110" s="308">
        <f>IFERROR(BI108/BH108-1,"--")</f>
        <v>-3.67037730424844</v>
      </c>
      <c r="BJ110" s="308">
        <f>IFERROR(BJ108/BI108-1,"--")</f>
        <v>3.8352515431628689</v>
      </c>
      <c r="BK110" s="311"/>
      <c r="BL110" s="308">
        <f>IFERROR(BL108/BJ108-1,"--")</f>
        <v>-1.5751090301570001</v>
      </c>
      <c r="BM110" s="308">
        <f>IFERROR(BM108/BL108-1,"--")</f>
        <v>-0.70372865287684561</v>
      </c>
      <c r="BN110" s="308">
        <f>IFERROR(BN108/BM108-1,"--")</f>
        <v>-1.9563416812264534</v>
      </c>
      <c r="BO110" s="308">
        <f>IFERROR(BO108/BN108-1,"--")</f>
        <v>5.7840924011898638</v>
      </c>
      <c r="BP110" s="311"/>
    </row>
    <row r="111" spans="1:68" s="12" customFormat="1" outlineLevel="1">
      <c r="A111" s="293"/>
      <c r="B111" s="326"/>
      <c r="C111" s="312"/>
      <c r="D111" s="325"/>
      <c r="E111" s="308"/>
      <c r="F111" s="308"/>
      <c r="G111" s="308"/>
      <c r="H111" s="327"/>
      <c r="I111" s="308"/>
      <c r="J111" s="308"/>
      <c r="K111" s="308"/>
      <c r="L111" s="308"/>
      <c r="M111" s="311"/>
      <c r="N111" s="308"/>
      <c r="O111" s="308"/>
      <c r="P111" s="308"/>
      <c r="Q111" s="308"/>
      <c r="R111" s="311"/>
      <c r="S111" s="308"/>
      <c r="T111" s="308"/>
      <c r="U111" s="308"/>
      <c r="V111" s="308"/>
      <c r="W111" s="311"/>
      <c r="X111" s="308"/>
      <c r="Y111" s="308"/>
      <c r="Z111" s="308"/>
      <c r="AA111" s="308"/>
      <c r="AB111" s="311"/>
      <c r="AC111" s="308"/>
      <c r="AD111" s="308"/>
      <c r="AE111" s="308"/>
      <c r="AF111" s="308"/>
      <c r="AG111" s="311"/>
      <c r="AH111" s="308"/>
      <c r="AI111" s="308"/>
      <c r="AJ111" s="308"/>
      <c r="AK111" s="308"/>
      <c r="AL111" s="311"/>
      <c r="AM111" s="308"/>
      <c r="AN111" s="308"/>
      <c r="AO111" s="308"/>
      <c r="AP111" s="308"/>
      <c r="AQ111" s="311"/>
      <c r="AR111" s="308"/>
      <c r="AS111" s="308"/>
      <c r="AT111" s="308"/>
      <c r="AU111" s="308"/>
      <c r="AV111" s="311"/>
      <c r="AW111" s="308"/>
      <c r="AX111" s="308"/>
      <c r="AY111" s="308"/>
      <c r="AZ111" s="308"/>
      <c r="BA111" s="311"/>
      <c r="BB111" s="308"/>
      <c r="BC111" s="308"/>
      <c r="BD111" s="308"/>
      <c r="BE111" s="308"/>
      <c r="BF111" s="311"/>
      <c r="BG111" s="308"/>
      <c r="BH111" s="308"/>
      <c r="BI111" s="308"/>
      <c r="BJ111" s="308"/>
      <c r="BK111" s="311"/>
      <c r="BL111" s="308"/>
      <c r="BM111" s="308"/>
      <c r="BN111" s="308"/>
      <c r="BO111" s="308"/>
      <c r="BP111" s="311"/>
    </row>
    <row r="112" spans="1:68" s="306" customFormat="1" outlineLevel="1">
      <c r="A112" s="283"/>
      <c r="B112" s="302" t="s">
        <v>211</v>
      </c>
      <c r="C112" s="303"/>
      <c r="D112" s="304"/>
      <c r="E112" s="304"/>
      <c r="F112" s="304"/>
      <c r="G112" s="304"/>
      <c r="H112" s="305"/>
      <c r="I112" s="304" t="str">
        <f>IFERROR(I99-G99,"--")</f>
        <v>--</v>
      </c>
      <c r="J112" s="304" t="str">
        <f>IFERROR(J99-I99,"--")</f>
        <v>--</v>
      </c>
      <c r="K112" s="304" t="str">
        <f>IFERROR(K99-J99,"--")</f>
        <v>--</v>
      </c>
      <c r="L112" s="304" t="str">
        <f>IFERROR(L99-K99,"--")</f>
        <v>--</v>
      </c>
      <c r="M112" s="305" t="str">
        <f>IFERROR(M99-H99,"--")</f>
        <v>--</v>
      </c>
      <c r="N112" s="304" t="str">
        <f>IFERROR(N99-L99,"--")</f>
        <v>--</v>
      </c>
      <c r="O112" s="304" t="str">
        <f>IFERROR(O99-N99,"--")</f>
        <v>--</v>
      </c>
      <c r="P112" s="304" t="str">
        <f>IFERROR(P99-O99,"--")</f>
        <v>--</v>
      </c>
      <c r="Q112" s="304" t="str">
        <f>IFERROR(Q99-P99,"--")</f>
        <v>--</v>
      </c>
      <c r="R112" s="305" t="str">
        <f>IFERROR(R99-M99,"--")</f>
        <v>--</v>
      </c>
      <c r="S112" s="304" t="str">
        <f>IFERROR(S99-Q99,"--")</f>
        <v>--</v>
      </c>
      <c r="T112" s="304" t="str">
        <f>IFERROR(T99-S99,"--")</f>
        <v>--</v>
      </c>
      <c r="U112" s="304" t="str">
        <f>IFERROR(U99-T99,"--")</f>
        <v>--</v>
      </c>
      <c r="V112" s="304" t="str">
        <f>IFERROR(V99-U99,"--")</f>
        <v>--</v>
      </c>
      <c r="W112" s="305" t="str">
        <f>IFERROR(W99-R99,"--")</f>
        <v>--</v>
      </c>
      <c r="X112" s="304" t="str">
        <f>IFERROR(X99-V99,"--")</f>
        <v>--</v>
      </c>
      <c r="Y112" s="304" t="str">
        <f>IFERROR(Y99-X99,"--")</f>
        <v>--</v>
      </c>
      <c r="Z112" s="304" t="str">
        <f>IFERROR(Z99-Y99,"--")</f>
        <v>--</v>
      </c>
      <c r="AA112" s="304" t="str">
        <f>IFERROR(AA99-Z99,"--")</f>
        <v>--</v>
      </c>
      <c r="AB112" s="305" t="str">
        <f>IFERROR(AB99-W99,"--")</f>
        <v>--</v>
      </c>
      <c r="AC112" s="304" t="str">
        <f>IFERROR(AC99-AA99,"--")</f>
        <v>--</v>
      </c>
      <c r="AD112" s="304" t="str">
        <f>IFERROR(AD99-AC99,"--")</f>
        <v>--</v>
      </c>
      <c r="AE112" s="304">
        <f>IFERROR(AE99-AD99,"--")</f>
        <v>64.994230000000016</v>
      </c>
      <c r="AF112" s="304">
        <f>IFERROR(AF99-AE99,"--")</f>
        <v>201.1628</v>
      </c>
      <c r="AG112" s="305" t="str">
        <f>IFERROR(AG99-AB99,"--")</f>
        <v>--</v>
      </c>
      <c r="AH112" s="304">
        <f>IFERROR(AH99-AF99,"--")</f>
        <v>-4.1077000000000226</v>
      </c>
      <c r="AI112" s="304">
        <f>IFERROR(AI99-AH99,"--")</f>
        <v>68.953660000000013</v>
      </c>
      <c r="AJ112" s="304">
        <f>IFERROR(AJ99-AI99,"--")</f>
        <v>59.145539999999983</v>
      </c>
      <c r="AK112" s="304">
        <f>IFERROR(AK99-AJ99,"--")</f>
        <v>402.22579999999994</v>
      </c>
      <c r="AL112" s="305">
        <f>IFERROR(AL99-AG99,"--")</f>
        <v>487.10260000000005</v>
      </c>
      <c r="AM112" s="304">
        <f>IFERROR(AM99-AK99,"--")</f>
        <v>-25.98479999999995</v>
      </c>
      <c r="AN112" s="304">
        <f>IFERROR(AN99-AM99,"--")</f>
        <v>10.530899999999974</v>
      </c>
      <c r="AO112" s="304">
        <f>IFERROR(AO99-AN99,"--")</f>
        <v>60.223100000000159</v>
      </c>
      <c r="AP112" s="304">
        <f>IFERROR(AP99-AO99,"--")</f>
        <v>470.99649999999997</v>
      </c>
      <c r="AQ112" s="305">
        <f>IFERROR(AQ99-AL99,"--")</f>
        <v>596.1259</v>
      </c>
      <c r="AR112" s="304">
        <f>IFERROR(AR99-AP99,"--")</f>
        <v>-110.30200000000013</v>
      </c>
      <c r="AS112" s="304">
        <f>IFERROR(AS99-AR99,"--")</f>
        <v>-39.013099999999895</v>
      </c>
      <c r="AT112" s="304">
        <f>IFERROR(AT99-AS99,"--")</f>
        <v>82.1570999999999</v>
      </c>
      <c r="AU112" s="304">
        <f>IFERROR(AU99-AT99,"--")</f>
        <v>595.40580000000023</v>
      </c>
      <c r="AV112" s="305">
        <f>IFERROR(AV99-AQ99,"--")</f>
        <v>528.2478000000001</v>
      </c>
      <c r="AW112" s="304">
        <f>IFERROR(AW99-AU99,"--")</f>
        <v>-262.7302000000002</v>
      </c>
      <c r="AX112" s="304">
        <f>IFERROR(AX99-AW99,"--")</f>
        <v>-89.731700000000046</v>
      </c>
      <c r="AY112" s="304">
        <f>IFERROR(AY99-AX99,"--")</f>
        <v>146.2804000000001</v>
      </c>
      <c r="AZ112" s="304">
        <f>IFERROR(AZ99-AY99,"--")</f>
        <v>588.67320000000018</v>
      </c>
      <c r="BA112" s="305">
        <f>IFERROR(BA99-AV99,"--")</f>
        <v>382.52999999999975</v>
      </c>
      <c r="BB112" s="304">
        <f>IFERROR(BB99-AZ99,"--")</f>
        <v>-272.04150000000027</v>
      </c>
      <c r="BC112" s="304">
        <f>IFERROR(BC99-BB99,"--")</f>
        <v>-43.629699999999957</v>
      </c>
      <c r="BD112" s="304">
        <f>IFERROR(BD99-BC99,"--")</f>
        <v>181.49699999999984</v>
      </c>
      <c r="BE112" s="304">
        <f>IFERROR(BE99-BD99,"--")</f>
        <v>718.8426000000004</v>
      </c>
      <c r="BF112" s="305">
        <f>IFERROR(BF99-BA99,"--")</f>
        <v>518.69509999999991</v>
      </c>
      <c r="BG112" s="304">
        <f>IFERROR(BG99-BE99,"--")</f>
        <v>-250.99950000000035</v>
      </c>
      <c r="BH112" s="304">
        <f>IFERROR(BH99-BG99,"--")</f>
        <v>-79.61889999999994</v>
      </c>
      <c r="BI112" s="304">
        <f>IFERROR(BI99-BH99,"--")</f>
        <v>121.35449999999992</v>
      </c>
      <c r="BJ112" s="304">
        <f>IFERROR(BJ99-BI99,"--")</f>
        <v>831.45749999999998</v>
      </c>
      <c r="BK112" s="305">
        <f>IFERROR(BK99-BF99,"--")</f>
        <v>588.25970000000007</v>
      </c>
      <c r="BL112" s="304">
        <f>IFERROR(BL99-BJ99,"--")</f>
        <v>-205.94819999999982</v>
      </c>
      <c r="BM112" s="304">
        <f>IFERROR(BM99-BL99,"--")</f>
        <v>-71.699999999999818</v>
      </c>
      <c r="BN112" s="304">
        <f>IFERROR(BN99-BM99,"--")</f>
        <v>211.39999999999964</v>
      </c>
      <c r="BO112" s="304">
        <f>IFERROR(BO99-BN99,"--")</f>
        <v>1046.1999999999998</v>
      </c>
      <c r="BP112" s="305">
        <f>IFERROR(BP99-BK99,"--")</f>
        <v>1031.5607000000005</v>
      </c>
    </row>
    <row r="113" spans="1:68" outlineLevel="1">
      <c r="B113" s="307" t="s">
        <v>204</v>
      </c>
      <c r="D113" s="323"/>
      <c r="E113" s="323"/>
      <c r="F113" s="323"/>
      <c r="G113" s="323"/>
      <c r="H113" s="309"/>
      <c r="I113" s="308" t="str">
        <f t="shared" ref="I113:AN113" si="65">IFERROR(I112/D112-1,"--")</f>
        <v>--</v>
      </c>
      <c r="J113" s="308" t="str">
        <f t="shared" si="65"/>
        <v>--</v>
      </c>
      <c r="K113" s="308" t="str">
        <f t="shared" si="65"/>
        <v>--</v>
      </c>
      <c r="L113" s="308" t="str">
        <f t="shared" si="65"/>
        <v>--</v>
      </c>
      <c r="M113" s="309" t="str">
        <f t="shared" si="65"/>
        <v>--</v>
      </c>
      <c r="N113" s="308" t="str">
        <f t="shared" si="65"/>
        <v>--</v>
      </c>
      <c r="O113" s="308" t="str">
        <f t="shared" si="65"/>
        <v>--</v>
      </c>
      <c r="P113" s="308" t="str">
        <f t="shared" si="65"/>
        <v>--</v>
      </c>
      <c r="Q113" s="308" t="str">
        <f t="shared" si="65"/>
        <v>--</v>
      </c>
      <c r="R113" s="309" t="str">
        <f t="shared" si="65"/>
        <v>--</v>
      </c>
      <c r="S113" s="308" t="str">
        <f t="shared" si="65"/>
        <v>--</v>
      </c>
      <c r="T113" s="308" t="str">
        <f t="shared" si="65"/>
        <v>--</v>
      </c>
      <c r="U113" s="308" t="str">
        <f t="shared" si="65"/>
        <v>--</v>
      </c>
      <c r="V113" s="308" t="str">
        <f t="shared" si="65"/>
        <v>--</v>
      </c>
      <c r="W113" s="309" t="str">
        <f t="shared" si="65"/>
        <v>--</v>
      </c>
      <c r="X113" s="308" t="str">
        <f t="shared" si="65"/>
        <v>--</v>
      </c>
      <c r="Y113" s="308" t="str">
        <f t="shared" si="65"/>
        <v>--</v>
      </c>
      <c r="Z113" s="308" t="str">
        <f t="shared" si="65"/>
        <v>--</v>
      </c>
      <c r="AA113" s="308" t="str">
        <f t="shared" si="65"/>
        <v>--</v>
      </c>
      <c r="AB113" s="309" t="str">
        <f t="shared" si="65"/>
        <v>--</v>
      </c>
      <c r="AC113" s="308" t="str">
        <f t="shared" si="65"/>
        <v>--</v>
      </c>
      <c r="AD113" s="308" t="str">
        <f t="shared" si="65"/>
        <v>--</v>
      </c>
      <c r="AE113" s="308" t="str">
        <f t="shared" si="65"/>
        <v>--</v>
      </c>
      <c r="AF113" s="308" t="str">
        <f t="shared" si="65"/>
        <v>--</v>
      </c>
      <c r="AG113" s="309" t="str">
        <f t="shared" si="65"/>
        <v>--</v>
      </c>
      <c r="AH113" s="308" t="str">
        <f t="shared" si="65"/>
        <v>--</v>
      </c>
      <c r="AI113" s="308" t="str">
        <f t="shared" si="65"/>
        <v>--</v>
      </c>
      <c r="AJ113" s="308">
        <f t="shared" si="65"/>
        <v>-8.9987834304676495E-2</v>
      </c>
      <c r="AK113" s="308">
        <f t="shared" si="65"/>
        <v>0.99950388441600491</v>
      </c>
      <c r="AL113" s="309" t="str">
        <f t="shared" si="65"/>
        <v>--</v>
      </c>
      <c r="AM113" s="308">
        <f t="shared" si="65"/>
        <v>5.325875794240039</v>
      </c>
      <c r="AN113" s="308">
        <f t="shared" si="65"/>
        <v>-0.84727569210974485</v>
      </c>
      <c r="AO113" s="308">
        <f t="shared" ref="AO113:BP113" si="66">IFERROR(AO112/AJ112-1,"--")</f>
        <v>1.8218787080144683E-2</v>
      </c>
      <c r="AP113" s="308">
        <f t="shared" si="66"/>
        <v>0.1709753576225097</v>
      </c>
      <c r="AQ113" s="309">
        <f t="shared" si="66"/>
        <v>0.22381999192777857</v>
      </c>
      <c r="AR113" s="308">
        <f t="shared" si="66"/>
        <v>3.2448662294880215</v>
      </c>
      <c r="AS113" s="308">
        <f t="shared" si="66"/>
        <v>-4.7046311331415165</v>
      </c>
      <c r="AT113" s="308">
        <f t="shared" si="66"/>
        <v>0.36421240354614226</v>
      </c>
      <c r="AU113" s="308">
        <f t="shared" si="66"/>
        <v>0.26414060401722783</v>
      </c>
      <c r="AV113" s="309">
        <f t="shared" si="66"/>
        <v>-0.11386537642467787</v>
      </c>
      <c r="AW113" s="308">
        <f t="shared" si="66"/>
        <v>1.3819169190041873</v>
      </c>
      <c r="AX113" s="308">
        <f t="shared" si="66"/>
        <v>1.3000402428927793</v>
      </c>
      <c r="AY113" s="308">
        <f t="shared" si="66"/>
        <v>0.78049614701590331</v>
      </c>
      <c r="AZ113" s="308">
        <f t="shared" si="66"/>
        <v>-1.1307582156572904E-2</v>
      </c>
      <c r="BA113" s="309">
        <f t="shared" si="66"/>
        <v>-0.27585121982524174</v>
      </c>
      <c r="BB113" s="308">
        <f t="shared" si="66"/>
        <v>3.5440539382225911E-2</v>
      </c>
      <c r="BC113" s="308">
        <f t="shared" si="66"/>
        <v>-0.51377606798935127</v>
      </c>
      <c r="BD113" s="308">
        <f t="shared" si="66"/>
        <v>0.24074722245768898</v>
      </c>
      <c r="BE113" s="308">
        <f t="shared" si="66"/>
        <v>0.22112336692072976</v>
      </c>
      <c r="BF113" s="309">
        <f t="shared" si="66"/>
        <v>0.35595927116827508</v>
      </c>
      <c r="BG113" s="308">
        <f t="shared" si="66"/>
        <v>-7.7348492785107803E-2</v>
      </c>
      <c r="BH113" s="308">
        <f t="shared" si="66"/>
        <v>0.82487846581571778</v>
      </c>
      <c r="BI113" s="308">
        <f t="shared" si="66"/>
        <v>-0.33136911353906662</v>
      </c>
      <c r="BJ113" s="308">
        <f t="shared" si="66"/>
        <v>0.15666141656045363</v>
      </c>
      <c r="BK113" s="309">
        <f t="shared" si="66"/>
        <v>0.13411462726368573</v>
      </c>
      <c r="BL113" s="308">
        <f t="shared" si="66"/>
        <v>-0.17948760854105472</v>
      </c>
      <c r="BM113" s="308">
        <f t="shared" si="66"/>
        <v>-9.9460052826654599E-2</v>
      </c>
      <c r="BN113" s="308">
        <f t="shared" si="66"/>
        <v>0.74200379878784695</v>
      </c>
      <c r="BO113" s="308">
        <f t="shared" si="66"/>
        <v>0.25827237110736245</v>
      </c>
      <c r="BP113" s="309">
        <f t="shared" si="66"/>
        <v>0.75358043394779606</v>
      </c>
    </row>
    <row r="114" spans="1:68" outlineLevel="1">
      <c r="B114" s="307" t="s">
        <v>205</v>
      </c>
      <c r="D114" s="323"/>
      <c r="E114" s="308"/>
      <c r="F114" s="308"/>
      <c r="G114" s="308"/>
      <c r="H114" s="309"/>
      <c r="I114" s="308" t="str">
        <f>IFERROR(I112/G112-1,"--")</f>
        <v>--</v>
      </c>
      <c r="J114" s="308" t="str">
        <f>IFERROR(J112/I112-1,"--")</f>
        <v>--</v>
      </c>
      <c r="K114" s="308" t="str">
        <f>IFERROR(K112/J112-1,"--")</f>
        <v>--</v>
      </c>
      <c r="L114" s="308" t="str">
        <f>IFERROR(L112/K112-1,"--")</f>
        <v>--</v>
      </c>
      <c r="M114" s="311"/>
      <c r="N114" s="308" t="str">
        <f>IFERROR(N112/L112-1,"--")</f>
        <v>--</v>
      </c>
      <c r="O114" s="308" t="str">
        <f>IFERROR(O112/N112-1,"--")</f>
        <v>--</v>
      </c>
      <c r="P114" s="308" t="str">
        <f>IFERROR(P112/O112-1,"--")</f>
        <v>--</v>
      </c>
      <c r="Q114" s="308" t="str">
        <f>IFERROR(Q112/P112-1,"--")</f>
        <v>--</v>
      </c>
      <c r="R114" s="311"/>
      <c r="S114" s="308" t="str">
        <f>IFERROR(S112/Q112-1,"--")</f>
        <v>--</v>
      </c>
      <c r="T114" s="308" t="str">
        <f>IFERROR(T112/S112-1,"--")</f>
        <v>--</v>
      </c>
      <c r="U114" s="308" t="str">
        <f>IFERROR(U112/T112-1,"--")</f>
        <v>--</v>
      </c>
      <c r="V114" s="308" t="str">
        <f>IFERROR(V112/U112-1,"--")</f>
        <v>--</v>
      </c>
      <c r="W114" s="311"/>
      <c r="X114" s="308" t="str">
        <f>IFERROR(X112/V112-1,"--")</f>
        <v>--</v>
      </c>
      <c r="Y114" s="308" t="str">
        <f>IFERROR(Y112/X112-1,"--")</f>
        <v>--</v>
      </c>
      <c r="Z114" s="308" t="str">
        <f>IFERROR(Z112/Y112-1,"--")</f>
        <v>--</v>
      </c>
      <c r="AA114" s="308" t="str">
        <f>IFERROR(AA112/Z112-1,"--")</f>
        <v>--</v>
      </c>
      <c r="AB114" s="311"/>
      <c r="AC114" s="308" t="str">
        <f>IFERROR(AC112/AA112-1,"--")</f>
        <v>--</v>
      </c>
      <c r="AD114" s="308" t="str">
        <f>IFERROR(AD112/AC112-1,"--")</f>
        <v>--</v>
      </c>
      <c r="AE114" s="308" t="str">
        <f>IFERROR(AE112/AD112-1,"--")</f>
        <v>--</v>
      </c>
      <c r="AF114" s="308">
        <f>IFERROR(AF112/AE112-1,"--")</f>
        <v>2.0950870561894486</v>
      </c>
      <c r="AG114" s="311"/>
      <c r="AH114" s="308">
        <f>IFERROR(AH112/AF112-1,"--")</f>
        <v>-1.0204197794025536</v>
      </c>
      <c r="AI114" s="308">
        <f>IFERROR(AI112/AH112-1,"--")</f>
        <v>-17.786440100299348</v>
      </c>
      <c r="AJ114" s="308">
        <f>IFERROR(AJ112/AI112-1,"--")</f>
        <v>-0.14224219570070729</v>
      </c>
      <c r="AK114" s="308">
        <f>IFERROR(AK112/AJ112-1,"--")</f>
        <v>5.8006108321946179</v>
      </c>
      <c r="AL114" s="311"/>
      <c r="AM114" s="308">
        <f>IFERROR(AM112/AK112-1,"--")</f>
        <v>-1.0646025192814581</v>
      </c>
      <c r="AN114" s="308">
        <f>IFERROR(AN112/AM112-1,"--")</f>
        <v>-1.4052715433638125</v>
      </c>
      <c r="AO114" s="308">
        <f>IFERROR(AO112/AN112-1,"--")</f>
        <v>4.7187040044061099</v>
      </c>
      <c r="AP114" s="308">
        <f>IFERROR(AP112/AO112-1,"--")</f>
        <v>6.8208610981500239</v>
      </c>
      <c r="AQ114" s="311"/>
      <c r="AR114" s="308">
        <f>IFERROR(AR112/AP112-1,"--")</f>
        <v>-1.2341885767728638</v>
      </c>
      <c r="AS114" s="308">
        <f>IFERROR(AS112/AR112-1,"--")</f>
        <v>-0.64630650396185163</v>
      </c>
      <c r="AT114" s="308">
        <f>IFERROR(AT112/AS112-1,"--")</f>
        <v>-3.1058849463385405</v>
      </c>
      <c r="AU114" s="308">
        <f>IFERROR(AU112/AT112-1,"--")</f>
        <v>6.2471618399383733</v>
      </c>
      <c r="AV114" s="311"/>
      <c r="AW114" s="308">
        <f>IFERROR(AW112/AU112-1,"--")</f>
        <v>-1.4412624129627223</v>
      </c>
      <c r="AX114" s="308">
        <f>IFERROR(AX112/AW112-1,"--")</f>
        <v>-0.65846446278349435</v>
      </c>
      <c r="AY114" s="308">
        <f>IFERROR(AY112/AX112-1,"--")</f>
        <v>-2.630197577890534</v>
      </c>
      <c r="AZ114" s="308">
        <f>IFERROR(AZ112/AY112-1,"--")</f>
        <v>3.0242793976499911</v>
      </c>
      <c r="BA114" s="311"/>
      <c r="BB114" s="308">
        <f>IFERROR(BB112/AZ112-1,"--")</f>
        <v>-1.4621265245300792</v>
      </c>
      <c r="BC114" s="308">
        <f>IFERROR(BC112/BB112-1,"--")</f>
        <v>-0.83962116074201942</v>
      </c>
      <c r="BD114" s="308">
        <f>IFERROR(BD112/BC112-1,"--")</f>
        <v>-5.1599415077344108</v>
      </c>
      <c r="BE114" s="308">
        <f>IFERROR(BE112/BD112-1,"--")</f>
        <v>2.9606307542273482</v>
      </c>
      <c r="BF114" s="311"/>
      <c r="BG114" s="308">
        <f>IFERROR(BG112/BE112-1,"--")</f>
        <v>-1.3491717101907987</v>
      </c>
      <c r="BH114" s="308">
        <f>IFERROR(BH112/BG112-1,"--")</f>
        <v>-0.68279259520437363</v>
      </c>
      <c r="BI114" s="308">
        <f>IFERROR(BI112/BH112-1,"--")</f>
        <v>-2.5241921202126631</v>
      </c>
      <c r="BJ114" s="308">
        <f>IFERROR(BJ112/BI112-1,"--")</f>
        <v>5.8514764594638073</v>
      </c>
      <c r="BK114" s="311"/>
      <c r="BL114" s="308">
        <f>IFERROR(BL112/BJ112-1,"--")</f>
        <v>-1.2476954023506912</v>
      </c>
      <c r="BM114" s="308">
        <f>IFERROR(BM112/BL112-1,"--")</f>
        <v>-0.65185420411540429</v>
      </c>
      <c r="BN114" s="308">
        <f>IFERROR(BN112/BM112-1,"--")</f>
        <v>-3.948396094839612</v>
      </c>
      <c r="BO114" s="308">
        <f>IFERROR(BO112/BN112-1,"--")</f>
        <v>3.9489120151371884</v>
      </c>
      <c r="BP114" s="311"/>
    </row>
    <row r="115" spans="1:68" outlineLevel="1">
      <c r="H115" s="309"/>
      <c r="I115" s="308"/>
      <c r="J115" s="308"/>
      <c r="K115" s="308"/>
      <c r="L115" s="308"/>
      <c r="M115" s="309"/>
      <c r="N115" s="308"/>
      <c r="O115" s="308"/>
      <c r="P115" s="308"/>
      <c r="Q115" s="308"/>
      <c r="R115" s="309"/>
      <c r="S115" s="308"/>
      <c r="T115" s="308"/>
      <c r="U115" s="308"/>
      <c r="V115" s="308"/>
      <c r="W115" s="309"/>
      <c r="X115" s="308"/>
      <c r="Y115" s="308"/>
      <c r="Z115" s="308"/>
      <c r="AA115" s="308"/>
      <c r="AB115" s="309"/>
      <c r="AC115" s="308"/>
      <c r="AD115" s="308"/>
      <c r="AE115" s="308"/>
      <c r="AF115" s="308"/>
      <c r="AG115" s="309"/>
      <c r="AH115" s="308"/>
      <c r="AI115" s="308"/>
      <c r="AJ115" s="308"/>
      <c r="AK115" s="308"/>
      <c r="AL115" s="309"/>
      <c r="AM115" s="308"/>
      <c r="AN115" s="308"/>
      <c r="AO115" s="308"/>
      <c r="AP115" s="308"/>
      <c r="AQ115" s="309"/>
      <c r="AR115" s="308"/>
      <c r="AS115" s="308"/>
      <c r="AT115" s="308"/>
      <c r="AU115" s="308"/>
      <c r="AV115" s="309"/>
      <c r="AW115" s="308"/>
      <c r="AX115" s="308"/>
      <c r="AY115" s="308"/>
      <c r="AZ115" s="308"/>
      <c r="BA115" s="309"/>
      <c r="BB115" s="308"/>
      <c r="BC115" s="308"/>
      <c r="BD115" s="308"/>
      <c r="BE115" s="308"/>
      <c r="BF115" s="309"/>
      <c r="BG115" s="308"/>
      <c r="BH115" s="308"/>
      <c r="BI115" s="308"/>
      <c r="BJ115" s="308"/>
      <c r="BK115" s="309"/>
      <c r="BL115" s="308"/>
      <c r="BM115" s="308"/>
      <c r="BN115" s="308"/>
      <c r="BO115" s="308"/>
      <c r="BP115" s="309"/>
    </row>
    <row r="116" spans="1:68" s="306" customFormat="1" outlineLevel="1">
      <c r="A116" s="976" t="s">
        <v>141</v>
      </c>
      <c r="B116" s="302" t="s">
        <v>113</v>
      </c>
      <c r="C116" s="303"/>
      <c r="D116" s="304"/>
      <c r="E116" s="304"/>
      <c r="F116" s="304"/>
      <c r="G116" s="304"/>
      <c r="H116" s="305"/>
      <c r="I116" s="304" t="str" cm="1">
        <f t="array" ref="I116">_xlfn.SINGLE(IF(ISERROR(_xll.FDS($C$2,"FE_ESTIMATE(NEW_ORDERS_VALUE,MEAN,QUARTERLY_ROLL,"&amp;I$9&amp;","&amp;$C$5&amp;",,,'')")), "--", _xll.FDS($C$2,"FE_ESTIMATE(NEW_ORDERS_VALUE,MEAN,QUARTERLY_ROLL,"&amp;I$9&amp;","&amp;$C$5&amp;",,,'')")))</f>
        <v>--</v>
      </c>
      <c r="J116" s="304" t="str" cm="1">
        <f t="array" ref="J116">_xlfn.SINGLE(IF(ISERROR(_xll.FDS($C$2,"FE_ESTIMATE(NEW_ORDERS_VALUE,MEAN,QUARTERLY_ROLL,"&amp;J$9&amp;","&amp;$C$5&amp;",,,'')")), "--", _xll.FDS($C$2,"FE_ESTIMATE(NEW_ORDERS_VALUE,MEAN,QUARTERLY_ROLL,"&amp;J$9&amp;","&amp;$C$5&amp;",,,'')")))</f>
        <v>--</v>
      </c>
      <c r="K116" s="304" t="str" cm="1">
        <f t="array" ref="K116">_xlfn.SINGLE(IF(ISERROR(_xll.FDS($C$2,"FE_ESTIMATE(NEW_ORDERS_VALUE,MEAN,QUARTERLY_ROLL,"&amp;K$9&amp;","&amp;$C$5&amp;",,,'')")), "--", _xll.FDS($C$2,"FE_ESTIMATE(NEW_ORDERS_VALUE,MEAN,QUARTERLY_ROLL,"&amp;K$9&amp;","&amp;$C$5&amp;",,,'')")))</f>
        <v>--</v>
      </c>
      <c r="L116" s="304" t="str" cm="1">
        <f t="array" ref="L116">_xlfn.SINGLE(IF(ISERROR(_xll.FDS($C$2,"FE_ESTIMATE(NEW_ORDERS_VALUE,MEAN,QUARTERLY_ROLL,"&amp;L$9&amp;","&amp;$C$5&amp;",,,'')")), "--", _xll.FDS($C$2,"FE_ESTIMATE(NEW_ORDERS_VALUE,MEAN,QUARTERLY_ROLL,"&amp;L$9&amp;","&amp;$C$5&amp;",,,'')")))</f>
        <v>--</v>
      </c>
      <c r="M116" s="305" t="str" cm="1">
        <f t="array" ref="M116">_xlfn.SINGLE(IF(ISERROR(_xll.FDS($C$2,"FE_ESTIMATE(NEW_ORDERS_VALUE,MEAN,ANNUAL_ROLL,"&amp;M$9&amp;","&amp;$C$5&amp;",,,'')")), "--", _xll.FDS($C$2,"FE_ESTIMATE(NEW_ORDERS_VALUE,MEAN,ANNUAL_ROLL,"&amp;M$9&amp;","&amp;$C$5&amp;",,,'')")))</f>
        <v>--</v>
      </c>
      <c r="N116" s="304" t="str" cm="1">
        <f t="array" ref="N116">_xlfn.SINGLE(IF(ISERROR(_xll.FDS($C$2,"FE_ESTIMATE(NEW_ORDERS_VALUE,MEAN,QUARTERLY_ROLL,"&amp;N$9&amp;","&amp;$C$5&amp;",,,'')")), "--", _xll.FDS($C$2,"FE_ESTIMATE(NEW_ORDERS_VALUE,MEAN,QUARTERLY_ROLL,"&amp;N$9&amp;","&amp;$C$5&amp;",,,'')")))</f>
        <v>--</v>
      </c>
      <c r="O116" s="304" t="str" cm="1">
        <f t="array" ref="O116">_xlfn.SINGLE(IF(ISERROR(_xll.FDS($C$2,"FE_ESTIMATE(NEW_ORDERS_VALUE,MEAN,QUARTERLY_ROLL,"&amp;O$9&amp;","&amp;$C$5&amp;",,,'')")), "--", _xll.FDS($C$2,"FE_ESTIMATE(NEW_ORDERS_VALUE,MEAN,QUARTERLY_ROLL,"&amp;O$9&amp;","&amp;$C$5&amp;",,,'')")))</f>
        <v>--</v>
      </c>
      <c r="P116" s="304" t="str" cm="1">
        <f t="array" ref="P116">_xlfn.SINGLE(IF(ISERROR(_xll.FDS($C$2,"FE_ESTIMATE(NEW_ORDERS_VALUE,MEAN,QUARTERLY_ROLL,"&amp;P$9&amp;","&amp;$C$5&amp;",,,'')")), "--", _xll.FDS($C$2,"FE_ESTIMATE(NEW_ORDERS_VALUE,MEAN,QUARTERLY_ROLL,"&amp;P$9&amp;","&amp;$C$5&amp;",,,'')")))</f>
        <v>--</v>
      </c>
      <c r="Q116" s="304" t="str" cm="1">
        <f t="array" ref="Q116">_xlfn.SINGLE(IF(ISERROR(_xll.FDS($C$2,"FE_ESTIMATE(NEW_ORDERS_VALUE,MEAN,QUARTERLY_ROLL,"&amp;Q$9&amp;","&amp;$C$5&amp;",,,'')")), "--", _xll.FDS($C$2,"FE_ESTIMATE(NEW_ORDERS_VALUE,MEAN,QUARTERLY_ROLL,"&amp;Q$9&amp;","&amp;$C$5&amp;",,,'')")))</f>
        <v>--</v>
      </c>
      <c r="R116" s="305" t="str" cm="1">
        <f t="array" ref="R116">_xlfn.SINGLE(IF(ISERROR(_xll.FDS($C$2,"FE_ESTIMATE(NEW_ORDERS_VALUE,MEAN,ANNUAL_ROLL,"&amp;R$9&amp;","&amp;$C$5&amp;",,,'')")), "--", _xll.FDS($C$2,"FE_ESTIMATE(NEW_ORDERS_VALUE,MEAN,ANNUAL_ROLL,"&amp;R$9&amp;","&amp;$C$5&amp;",,,'')")))</f>
        <v>--</v>
      </c>
      <c r="S116" s="304" t="str" cm="1">
        <f t="array" ref="S116">_xlfn.SINGLE(IF(ISERROR(_xll.FDS($C$2,"FE_ESTIMATE(NEW_ORDERS_VALUE,MEAN,QUARTERLY_ROLL,"&amp;S$9&amp;","&amp;$C$5&amp;",,,'')")), "--", _xll.FDS($C$2,"FE_ESTIMATE(NEW_ORDERS_VALUE,MEAN,QUARTERLY_ROLL,"&amp;S$9&amp;","&amp;$C$5&amp;",,,'')")))</f>
        <v>--</v>
      </c>
      <c r="T116" s="304" t="str" cm="1">
        <f t="array" ref="T116">_xlfn.SINGLE(IF(ISERROR(_xll.FDS($C$2,"FE_ESTIMATE(NEW_ORDERS_VALUE,MEAN,QUARTERLY_ROLL,"&amp;T$9&amp;","&amp;$C$5&amp;",,,'')")), "--", _xll.FDS($C$2,"FE_ESTIMATE(NEW_ORDERS_VALUE,MEAN,QUARTERLY_ROLL,"&amp;T$9&amp;","&amp;$C$5&amp;",,,'')")))</f>
        <v>--</v>
      </c>
      <c r="U116" s="304" t="str" cm="1">
        <f t="array" ref="U116">_xlfn.SINGLE(IF(ISERROR(_xll.FDS($C$2,"FE_ESTIMATE(NEW_ORDERS_VALUE,MEAN,QUARTERLY_ROLL,"&amp;U$9&amp;","&amp;$C$5&amp;",,,'')")), "--", _xll.FDS($C$2,"FE_ESTIMATE(NEW_ORDERS_VALUE,MEAN,QUARTERLY_ROLL,"&amp;U$9&amp;","&amp;$C$5&amp;",,,'')")))</f>
        <v>--</v>
      </c>
      <c r="V116" s="304" t="str" cm="1">
        <f t="array" ref="V116">_xlfn.SINGLE(IF(ISERROR(_xll.FDS($C$2,"FE_ESTIMATE(NEW_ORDERS_VALUE,MEAN,QUARTERLY_ROLL,"&amp;V$9&amp;","&amp;$C$5&amp;",,,'')")), "--", _xll.FDS($C$2,"FE_ESTIMATE(NEW_ORDERS_VALUE,MEAN,QUARTERLY_ROLL,"&amp;V$9&amp;","&amp;$C$5&amp;",,,'')")))</f>
        <v>--</v>
      </c>
      <c r="W116" s="305" t="str" cm="1">
        <f t="array" ref="W116">_xlfn.SINGLE(IF(ISERROR(_xll.FDS($C$2,"FE_ESTIMATE(NEW_ORDERS_VALUE,MEAN,ANNUAL_ROLL,"&amp;W$9&amp;","&amp;$C$5&amp;",,,'')")), "--", _xll.FDS($C$2,"FE_ESTIMATE(NEW_ORDERS_VALUE,MEAN,ANNUAL_ROLL,"&amp;W$9&amp;","&amp;$C$5&amp;",,,'')")))</f>
        <v>--</v>
      </c>
      <c r="X116" s="304" t="str" cm="1">
        <f t="array" ref="X116">_xlfn.SINGLE(IF(ISERROR(_xll.FDS($C$2,"FE_ESTIMATE(NEW_ORDERS_VALUE,MEAN,QUARTERLY_ROLL,"&amp;X$9&amp;","&amp;$C$5&amp;",,,'')")), "--", _xll.FDS($C$2,"FE_ESTIMATE(NEW_ORDERS_VALUE,MEAN,QUARTERLY_ROLL,"&amp;X$9&amp;","&amp;$C$5&amp;",,,'')")))</f>
        <v>--</v>
      </c>
      <c r="Y116" s="304" t="str" cm="1">
        <f t="array" ref="Y116">_xlfn.SINGLE(IF(ISERROR(_xll.FDS($C$2,"FE_ESTIMATE(NEW_ORDERS_VALUE,MEAN,QUARTERLY_ROLL,"&amp;Y$9&amp;","&amp;$C$5&amp;",,,'')")), "--", _xll.FDS($C$2,"FE_ESTIMATE(NEW_ORDERS_VALUE,MEAN,QUARTERLY_ROLL,"&amp;Y$9&amp;","&amp;$C$5&amp;",,,'')")))</f>
        <v>--</v>
      </c>
      <c r="Z116" s="304" t="str" cm="1">
        <f t="array" ref="Z116">_xlfn.SINGLE(IF(ISERROR(_xll.FDS($C$2,"FE_ESTIMATE(NEW_ORDERS_VALUE,MEAN,QUARTERLY_ROLL,"&amp;Z$9&amp;","&amp;$C$5&amp;",,,'')")), "--", _xll.FDS($C$2,"FE_ESTIMATE(NEW_ORDERS_VALUE,MEAN,QUARTERLY_ROLL,"&amp;Z$9&amp;","&amp;$C$5&amp;",,,'')")))</f>
        <v>--</v>
      </c>
      <c r="AA116" s="304" t="str" cm="1">
        <f t="array" ref="AA116">_xlfn.SINGLE(IF(ISERROR(_xll.FDS($C$2,"FE_ESTIMATE(NEW_ORDERS_VALUE,MEAN,QUARTERLY_ROLL,"&amp;AA$9&amp;","&amp;$C$5&amp;",,,'')")), "--", _xll.FDS($C$2,"FE_ESTIMATE(NEW_ORDERS_VALUE,MEAN,QUARTERLY_ROLL,"&amp;AA$9&amp;","&amp;$C$5&amp;",,,'')")))</f>
        <v>--</v>
      </c>
      <c r="AB116" s="305" t="str" cm="1">
        <f t="array" ref="AB116">_xlfn.SINGLE(IF(ISERROR(_xll.FDS($C$2,"FE_ESTIMATE(NEW_ORDERS_VALUE,MEAN,ANNUAL_ROLL,"&amp;AB$9&amp;","&amp;$C$5&amp;",,,'')")), "--", _xll.FDS($C$2,"FE_ESTIMATE(NEW_ORDERS_VALUE,MEAN,ANNUAL_ROLL,"&amp;AB$9&amp;","&amp;$C$5&amp;",,,'')")))</f>
        <v>--</v>
      </c>
      <c r="AC116" s="304" t="str" cm="1">
        <f t="array" ref="AC116">_xlfn.SINGLE(IF(ISERROR(_xll.FDS($C$2,"FE_ESTIMATE(NEW_ORDERS_VALUE,MEAN,QUARTERLY_ROLL,"&amp;AC$9&amp;","&amp;$C$5&amp;",,,'')")), "--", _xll.FDS($C$2,"FE_ESTIMATE(NEW_ORDERS_VALUE,MEAN,QUARTERLY_ROLL,"&amp;AC$9&amp;","&amp;$C$5&amp;",,,'')")))</f>
        <v>--</v>
      </c>
      <c r="AD116" s="304" cm="1">
        <f t="array" ref="AD116">_xlfn.SINGLE(IF(ISERROR(_xll.FDS($C$2,"FE_ESTIMATE(NEW_ORDERS_VALUE,MEAN,QUARTERLY_ROLL,"&amp;AD$9&amp;","&amp;$C$5&amp;",,,'')")), "--", _xll.FDS($C$2,"FE_ESTIMATE(NEW_ORDERS_VALUE,MEAN,QUARTERLY_ROLL,"&amp;AD$9&amp;","&amp;$C$5&amp;",,,'')")))</f>
        <v>182.6</v>
      </c>
      <c r="AE116" s="304" cm="1">
        <f t="array" ref="AE116">_xlfn.SINGLE(IF(ISERROR(_xll.FDS($C$2,"FE_ESTIMATE(NEW_ORDERS_VALUE,MEAN,QUARTERLY_ROLL,"&amp;AE$9&amp;","&amp;$C$5&amp;",,,'')")), "--", _xll.FDS($C$2,"FE_ESTIMATE(NEW_ORDERS_VALUE,MEAN,QUARTERLY_ROLL,"&amp;AE$9&amp;","&amp;$C$5&amp;",,,'')")))</f>
        <v>224.6</v>
      </c>
      <c r="AF116" s="304" cm="1">
        <f t="array" ref="AF116">_xlfn.SINGLE(IF(ISERROR(_xll.FDS($C$2,"FE_ESTIMATE(NEW_ORDERS_VALUE,MEAN,QUARTERLY_ROLL,"&amp;AF$9&amp;","&amp;$C$5&amp;",,,'')")), "--", _xll.FDS($C$2,"FE_ESTIMATE(NEW_ORDERS_VALUE,MEAN,QUARTERLY_ROLL,"&amp;AF$9&amp;","&amp;$C$5&amp;",,,'')")))</f>
        <v>391.7</v>
      </c>
      <c r="AG116" s="305" cm="1">
        <f t="array" ref="AG116">_xlfn.SINGLE(IF(ISERROR(_xll.FDS($C$2,"FE_ESTIMATE(NEW_ORDERS_VALUE,MEAN,ANNUAL_ROLL,"&amp;AG$9&amp;","&amp;$C$5&amp;",,,'')")), "--", _xll.FDS($C$2,"FE_ESTIMATE(NEW_ORDERS_VALUE,MEAN,ANNUAL_ROLL,"&amp;AG$9&amp;","&amp;$C$5&amp;",,,'')")))</f>
        <v>904.9</v>
      </c>
      <c r="AH116" s="304" cm="1">
        <f t="array" ref="AH116">_xlfn.SINGLE(IF(ISERROR(_xll.FDS($C$2,"FE_ESTIMATE(NEW_ORDERS_VALUE,MEAN,QUARTERLY_ROLL,"&amp;AH$9&amp;","&amp;$C$5&amp;",,,'')")), "--", _xll.FDS($C$2,"FE_ESTIMATE(NEW_ORDERS_VALUE,MEAN,QUARTERLY_ROLL,"&amp;AH$9&amp;","&amp;$C$5&amp;",,,'')")))</f>
        <v>224.84</v>
      </c>
      <c r="AI116" s="304" cm="1">
        <f t="array" ref="AI116">_xlfn.SINGLE(IF(ISERROR(_xll.FDS($C$2,"FE_ESTIMATE(NEW_ORDERS_VALUE,MEAN,QUARTERLY_ROLL,"&amp;AI$9&amp;","&amp;$C$5&amp;",,,'')")), "--", _xll.FDS($C$2,"FE_ESTIMATE(NEW_ORDERS_VALUE,MEAN,QUARTERLY_ROLL,"&amp;AI$9&amp;","&amp;$C$5&amp;",,,'')")))</f>
        <v>342.24</v>
      </c>
      <c r="AJ116" s="304" cm="1">
        <f t="array" ref="AJ116">_xlfn.SINGLE(IF(ISERROR(_xll.FDS($C$2,"FE_ESTIMATE(NEW_ORDERS_VALUE,MEAN,QUARTERLY_ROLL,"&amp;AJ$9&amp;","&amp;$C$5&amp;",,,'')")), "--", _xll.FDS($C$2,"FE_ESTIMATE(NEW_ORDERS_VALUE,MEAN,QUARTERLY_ROLL,"&amp;AJ$9&amp;","&amp;$C$5&amp;",,,'')")))</f>
        <v>392.5</v>
      </c>
      <c r="AK116" s="304" cm="1">
        <f t="array" ref="AK116">_xlfn.SINGLE(IF(ISERROR(_xll.FDS($C$2,"FE_ESTIMATE(NEW_ORDERS_VALUE,MEAN,QUARTERLY_ROLL,"&amp;AK$9&amp;","&amp;$C$5&amp;",,,'')")), "--", _xll.FDS($C$2,"FE_ESTIMATE(NEW_ORDERS_VALUE,MEAN,QUARTERLY_ROLL,"&amp;AK$9&amp;","&amp;$C$5&amp;",,,'')")))</f>
        <v>785.99300000000005</v>
      </c>
      <c r="AL116" s="305" cm="1">
        <f t="array" ref="AL116">_xlfn.SINGLE(IF(ISERROR(_xll.FDS($C$2,"FE_ESTIMATE(NEW_ORDERS_VALUE,MEAN,ANNUAL_ROLL,"&amp;AL$9&amp;","&amp;$C$5&amp;",,,'')")), "--", _xll.FDS($C$2,"FE_ESTIMATE(NEW_ORDERS_VALUE,MEAN,ANNUAL_ROLL,"&amp;AL$9&amp;","&amp;$C$5&amp;",,,'')")))</f>
        <v>1745.5096000000001</v>
      </c>
      <c r="AM116" s="304" cm="1">
        <f t="array" ref="AM116">_xlfn.SINGLE(IF(ISERROR(_xll.FDS($C$2,"FE_ESTIMATE(NEW_ORDERS_VALUE,MEAN,QUARTERLY_ROLL,"&amp;AM$9&amp;","&amp;$C$5&amp;",,,'')")), "--", _xll.FDS($C$2,"FE_ESTIMATE(NEW_ORDERS_VALUE,MEAN,QUARTERLY_ROLL,"&amp;AM$9&amp;","&amp;$C$5&amp;",,,'')")))</f>
        <v>393.05685</v>
      </c>
      <c r="AN116" s="304" cm="1">
        <f t="array" ref="AN116">_xlfn.SINGLE(IF(ISERROR(_xll.FDS($C$2,"FE_ESTIMATE(NEW_ORDERS_VALUE,MEAN,QUARTERLY_ROLL,"&amp;AN$9&amp;","&amp;$C$5&amp;",,,'')")), "--", _xll.FDS($C$2,"FE_ESTIMATE(NEW_ORDERS_VALUE,MEAN,QUARTERLY_ROLL,"&amp;AN$9&amp;","&amp;$C$5&amp;",,,'')")))</f>
        <v>502.53384</v>
      </c>
      <c r="AO116" s="304" cm="1">
        <f t="array" ref="AO116">_xlfn.SINGLE(IF(ISERROR(_xll.FDS($C$2,"FE_ESTIMATE(NEW_ORDERS_VALUE,MEAN,QUARTERLY_ROLL,"&amp;AO$9&amp;","&amp;$C$5&amp;",,,'')")), "--", _xll.FDS($C$2,"FE_ESTIMATE(NEW_ORDERS_VALUE,MEAN,QUARTERLY_ROLL,"&amp;AO$9&amp;","&amp;$C$5&amp;",,,'')")))</f>
        <v>604.08856000000003</v>
      </c>
      <c r="AP116" s="304" cm="1">
        <f t="array" ref="AP116">_xlfn.SINGLE(IF(ISERROR(_xll.FDS($C$2,"FE_ESTIMATE(NEW_ORDERS_VALUE,MEAN,QUARTERLY_ROLL,"&amp;AP$9&amp;","&amp;$C$5&amp;",,,'')")), "--", _xll.FDS($C$2,"FE_ESTIMATE(NEW_ORDERS_VALUE,MEAN,QUARTERLY_ROLL,"&amp;AP$9&amp;","&amp;$C$5&amp;",,,'')")))</f>
        <v>1062.4221</v>
      </c>
      <c r="AQ116" s="305" cm="1">
        <f t="array" ref="AQ116">_xlfn.SINGLE(IF(ISERROR(_xll.FDS($C$2,"FE_ESTIMATE(NEW_ORDERS_VALUE,MEAN,ANNUAL_ROLL,"&amp;AQ$9&amp;","&amp;$C$5&amp;",,,'')")), "--", _xll.FDS($C$2,"FE_ESTIMATE(NEW_ORDERS_VALUE,MEAN,ANNUAL_ROLL,"&amp;AQ$9&amp;","&amp;$C$5&amp;",,,'')")))</f>
        <v>2560.3256999999999</v>
      </c>
      <c r="AR116" s="304" cm="1">
        <f t="array" ref="AR116">_xlfn.SINGLE(IF(ISERROR(_xll.FDS($C$2,"FE_ESTIMATE(NEW_ORDERS_VALUE,MEAN,QUARTERLY_ROLL,"&amp;AR$9&amp;","&amp;$C$5&amp;",,,'')")), "--", _xll.FDS($C$2,"FE_ESTIMATE(NEW_ORDERS_VALUE,MEAN,QUARTERLY_ROLL,"&amp;AR$9&amp;","&amp;$C$5&amp;",,,'')")))</f>
        <v>513.29999999999995</v>
      </c>
      <c r="AS116" s="304" cm="1">
        <f t="array" ref="AS116">_xlfn.SINGLE(IF(ISERROR(_xll.FDS($C$2,"FE_ESTIMATE(NEW_ORDERS_VALUE,MEAN,QUARTERLY_ROLL,"&amp;AS$9&amp;","&amp;$C$5&amp;",,,'')")), "--", _xll.FDS($C$2,"FE_ESTIMATE(NEW_ORDERS_VALUE,MEAN,QUARTERLY_ROLL,"&amp;AS$9&amp;","&amp;$C$5&amp;",,,'')")))</f>
        <v>634.99570000000006</v>
      </c>
      <c r="AT116" s="304" cm="1">
        <f t="array" ref="AT116">_xlfn.SINGLE(IF(ISERROR(_xll.FDS($C$2,"FE_ESTIMATE(NEW_ORDERS_VALUE,MEAN,QUARTERLY_ROLL,"&amp;AT$9&amp;","&amp;$C$5&amp;",,,'')")), "--", _xll.FDS($C$2,"FE_ESTIMATE(NEW_ORDERS_VALUE,MEAN,QUARTERLY_ROLL,"&amp;AT$9&amp;","&amp;$C$5&amp;",,,'')")))</f>
        <v>816.29499999999996</v>
      </c>
      <c r="AU116" s="304" cm="1">
        <f t="array" ref="AU116">_xlfn.SINGLE(IF(ISERROR(_xll.FDS($C$2,"FE_ESTIMATE(NEW_ORDERS_VALUE,MEAN,QUARTERLY_ROLL,"&amp;AU$9&amp;","&amp;$C$5&amp;",,,'')")), "--", _xll.FDS($C$2,"FE_ESTIMATE(NEW_ORDERS_VALUE,MEAN,QUARTERLY_ROLL,"&amp;AU$9&amp;","&amp;$C$5&amp;",,,'')")))</f>
        <v>1370.1061999999999</v>
      </c>
      <c r="AV116" s="305" cm="1">
        <f t="array" ref="AV116">_xlfn.SINGLE(IF(ISERROR(_xll.FDS($C$2,"FE_ESTIMATE(NEW_ORDERS_VALUE,MEAN,ANNUAL_ROLL,"&amp;AV$9&amp;","&amp;$C$5&amp;",,,'')")), "--", _xll.FDS($C$2,"FE_ESTIMATE(NEW_ORDERS_VALUE,MEAN,ANNUAL_ROLL,"&amp;AV$9&amp;","&amp;$C$5&amp;",,,'')")))</f>
        <v>3334.6916999999999</v>
      </c>
      <c r="AW116" s="304" cm="1">
        <f t="array" ref="AW116">_xlfn.SINGLE(IF(ISERROR(_xll.FDS($C$2,"FE_ESTIMATE(NEW_ORDERS_VALUE,MEAN,QUARTERLY_ROLL,"&amp;AW$9&amp;","&amp;$C$5&amp;",,,'')")), "--", _xll.FDS($C$2,"FE_ESTIMATE(NEW_ORDERS_VALUE,MEAN,QUARTERLY_ROLL,"&amp;AW$9&amp;","&amp;$C$5&amp;",,,'')")))</f>
        <v>565.90449999999998</v>
      </c>
      <c r="AX116" s="304" cm="1">
        <f t="array" ref="AX116">_xlfn.SINGLE(IF(ISERROR(_xll.FDS($C$2,"FE_ESTIMATE(NEW_ORDERS_VALUE,MEAN,QUARTERLY_ROLL,"&amp;AX$9&amp;","&amp;$C$5&amp;",,,'')")), "--", _xll.FDS($C$2,"FE_ESTIMATE(NEW_ORDERS_VALUE,MEAN,QUARTERLY_ROLL,"&amp;AX$9&amp;","&amp;$C$5&amp;",,,'')")))</f>
        <v>779.10645</v>
      </c>
      <c r="AY116" s="304" cm="1">
        <f t="array" ref="AY116">_xlfn.SINGLE(IF(ISERROR(_xll.FDS($C$2,"FE_ESTIMATE(NEW_ORDERS_VALUE,MEAN,QUARTERLY_ROLL,"&amp;AY$9&amp;","&amp;$C$5&amp;",,,'')")), "--", _xll.FDS($C$2,"FE_ESTIMATE(NEW_ORDERS_VALUE,MEAN,QUARTERLY_ROLL,"&amp;AY$9&amp;","&amp;$C$5&amp;",,,'')")))</f>
        <v>1068.2635</v>
      </c>
      <c r="AZ116" s="304" cm="1">
        <f t="array" ref="AZ116">_xlfn.SINGLE(IF(ISERROR(_xll.FDS($C$2,"FE_ESTIMATE(NEW_ORDERS_VALUE,MEAN,QUARTERLY_ROLL,"&amp;AZ$9&amp;","&amp;$C$5&amp;",,,'')")), "--", _xll.FDS($C$2,"FE_ESTIMATE(NEW_ORDERS_VALUE,MEAN,QUARTERLY_ROLL,"&amp;AZ$9&amp;","&amp;$C$5&amp;",,,'')")))</f>
        <v>1595.3503000000001</v>
      </c>
      <c r="BA116" s="305" cm="1">
        <f t="array" ref="BA116">_xlfn.SINGLE(IF(ISERROR(_xll.FDS($C$2,"FE_ESTIMATE(NEW_ORDERS_VALUE,MEAN,ANNUAL_ROLL,"&amp;BA$9&amp;","&amp;$C$5&amp;",,,'')")), "--", _xll.FDS($C$2,"FE_ESTIMATE(NEW_ORDERS_VALUE,MEAN,ANNUAL_ROLL,"&amp;BA$9&amp;","&amp;$C$5&amp;",,,'')")))</f>
        <v>4008.8535000000002</v>
      </c>
      <c r="BB116" s="304" cm="1">
        <f t="array" ref="BB116">_xlfn.SINGLE(IF(ISERROR(_xll.FDS($C$2,"FE_ESTIMATE(NEW_ORDERS_VALUE,MEAN,QUARTERLY_ROLL,"&amp;BB$9&amp;","&amp;$C$5&amp;",,,'')")), "--", _xll.FDS($C$2,"FE_ESTIMATE(NEW_ORDERS_VALUE,MEAN,QUARTERLY_ROLL,"&amp;BB$9&amp;","&amp;$C$5&amp;",,,'')")))</f>
        <v>770.08452999999997</v>
      </c>
      <c r="BC116" s="304" cm="1">
        <f t="array" ref="BC116">_xlfn.SINGLE(IF(ISERROR(_xll.FDS($C$2,"FE_ESTIMATE(NEW_ORDERS_VALUE,MEAN,QUARTERLY_ROLL,"&amp;BC$9&amp;","&amp;$C$5&amp;",,,'')")), "--", _xll.FDS($C$2,"FE_ESTIMATE(NEW_ORDERS_VALUE,MEAN,QUARTERLY_ROLL,"&amp;BC$9&amp;","&amp;$C$5&amp;",,,'')")))</f>
        <v>1101.3520000000001</v>
      </c>
      <c r="BD116" s="304" cm="1">
        <f t="array" ref="BD116">_xlfn.SINGLE(IF(ISERROR(_xll.FDS($C$2,"FE_ESTIMATE(NEW_ORDERS_VALUE,MEAN,QUARTERLY_ROLL,"&amp;BD$9&amp;","&amp;$C$5&amp;",,,'')")), "--", _xll.FDS($C$2,"FE_ESTIMATE(NEW_ORDERS_VALUE,MEAN,QUARTERLY_ROLL,"&amp;BD$9&amp;","&amp;$C$5&amp;",,,'')")))</f>
        <v>1339.3026</v>
      </c>
      <c r="BE116" s="304" cm="1">
        <f t="array" ref="BE116">_xlfn.SINGLE(IF(ISERROR(_xll.FDS($C$2,"FE_ESTIMATE(NEW_ORDERS_VALUE,MEAN,QUARTERLY_ROLL,"&amp;BE$9&amp;","&amp;$C$5&amp;",,,'')")), "--", _xll.FDS($C$2,"FE_ESTIMATE(NEW_ORDERS_VALUE,MEAN,QUARTERLY_ROLL,"&amp;BE$9&amp;","&amp;$C$5&amp;",,,'')")))</f>
        <v>2007.1421</v>
      </c>
      <c r="BF116" s="305" cm="1">
        <f t="array" ref="BF116">_xlfn.SINGLE(IF(ISERROR(_xll.FDS($C$2,"FE_ESTIMATE(NEW_ORDERS_VALUE,MEAN,ANNUAL_ROLL,"&amp;BF$9&amp;","&amp;$C$5&amp;",,,'')")), "--", _xll.FDS($C$2,"FE_ESTIMATE(NEW_ORDERS_VALUE,MEAN,ANNUAL_ROLL,"&amp;BF$9&amp;","&amp;$C$5&amp;",,,'')")))</f>
        <v>5217.8370000000004</v>
      </c>
      <c r="BG116" s="304" cm="1">
        <f t="array" ref="BG116">_xlfn.SINGLE(IF(ISERROR(_xll.FDS($C$2,"FE_ESTIMATE(NEW_ORDERS_VALUE,MEAN,QUARTERLY_ROLL,"&amp;BG$9&amp;","&amp;$C$5&amp;",,,'')")), "--", _xll.FDS($C$2,"FE_ESTIMATE(NEW_ORDERS_VALUE,MEAN,QUARTERLY_ROLL,"&amp;BG$9&amp;","&amp;$C$5&amp;",,,'')")))</f>
        <v>972.92859999999996</v>
      </c>
      <c r="BH116" s="304" cm="1">
        <f t="array" ref="BH116">_xlfn.SINGLE(IF(ISERROR(_xll.FDS($C$2,"FE_ESTIMATE(NEW_ORDERS_VALUE,MEAN,QUARTERLY_ROLL,"&amp;BH$9&amp;","&amp;$C$5&amp;",,,'')")), "--", _xll.FDS($C$2,"FE_ESTIMATE(NEW_ORDERS_VALUE,MEAN,QUARTERLY_ROLL,"&amp;BH$9&amp;","&amp;$C$5&amp;",,,'')")))</f>
        <v>1323.3</v>
      </c>
      <c r="BI116" s="304" cm="1">
        <f t="array" ref="BI116">_xlfn.SINGLE(IF(ISERROR(_xll.FDS($C$2,"FE_ESTIMATE(NEW_ORDERS_VALUE,MEAN,QUARTERLY_ROLL,"&amp;BI$9&amp;","&amp;$C$5&amp;",,,'')")), "--", _xll.FDS($C$2,"FE_ESTIMATE(NEW_ORDERS_VALUE,MEAN,QUARTERLY_ROLL,"&amp;BI$9&amp;","&amp;$C$5&amp;",,,'')")))</f>
        <v>1651.5714</v>
      </c>
      <c r="BJ116" s="304" cm="1">
        <f t="array" ref="BJ116">_xlfn.SINGLE(IF(ISERROR(_xll.FDS($C$2,"FE_ESTIMATE(NEW_ORDERS_VALUE,MEAN,QUARTERLY_ROLL,"&amp;BJ$9&amp;","&amp;$C$5&amp;",,,'')")), "--", _xll.FDS($C$2,"FE_ESTIMATE(NEW_ORDERS_VALUE,MEAN,QUARTERLY_ROLL,"&amp;BJ$9&amp;","&amp;$C$5&amp;",,,'')")))</f>
        <v>2448.6572000000001</v>
      </c>
      <c r="BK116" s="305" cm="1">
        <f t="array" ref="BK116">_xlfn.SINGLE(IF(ISERROR(_xll.FDS($C$2,"FE_ESTIMATE(NEW_ORDERS_VALUE,MEAN,ANNUAL_ROLL,"&amp;BK$9&amp;","&amp;$C$5&amp;",,,'')")), "--", _xll.FDS($C$2,"FE_ESTIMATE(NEW_ORDERS_VALUE,MEAN,ANNUAL_ROLL,"&amp;BK$9&amp;","&amp;$C$5&amp;",,,'')")))</f>
        <v>6427.6719999999996</v>
      </c>
      <c r="BL116" s="304" cm="1">
        <f t="array" ref="BL116">_xlfn.SINGLE(IF(ISERROR(_xll.FDS($C$2,"FE_ESTIMATE(NEW_ORDERS_VALUE,MEAN,QUARTERLY_ROLL,"&amp;BL$9&amp;","&amp;$C$5&amp;",,,'')")), "--", _xll.FDS($C$2,"FE_ESTIMATE(NEW_ORDERS_VALUE,MEAN,QUARTERLY_ROLL,"&amp;BL$9&amp;","&amp;$C$5&amp;",,,'')")))</f>
        <v>1073.9000000000001</v>
      </c>
      <c r="BM116" s="304" cm="1">
        <f t="array" ref="BM116">_xlfn.SINGLE(IF(ISERROR(_xll.FDS($C$2,"FE_ESTIMATE(NEW_ORDERS_VALUE,MEAN,QUARTERLY_ROLL,"&amp;BM$9&amp;","&amp;$C$5&amp;",,,'')")), "--", _xll.FDS($C$2,"FE_ESTIMATE(NEW_ORDERS_VALUE,MEAN,QUARTERLY_ROLL,"&amp;BM$9&amp;","&amp;$C$5&amp;",,,'')")))</f>
        <v>1544.9</v>
      </c>
      <c r="BN116" s="304" cm="1">
        <f t="array" ref="BN116">_xlfn.SINGLE(IF(ISERROR(_xll.FDS($C$2,"FE_ESTIMATE(NEW_ORDERS_VALUE,MEAN,QUARTERLY_ROLL,"&amp;BN$9&amp;","&amp;$C$5&amp;",,,'')")), "--", _xll.FDS($C$2,"FE_ESTIMATE(NEW_ORDERS_VALUE,MEAN,QUARTERLY_ROLL,"&amp;BN$9&amp;","&amp;$C$5&amp;",,,'')")))</f>
        <v>1942.4</v>
      </c>
      <c r="BO116" s="304" cm="1">
        <f t="array" ref="BO116">_xlfn.SINGLE(IF(ISERROR(_xll.FDS($C$2,"FE_ESTIMATE(NEW_ORDERS_VALUE,MEAN,QUARTERLY_ROLL,"&amp;BO$9&amp;","&amp;$C$5&amp;",,,'')")), "--", _xll.FDS($C$2,"FE_ESTIMATE(NEW_ORDERS_VALUE,MEAN,QUARTERLY_ROLL,"&amp;BO$9&amp;","&amp;$C$5&amp;",,,'')")))</f>
        <v>2887.2</v>
      </c>
      <c r="BP116" s="305" cm="1">
        <f t="array" ref="BP116">_xlfn.SINGLE(IF(ISERROR(_xll.FDS($C$2,"FE_ESTIMATE(NEW_ORDERS_VALUE,MEAN,ANNUAL_ROLL,"&amp;BP$9&amp;","&amp;$C$5&amp;",,,'')")), "--", _xll.FDS($C$2,"FE_ESTIMATE(NEW_ORDERS_VALUE,MEAN,ANNUAL_ROLL,"&amp;BP$9&amp;","&amp;$C$5&amp;",,,'')")))</f>
        <v>7644.2569999999996</v>
      </c>
    </row>
    <row r="117" spans="1:68" s="310" customFormat="1" outlineLevel="1">
      <c r="A117" s="919" t="s">
        <v>142</v>
      </c>
      <c r="B117" s="307" t="s">
        <v>204</v>
      </c>
      <c r="C117" s="307"/>
      <c r="D117" s="323"/>
      <c r="E117" s="323"/>
      <c r="F117" s="323"/>
      <c r="G117" s="323"/>
      <c r="H117" s="309"/>
      <c r="I117" s="308" t="str">
        <f t="shared" ref="I117:AN117" si="67">IFERROR(I116/D116-1,"--")</f>
        <v>--</v>
      </c>
      <c r="J117" s="308" t="str">
        <f t="shared" si="67"/>
        <v>--</v>
      </c>
      <c r="K117" s="308" t="str">
        <f t="shared" si="67"/>
        <v>--</v>
      </c>
      <c r="L117" s="308" t="str">
        <f t="shared" si="67"/>
        <v>--</v>
      </c>
      <c r="M117" s="309" t="str">
        <f t="shared" si="67"/>
        <v>--</v>
      </c>
      <c r="N117" s="308" t="str">
        <f t="shared" si="67"/>
        <v>--</v>
      </c>
      <c r="O117" s="308" t="str">
        <f t="shared" si="67"/>
        <v>--</v>
      </c>
      <c r="P117" s="308" t="str">
        <f t="shared" si="67"/>
        <v>--</v>
      </c>
      <c r="Q117" s="308" t="str">
        <f t="shared" si="67"/>
        <v>--</v>
      </c>
      <c r="R117" s="309" t="str">
        <f t="shared" si="67"/>
        <v>--</v>
      </c>
      <c r="S117" s="308" t="str">
        <f t="shared" si="67"/>
        <v>--</v>
      </c>
      <c r="T117" s="308" t="str">
        <f t="shared" si="67"/>
        <v>--</v>
      </c>
      <c r="U117" s="308" t="str">
        <f t="shared" si="67"/>
        <v>--</v>
      </c>
      <c r="V117" s="308" t="str">
        <f t="shared" si="67"/>
        <v>--</v>
      </c>
      <c r="W117" s="309" t="str">
        <f t="shared" si="67"/>
        <v>--</v>
      </c>
      <c r="X117" s="308" t="str">
        <f t="shared" si="67"/>
        <v>--</v>
      </c>
      <c r="Y117" s="308" t="str">
        <f t="shared" si="67"/>
        <v>--</v>
      </c>
      <c r="Z117" s="308" t="str">
        <f t="shared" si="67"/>
        <v>--</v>
      </c>
      <c r="AA117" s="308" t="str">
        <f t="shared" si="67"/>
        <v>--</v>
      </c>
      <c r="AB117" s="309" t="str">
        <f t="shared" si="67"/>
        <v>--</v>
      </c>
      <c r="AC117" s="308" t="str">
        <f t="shared" si="67"/>
        <v>--</v>
      </c>
      <c r="AD117" s="308" t="str">
        <f t="shared" si="67"/>
        <v>--</v>
      </c>
      <c r="AE117" s="308" t="str">
        <f t="shared" si="67"/>
        <v>--</v>
      </c>
      <c r="AF117" s="308" t="str">
        <f t="shared" si="67"/>
        <v>--</v>
      </c>
      <c r="AG117" s="309" t="str">
        <f t="shared" si="67"/>
        <v>--</v>
      </c>
      <c r="AH117" s="308" t="str">
        <f t="shared" si="67"/>
        <v>--</v>
      </c>
      <c r="AI117" s="308">
        <f t="shared" si="67"/>
        <v>0.8742606790799563</v>
      </c>
      <c r="AJ117" s="308">
        <f t="shared" si="67"/>
        <v>0.74755120213713266</v>
      </c>
      <c r="AK117" s="308">
        <f t="shared" si="67"/>
        <v>1.0066198621393925</v>
      </c>
      <c r="AL117" s="309">
        <f t="shared" si="67"/>
        <v>0.92895303348436298</v>
      </c>
      <c r="AM117" s="308">
        <f t="shared" si="67"/>
        <v>0.74816247109055323</v>
      </c>
      <c r="AN117" s="308">
        <f t="shared" si="67"/>
        <v>0.46836676016830281</v>
      </c>
      <c r="AO117" s="308">
        <f t="shared" ref="AO117:BP117" si="68">IFERROR(AO116/AJ116-1,"--")</f>
        <v>0.5390791337579619</v>
      </c>
      <c r="AP117" s="308">
        <f t="shared" si="68"/>
        <v>0.35169409905686178</v>
      </c>
      <c r="AQ117" s="309">
        <f t="shared" si="68"/>
        <v>0.46680700008753884</v>
      </c>
      <c r="AR117" s="308">
        <f t="shared" si="68"/>
        <v>0.30591796072247557</v>
      </c>
      <c r="AS117" s="308">
        <f t="shared" si="68"/>
        <v>0.26358794066485158</v>
      </c>
      <c r="AT117" s="308">
        <f t="shared" si="68"/>
        <v>0.35128365946873741</v>
      </c>
      <c r="AU117" s="308">
        <f t="shared" si="68"/>
        <v>0.28960626854430083</v>
      </c>
      <c r="AV117" s="309">
        <f t="shared" si="68"/>
        <v>0.30244823930017972</v>
      </c>
      <c r="AW117" s="308">
        <f t="shared" si="68"/>
        <v>0.10248295343853497</v>
      </c>
      <c r="AX117" s="308">
        <f t="shared" si="68"/>
        <v>0.22694759980264423</v>
      </c>
      <c r="AY117" s="308">
        <f t="shared" si="68"/>
        <v>0.30867333500756478</v>
      </c>
      <c r="AZ117" s="308">
        <f t="shared" si="68"/>
        <v>0.16439900790172324</v>
      </c>
      <c r="BA117" s="309">
        <f t="shared" si="68"/>
        <v>0.20216615527006598</v>
      </c>
      <c r="BB117" s="308">
        <f t="shared" si="68"/>
        <v>0.36080298000811095</v>
      </c>
      <c r="BC117" s="308">
        <f t="shared" si="68"/>
        <v>0.41360914160061202</v>
      </c>
      <c r="BD117" s="308">
        <f t="shared" si="68"/>
        <v>0.25371933048353701</v>
      </c>
      <c r="BE117" s="308">
        <f t="shared" si="68"/>
        <v>0.25811998781709566</v>
      </c>
      <c r="BF117" s="309">
        <f t="shared" si="68"/>
        <v>0.3015783689775644</v>
      </c>
      <c r="BG117" s="308">
        <f t="shared" si="68"/>
        <v>0.26340494075371179</v>
      </c>
      <c r="BH117" s="308">
        <f t="shared" si="68"/>
        <v>0.20152321873479129</v>
      </c>
      <c r="BI117" s="308">
        <f t="shared" si="68"/>
        <v>0.23315776434690716</v>
      </c>
      <c r="BJ117" s="308">
        <f t="shared" si="68"/>
        <v>0.21997201892182927</v>
      </c>
      <c r="BK117" s="309">
        <f t="shared" si="68"/>
        <v>0.23186523457900265</v>
      </c>
      <c r="BL117" s="308">
        <f t="shared" si="68"/>
        <v>0.10378089409644264</v>
      </c>
      <c r="BM117" s="308">
        <f t="shared" si="68"/>
        <v>0.1674601375349507</v>
      </c>
      <c r="BN117" s="308">
        <f t="shared" si="68"/>
        <v>0.17609205390696392</v>
      </c>
      <c r="BO117" s="308">
        <f t="shared" si="68"/>
        <v>0.17909522002508127</v>
      </c>
      <c r="BP117" s="309">
        <f t="shared" si="68"/>
        <v>0.18927303695645947</v>
      </c>
    </row>
    <row r="118" spans="1:68" s="310" customFormat="1" outlineLevel="1">
      <c r="A118" s="919" t="s">
        <v>143</v>
      </c>
      <c r="B118" s="307" t="s">
        <v>205</v>
      </c>
      <c r="C118" s="307"/>
      <c r="D118" s="323"/>
      <c r="E118" s="308"/>
      <c r="F118" s="308"/>
      <c r="G118" s="308"/>
      <c r="H118" s="309"/>
      <c r="I118" s="308" t="str">
        <f>IFERROR(I116/G116-1,"--")</f>
        <v>--</v>
      </c>
      <c r="J118" s="308" t="str">
        <f>IFERROR(J116/I116-1,"--")</f>
        <v>--</v>
      </c>
      <c r="K118" s="308" t="str">
        <f>IFERROR(K116/J116-1,"--")</f>
        <v>--</v>
      </c>
      <c r="L118" s="308" t="str">
        <f>IFERROR(L116/K116-1,"--")</f>
        <v>--</v>
      </c>
      <c r="M118" s="311"/>
      <c r="N118" s="308" t="str">
        <f>IFERROR(N116/L116-1,"--")</f>
        <v>--</v>
      </c>
      <c r="O118" s="308" t="str">
        <f>IFERROR(O116/N116-1,"--")</f>
        <v>--</v>
      </c>
      <c r="P118" s="308" t="str">
        <f>IFERROR(P116/O116-1,"--")</f>
        <v>--</v>
      </c>
      <c r="Q118" s="308" t="str">
        <f>IFERROR(Q116/P116-1,"--")</f>
        <v>--</v>
      </c>
      <c r="R118" s="311"/>
      <c r="S118" s="308" t="str">
        <f>IFERROR(S116/Q116-1,"--")</f>
        <v>--</v>
      </c>
      <c r="T118" s="308" t="str">
        <f>IFERROR(T116/S116-1,"--")</f>
        <v>--</v>
      </c>
      <c r="U118" s="308" t="str">
        <f>IFERROR(U116/T116-1,"--")</f>
        <v>--</v>
      </c>
      <c r="V118" s="308" t="str">
        <f>IFERROR(V116/U116-1,"--")</f>
        <v>--</v>
      </c>
      <c r="W118" s="311"/>
      <c r="X118" s="308" t="str">
        <f>IFERROR(X116/V116-1,"--")</f>
        <v>--</v>
      </c>
      <c r="Y118" s="308" t="str">
        <f>IFERROR(Y116/X116-1,"--")</f>
        <v>--</v>
      </c>
      <c r="Z118" s="308" t="str">
        <f>IFERROR(Z116/Y116-1,"--")</f>
        <v>--</v>
      </c>
      <c r="AA118" s="308" t="str">
        <f>IFERROR(AA116/Z116-1,"--")</f>
        <v>--</v>
      </c>
      <c r="AB118" s="311"/>
      <c r="AC118" s="308" t="str">
        <f>IFERROR(AC116/AA116-1,"--")</f>
        <v>--</v>
      </c>
      <c r="AD118" s="308" t="str">
        <f>IFERROR(AD116/AC116-1,"--")</f>
        <v>--</v>
      </c>
      <c r="AE118" s="308">
        <f>IFERROR(AE116/AD116-1,"--")</f>
        <v>0.23001095290251916</v>
      </c>
      <c r="AF118" s="308">
        <f>IFERROR(AF116/AE116-1,"--")</f>
        <v>0.74398931433659832</v>
      </c>
      <c r="AG118" s="311"/>
      <c r="AH118" s="308">
        <f>IFERROR(AH116/AF116-1,"--")</f>
        <v>-0.42598927750829718</v>
      </c>
      <c r="AI118" s="308">
        <f>IFERROR(AI116/AH116-1,"--")</f>
        <v>0.52214908379291947</v>
      </c>
      <c r="AJ118" s="308">
        <f>IFERROR(AJ116/AI116-1,"--")</f>
        <v>0.14685600748013083</v>
      </c>
      <c r="AK118" s="308">
        <f>IFERROR(AK116/AJ116-1,"--")</f>
        <v>1.0025299363057325</v>
      </c>
      <c r="AL118" s="311"/>
      <c r="AM118" s="308">
        <f>IFERROR(AM116/AK116-1,"--")</f>
        <v>-0.49992321814570873</v>
      </c>
      <c r="AN118" s="308">
        <f>IFERROR(AN116/AM116-1,"--")</f>
        <v>0.27852711382590067</v>
      </c>
      <c r="AO118" s="308">
        <f>IFERROR(AO116/AN116-1,"--")</f>
        <v>0.20208533618352953</v>
      </c>
      <c r="AP118" s="308">
        <f>IFERROR(AP116/AO116-1,"--")</f>
        <v>0.75871911893183341</v>
      </c>
      <c r="AQ118" s="311"/>
      <c r="AR118" s="308">
        <f>IFERROR(AR116/AP116-1,"--")</f>
        <v>-0.51685869486336933</v>
      </c>
      <c r="AS118" s="308">
        <f>IFERROR(AS116/AR116-1,"--")</f>
        <v>0.23708494058055729</v>
      </c>
      <c r="AT118" s="308">
        <f>IFERROR(AT116/AS116-1,"--")</f>
        <v>0.28551264205411142</v>
      </c>
      <c r="AU118" s="308">
        <f>IFERROR(AU116/AT116-1,"--")</f>
        <v>0.67844492493522557</v>
      </c>
      <c r="AV118" s="311"/>
      <c r="AW118" s="308">
        <f>IFERROR(AW116/AU116-1,"--")</f>
        <v>-0.58696303979939657</v>
      </c>
      <c r="AX118" s="308">
        <f>IFERROR(AX116/AW116-1,"--")</f>
        <v>0.37674545793504022</v>
      </c>
      <c r="AY118" s="308">
        <f>IFERROR(AY116/AX116-1,"--")</f>
        <v>0.37113933532446053</v>
      </c>
      <c r="AZ118" s="308">
        <f>IFERROR(AZ116/AY116-1,"--")</f>
        <v>0.4934052319488591</v>
      </c>
      <c r="BA118" s="311"/>
      <c r="BB118" s="308">
        <f>IFERROR(BB116/AZ116-1,"--")</f>
        <v>-0.51729439609595462</v>
      </c>
      <c r="BC118" s="308">
        <f>IFERROR(BC116/BB116-1,"--")</f>
        <v>0.43017026974947825</v>
      </c>
      <c r="BD118" s="308">
        <f>IFERROR(BD116/BC116-1,"--")</f>
        <v>0.21605317827542869</v>
      </c>
      <c r="BE118" s="308">
        <f>IFERROR(BE116/BD116-1,"--")</f>
        <v>0.49864720638935522</v>
      </c>
      <c r="BF118" s="311"/>
      <c r="BG118" s="308">
        <f>IFERROR(BG116/BE116-1,"--")</f>
        <v>-0.51526670682658693</v>
      </c>
      <c r="BH118" s="308">
        <f>IFERROR(BH116/BG116-1,"--")</f>
        <v>0.36012036237808198</v>
      </c>
      <c r="BI118" s="308">
        <f>IFERROR(BI116/BH116-1,"--")</f>
        <v>0.24807027884833377</v>
      </c>
      <c r="BJ118" s="308">
        <f>IFERROR(BJ116/BI116-1,"--")</f>
        <v>0.48262267074859744</v>
      </c>
      <c r="BK118" s="311"/>
      <c r="BL118" s="308">
        <f>IFERROR(BL116/BJ116-1,"--")</f>
        <v>-0.56143309892458615</v>
      </c>
      <c r="BM118" s="308">
        <f>IFERROR(BM116/BL116-1,"--")</f>
        <v>0.43858832293509642</v>
      </c>
      <c r="BN118" s="308">
        <f>IFERROR(BN116/BM116-1,"--")</f>
        <v>0.25729820700368955</v>
      </c>
      <c r="BO118" s="308">
        <f>IFERROR(BO116/BN116-1,"--")</f>
        <v>0.48640856672158139</v>
      </c>
      <c r="BP118" s="311"/>
    </row>
    <row r="119" spans="1:68" outlineLevel="1">
      <c r="H119" s="309"/>
      <c r="I119" s="322"/>
      <c r="J119" s="322"/>
      <c r="K119" s="322"/>
      <c r="L119" s="322"/>
      <c r="M119" s="321"/>
      <c r="N119" s="322"/>
      <c r="O119" s="322"/>
      <c r="P119" s="322"/>
      <c r="Q119" s="322"/>
      <c r="R119" s="321"/>
      <c r="S119" s="322"/>
      <c r="T119" s="322"/>
      <c r="U119" s="322"/>
      <c r="V119" s="322"/>
      <c r="W119" s="321"/>
      <c r="X119" s="322"/>
      <c r="Y119" s="322"/>
      <c r="Z119" s="322"/>
      <c r="AA119" s="322"/>
      <c r="AB119" s="321"/>
      <c r="AC119" s="322"/>
      <c r="AD119" s="322"/>
      <c r="AE119" s="322"/>
      <c r="AF119" s="322"/>
      <c r="AG119" s="321"/>
      <c r="AH119" s="322"/>
      <c r="AI119" s="322"/>
      <c r="AJ119" s="322"/>
      <c r="AK119" s="322"/>
      <c r="AL119" s="321"/>
      <c r="AM119" s="322"/>
      <c r="AN119" s="322"/>
      <c r="AO119" s="322"/>
      <c r="AP119" s="322"/>
      <c r="AQ119" s="321"/>
      <c r="AR119" s="322"/>
      <c r="AS119" s="322"/>
      <c r="AT119" s="322"/>
      <c r="AU119" s="322"/>
      <c r="AV119" s="321"/>
      <c r="AW119" s="322"/>
      <c r="AX119" s="322"/>
      <c r="AY119" s="322"/>
      <c r="AZ119" s="322"/>
      <c r="BA119" s="321"/>
      <c r="BB119" s="322"/>
      <c r="BC119" s="322"/>
      <c r="BD119" s="322"/>
      <c r="BE119" s="322"/>
      <c r="BF119" s="321"/>
      <c r="BG119" s="322"/>
      <c r="BH119" s="322"/>
      <c r="BI119" s="322"/>
      <c r="BJ119" s="322"/>
      <c r="BK119" s="321"/>
      <c r="BL119" s="322"/>
      <c r="BM119" s="322"/>
      <c r="BN119" s="322"/>
      <c r="BO119" s="322"/>
      <c r="BP119" s="321"/>
    </row>
    <row r="120" spans="1:68" s="306" customFormat="1" outlineLevel="1">
      <c r="A120" s="976"/>
      <c r="B120" s="302" t="s">
        <v>212</v>
      </c>
      <c r="C120" s="303"/>
      <c r="D120" s="304"/>
      <c r="E120" s="304"/>
      <c r="F120" s="304"/>
      <c r="G120" s="304"/>
      <c r="H120" s="305"/>
      <c r="I120" s="304" t="str">
        <f>IFERROR(I40+I112,"--")</f>
        <v>--</v>
      </c>
      <c r="J120" s="304" t="str">
        <f>IFERROR(J40+J112,"--")</f>
        <v>--</v>
      </c>
      <c r="K120" s="304" t="str">
        <f>IFERROR(K40+K112,"--")</f>
        <v>--</v>
      </c>
      <c r="L120" s="304" t="str">
        <f>IFERROR(L40+L112,"--")</f>
        <v>--</v>
      </c>
      <c r="M120" s="305" t="str">
        <f>IFERROR(M40+M112,"--")</f>
        <v>--</v>
      </c>
      <c r="N120" s="304" t="str">
        <f t="shared" ref="N120:AB120" si="69">IFERROR(N40+N112,"--")</f>
        <v>--</v>
      </c>
      <c r="O120" s="304" t="str">
        <f t="shared" si="69"/>
        <v>--</v>
      </c>
      <c r="P120" s="304" t="str">
        <f t="shared" si="69"/>
        <v>--</v>
      </c>
      <c r="Q120" s="304" t="str">
        <f t="shared" si="69"/>
        <v>--</v>
      </c>
      <c r="R120" s="305" t="str">
        <f t="shared" si="69"/>
        <v>--</v>
      </c>
      <c r="S120" s="304" t="str">
        <f t="shared" si="69"/>
        <v>--</v>
      </c>
      <c r="T120" s="304" t="str">
        <f t="shared" si="69"/>
        <v>--</v>
      </c>
      <c r="U120" s="304" t="str">
        <f t="shared" si="69"/>
        <v>--</v>
      </c>
      <c r="V120" s="304" t="str">
        <f t="shared" si="69"/>
        <v>--</v>
      </c>
      <c r="W120" s="305" t="str">
        <f t="shared" si="69"/>
        <v>--</v>
      </c>
      <c r="X120" s="304" t="str">
        <f t="shared" si="69"/>
        <v>--</v>
      </c>
      <c r="Y120" s="304" t="str">
        <f t="shared" si="69"/>
        <v>--</v>
      </c>
      <c r="Z120" s="304" t="str">
        <f t="shared" si="69"/>
        <v>--</v>
      </c>
      <c r="AA120" s="304" t="str">
        <f t="shared" si="69"/>
        <v>--</v>
      </c>
      <c r="AB120" s="305" t="str">
        <f t="shared" si="69"/>
        <v>--</v>
      </c>
      <c r="AC120" s="304" t="str">
        <f>IFERROR(AC40+AC112,"--")</f>
        <v>--</v>
      </c>
      <c r="AD120" s="304" t="str">
        <f>IFERROR(AD40+AD112,"--")</f>
        <v>--</v>
      </c>
      <c r="AE120" s="304">
        <f>IFERROR(AE40+AE112,"--")</f>
        <v>224.61823000000001</v>
      </c>
      <c r="AF120" s="304">
        <f>IFERROR(AF40+AF112,"--")</f>
        <v>391.62779999999998</v>
      </c>
      <c r="AG120" s="305" t="str">
        <f>IFERROR(AG40+AG112,"--")</f>
        <v>--</v>
      </c>
      <c r="AH120" s="304">
        <f t="shared" ref="AH120:BK120" si="70">IFERROR(AH40+AH112,"--")</f>
        <v>224.80629999999996</v>
      </c>
      <c r="AI120" s="304">
        <f t="shared" si="70"/>
        <v>341.15165999999999</v>
      </c>
      <c r="AJ120" s="304">
        <f t="shared" si="70"/>
        <v>393.58653999999996</v>
      </c>
      <c r="AK120" s="304">
        <f t="shared" si="70"/>
        <v>785.99979999999994</v>
      </c>
      <c r="AL120" s="305">
        <f t="shared" si="70"/>
        <v>1706.4295999999999</v>
      </c>
      <c r="AM120" s="304">
        <f t="shared" si="70"/>
        <v>396.38620000000003</v>
      </c>
      <c r="AN120" s="304">
        <f t="shared" si="70"/>
        <v>507.77889999999996</v>
      </c>
      <c r="AO120" s="304">
        <f t="shared" si="70"/>
        <v>617.25110000000018</v>
      </c>
      <c r="AP120" s="304">
        <f t="shared" si="70"/>
        <v>1060.0084999999999</v>
      </c>
      <c r="AQ120" s="305">
        <f t="shared" si="70"/>
        <v>2661.7849000000001</v>
      </c>
      <c r="AR120" s="304">
        <f t="shared" si="70"/>
        <v>513.29699999999991</v>
      </c>
      <c r="AS120" s="304">
        <f t="shared" si="70"/>
        <v>635.00490000000013</v>
      </c>
      <c r="AT120" s="304">
        <f t="shared" si="70"/>
        <v>816.3300999999999</v>
      </c>
      <c r="AU120" s="304">
        <f t="shared" si="70"/>
        <v>1370.1048000000001</v>
      </c>
      <c r="AV120" s="305">
        <f t="shared" si="70"/>
        <v>3334.7368000000001</v>
      </c>
      <c r="AW120" s="304">
        <f t="shared" si="70"/>
        <v>565.97879999999975</v>
      </c>
      <c r="AX120" s="304">
        <f t="shared" si="70"/>
        <v>779.09129999999993</v>
      </c>
      <c r="AY120" s="304">
        <f t="shared" si="70"/>
        <v>1088.3744000000002</v>
      </c>
      <c r="AZ120" s="304">
        <f t="shared" si="70"/>
        <v>1575.4432000000002</v>
      </c>
      <c r="BA120" s="305">
        <f t="shared" si="70"/>
        <v>4008.9259999999999</v>
      </c>
      <c r="BB120" s="304">
        <f t="shared" si="70"/>
        <v>770.0324999999998</v>
      </c>
      <c r="BC120" s="304">
        <f t="shared" si="70"/>
        <v>1101.3393000000001</v>
      </c>
      <c r="BD120" s="304">
        <f t="shared" si="70"/>
        <v>1365.8375999999998</v>
      </c>
      <c r="BE120" s="304">
        <f t="shared" si="70"/>
        <v>1956.0743000000004</v>
      </c>
      <c r="BF120" s="305">
        <f t="shared" si="70"/>
        <v>5129.9381000000003</v>
      </c>
      <c r="BG120" s="304">
        <f t="shared" si="70"/>
        <v>1046.1518999999996</v>
      </c>
      <c r="BH120" s="304">
        <f t="shared" si="70"/>
        <v>1314.9896000000001</v>
      </c>
      <c r="BI120" s="304">
        <f t="shared" si="70"/>
        <v>1582.5052999999998</v>
      </c>
      <c r="BJ120" s="304">
        <f t="shared" si="70"/>
        <v>2359.3832000000002</v>
      </c>
      <c r="BK120" s="305">
        <f t="shared" si="70"/>
        <v>6301.8047000000006</v>
      </c>
      <c r="BL120" s="304">
        <f>IFERROR(BL40+BL112,"--")</f>
        <v>1397.4728000000002</v>
      </c>
      <c r="BM120" s="304">
        <f>IFERROR(BM40+BM112,"--")</f>
        <v>1630.0819000000001</v>
      </c>
      <c r="BN120" s="304">
        <f>IFERROR(BN40+BN112,"--")</f>
        <v>2003.7672999999995</v>
      </c>
      <c r="BO120" s="304">
        <f>IFERROR(BO40+BO112,"--")</f>
        <v>2915.5643</v>
      </c>
      <c r="BP120" s="305">
        <f>IFERROR(BP40+BP112,"--")</f>
        <v>8115.3697000000011</v>
      </c>
    </row>
    <row r="121" spans="1:68" s="310" customFormat="1" outlineLevel="1">
      <c r="A121" s="919"/>
      <c r="B121" s="307" t="s">
        <v>204</v>
      </c>
      <c r="C121" s="307"/>
      <c r="D121" s="323"/>
      <c r="E121" s="323"/>
      <c r="F121" s="323"/>
      <c r="G121" s="323"/>
      <c r="H121" s="309"/>
      <c r="I121" s="308" t="str">
        <f t="shared" ref="I121:AN121" si="71">IFERROR(I120/D120-1,"--")</f>
        <v>--</v>
      </c>
      <c r="J121" s="308" t="str">
        <f t="shared" si="71"/>
        <v>--</v>
      </c>
      <c r="K121" s="308" t="str">
        <f t="shared" si="71"/>
        <v>--</v>
      </c>
      <c r="L121" s="308" t="str">
        <f t="shared" si="71"/>
        <v>--</v>
      </c>
      <c r="M121" s="309" t="str">
        <f t="shared" si="71"/>
        <v>--</v>
      </c>
      <c r="N121" s="308" t="str">
        <f t="shared" si="71"/>
        <v>--</v>
      </c>
      <c r="O121" s="308" t="str">
        <f t="shared" si="71"/>
        <v>--</v>
      </c>
      <c r="P121" s="308" t="str">
        <f t="shared" si="71"/>
        <v>--</v>
      </c>
      <c r="Q121" s="308" t="str">
        <f t="shared" si="71"/>
        <v>--</v>
      </c>
      <c r="R121" s="309" t="str">
        <f t="shared" si="71"/>
        <v>--</v>
      </c>
      <c r="S121" s="308" t="str">
        <f t="shared" si="71"/>
        <v>--</v>
      </c>
      <c r="T121" s="308" t="str">
        <f t="shared" si="71"/>
        <v>--</v>
      </c>
      <c r="U121" s="308" t="str">
        <f t="shared" si="71"/>
        <v>--</v>
      </c>
      <c r="V121" s="308" t="str">
        <f t="shared" si="71"/>
        <v>--</v>
      </c>
      <c r="W121" s="309" t="str">
        <f t="shared" si="71"/>
        <v>--</v>
      </c>
      <c r="X121" s="308" t="str">
        <f t="shared" si="71"/>
        <v>--</v>
      </c>
      <c r="Y121" s="308" t="str">
        <f t="shared" si="71"/>
        <v>--</v>
      </c>
      <c r="Z121" s="308" t="str">
        <f t="shared" si="71"/>
        <v>--</v>
      </c>
      <c r="AA121" s="308" t="str">
        <f t="shared" si="71"/>
        <v>--</v>
      </c>
      <c r="AB121" s="309" t="str">
        <f t="shared" si="71"/>
        <v>--</v>
      </c>
      <c r="AC121" s="308" t="str">
        <f t="shared" si="71"/>
        <v>--</v>
      </c>
      <c r="AD121" s="308" t="str">
        <f t="shared" si="71"/>
        <v>--</v>
      </c>
      <c r="AE121" s="308" t="str">
        <f t="shared" si="71"/>
        <v>--</v>
      </c>
      <c r="AF121" s="308" t="str">
        <f t="shared" si="71"/>
        <v>--</v>
      </c>
      <c r="AG121" s="309" t="str">
        <f t="shared" si="71"/>
        <v>--</v>
      </c>
      <c r="AH121" s="308" t="str">
        <f t="shared" si="71"/>
        <v>--</v>
      </c>
      <c r="AI121" s="308" t="str">
        <f t="shared" si="71"/>
        <v>--</v>
      </c>
      <c r="AJ121" s="308">
        <f t="shared" si="71"/>
        <v>0.75224664534129726</v>
      </c>
      <c r="AK121" s="308">
        <f t="shared" si="71"/>
        <v>1.0070071634342606</v>
      </c>
      <c r="AL121" s="309" t="str">
        <f t="shared" si="71"/>
        <v>--</v>
      </c>
      <c r="AM121" s="308">
        <f t="shared" si="71"/>
        <v>0.76323439334217991</v>
      </c>
      <c r="AN121" s="308">
        <f t="shared" si="71"/>
        <v>0.48842570486099923</v>
      </c>
      <c r="AO121" s="308">
        <f t="shared" ref="AO121:BP121" si="72">IFERROR(AO120/AJ120-1,"--")</f>
        <v>0.568272888600307</v>
      </c>
      <c r="AP121" s="308">
        <f t="shared" si="72"/>
        <v>0.34861166631340113</v>
      </c>
      <c r="AQ121" s="309">
        <f t="shared" si="72"/>
        <v>0.55985626362786967</v>
      </c>
      <c r="AR121" s="308">
        <f t="shared" si="72"/>
        <v>0.29494165033999642</v>
      </c>
      <c r="AS121" s="308">
        <f t="shared" si="72"/>
        <v>0.25055393203616805</v>
      </c>
      <c r="AT121" s="308">
        <f t="shared" si="72"/>
        <v>0.3225251441431205</v>
      </c>
      <c r="AU121" s="308">
        <f t="shared" si="72"/>
        <v>0.29254133339496824</v>
      </c>
      <c r="AV121" s="309">
        <f t="shared" si="72"/>
        <v>0.25281979020919376</v>
      </c>
      <c r="AW121" s="308">
        <f t="shared" si="72"/>
        <v>0.10263414748186683</v>
      </c>
      <c r="AX121" s="308">
        <f t="shared" si="72"/>
        <v>0.2269059656075092</v>
      </c>
      <c r="AY121" s="308">
        <f t="shared" si="72"/>
        <v>0.33325281035208709</v>
      </c>
      <c r="AZ121" s="308">
        <f t="shared" si="72"/>
        <v>0.14987057924328129</v>
      </c>
      <c r="BA121" s="309">
        <f t="shared" si="72"/>
        <v>0.20217163765368218</v>
      </c>
      <c r="BB121" s="308">
        <f t="shared" si="72"/>
        <v>0.36053240863438729</v>
      </c>
      <c r="BC121" s="308">
        <f t="shared" si="72"/>
        <v>0.41362032922200531</v>
      </c>
      <c r="BD121" s="308">
        <f t="shared" si="72"/>
        <v>0.25493359638006896</v>
      </c>
      <c r="BE121" s="308">
        <f t="shared" si="72"/>
        <v>0.24160255349097981</v>
      </c>
      <c r="BF121" s="309">
        <f t="shared" si="72"/>
        <v>0.27962903281327733</v>
      </c>
      <c r="BG121" s="308">
        <f t="shared" si="72"/>
        <v>0.35858148844366933</v>
      </c>
      <c r="BH121" s="308">
        <f t="shared" si="72"/>
        <v>0.19399135216549523</v>
      </c>
      <c r="BI121" s="308">
        <f t="shared" si="72"/>
        <v>0.15863357400616285</v>
      </c>
      <c r="BJ121" s="308">
        <f t="shared" si="72"/>
        <v>0.20618281217640844</v>
      </c>
      <c r="BK121" s="309">
        <f t="shared" si="72"/>
        <v>0.22843679146927731</v>
      </c>
      <c r="BL121" s="308">
        <f t="shared" si="72"/>
        <v>0.33582207325723989</v>
      </c>
      <c r="BM121" s="308">
        <f t="shared" si="72"/>
        <v>0.23961581141021959</v>
      </c>
      <c r="BN121" s="308">
        <f t="shared" si="72"/>
        <v>0.26619942441898914</v>
      </c>
      <c r="BO121" s="308">
        <f t="shared" si="72"/>
        <v>0.23573156747068458</v>
      </c>
      <c r="BP121" s="309">
        <f t="shared" si="72"/>
        <v>0.28778502132889017</v>
      </c>
    </row>
    <row r="122" spans="1:68" s="310" customFormat="1" outlineLevel="1">
      <c r="A122" s="919"/>
      <c r="B122" s="307" t="s">
        <v>205</v>
      </c>
      <c r="C122" s="307"/>
      <c r="D122" s="323"/>
      <c r="E122" s="308"/>
      <c r="F122" s="308"/>
      <c r="G122" s="308"/>
      <c r="H122" s="309"/>
      <c r="I122" s="308" t="str">
        <f>IFERROR(I120/G120-1,"--")</f>
        <v>--</v>
      </c>
      <c r="J122" s="308" t="str">
        <f>IFERROR(J120/I120-1,"--")</f>
        <v>--</v>
      </c>
      <c r="K122" s="308" t="str">
        <f>IFERROR(K120/J120-1,"--")</f>
        <v>--</v>
      </c>
      <c r="L122" s="308" t="str">
        <f>IFERROR(L120/K120-1,"--")</f>
        <v>--</v>
      </c>
      <c r="M122" s="311"/>
      <c r="N122" s="308" t="str">
        <f>IFERROR(N120/L120-1,"--")</f>
        <v>--</v>
      </c>
      <c r="O122" s="308" t="str">
        <f>IFERROR(O120/N120-1,"--")</f>
        <v>--</v>
      </c>
      <c r="P122" s="308" t="str">
        <f>IFERROR(P120/O120-1,"--")</f>
        <v>--</v>
      </c>
      <c r="Q122" s="308" t="str">
        <f>IFERROR(Q120/P120-1,"--")</f>
        <v>--</v>
      </c>
      <c r="R122" s="311"/>
      <c r="S122" s="308" t="str">
        <f>IFERROR(S120/Q120-1,"--")</f>
        <v>--</v>
      </c>
      <c r="T122" s="308" t="str">
        <f>IFERROR(T120/S120-1,"--")</f>
        <v>--</v>
      </c>
      <c r="U122" s="308" t="str">
        <f>IFERROR(U120/T120-1,"--")</f>
        <v>--</v>
      </c>
      <c r="V122" s="308" t="str">
        <f>IFERROR(V120/U120-1,"--")</f>
        <v>--</v>
      </c>
      <c r="W122" s="311"/>
      <c r="X122" s="308" t="str">
        <f>IFERROR(X120/V120-1,"--")</f>
        <v>--</v>
      </c>
      <c r="Y122" s="308" t="str">
        <f>IFERROR(Y120/X120-1,"--")</f>
        <v>--</v>
      </c>
      <c r="Z122" s="308" t="str">
        <f>IFERROR(Z120/Y120-1,"--")</f>
        <v>--</v>
      </c>
      <c r="AA122" s="308" t="str">
        <f>IFERROR(AA120/Z120-1,"--")</f>
        <v>--</v>
      </c>
      <c r="AB122" s="311"/>
      <c r="AC122" s="308" t="str">
        <f>IFERROR(AC120/AA120-1,"--")</f>
        <v>--</v>
      </c>
      <c r="AD122" s="308" t="str">
        <f>IFERROR(AD120/AC120-1,"--")</f>
        <v>--</v>
      </c>
      <c r="AE122" s="308" t="str">
        <f>IFERROR(AE120/AD120-1,"--")</f>
        <v>--</v>
      </c>
      <c r="AF122" s="308">
        <f>IFERROR(AF120/AE120-1,"--")</f>
        <v>0.74352633800025925</v>
      </c>
      <c r="AG122" s="311"/>
      <c r="AH122" s="308">
        <f>IFERROR(AH120/AF120-1,"--")</f>
        <v>-0.42596950471851081</v>
      </c>
      <c r="AI122" s="308">
        <f>IFERROR(AI120/AH120-1,"--")</f>
        <v>0.51753602990663539</v>
      </c>
      <c r="AJ122" s="308">
        <f>IFERROR(AJ120/AI120-1,"--")</f>
        <v>0.15369961852156888</v>
      </c>
      <c r="AK122" s="308">
        <f>IFERROR(AK120/AJ120-1,"--")</f>
        <v>0.99701900374946772</v>
      </c>
      <c r="AL122" s="311"/>
      <c r="AM122" s="308">
        <f>IFERROR(AM120/AK120-1,"--")</f>
        <v>-0.49569172918364601</v>
      </c>
      <c r="AN122" s="308">
        <f>IFERROR(AN120/AM120-1,"--")</f>
        <v>0.28102063088977358</v>
      </c>
      <c r="AO122" s="308">
        <f>IFERROR(AO120/AN120-1,"--")</f>
        <v>0.21559028939564095</v>
      </c>
      <c r="AP122" s="308">
        <f>IFERROR(AP120/AO120-1,"--")</f>
        <v>0.71730516154608659</v>
      </c>
      <c r="AQ122" s="311"/>
      <c r="AR122" s="308">
        <f>IFERROR(AR120/AP120-1,"--")</f>
        <v>-0.51576143021494647</v>
      </c>
      <c r="AS122" s="308">
        <f>IFERROR(AS120/AR120-1,"--")</f>
        <v>0.23711009415601536</v>
      </c>
      <c r="AT122" s="308">
        <f>IFERROR(AT120/AS120-1,"--")</f>
        <v>0.28554929261175732</v>
      </c>
      <c r="AU122" s="308">
        <f>IFERROR(AU120/AT120-1,"--")</f>
        <v>0.67837104132262205</v>
      </c>
      <c r="AV122" s="311"/>
      <c r="AW122" s="308">
        <f>IFERROR(AW120/AU120-1,"--")</f>
        <v>-0.58690838832182779</v>
      </c>
      <c r="AX122" s="308">
        <f>IFERROR(AX120/AW120-1,"--")</f>
        <v>0.37653795513188881</v>
      </c>
      <c r="AY122" s="308">
        <f>IFERROR(AY120/AX120-1,"--")</f>
        <v>0.39697927572801839</v>
      </c>
      <c r="AZ122" s="308">
        <f>IFERROR(AZ120/AY120-1,"--")</f>
        <v>0.44751953004407308</v>
      </c>
      <c r="BA122" s="311"/>
      <c r="BB122" s="308">
        <f>IFERROR(BB120/AZ120-1,"--")</f>
        <v>-0.51122801507537707</v>
      </c>
      <c r="BC122" s="308">
        <f>IFERROR(BC120/BB120-1,"--")</f>
        <v>0.43025041150860566</v>
      </c>
      <c r="BD122" s="308">
        <f>IFERROR(BD120/BC120-1,"--")</f>
        <v>0.24016059356094877</v>
      </c>
      <c r="BE122" s="308">
        <f>IFERROR(BE120/BD120-1,"--")</f>
        <v>0.43214266469161533</v>
      </c>
      <c r="BF122" s="311"/>
      <c r="BG122" s="308">
        <f>IFERROR(BG120/BE120-1,"--")</f>
        <v>-0.46517783092390741</v>
      </c>
      <c r="BH122" s="308">
        <f>IFERROR(BH120/BG120-1,"--")</f>
        <v>0.25697769128938219</v>
      </c>
      <c r="BI122" s="308">
        <f>IFERROR(BI120/BH120-1,"--")</f>
        <v>0.20343560131578209</v>
      </c>
      <c r="BJ122" s="308">
        <f>IFERROR(BJ120/BI120-1,"--")</f>
        <v>0.49091646012180834</v>
      </c>
      <c r="BK122" s="311"/>
      <c r="BL122" s="308">
        <f>IFERROR(BL120/BJ120-1,"--")</f>
        <v>-0.40769570623373086</v>
      </c>
      <c r="BM122" s="308">
        <f>IFERROR(BM120/BL120-1,"--")</f>
        <v>0.16644982285165044</v>
      </c>
      <c r="BN122" s="308">
        <f>IFERROR(BN120/BM120-1,"--")</f>
        <v>0.22924332820332483</v>
      </c>
      <c r="BO122" s="308">
        <f>IFERROR(BO120/BN120-1,"--")</f>
        <v>0.45504136133971285</v>
      </c>
      <c r="BP122" s="311"/>
    </row>
    <row r="123" spans="1:68" s="310" customFormat="1" outlineLevel="1">
      <c r="A123" s="293"/>
      <c r="B123" s="307"/>
      <c r="C123" s="307"/>
      <c r="D123" s="323"/>
      <c r="E123" s="308"/>
      <c r="F123" s="308"/>
      <c r="G123" s="308"/>
      <c r="H123" s="309"/>
      <c r="I123" s="308"/>
      <c r="J123" s="308"/>
      <c r="K123" s="308"/>
      <c r="L123" s="308"/>
      <c r="M123" s="311"/>
      <c r="N123" s="308"/>
      <c r="O123" s="308"/>
      <c r="P123" s="308"/>
      <c r="Q123" s="308"/>
      <c r="R123" s="311"/>
      <c r="S123" s="308"/>
      <c r="T123" s="308"/>
      <c r="U123" s="308"/>
      <c r="V123" s="308"/>
      <c r="W123" s="311"/>
      <c r="X123" s="308"/>
      <c r="Y123" s="308"/>
      <c r="Z123" s="308"/>
      <c r="AA123" s="308"/>
      <c r="AB123" s="311"/>
      <c r="AC123" s="308"/>
      <c r="AD123" s="308"/>
      <c r="AE123" s="308"/>
      <c r="AF123" s="308"/>
      <c r="AG123" s="311"/>
      <c r="AH123" s="308"/>
      <c r="AI123" s="308"/>
      <c r="AJ123" s="308"/>
      <c r="AK123" s="308"/>
      <c r="AL123" s="311"/>
      <c r="AM123" s="308"/>
      <c r="AN123" s="308"/>
      <c r="AO123" s="308"/>
      <c r="AP123" s="308"/>
      <c r="AQ123" s="311"/>
      <c r="AR123" s="308"/>
      <c r="AS123" s="308"/>
      <c r="AT123" s="308"/>
      <c r="AU123" s="308"/>
      <c r="AV123" s="311"/>
      <c r="AW123" s="308"/>
      <c r="AX123" s="308"/>
      <c r="AY123" s="308"/>
      <c r="AZ123" s="308"/>
      <c r="BA123" s="311"/>
      <c r="BB123" s="308"/>
      <c r="BC123" s="308"/>
      <c r="BD123" s="308"/>
      <c r="BE123" s="308"/>
      <c r="BF123" s="311"/>
      <c r="BG123" s="308"/>
      <c r="BH123" s="308"/>
      <c r="BI123" s="308"/>
      <c r="BJ123" s="308"/>
      <c r="BK123" s="311"/>
      <c r="BL123" s="308"/>
      <c r="BM123" s="308"/>
      <c r="BN123" s="308"/>
      <c r="BO123" s="308"/>
      <c r="BP123" s="311"/>
    </row>
    <row r="124" spans="1:68" s="306" customFormat="1" outlineLevel="1">
      <c r="A124" s="283"/>
      <c r="B124" s="302" t="s">
        <v>213</v>
      </c>
      <c r="C124" s="303"/>
      <c r="D124" s="304"/>
      <c r="E124" s="304"/>
      <c r="F124" s="304"/>
      <c r="G124" s="304"/>
      <c r="H124" s="305"/>
      <c r="I124" s="304" t="str">
        <f>IFERROR(I40+I104,"--")</f>
        <v>--</v>
      </c>
      <c r="J124" s="304" t="str">
        <f>IFERROR(J40+J104,"--")</f>
        <v>--</v>
      </c>
      <c r="K124" s="304" t="str">
        <f>IFERROR(K40+K104,"--")</f>
        <v>--</v>
      </c>
      <c r="L124" s="304" t="str">
        <f>IFERROR(L40+L104,"--")</f>
        <v>--</v>
      </c>
      <c r="M124" s="305" t="str">
        <f>IFERROR(M40+M104,"--")</f>
        <v>--</v>
      </c>
      <c r="N124" s="304" t="str">
        <f t="shared" ref="N124:AB124" si="73">IFERROR(N40+N104,"--")</f>
        <v>--</v>
      </c>
      <c r="O124" s="304" t="str">
        <f t="shared" si="73"/>
        <v>--</v>
      </c>
      <c r="P124" s="304" t="str">
        <f t="shared" si="73"/>
        <v>--</v>
      </c>
      <c r="Q124" s="304" t="str">
        <f t="shared" si="73"/>
        <v>--</v>
      </c>
      <c r="R124" s="305" t="str">
        <f t="shared" si="73"/>
        <v>--</v>
      </c>
      <c r="S124" s="304" t="str">
        <f t="shared" si="73"/>
        <v>--</v>
      </c>
      <c r="T124" s="304" t="str">
        <f t="shared" si="73"/>
        <v>--</v>
      </c>
      <c r="U124" s="304" t="str">
        <f t="shared" si="73"/>
        <v>--</v>
      </c>
      <c r="V124" s="304" t="str">
        <f t="shared" si="73"/>
        <v>--</v>
      </c>
      <c r="W124" s="305" t="str">
        <f t="shared" si="73"/>
        <v>--</v>
      </c>
      <c r="X124" s="304" t="str">
        <f t="shared" si="73"/>
        <v>--</v>
      </c>
      <c r="Y124" s="304" t="str">
        <f t="shared" si="73"/>
        <v>--</v>
      </c>
      <c r="Z124" s="304" t="str">
        <f t="shared" si="73"/>
        <v>--</v>
      </c>
      <c r="AA124" s="304" t="str">
        <f t="shared" si="73"/>
        <v>--</v>
      </c>
      <c r="AB124" s="305" t="str">
        <f t="shared" si="73"/>
        <v>--</v>
      </c>
      <c r="AC124" s="304" t="str">
        <f>IFERROR(AC40+AC104,"--")</f>
        <v>--</v>
      </c>
      <c r="AD124" s="304" t="str">
        <f>IFERROR(AD40+AD104,"--")</f>
        <v>--</v>
      </c>
      <c r="AE124" s="304">
        <f>IFERROR(AE40+AE104,"--")</f>
        <v>224.23675999999998</v>
      </c>
      <c r="AF124" s="304">
        <f>IFERROR(AF40+AF104,"--")</f>
        <v>390.95024000000001</v>
      </c>
      <c r="AG124" s="305" t="str">
        <f>IFERROR(AG40+AG104,"--")</f>
        <v>--</v>
      </c>
      <c r="AH124" s="304">
        <f t="shared" ref="AH124:BK124" si="74">IFERROR(AH40+AH104,"--")</f>
        <v>225.31920000000002</v>
      </c>
      <c r="AI124" s="304">
        <f t="shared" si="74"/>
        <v>338.89029999999991</v>
      </c>
      <c r="AJ124" s="304">
        <f t="shared" si="74"/>
        <v>392.36250000000001</v>
      </c>
      <c r="AK124" s="304">
        <f t="shared" si="74"/>
        <v>781.97349999999994</v>
      </c>
      <c r="AL124" s="305">
        <f t="shared" si="74"/>
        <v>1738.5432000000001</v>
      </c>
      <c r="AM124" s="304">
        <f t="shared" si="74"/>
        <v>397.19770000000005</v>
      </c>
      <c r="AN124" s="304">
        <f t="shared" si="74"/>
        <v>509.32699999999994</v>
      </c>
      <c r="AO124" s="304">
        <f t="shared" si="74"/>
        <v>617.72320000000013</v>
      </c>
      <c r="AP124" s="304">
        <f t="shared" si="74"/>
        <v>1056.9282999999998</v>
      </c>
      <c r="AQ124" s="305">
        <f t="shared" si="74"/>
        <v>2581.1219000000001</v>
      </c>
      <c r="AR124" s="304">
        <f t="shared" si="74"/>
        <v>510.53690000000017</v>
      </c>
      <c r="AS124" s="304">
        <f t="shared" si="74"/>
        <v>636.73630000000003</v>
      </c>
      <c r="AT124" s="304">
        <f t="shared" si="74"/>
        <v>816.68419999999992</v>
      </c>
      <c r="AU124" s="304">
        <f t="shared" si="74"/>
        <v>1367.8353000000002</v>
      </c>
      <c r="AV124" s="305">
        <f t="shared" si="74"/>
        <v>3331.8482000000004</v>
      </c>
      <c r="AW124" s="304">
        <f t="shared" si="74"/>
        <v>565.63019999999972</v>
      </c>
      <c r="AX124" s="304">
        <f t="shared" si="74"/>
        <v>781.52319999999997</v>
      </c>
      <c r="AY124" s="304">
        <f t="shared" si="74"/>
        <v>1068.6614000000002</v>
      </c>
      <c r="AZ124" s="304">
        <f t="shared" si="74"/>
        <v>1593.4155000000001</v>
      </c>
      <c r="BA124" s="305">
        <f t="shared" si="74"/>
        <v>4009.2303000000002</v>
      </c>
      <c r="BB124" s="304">
        <f t="shared" si="74"/>
        <v>771.68190000000004</v>
      </c>
      <c r="BC124" s="304">
        <f t="shared" si="74"/>
        <v>1103.4719</v>
      </c>
      <c r="BD124" s="304">
        <f t="shared" si="74"/>
        <v>1367.0983999999999</v>
      </c>
      <c r="BE124" s="304">
        <f t="shared" si="74"/>
        <v>1923.8352000000002</v>
      </c>
      <c r="BF124" s="305">
        <f t="shared" si="74"/>
        <v>5085.7913000000008</v>
      </c>
      <c r="BG124" s="304">
        <f t="shared" si="74"/>
        <v>1089.6166000000001</v>
      </c>
      <c r="BH124" s="304">
        <f t="shared" si="74"/>
        <v>1310.7468999999999</v>
      </c>
      <c r="BI124" s="304">
        <f t="shared" si="74"/>
        <v>1535.2550000000001</v>
      </c>
      <c r="BJ124" s="304">
        <f t="shared" si="74"/>
        <v>2284.6965</v>
      </c>
      <c r="BK124" s="305">
        <f t="shared" si="74"/>
        <v>6226.1540000000005</v>
      </c>
      <c r="BL124" s="304" t="str">
        <f>IFERROR(BL40+BL104,"--")</f>
        <v>--</v>
      </c>
      <c r="BM124" s="304" t="str">
        <f>IFERROR(BM40+BM104,"--")</f>
        <v>--</v>
      </c>
      <c r="BN124" s="304" t="str">
        <f>IFERROR(BN40+BN104,"--")</f>
        <v>--</v>
      </c>
      <c r="BO124" s="304" t="str">
        <f>IFERROR(BO40+BO104,"--")</f>
        <v>--</v>
      </c>
      <c r="BP124" s="305">
        <f>IFERROR(BP40+BP104,"--")</f>
        <v>7994.3360000000002</v>
      </c>
    </row>
    <row r="125" spans="1:68" s="310" customFormat="1" outlineLevel="1">
      <c r="A125" s="293"/>
      <c r="B125" s="307" t="s">
        <v>204</v>
      </c>
      <c r="C125" s="307"/>
      <c r="D125" s="323"/>
      <c r="E125" s="323"/>
      <c r="F125" s="323"/>
      <c r="G125" s="323"/>
      <c r="H125" s="309"/>
      <c r="I125" s="308" t="str">
        <f t="shared" ref="I125:AN125" si="75">IFERROR(I124/D124-1,"--")</f>
        <v>--</v>
      </c>
      <c r="J125" s="308" t="str">
        <f t="shared" si="75"/>
        <v>--</v>
      </c>
      <c r="K125" s="308" t="str">
        <f t="shared" si="75"/>
        <v>--</v>
      </c>
      <c r="L125" s="308" t="str">
        <f t="shared" si="75"/>
        <v>--</v>
      </c>
      <c r="M125" s="309" t="str">
        <f t="shared" si="75"/>
        <v>--</v>
      </c>
      <c r="N125" s="308" t="str">
        <f t="shared" si="75"/>
        <v>--</v>
      </c>
      <c r="O125" s="308" t="str">
        <f t="shared" si="75"/>
        <v>--</v>
      </c>
      <c r="P125" s="308" t="str">
        <f t="shared" si="75"/>
        <v>--</v>
      </c>
      <c r="Q125" s="308" t="str">
        <f t="shared" si="75"/>
        <v>--</v>
      </c>
      <c r="R125" s="309" t="str">
        <f t="shared" si="75"/>
        <v>--</v>
      </c>
      <c r="S125" s="308" t="str">
        <f t="shared" si="75"/>
        <v>--</v>
      </c>
      <c r="T125" s="308" t="str">
        <f t="shared" si="75"/>
        <v>--</v>
      </c>
      <c r="U125" s="308" t="str">
        <f t="shared" si="75"/>
        <v>--</v>
      </c>
      <c r="V125" s="308" t="str">
        <f t="shared" si="75"/>
        <v>--</v>
      </c>
      <c r="W125" s="309" t="str">
        <f t="shared" si="75"/>
        <v>--</v>
      </c>
      <c r="X125" s="308" t="str">
        <f t="shared" si="75"/>
        <v>--</v>
      </c>
      <c r="Y125" s="308" t="str">
        <f t="shared" si="75"/>
        <v>--</v>
      </c>
      <c r="Z125" s="308" t="str">
        <f t="shared" si="75"/>
        <v>--</v>
      </c>
      <c r="AA125" s="308" t="str">
        <f t="shared" si="75"/>
        <v>--</v>
      </c>
      <c r="AB125" s="309" t="str">
        <f t="shared" si="75"/>
        <v>--</v>
      </c>
      <c r="AC125" s="308" t="str">
        <f t="shared" si="75"/>
        <v>--</v>
      </c>
      <c r="AD125" s="308" t="str">
        <f t="shared" si="75"/>
        <v>--</v>
      </c>
      <c r="AE125" s="308" t="str">
        <f t="shared" si="75"/>
        <v>--</v>
      </c>
      <c r="AF125" s="308" t="str">
        <f t="shared" si="75"/>
        <v>--</v>
      </c>
      <c r="AG125" s="309" t="str">
        <f t="shared" si="75"/>
        <v>--</v>
      </c>
      <c r="AH125" s="308" t="str">
        <f t="shared" si="75"/>
        <v>--</v>
      </c>
      <c r="AI125" s="308" t="str">
        <f t="shared" si="75"/>
        <v>--</v>
      </c>
      <c r="AJ125" s="308">
        <f t="shared" si="75"/>
        <v>0.74976886037775459</v>
      </c>
      <c r="AK125" s="308">
        <f t="shared" si="75"/>
        <v>1.0001867756878724</v>
      </c>
      <c r="AL125" s="309" t="str">
        <f t="shared" si="75"/>
        <v>--</v>
      </c>
      <c r="AM125" s="308">
        <f t="shared" si="75"/>
        <v>0.7628222539401881</v>
      </c>
      <c r="AN125" s="308">
        <f t="shared" si="75"/>
        <v>0.50292587306275838</v>
      </c>
      <c r="AO125" s="308">
        <f t="shared" ref="AO125:BP125" si="76">IFERROR(AO124/AJ124-1,"--")</f>
        <v>0.57436860046513138</v>
      </c>
      <c r="AP125" s="308">
        <f t="shared" si="76"/>
        <v>0.35161651897410828</v>
      </c>
      <c r="AQ125" s="309">
        <f t="shared" si="76"/>
        <v>0.48464639820281707</v>
      </c>
      <c r="AR125" s="308">
        <f t="shared" si="76"/>
        <v>0.28534707023731531</v>
      </c>
      <c r="AS125" s="308">
        <f t="shared" si="76"/>
        <v>0.25015225974668542</v>
      </c>
      <c r="AT125" s="308">
        <f t="shared" si="76"/>
        <v>0.32208762759760323</v>
      </c>
      <c r="AU125" s="308">
        <f t="shared" si="76"/>
        <v>0.29416091895732221</v>
      </c>
      <c r="AV125" s="309">
        <f t="shared" si="76"/>
        <v>0.29085271021101344</v>
      </c>
      <c r="AW125" s="308">
        <f t="shared" si="76"/>
        <v>0.10791247410324223</v>
      </c>
      <c r="AX125" s="308">
        <f t="shared" si="76"/>
        <v>0.22738910911785615</v>
      </c>
      <c r="AY125" s="308">
        <f t="shared" si="76"/>
        <v>0.30853688610603736</v>
      </c>
      <c r="AZ125" s="308">
        <f t="shared" si="76"/>
        <v>0.16491766223608928</v>
      </c>
      <c r="BA125" s="309">
        <f t="shared" si="76"/>
        <v>0.20330521060353224</v>
      </c>
      <c r="BB125" s="308">
        <f t="shared" si="76"/>
        <v>0.3642869493177705</v>
      </c>
      <c r="BC125" s="308">
        <f t="shared" si="76"/>
        <v>0.41195027863536238</v>
      </c>
      <c r="BD125" s="308">
        <f t="shared" si="76"/>
        <v>0.27926244926596921</v>
      </c>
      <c r="BE125" s="308">
        <f t="shared" si="76"/>
        <v>0.2073656871042111</v>
      </c>
      <c r="BF125" s="309">
        <f t="shared" si="76"/>
        <v>0.26852061853368725</v>
      </c>
      <c r="BG125" s="308">
        <f t="shared" si="76"/>
        <v>0.41200227710407611</v>
      </c>
      <c r="BH125" s="308">
        <f t="shared" si="76"/>
        <v>0.18783894723553884</v>
      </c>
      <c r="BI125" s="308">
        <f t="shared" si="76"/>
        <v>0.12300255782612313</v>
      </c>
      <c r="BJ125" s="308">
        <f t="shared" si="76"/>
        <v>0.1875739148550768</v>
      </c>
      <c r="BK125" s="309">
        <f t="shared" si="76"/>
        <v>0.22422522528598443</v>
      </c>
      <c r="BL125" s="308" t="str">
        <f t="shared" si="76"/>
        <v>--</v>
      </c>
      <c r="BM125" s="308" t="str">
        <f t="shared" si="76"/>
        <v>--</v>
      </c>
      <c r="BN125" s="308" t="str">
        <f t="shared" si="76"/>
        <v>--</v>
      </c>
      <c r="BO125" s="308" t="str">
        <f t="shared" si="76"/>
        <v>--</v>
      </c>
      <c r="BP125" s="309">
        <f t="shared" si="76"/>
        <v>0.28399265421317876</v>
      </c>
    </row>
    <row r="126" spans="1:68" s="310" customFormat="1" outlineLevel="1">
      <c r="A126" s="293"/>
      <c r="B126" s="307" t="s">
        <v>205</v>
      </c>
      <c r="C126" s="307"/>
      <c r="D126" s="323"/>
      <c r="E126" s="308"/>
      <c r="F126" s="308"/>
      <c r="G126" s="308"/>
      <c r="H126" s="309"/>
      <c r="I126" s="308" t="str">
        <f>IFERROR(I124/G124-1,"--")</f>
        <v>--</v>
      </c>
      <c r="J126" s="308" t="str">
        <f>IFERROR(J124/I124-1,"--")</f>
        <v>--</v>
      </c>
      <c r="K126" s="308" t="str">
        <f>IFERROR(K124/J124-1,"--")</f>
        <v>--</v>
      </c>
      <c r="L126" s="308" t="str">
        <f>IFERROR(L124/K124-1,"--")</f>
        <v>--</v>
      </c>
      <c r="M126" s="311"/>
      <c r="N126" s="308" t="str">
        <f>IFERROR(N124/L124-1,"--")</f>
        <v>--</v>
      </c>
      <c r="O126" s="308" t="str">
        <f>IFERROR(O124/N124-1,"--")</f>
        <v>--</v>
      </c>
      <c r="P126" s="308" t="str">
        <f>IFERROR(P124/O124-1,"--")</f>
        <v>--</v>
      </c>
      <c r="Q126" s="308" t="str">
        <f>IFERROR(Q124/P124-1,"--")</f>
        <v>--</v>
      </c>
      <c r="R126" s="311"/>
      <c r="S126" s="308" t="str">
        <f>IFERROR(S124/Q124-1,"--")</f>
        <v>--</v>
      </c>
      <c r="T126" s="308" t="str">
        <f>IFERROR(T124/S124-1,"--")</f>
        <v>--</v>
      </c>
      <c r="U126" s="308" t="str">
        <f>IFERROR(U124/T124-1,"--")</f>
        <v>--</v>
      </c>
      <c r="V126" s="308" t="str">
        <f>IFERROR(V124/U124-1,"--")</f>
        <v>--</v>
      </c>
      <c r="W126" s="311"/>
      <c r="X126" s="308" t="str">
        <f>IFERROR(X124/V124-1,"--")</f>
        <v>--</v>
      </c>
      <c r="Y126" s="308" t="str">
        <f>IFERROR(Y124/X124-1,"--")</f>
        <v>--</v>
      </c>
      <c r="Z126" s="308" t="str">
        <f>IFERROR(Z124/Y124-1,"--")</f>
        <v>--</v>
      </c>
      <c r="AA126" s="308" t="str">
        <f>IFERROR(AA124/Z124-1,"--")</f>
        <v>--</v>
      </c>
      <c r="AB126" s="311"/>
      <c r="AC126" s="308" t="str">
        <f>IFERROR(AC124/AA124-1,"--")</f>
        <v>--</v>
      </c>
      <c r="AD126" s="308" t="str">
        <f>IFERROR(AD124/AC124-1,"--")</f>
        <v>--</v>
      </c>
      <c r="AE126" s="308" t="str">
        <f>IFERROR(AE124/AD124-1,"--")</f>
        <v>--</v>
      </c>
      <c r="AF126" s="308">
        <f>IFERROR(AF124/AE124-1,"--")</f>
        <v>0.74347078507556064</v>
      </c>
      <c r="AG126" s="311"/>
      <c r="AH126" s="308">
        <f>IFERROR(AH124/AF124-1,"--")</f>
        <v>-0.42366271472297856</v>
      </c>
      <c r="AI126" s="308">
        <f>IFERROR(AI124/AH124-1,"--")</f>
        <v>0.50404537207659117</v>
      </c>
      <c r="AJ126" s="308">
        <f>IFERROR(AJ124/AI124-1,"--")</f>
        <v>0.15778616266089673</v>
      </c>
      <c r="AK126" s="308">
        <f>IFERROR(AK124/AJ124-1,"--")</f>
        <v>0.99298735225715995</v>
      </c>
      <c r="AL126" s="311"/>
      <c r="AM126" s="308">
        <f>IFERROR(AM124/AK124-1,"--")</f>
        <v>-0.49205733953899966</v>
      </c>
      <c r="AN126" s="308">
        <f>IFERROR(AN124/AM124-1,"--")</f>
        <v>0.28230098009127413</v>
      </c>
      <c r="AO126" s="308">
        <f>IFERROR(AO124/AN124-1,"--")</f>
        <v>0.21282241074987218</v>
      </c>
      <c r="AP126" s="308">
        <f>IFERROR(AP124/AO124-1,"--")</f>
        <v>0.71100632127787922</v>
      </c>
      <c r="AQ126" s="311"/>
      <c r="AR126" s="308">
        <f>IFERROR(AR124/AP124-1,"--")</f>
        <v>-0.51696165198717803</v>
      </c>
      <c r="AS126" s="308">
        <f>IFERROR(AS124/AR124-1,"--")</f>
        <v>0.24718957630682481</v>
      </c>
      <c r="AT126" s="308">
        <f>IFERROR(AT124/AS124-1,"--")</f>
        <v>0.28260977110932717</v>
      </c>
      <c r="AU126" s="308">
        <f>IFERROR(AU124/AT124-1,"--")</f>
        <v>0.67486440903350431</v>
      </c>
      <c r="AV126" s="311"/>
      <c r="AW126" s="308">
        <f>IFERROR(AW124/AU124-1,"--")</f>
        <v>-0.58647784568800088</v>
      </c>
      <c r="AX126" s="308">
        <f>IFERROR(AX124/AW124-1,"--")</f>
        <v>0.38168577278936011</v>
      </c>
      <c r="AY126" s="308">
        <f>IFERROR(AY124/AX124-1,"--")</f>
        <v>0.36740841474699693</v>
      </c>
      <c r="AZ126" s="308">
        <f>IFERROR(AZ124/AY124-1,"--")</f>
        <v>0.49103869569912395</v>
      </c>
      <c r="BA126" s="311"/>
      <c r="BB126" s="308">
        <f>IFERROR(BB124/AZ124-1,"--")</f>
        <v>-0.51570579048590903</v>
      </c>
      <c r="BC126" s="308">
        <f>IFERROR(BC124/BB124-1,"--")</f>
        <v>0.42995695506140552</v>
      </c>
      <c r="BD126" s="308">
        <f>IFERROR(BD124/BC124-1,"--")</f>
        <v>0.23890640078827552</v>
      </c>
      <c r="BE126" s="308">
        <f>IFERROR(BE124/BD124-1,"--")</f>
        <v>0.40723974221606896</v>
      </c>
      <c r="BF126" s="311"/>
      <c r="BG126" s="308">
        <f>IFERROR(BG124/BE124-1,"--")</f>
        <v>-0.43362269283772337</v>
      </c>
      <c r="BH126" s="308">
        <f>IFERROR(BH124/BG124-1,"--")</f>
        <v>0.20294321874317967</v>
      </c>
      <c r="BI126" s="308">
        <f>IFERROR(BI124/BH124-1,"--")</f>
        <v>0.17128257179170148</v>
      </c>
      <c r="BJ126" s="308">
        <f>IFERROR(BJ124/BI124-1,"--")</f>
        <v>0.48815441083077404</v>
      </c>
      <c r="BK126" s="311"/>
      <c r="BL126" s="308" t="str">
        <f>IFERROR(BL124/BJ124-1,"--")</f>
        <v>--</v>
      </c>
      <c r="BM126" s="308" t="str">
        <f>IFERROR(BM124/BL124-1,"--")</f>
        <v>--</v>
      </c>
      <c r="BN126" s="308" t="str">
        <f>IFERROR(BN124/BM124-1,"--")</f>
        <v>--</v>
      </c>
      <c r="BO126" s="308" t="str">
        <f>IFERROR(BO124/BN124-1,"--")</f>
        <v>--</v>
      </c>
      <c r="BP126" s="311"/>
    </row>
    <row r="127" spans="1:68">
      <c r="I127" s="330"/>
      <c r="J127" s="330"/>
      <c r="K127" s="330"/>
      <c r="L127" s="330"/>
      <c r="M127" s="330"/>
      <c r="N127" s="330"/>
      <c r="O127" s="330"/>
      <c r="P127" s="330"/>
      <c r="Q127" s="330"/>
      <c r="R127" s="330"/>
      <c r="S127" s="330"/>
      <c r="T127" s="330"/>
      <c r="U127" s="330"/>
      <c r="V127" s="330"/>
      <c r="W127" s="330"/>
      <c r="X127" s="330"/>
      <c r="Y127" s="330"/>
      <c r="Z127" s="330"/>
      <c r="AA127" s="330"/>
      <c r="AB127" s="330"/>
      <c r="AC127" s="330"/>
      <c r="AD127" s="330"/>
      <c r="AE127" s="330"/>
      <c r="AF127" s="330"/>
      <c r="AG127" s="330"/>
      <c r="AH127" s="330"/>
      <c r="AI127" s="330"/>
      <c r="AJ127" s="330"/>
      <c r="AK127" s="330"/>
      <c r="AL127" s="330"/>
      <c r="AM127" s="330"/>
      <c r="AN127" s="330"/>
      <c r="AO127" s="330"/>
      <c r="AP127" s="330"/>
      <c r="AQ127" s="330"/>
      <c r="AR127" s="330"/>
      <c r="AS127" s="330"/>
      <c r="AT127" s="330"/>
      <c r="AU127" s="330"/>
      <c r="AV127" s="330"/>
      <c r="AW127" s="330"/>
      <c r="AX127" s="330"/>
      <c r="AY127" s="330"/>
      <c r="AZ127" s="330"/>
      <c r="BA127" s="330"/>
      <c r="BB127" s="330"/>
      <c r="BC127" s="330"/>
      <c r="BD127" s="330"/>
      <c r="BE127" s="330"/>
      <c r="BF127" s="330"/>
      <c r="BG127" s="330"/>
      <c r="BH127" s="330"/>
      <c r="BI127" s="330"/>
      <c r="BJ127" s="330"/>
      <c r="BK127" s="330"/>
      <c r="BL127" s="330"/>
      <c r="BM127" s="330"/>
      <c r="BN127" s="330"/>
      <c r="BO127" s="330"/>
      <c r="BP127" s="330"/>
    </row>
  </sheetData>
  <pageMargins left="0.7" right="0.7" top="0.75" bottom="0.75" header="0.3" footer="0.3"/>
  <customProperties>
    <customPr name="Qube.Worksheet.Visibility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825347"><![CDATA[{"SNOW^FE_ESTIMATE(NEW_ORDERS_VALUE,MEAN,ANNUAL_ROLL,2027,45993,,,'')":7644.257,"SNOW^FE_ESTIMATE(NEW_ORDERS_VALUE,MEAN,QUARTERLY_ROLL,2027/4F,45993,,,'')":2887.2,"SNOW^FE_ESTIMATE(NEW_ORDERS_VALUE,MEAN,QUARTERLY_ROLL,2027/3F,45993,,,'')":1942.4,"SNOW^FE_ESTIMATE(NEW_ORDERS_VALUE,MEAN,QUARTERLY_ROLL,2027/2F,45993,,,'')":1544.9,"SNOW^FE_ESTIMATE(NEW_ORDERS_VALUE,MEAN,QUARTERLY_ROLL,2027/1F,45993,,,'')":1073.9,"SNOW^FE_ESTIMATE(NEW_ORDERS_VALUE,MEAN,ANNUAL_ROLL,2026,45993,,,'')":6427.672,"SNOW^FE_ESTIMATE(NEW_ORDERS_VALUE,MEAN,QUARTERLY_ROLL,2026/4F,45993,,,'')":2448.6572,"SNOW^FE_ESTIMATE(NEW_ORDERS_VALUE,MEAN,QUARTERLY_ROLL,2026/3F,45993,,,'')":1651.5714,"SNOW^FE_ESTIMATE(NEW_ORDERS_VALUE,MEAN,QUARTERLY_ROLL,2026/2F,45993,,,'')":1323.3,"SNOW^FE_ESTIMATE(NEW_ORDERS_VALUE,MEAN,QUARTERLY_ROLL,2026/1F,45993,,,'')":972.9286,"SNOW^FE_ESTIMATE(NEW_ORDERS_VALUE,MEAN,ANNUAL_ROLL,2025,45993,,,'')":5217.837,"SNOW^FE_ESTIMATE(NEW_ORDERS_VALUE,MEAN,QUARTERLY_ROLL,2025/4F,45993,,,'')":2007.1421,"SNOW^FE_ESTIMATE(NEW_ORDERS_VALUE,MEAN,QUARTERLY_ROLL,2025/3F,45993,,,'')":1339.3026,"SNOW^FE_ESTIMATE(NEW_ORDERS_VALUE,MEAN,QUARTERLY_ROLL,2025/2F,45993,,,'')":1101.352,"SNOW^FE_ESTIMATE(NEW_ORDERS_VALUE,MEAN,QUARTERLY_ROLL,2025/1F,45993,,,'')":770.08453,"SNOW^FE_ESTIMATE(NEW_ORDERS_VALUE,MEAN,ANNUAL_ROLL,2024,45993,,,'')":4008.8535,"SNOW^FE_ESTIMATE(NEW_ORDERS_VALUE,MEAN,QUARTERLY_ROLL,2024/4F,45993,,,'')":1595.3503,"SNOW^FE_ESTIMATE(NEW_ORDERS_VALUE,MEAN,QUARTERLY_ROLL,2024/3F,45993,,,'')":1068.2635,"SNOW^FE_ESTIMATE(NEW_ORDERS_VALUE,MEAN,QUARTERLY_ROLL,2024/2F,45993,,,'')":779.10645,"SNOW^FE_ESTIMATE(NEW_ORDERS_VALUE,MEAN,QUARTERLY_ROLL,2024/1F,45993,,,'')":565.9045,"SNOW^FE_ESTIMATE(NEW_ORDERS_VALUE,MEAN,ANNUAL_ROLL,2023,45993,,,'')":3334.6917,"SNOW^FE_ESTIMATE(NEW_ORDERS_VALUE,MEAN,QUARTERLY_ROLL,2023/4F,45993,,,'')":1370.1062,"SNOW^FE_ESTIMATE(NEW_ORDERS_VALUE,MEAN,QUARTERLY_ROLL,2023/3F,45993,,,'')":816.295,"SNOW^FE_ESTIMATE(NEW_ORDERS_VALUE,MEAN,QUARTERLY_ROLL,2023/2F,45993,,,'')":634.9957,"SNOW^FE_ESTIMATE(NEW_ORDERS_VALUE,MEAN,QUARTERLY_ROLL,2023/1F,45993,,,'')":513.3,"SNOW^FE_ESTIMATE(NEW_ORDERS_VALUE,MEAN,ANNUAL_ROLL,2022,45993,,,'')":2560.3257,"SNOW^FE_ESTIMATE(NEW_ORDERS_VALUE,MEAN,QUARTERLY_ROLL,2022/4F,45993,,,'')":1062.4221,"SNOW^FE_ESTIMATE(NEW_ORDERS_VALUE,MEAN,QUARTERLY_ROLL,2022/3F,45993,,,'')":604.08856,"SNOW^FE_ESTIMATE(NEW_ORDERS_VALUE,MEAN,QUARTERLY_ROLL,2022/2F,45993,,,'')":502.53384,"SNOW^FE_ESTIMATE(NEW_ORDERS_VALUE,MEAN,QUARTERLY_ROLL,2022/1F,45993,,,'')":393.05685,"SNOW^FE_ESTIMATE(NEW_ORDERS_VALUE,MEAN,ANNUAL_ROLL,2021,45993,,,'')":1745.5096,"SNOW^FE_ESTIMATE(NEW_ORDERS_VALUE,MEAN,QUARTERLY_ROLL,2021/4F,45993,,,'')":785.993,"SNOW^FE_ESTIMATE(NEW_ORDERS_VALUE,MEAN,QUARTERLY_ROLL,2021/3F,45993,,,'')":392.5,"SNOW^FE_ESTIMATE(NEW_ORDERS_VALUE,MEAN,QUARTERLY_ROLL,2021/2F,45993,,,'')":342.24,"SNOW^FE_ESTIMATE(NEW_ORDERS_VALUE,MEAN,QUARTERLY_ROLL,2021/1F,45993,,,'')":224.84,"SNOW^FE_ESTIMATE(NEW_ORDERS_VALUE,MEAN,ANNUAL_ROLL,2020,45993,,,'')":904.9,"SNOW^FE_ESTIMATE(NEW_ORDERS_VALUE,MEAN,QUARTERLY_ROLL,2020/4F,45993,,,'')":391.7,"SNOW^FE_ESTIMATE(NEW_ORDERS_VALUE,MEAN,QUARTERLY_ROLL,2020/3F,45993,,,'')":224.6,"SNOW^FE_ESTIMATE(NEW_ORDERS_VALUE,MEAN,QUARTERLY_ROLL,2020/2F,45993,,,'')":182.6,"SNOW^FE_ESTIMATE(NEW_ORDERS_VALUE,MEAN,QUARTERLY_ROLL,2020/1F,45993,,,'')":null,"SNOW^FE_ESTIMATE(NEW_ORDERS_VALUE,MEAN,ANNUAL_ROLL,2019,45993,,,'')":null,"SNOW^FE_ESTIMATE(NEW_ORDERS_VALUE,MEAN,QUARTERLY_ROLL,2019/4F,45993,,,'')":null,"SNOW^FE_ESTIMATE(NEW_ORDERS_VALUE,MEAN,QUARTERLY_ROLL,2019/3F,45993,,,'')":null,"SNOW^FE_ESTIMATE(NEW_ORDERS_VALUE,MEAN,QUARTERLY_ROLL,2019/2F,45993,,,'')":null,"SNOW^FE_ESTIMATE(NEW_ORDERS_VALUE,MEAN,QUARTERLY_ROLL,2019/1F,45993,,,'')":null,"SNOW^FE_ESTIMATE(NEW_ORDERS_VALUE,MEAN,ANNUAL_ROLL,2018,45993,,,'')":null,"SNOW^FE_ESTIMATE(NEW_ORDERS_VALUE,MEAN,QUARTERLY_ROLL,2018/4F,45993,,,'')":null,"SNOW^FE_ESTIMATE(NEW_ORDERS_VALUE,MEAN,QUARTERLY_ROLL,2018/3F,45993,,,'')":null,"SNOW^FE_ESTIMATE(NEW_ORDERS_VALUE,MEAN,QUARTERLY_ROLL,2018/2F,45993,,,'')":null,"SNOW^FE_ESTIMATE(NEW_ORDERS_VALUE,MEAN,QUARTERLY_ROLL,2018/1F,45993,,,'')":null,"SNOW^FE_ESTIMATE(NEW_ORDERS_VALUE,MEAN,ANNUAL_ROLL,2017,45993,,,'')":null,"SNOW^FE_ESTIMATE(NEW_ORDERS_VALUE,MEAN,QUARTERLY_ROLL,2017/4F,45993,,,'')":null,"SNOW^FE_ESTIMATE(NEW_ORDERS_VALUE,MEAN,QUARTERLY_ROLL,2017/3F,45993,,,'')":null,"SNOW^FE_ESTIMATE(NEW_ORDERS_VALUE,MEAN,QUARTERLY_ROLL,2017/2F,45993,,,'')":null,"SNOW^FE_ESTIMATE(NEW_ORDERS_VALUE,MEAN,QUARTERLY_ROLL,2017/1F,45993,,,'')":null,"SNOW^FE_ESTIMATE(NEW_ORDERS_VALUE,MEAN,ANNUAL_ROLL,2016,45993,,,'')":null,"SNOW^FE_ESTIMATE(NEW_ORDERS_VALUE,MEAN,QUARTERLY_ROLL,2016/4F,45993,,,'')":null,"SNOW^FE_ESTIMATE(NEW_ORDERS_VALUE,MEAN,QUARTERLY_ROLL,2016/3F,45993,,,'')":null,"SNOW^FE_ESTIMATE(NEW_ORDERS_VALUE,MEAN,QUARTERLY_ROLL,2016/2F,45993,,,'')":null,"SNOW^FE_ESTIMATE(NEW_ORDERS_VALUE,MEAN,QUARTERLY_ROLL,2016/1F,45993,,,'')":null,"SNOW^FE_ESTIMATE(DEFREVENUE,MEAN,ANNUAL_ROLL,2027,45993,,,'')":4734.14,"SNOW^FE_ESTIMATE(DEFREVENUE,MEAN,QUARTERLY_ROLL,2027/4F,45993,,,'')":4782.4,"SNOW^FE_ESTIMATE(DEFREVENUE,MEAN,QUARTERLY_ROLL,2027/3F,45993,,,'')":3736.2,"SNOW^FE_ESTIMATE(DEFREVENUE,MEAN,QUARTERLY_ROLL,2027/2F,45993,,,'')":3524.8,"SNOW^FE_ESTIMATE(DEFREVENUE,MEAN,QUARTERLY_ROLL,2027/1F,45993,,,'')":3596.5,"SNOW^FE_ESTIMATE(DEFREVENUE,MEAN,ANNUAL_ROLL,2026,45993,,,'')":3702.5793,"SNOW^FE_ESTIMATE(DEFREVENUE,MEAN,QUARTERLY_ROLL,2026/4F,45993,,,'')":3802.4482,"SNOW^FE_ESTIMATE(DEFREVENUE,MEAN,QUARTERLY_ROLL,2026/3F,45993,,,'')":2970.9907,"SNOW^FE_ESTIMATE(DEFREVENUE,MEAN,QUARTERLY_ROLL,2026/2F,45993,,,'')":2849.6362,"SNOW^FE_ESTIMATE(DEFREVENUE,MEAN,QUARTERLY_ROLL,2026/1F,45993,,,'')":2929.2551,"SNOW^FE_ESTIMATE(DEFREVENUE,MEAN,ANNUAL_ROLL,2025,45993,,,'')":3114.3196,"SNOW^FE_ESTIMATE(DEFREVENUE,MEAN,QUARTERLY_ROLL,2025/4F,45993,,,'')":3180.2546,"SNOW^FE_ESTIMATE(DEFREVENUE,MEAN,QUARTERLY_ROLL,2025/3F,45993,,,'')":2461.412,"SNOW^FE_ESTIMATE(DEFREVENUE,MEAN,QUARTERLY_ROLL,2025/2F,45993,,,'')":2279.915,"SNOW^FE_ESTIMATE(DEFREVENUE,MEAN,QUARTERLY_ROLL,2025/1F,45993,,,'')":2323.5447,"SNOW^FE_ESTIMATE(DEFREVENUE,MEAN,ANNUAL_ROLL,2024,45993,,,'')":2595.6245,"SNOW^FE_ESTIMATE(DEFREVENUE,MEAN,QUARTERLY_ROLL,2024/4F,45993,,,'')":2595.5862,"SNOW^FE_ESTIMATE(DEFREVENUE,MEAN,QUARTERLY_ROLL,2024/3F,45993,,,'')":2006.913,"SNOW^FE_ESTIMATE(DEFREVENUE,MEAN,QUARTERLY_ROLL,2024/2F,45993,,,'')":1860.6326,"SNOW^FE_ESTIMATE(DEFREVENUE,MEAN,QUARTERLY_ROLL,2024/1F,45993,,,'')":1950.3643,"SNOW^FE_ESTIMATE(DEFREVENUE,MEAN,ANNUAL_ROLL,2023,45993,,,'')":2213.0945,"SNOW^FE_ESTIMATE(DEFREVENUE,MEAN,QUARTERLY_ROLL,2023/4F,45993,,,'')":2213.0945,"SNOW^FE_ESTIMATE(DEFREVENUE,MEAN,QUARTERLY_ROLL,2023/3F,45993,,,'')":1617.6887,"SNOW^FE_ESTIMATE(DEFREVENUE,MEAN,QUARTERLY_ROLL,2023/2F,45993,,,'')":1535.5316,"SNOW^FE_ESTIMATE(DEFREVENUE,MEAN,QUARTERLY_ROLL,2023/1F,45993,,,'')":1574.5447,"SNOW^FE_ESTIMATE(DEFREVENUE,MEAN,ANNUAL_ROLL,2022,45993,,,'')":1684.8467,"SNOW^FE_ESTIMATE(DEFREVENUE,MEAN,QUARTERLY_ROLL,2022/4F,45993,,,'')":1684.8467,"SNOW^FE_ESTIMATE(DEFREVENUE,MEAN,QUARTERLY_ROLL,2022/3F,45993,,,'')":1213.8502,"SNOW^FE_ESTIMATE(DEFREVENUE,MEAN,QUARTERLY_ROLL,2022/2F,45993,,,'')":1153.6271,"SNOW^FE_ESTIMATE(DEFREVENUE,MEAN,QUARTERLY_ROLL,2022/1F,45993,,,'')":1143.0962,"SNOW^FE_ESTIMATE(DEFREVENUE,MEAN,ANNUAL_ROLL,2021,45993,,,'')":1088.7208,"SNOW^FE_ESTIMATE(DEFREVENUE,MEAN,QUARTERLY_ROLL,2021/4F,45993,,,'')":1169.081,"SNOW^FE_ESTIMATE(DEFREVENUE,MEAN,QUARTERLY_ROLL,2021/3F,45993,,,'')":766.8552,"SNOW^FE_ESTIMATE(DEFREVENUE,MEAN,QUARTERLY_ROLL,2021/2F,45993,,,'')":707.70966,"SNOW^FE_ESTIMATE(DEFREVENUE,MEAN,QUARTERLY_ROLL,2021/1F,45993,,,'')":638.756,"SNOW^FE_ESTIMATE(DEFREVENUE,MEAN,ANNUAL_ROLL,2020,45993,,,'')":601.6182,"SNOW^FE_ESTIMATE(DEFREVENUE,MEAN,QUARTERLY_ROLL,2020/4F,45993,,,'')":642.8637,"SNOW^FE_ESTIMATE(DEFREVENUE,MEAN,QUARTERLY_ROLL,2020/3F,45993,,,'')":441.7009,"SNOW^FE_ESTIMATE(DEFREVENUE,MEAN,QUARTERLY_ROLL,2020/2F,45993,,,'')":376.70667,"SNOW^FE_ESTIMATE(DEFREVENUE,MEAN,QUARTERLY_ROLL,2020/1F,45993,,,'')":null,"SNOW^FE_ESTIMATE(DEFREVENUE,MEAN,ANNUAL_ROLL,2019,45993,,,'')":null,"SNOW^FE_ESTIMATE(DEFREVENUE,MEAN,QUARTERLY_ROLL,2019/4F,45993,,,'')":null,"SNOW^FE_ESTIMATE(DEFREVENUE,MEAN,QUARTERLY_ROLL,2019/3F,45993,,,'')":null,"SNOW^FE_ESTIMATE(DEFREVENUE,MEAN,QUARTERLY_ROLL,2019/2F,45993,,,'')":null,"SNOW^FE_ESTIMATE(DEFREVENUE,MEAN,QUARTERLY_ROLL,2019/1F,45993,,,'')":null,"SNOW^FE_ESTIMATE(DEFREVENUE,MEAN,ANNUAL_ROLL,2018,45993,,,'')":null,"SNOW^FE_ESTIMATE(DEFREVENUE,MEAN,QUARTERLY_ROLL,2018/4F,45993,,,'')":null,"SNOW^FE_ESTIMATE(DEFREVENUE,MEAN,QUARTERLY_ROLL,2018/3F,45993,,,'')":null,"SNOW^FE_ESTIMATE(DEFREVENUE,MEAN,QUARTERLY_ROLL,2018/2F,45993,,,'')":null,"SNOW^FE_ESTIMATE(DEFREVENUE,MEAN,QUARTERLY_ROLL,2018/1F,45993,,,'')":null,"SNOW^FE_ESTIMATE(DEFREVENUE,MEAN,ANNUAL_ROLL,2017,45993,,,'')":null,"SNOW^FE_ESTIMATE(DEFREVENUE,MEAN,QUARTERLY_ROLL,2017/4F,45993,,,'')":null,"SNOW^FE_ESTIMATE(DEFREVENUE,MEAN,QUARTERLY_ROLL,2017/3F,45993,,,'')":null,"SNOW^FE_ESTIMATE(DEFREVENUE,MEAN,QUARTERLY_ROLL,2017/2F,45993,,,'')":null,"SNOW^FE_ESTIMATE(DEFREVENUE,MEAN,QUARTERLY_ROLL,2017/1F,45993,,,'')":null,"SNOW^FE_ESTIMATE(DEFREVENUE,MEAN,ANNUAL_ROLL,2016,45993,,,'')":null,"SNOW^FE_ESTIMATE(DEFREVENUE,MEAN,QUARTERLY_ROLL,2016/4F,45993,,,'')":null,"SNOW^FE_ESTIMATE(DEFREVENUE,MEAN,QUARTERLY_ROLL,2016/3F,45993,,,'')":null,"SNOW^FE_ESTIMATE(DEFREVENUE,MEAN,QUARTERLY_ROLL,2016/2F,45993,,,'')":null,"SNOW^FE_ESTIMATE(DEFREVENUE,MEAN,QUARTERLY_ROLL,2016/1F,45993,,,'')":null,"SNOW^FE_ESTIMATE(DEFREVENUE_LT,MEAN,ANNUAL_ROLL,2027,45993,,,'')":15.9,"SNOW^FE_ESTIMATE(DEFREVENUE_LT,MEAN,QUARTERLY_ROLL,2027/4F,45993,,,'')":null,"SNOW^FE_ESTIMATE(DEFREVENUE_LT,MEAN,QUARTERLY_ROLL,2027/3F,45993,,,'')":null,"SNOW^FE_ESTIMATE(DEFREVENUE_LT,MEAN,QUARTERLY_ROLL,2027/2F,45993,,,'')":null,"SNOW^FE_ESTIMATE(DEFREVENUE_LT,MEAN,QUARTERLY_ROLL,2027/1F,45993,,,'')":null,"SNOW^FE_ESTIMATE(DEFREVENUE_LT,MEAN,ANNUAL_ROLL,2026,45993,,,'')":15.357223,"SNOW^FE_ESTIMATE(DEFREVENUE_LT,MEAN,QUARTERLY_ROLL,2026/4F,45993,,,'')":14.959286,"SNOW^FE_ESTIMATE(DEFREVENUE_LT,MEAN,QUARTERLY_ROLL,2026/3F,45993,,,'')":12.554,"SNOW^FE_ESTIMATE(DEFREVENUE_LT,MEAN,QUARTERLY_ROLL,2026/2F,45993,,,'')":12.415571,"SNOW^FE_ESTIMATE(DEFREVENUE_LT,MEAN,QUARTERLY_ROLL,2026/1F,45993,,,'')":13.412143,"SNOW^FE_ESTIMATE(DEFREVENUE_LT,MEAN,ANNUAL_ROLL,2025,45993,,,'')":15.049111,"SNOW^FE_ESTIMATE(DEFREVENUE_LT,MEAN,QUARTERLY_ROLL,2025/4F,45993,,,'')":15.21775,"SNOW^FE_ESTIMATE(DEFREVENUE_LT,MEAN,QUARTERLY_ROLL,2025/3F,45993,,,'')":12.083,"SNOW^FE_ESTIMATE(DEFREVENUE_LT,MEAN,QUARTERLY_ROLL,2025/2F,45993,,,'')":11.515,"SNOW^FE_ESTIMATE(DEFREVENUE_LT,MEAN,QUARTERLY_ROLL,2025/1F,45993,,,'')":13.708,"SNOW^FE_ESTIMATE(DEFREVENUE_LT,MEAN,ANNUAL_ROLL,2024,45993,,,'')":15.555889,"SNOW^FE_ESTIMATE(DEFREVENUE_LT,MEAN,QUARTERLY_ROLL,2024/4F,45993,,,'')":15.555889,"SNOW^FE_ESTIMATE(DEFREVENUE_LT,MEAN,QUARTERLY_ROLL,2024/3F,45993,,,'')":11.9919,"SNOW^FE_ESTIMATE(DEFREVENUE_LT,MEAN,QUARTERLY_ROLL,2024/2F,45993,,,'')":12.264,"SNOW^FE_ESTIMATE(DEFREVENUE_LT,MEAN,QUARTERLY_ROLL,2024/1F,45993,,,'')":14.7276,"SNOW^FE_ESTIMATE(DEFREVENUE_LT,MEAN,ANNUAL_ROLL,2023,45993,,,'')":14.3606,"SNOW^FE_ESTIMATE(DEFREVENUE_LT,MEAN,QUARTERLY_ROLL,2023/4F,45993,,,'')":14.3606,"SNOW^FE_ESTIMATE(DEFREVENUE_LT,MEAN,QUARTERLY_ROLL,2023/3F,45993,,,'')":12.09325,"SNOW^FE_ESTIMATE(DEFREVENUE_LT,MEAN,QUARTERLY_ROLL,2023/2F,45993,,,'')":12.436778,"SNOW^FE_ESTIMATE(DEFREVENUE_LT,MEAN,QUARTERLY_ROLL,2023/1F,45993,,,'')":14.167111,"SNOW^FE_ESTIMATE(DEFREVENUE_LT,MEAN,ANNUAL_ROLL,2022,45993,,,'')":11.425111,"SNOW^FE_ESTIMATE(DEFREVENUE_LT,MEAN,QUARTERLY_ROLL,2022/4F,45993,,,'')":11.425111,"SNOW^FE_ESTIMATE(DEFREVENUE_LT,MEAN,QUARTERLY_ROLL,2022/3F,45993,,,'')":7.3094287,"SNOW^FE_ESTIMATE(DEFREVENUE_LT,MEAN,QUARTERLY_ROLL,2022/2F,45993,,,'')":8.820666,"SNOW^FE_ESTIMATE(DEFREVENUE_LT,MEAN,QUARTERLY_ROLL,2022/1F,45993,,,'')":10.35425,"SNOW^FE_ESTIMATE(DEFREVENUE_LT,MEAN,ANNUAL_ROLL,2021,45993,,,'')":11.168571,"SNOW^FE_ESTIMATE(DEFREVENUE_LT,MEAN,QUARTERLY_ROLL,2021/4F,45993,,,'')":11.163333,"SNOW^FE_ESTIMATE(DEFREVENUE_LT,MEAN,QUARTERLY_ROLL,2021/3F,45993,,,'')":7.108,"SNOW^FE_ESTIMATE(DEFREVENUE_LT,MEAN,QUARTERLY_ROLL,2021/2F,45993,,,'')":7.1,"SNOW^FE_ESTIMATE(DEFREVENUE_LT,MEAN,QUARTERLY_ROLL,2021/1F,45993,,,'')":3.69,"SNOW^FE_ESTIMATE(DEFREVENUE_LT,MEAN,ANNUAL_ROLL,2020,45993,,,'')":4.199143,"SNOW^FE_ESTIMATE(DEFREVENUE_LT,MEAN,QUARTERLY_ROLL,2020/4F,45993,,,'')":4.199,"SNOW^FE_ESTIMATE(DEFREVENUE_LT,MEAN,QUARTERLY_ROLL,2020/3F,45993,,,'')":3.49425,"SNOW^FE_ESTIMATE(DEFREVENUE_LT,MEAN,QUARTERLY_ROLL,2020/2F,45993,,,'')":3.114,"SNOW^FE_ESTIMATE(DEFREVENUE_LT,MEAN,QUARTERLY_ROLL,2020/1F,45993,,,'')":null,"SNOW^FE_ESTIMATE(DEFREVENUE_LT,MEAN,ANNUAL_ROLL,2019,45993,,,'')":null,"SNOW^FE_ESTIMATE(DEFREVENUE_LT,MEAN,QUARTERLY_ROLL,2019/4F,45993,,,'')":null,"SNOW^FE_ESTIMATE(DEFREVENUE_LT,MEAN,QUARTERLY_ROLL,2019/3F,45993,,,'')":null,"SNOW^FE_ESTIMATE(DEFREVENUE_LT,MEAN,QUARTERLY_ROLL,2019/2F,45993,,,'')":null,"SNOW^FE_ESTIMATE(DEFREVENUE_LT,MEAN,QUARTERLY_ROLL,2019/1F,45993,,,'')":null,"SNOW^FE_ESTIMATE(DEFREVENUE_LT,MEAN,ANNUAL_ROLL,2018,45993,,,'')":null,"SNOW^FE_ESTIMATE(DEFREVENUE_LT,MEAN,QUARTERLY_ROLL,2018/4F,45993,,,'')":null,"SNOW^FE_ESTIMATE(DEFREVENUE_LT,MEAN,QUARTERLY_ROLL,2018/3F,45993,,,'')":null,"SNOW^FE_ESTIMATE(DEFREVENUE_LT,MEAN,QUARTERLY_ROLL,2018/2F,45993,,,'')":null,"SNOW^FE_ESTIMATE(DEFREVENUE_LT,MEAN,QUARTERLY_ROLL,2018/1F,45993,,,'')":null,"SNOW^FE_ESTIMATE(DEFREVENUE_LT,MEAN,ANNUAL_ROLL,2017,45993,,,'')":null,"SNOW^FE_ESTIMATE(DEFREVENUE_LT,MEAN,QUARTERLY_ROLL,2017/4F,45993,,,'')":null,"SNOW^FE_ESTIMATE(DEFREVENUE_LT,MEAN,QUARTERLY_ROLL,2017/3F,45993,,,'')":null,"SNOW^FE_ESTIMATE(DEFREVENUE_LT,MEAN,QUARTERLY_ROLL,2017/2F,45993,,,'')":null,"SNOW^FE_ESTIMATE(DEFREVENUE_LT,MEAN,QUARTERLY_ROLL,2017/1F,45993,,,'')":null,"SNOW^FE_ESTIMATE(DEFREVENUE_LT,MEAN,ANNUAL_ROLL,2016,45993,,,'')":null,"SNOW^FE_ESTIMATE(DEFREVENUE_LT,MEAN,QUARTERLY_ROLL,2016/4F,45993,,,'')":null,"SNOW^FE_ESTIMATE(DEFREVENUE_LT,MEAN,QUARTERLY_ROLL,2016/3F,45993,,,'')":null,"SNOW^FE_ESTIMATE(DEFREVENUE_LT,MEAN,QUARTERLY_ROLL,2016/2F,45993,,,'')":null,"SNOW^FE_ESTIMATE(DEFREVENUE_LT,MEAN,QUARTERLY_ROLL,2016/1F,45993,,,'')":null,"SNOW^FE_ESTIMATE(DEFREVENUE_ST,MEAN,ANNUAL_ROLL,2027,45993,,,'')":4479.25,"SNOW^FE_ESTIMATE(DEFREVENUE_ST,MEAN,QUARTERLY_ROLL,2027/4F,45993,,,'')":null,"SNOW^FE_ESTIMATE(DEFREVENUE_ST,MEAN,QUARTERLY_ROLL,2027/3F,45993,,,'')":null,"SNOW^FE_ESTIMATE(DEFREVENUE_ST,MEAN,QUARTERLY_ROLL,2027/2F,45993,,,'')":null,"SNOW^FE_ESTIMATE(DEFREVENUE_ST,MEAN,QUARTERLY_ROLL,2027/1F,45993,,,'')":null,"SNOW^FE_ESTIMATE(DEFREVENUE_ST,MEAN,ANNUAL_ROLL,2026,45993,,,'')":3568.723,"SNOW^FE_ESTIMATE(DEFREVENUE_ST,MEAN,QUARTERLY_ROLL,2026/4F,45993,,,'')":3678.5164,"SNOW^FE_ESTIMATE(DEFREVENUE_ST,MEAN,QUARTERLY_ROLL,2026/3F,45993,,,'')":2921.7456,"SNOW^FE_ESTIMATE(DEFREVENUE_ST,MEAN,QUARTERLY_ROLL,2026/2F,45993,,,'')":2847.6414,"SNOW^FE_ESTIMATE(DEFREVENUE_ST,MEAN,QUARTERLY_ROLL,2026/1F,45993,,,'')":2931.503,"SNOW^FE_ESTIMATE(DEFREVENUE_ST,MEAN,ANNUAL_ROLL,2025,45993,,,'')":3056.114,"SNOW^FE_ESTIMATE(DEFREVENUE_ST,MEAN,QUARTERLY_ROLL,2025/4F,45993,,,'')":3139.0378,"SNOW^FE_ESTIMATE(DEFREVENUE_ST,MEAN,QUARTERLY_ROLL,2025/3F,45993,,,'')":2452.4343,"SNOW^FE_ESTIMATE(DEFREVENUE_ST,MEAN,QUARTERLY_ROLL,2025/2F,45993,,,'')":2269.6765,"SNOW^FE_ESTIMATE(DEFREVENUE_ST,MEAN,QUARTERLY_ROLL,2025/1F,45993,,,'')":2311.1736,"SNOW^FE_ESTIMATE(DEFREVENUE_ST,MEAN,ANNUAL_ROLL,2024,45993,,,'')":2581.5657,"SNOW^FE_ESTIMATE(DEFREVENUE_ST,MEAN,QUARTERLY_ROLL,2024/4F,45993,,,'')":2581.5657,"SNOW^FE_ESTIMATE(DEFREVENUE_ST,MEAN,QUARTERLY_ROLL,2024/3F,45993,,,'')":1974.9202,"SNOW^FE_ESTIMATE(DEFREVENUE_ST,MEAN,QUARTERLY_ROLL,2024/2F,45993,,,'')":1848.3528,"SNOW^FE_ESTIMATE(DEFREVENUE_ST,MEAN,QUARTERLY_ROLL,2024/1F,45993,,,'')":1935.6526,"SNOW^FE_ESTIMATE(DEFREVENUE_ST,MEAN,ANNUAL_ROLL,2023,45993,,,'')":2198.7314,"SNOW^FE_ESTIMATE(DEFREVENUE_ST,MEAN,QUARTERLY_ROLL,2023/4F,45993,,,'')":2198.7314,"SNOW^FE_ESTIMATE(DEFREVENUE_ST,MEAN,QUARTERLY_ROLL,2023/3F,45993,,,'')":1605.5951,"SNOW^FE_ESTIMATE(DEFREVENUE_ST,MEAN,QUARTERLY_ROLL,2023/2F,45993,,,'')":1523.0839,"SNOW^FE_ESTIMATE(DEFREVENUE_ST,MEAN,QUARTERLY_ROLL,2023/1F,45993,,,'')":1560.3656,"SNOW^FE_ESTIMATE(DEFREVENUE_ST,MEAN,ANNUAL_ROLL,2022,45993,,,'')":1673.3722,"SNOW^FE_ESTIMATE(DEFREVENUE_ST,MEAN,QUARTERLY_ROLL,2022/4F,45993,,,'')":1673.4277,"SNOW^FE_ESTIMATE(DEFREVENUE_ST,MEAN,QUARTERLY_ROLL,2022/3F,45993,,,'')":1205.5114,"SNOW^FE_ESTIMATE(DEFREVENUE_ST,MEAN,QUARTERLY_ROLL,2022/2F,45993,,,'')":1144.8162,"SNOW^FE_ESTIMATE(DEFREVENUE_ST,MEAN,QUARTERLY_ROLL,2022/1F,45993,,,'')":1132.7372,"SNOW^FE_ESTIMATE(DEFREVENUE_ST,MEAN,ANNUAL_ROLL,2021,45993,,,'')":1157.9093,"SNOW^FE_ESTIMATE(DEFREVENUE_ST,MEAN,QUARTERLY_ROLL,2021/4F,45993,,,'')":1157.9105,"SNOW^FE_ESTIMATE(DEFREVENUE_ST,MEAN,QUARTERLY_ROLL,2021/3F,45993,,,'')":759.711,"SNOW^FE_ESTIMATE(DEFREVENUE_ST,MEAN,QUARTERLY_ROLL,2021/2F,45993,,,'')":701.7895,"SNOW^FE_ESTIMATE(DEFREVENUE_ST,MEAN,QUARTERLY_ROLL,2021/1F,45993,,,'')":635.0972,"SNOW^FE_ESTIMATE(DEFREVENUE_ST,MEAN,ANNUAL_ROLL,2020,45993,,,'')":638.6931,"SNOW^FE_ESTIMATE(DEFREVENUE_ST,MEAN,QUARTERLY_ROLL,2020/4F,45993,,,'')":638.692,"SNOW^FE_ESTIMATE(DEFREVENUE_ST,MEAN,QUARTERLY_ROLL,2020/3F,45993,,,'')":438.20676,"SNOW^FE_ESTIMATE(DEFREVENUE_ST,MEAN,QUARTERLY_ROLL,2020/2F,45993,,,'')":373.594,"SNOW^FE_ESTIMATE(DEFREVENUE_ST,MEAN,QUARTERLY_ROLL,2020/1F,45993,,,'')":null,"SNOW^FE_ESTIMATE(DEFREVENUE_ST,MEAN,ANNUAL_ROLL,2019,45993,,,'')":null,"SNOW^FE_ESTIMATE(DEFREVENUE_ST,MEAN,QUARTERLY_ROLL,2019/4F,45993,,,'')":null,"SNOW^FE_ESTIMATE(DEFREVENUE_ST,MEAN,QUARTERLY_ROLL,2019/3F,45993,,,'')":null,"SNOW^FE_ESTIMATE(DEFREVENUE_ST,MEAN,QUARTERLY_ROLL,2019/2F,45993,,,'')":null,"SNOW^FE_ESTIMATE(DEFREVENUE_ST,MEAN,QUARTERLY_ROLL,2019/1F,45993,,,'')":null,"SNOW^FE_ESTIMATE(DEFREVENUE_ST,MEAN,ANNUAL_ROLL,2018,45993,,,'')":null,"SNOW^FE_ESTIMATE(DEFREVENUE_ST,MEAN,QUARTERLY_ROLL,2018/4F,45993,,,'')":null,"SNOW^FE_ESTIMATE(DEFREVENUE_ST,MEAN,QUARTERLY_ROLL,2018/3F,45993,,,'')":null,"SNOW^FE_ESTIMATE(DEFREVENUE_ST,MEAN,QUARTERLY_ROLL,2018/2F,45993,,,'')":null,"SNOW^FE_ESTIMATE(DEFREVENUE_ST,MEAN,QUARTERLY_ROLL,2018/1F,45993,,,'')":null,"SNOW^FE_ESTIMATE(DEFREVENUE_ST,MEAN,ANNUAL_ROLL,2017,45993,,,'')":null,"SNOW^FE_ESTIMATE(DEFREVENUE_ST,MEAN,QUARTERLY_ROLL,2017/4F,45993,,,'')":null,"SNOW^FE_ESTIMATE(DEFREVENUE_ST,MEAN,QUARTERLY_ROLL,2017/3F,45993,,,'')":null,"SNOW^FE_ESTIMATE(DEFREVENUE_ST,MEAN,QUARTERLY_ROLL,2017/2F,45993,,,'')":null,"SNOW^FE_ESTIMATE(DEFREVENUE_ST,MEAN,QUARTERLY_ROLL,2017/1F,45993,,,'')":null,"SNOW^FE_ESTIMATE(DEFREVENUE_ST,MEAN,ANNUAL_ROLL,2016,45993,,,'')":null,"SNOW^FE_ESTIMATE(DEFREVENUE_ST,MEAN,QUARTERLY_ROLL,2016/4F,45993,,,'')":null,"SNOW^FE_ESTIMATE(DEFREVENUE_ST,MEAN,QUARTERLY_ROLL,2016/3F,45993,,,'')":null,"SNOW^FE_ESTIMATE(DEFREVENUE_ST,MEAN,QUARTERLY_ROLL,2016/2F,45993,,,'')":null,"SNOW^FE_ESTIMATE(DEFREVENUE_ST,MEAN,QUARTERLY_ROLL,2016/1F,45993,,,'')":null,"SNOW^FE_ESTIMATE(FCF,MEAN,ANNUAL_ROLL,2027,45993,,,'')":1912.4612,"SNOW^FE_ESTIMATE(FCF,MEAN,QUARTERLY_ROLL,2027/4F,45993,,,'')":821.674,"SNOW^FE_ESTIMATE(FCF,MEAN,QUARTERLY_ROLL,2027/3F,45993,,,'')":292.67,"SNOW^FE_ESTIMATE(FCF,MEAN,QUARTERLY_ROLL,2027/2F,45993,,,'')":192.73666,"SNOW^FE_ESTIMATE(FCF,MEAN,QUARTERLY_ROLL,2027/1F,45993,,,'')":555.68536,"SNOW^FE_ESTIMATE(FCF,MEAN,ANNUAL_ROLL,2026,45993,,,'')":1386.6895,"SNOW^FE_ESTIMATE(FCF,MEAN,QUARTERLY_ROLL,2026/4F,45993,,,'')":658.22095,"SNOW^FE_ESTIMATE(FCF,MEAN,QUARTERLY_ROLL,2026/3F,45993,,,'')":222.06406,"SNOW^FE_ESTIMATE(FCF,MEAN,QUARTERLY_ROLL,2026/2F,45993,,,'')":149.34845,"SNOW^FE_ESTIMATE(FCF,MEAN,QUARTERLY_ROLL,2026/1F,45993,,,'')":361.71786,"SNOW^FE_ESTIMATE(FCF,MEAN,ANNUAL_ROLL,2025,45993,,,'')":1063.4868,"SNOW^FE_ESTIMATE(FCF,MEAN,QUARTERLY_ROLL,2025/4F,45993,,,'')":603.96045,"SNOW^FE_ESTIMATE(FCF,MEAN,QUARTERLY_ROLL,2025/3F,45993,,,'')":306.11685,"SNOW^FE_ESTIMATE(FCF,MEAN,QUARTERLY_ROLL,2025/2F,45993,,,'')":62.3926,"SNOW^FE_ESTIMATE(FCF,MEAN,QUARTERLY_ROLL,2025/1F,45993,,,'')":192.0944,"SNOW^FE_ESTIMATE(FCF,MEAN,ANNUAL_ROLL,2024,45993,,,'')":902.7816,"SNOW^FE_ESTIMATE(FCF,MEAN,QUARTERLY_ROLL,2024/4F,45993,,,'')":417.53946,"SNOW^FE_ESTIMATE(FCF,MEAN,QUARTERLY_ROLL,2024/3F,45993,,,'')":80.335434,"SNOW^FE_ESTIMATE(FCF,MEAN,QUARTERLY_ROLL,2024/2F,45993,,,'')":60.857,"SNOW^FE_ESTIMATE(FCF,MEAN,QUARTERLY_ROLL,2024/1F,45993,,,'')":331.545,"SNOW^FE_ESTIMATE(FCF,MEAN,ANNUAL_ROLL,2023,45993,,,'')":810.2,"SNOW^FE_ESTIMATE(FCF,MEAN,QUARTERLY_ROLL,2023/4F,45993,,,'')":324.3,"SNOW^FE_ESTIMATE(FCF,MEAN,QUARTERLY_ROLL,2023/3F,45993,,,'')":105.1286,"SNOW^FE_ESTIMATE(FCF,MEAN,QUARTERLY_ROLL,2023/2F,45993,,,'')":69.80543,"SNOW^FE_ESTIMATE(FCF,MEAN,QUARTERLY_ROLL,2023/1F,45993,,,'')":284.11017,"SNOW^FE_ESTIMATE(FCF,MEAN,ANNUAL_ROLL,2022,45993,,,'')":499.1073,"SNOW^FE_ESTIMATE(FCF,MEAN,QUARTERLY_ROLL,2022/4F,45993,,,'')":205.28581,"SNOW^FE_ESTIMATE(FCF,MEAN,QUARTERLY_ROLL,2022/3F,45993,,,'')":65.55775,"SNOW^FE_ESTIMATE(FCF,MEAN,QUARTERLY_ROLL,2022/2F,45993,,,'')":41.698616,"SNOW^FE_ESTIMATE(FCF,MEAN,QUARTERLY_ROLL,2022/1F,45993,,,'')":176.87659,"SNOW^FE_ESTIMATE(FCF,MEAN,ANNUAL_ROLL,2021,45993,,,'')":94.710304,"SNOW^FE_ESTIMATE(FCF,MEAN,QUARTERLY_ROLL,2021/4F,45993,,,'')":82.12127,"SNOW^FE_ESTIMATE(FCF,MEAN,QUARTERLY_ROLL,2021/3F,45993,,,'')":12.583333,"SNOW^FE_ESTIMATE(FCF,MEAN,QUARTERLY_ROLL,2021/2F,45993,,,'')":-6.792889,"SNOW^FE_ESTIMATE(FCF,MEAN,QUARTERLY_ROLL,2021/1F,45993,,,'')":14.532125,"SNOW^FE_ESTIMATE(FCF,MEAN,ANNUAL_ROLL,2020,45993,,,'')":-83.85561,"SNOW^FE_ESTIMATE(FCF,MEAN,QUARTERLY_ROLL,2020/4F,45993,,,'')":8.513667,"SNOW^FE_ESTIMATE(FCF,MEAN,QUARTERLY_ROLL,2020/3F,45993,,,'')":-37.558,"SNOW^FE_ESTIMATE(FCF,MEAN,QUARTERLY_ROLL,2020/2F,45993,,,'')":-44.199333,"SNOW^FE_ESTIMATE(FCF,MEAN,QUARTERLY_ROLL,2020/1F,45993,,,'')":-10.8,"SNOW^FE_ESTIMATE(FCF,MEAN,ANNUAL_ROLL,2019,45993,,,'')":null,"SNOW^FE_ESTIMATE(FCF,MEAN,QUARTERLY_ROLL,2019/4F,45993,,,'')":null,"SNOW^FE_ESTIMATE(FCF,MEAN,QUARTERLY_ROLL,2019/3F,45993,,,'')":null,"SNOW^FE_ESTIMATE(FCF,MEAN,QUARTERLY_ROLL,2019/2F,45993,,,'')":null,"SNOW^FE_ESTIMATE(FCF,MEAN,QUARTERLY_ROLL,2019/1F,45993,,,'')":null,"SNOW^FE_ESTIMATE(FCF,MEAN,ANNUAL_ROLL,2018,45993,,,'')":null,"SNOW^FE_ESTIMATE(FCF,MEAN,QUARTERLY_ROLL,2018/4F,45993,,,'')":null,"SNOW^FE_ESTIMATE(FCF,MEAN,QUARTERLY_ROLL,2018/3F,45993,,,'')":null,"SNOW^FE_ESTIMATE(FCF,MEAN,QUARTERLY_ROLL,2018/2F,45993,,,'')":null,"SNOW^FE_ESTIMATE(FCF,MEAN,QUARTERLY_ROLL,2018/1F,45993,,,'')":null,"SNOW^FE_ESTIMATE(FCF,MEAN,ANNUAL_ROLL,2017,45993,,,'')":null,"SNOW^FE_ESTIMATE(FCF,MEAN,QUARTERLY_ROLL,2017/4F,45993,,,'')":null,"SNOW^FE_ESTIMATE(FCF,MEAN,QUARTERLY_ROLL,2017/3F,45993,,,'')":null,"SNOW^FE_ESTIMATE(FCF,MEAN,QUARTERLY_ROLL,2017/2F,45993,,,'')":null,"SNOW^FE_ESTIMATE(FCF,MEAN,QUARTERLY_ROLL,2017/1F,45993,,,'')":null,"SNOW^FE_ESTIMATE(FCF,MEAN,ANNUAL_ROLL,2016,45993,,,'')":null,"SNOW^FE_ESTIMATE(FCF,MEAN,QUARTERLY_ROLL,2016/4F,45993,,,'')":null,"SNOW^FE_ESTIMATE(FCF,MEAN,QUARTERLY_ROLL,2016/3F,45993,,,'')":null,"SNOW^FE_ESTIMATE(FCF,MEAN,QUARTERLY_ROLL,2016/2F,45993,,,'')":null,"SNOW^FE_ESTIMATE(FCF,MEAN,QUARTERLY_ROLL,2016/1F,45993,,,'')":null,"SNOW^FE_ESTIMATE(CAPEX,MEAN,ANNUAL_ROLL,2027,45993,,,'')":104.42696,"SNOW^FE_ESTIMATE(CAPEX,MEAN,QUARTERLY_ROLL,2027/4F,45993,,,'')":21.673828,"SNOW^FE_ESTIMATE(CAPEX,MEAN,QUARTERLY_ROLL,2027/3F,45993,,,'')":21.21364,"SNOW^FE_ESTIMATE(CAPEX,MEAN,QUARTERLY_ROLL,2027/2F,45993,,,'')":20.476206,"SNOW^FE_ESTIMATE(CAPEX,MEAN,QUARTERLY_ROLL,2027/1F,45993,,,'')":19.839787,"SNOW^FE_ESTIMATE(CAPEX,MEAN,ANNUAL_ROLL,2026,45993,,,'')":86.68008,"SNOW^FE_ESTIMATE(CAPEX,MEAN,QUARTERLY_ROLL,2026/4F,45993,,,'')":17.786974,"SNOW^FE_ESTIMATE(CAPEX,MEAN,QUARTERLY_ROLL,2026/3F,45993,,,'')":17.801445,"SNOW^FE_ESTIMATE(CAPEX,MEAN,QUARTERLY_ROLL,2026/2F,45993,,,'')":16.158064,"SNOW^FE_ESTIMATE(CAPEX,MEAN,QUARTERLY_ROLL,2026/1F,45993,,,'')":16.669977,"SNOW^FE_ESTIMATE(CAPEX,MEAN,ANNUAL_ROLL,2025,45993,,,'')":87.96609,"SNOW^FE_ESTIMATE(CAPEX,MEAN,QUARTERLY_ROLL,2025/4F,45993,,,'')":16.446272,"SNOW^FE_ESTIMATE(CAPEX,MEAN,QUARTERLY_ROLL,2025/3F,45993,,,'')":17.324663,"SNOW^FE_ESTIMATE(CAPEX,MEAN,QUARTERLY_ROLL,2025/2F,45993,,,'')":16.706429,"SNOW^FE_ESTIMATE(CAPEX,MEAN,QUARTERLY_ROLL,2025/1F,45993,,,'')":44.9956,"SNOW^FE_ESTIMATE(CAPEX,MEAN,ANNUAL_ROLL,2024,45993,,,'')":42.8629,"SNOW^FE_ESTIMATE(CAPEX,MEAN,QUARTERLY_ROLL,2024/4F,45993,,,'')":13.112846,"SNOW^FE_ESTIMATE(CAPEX,MEAN,QUARTERLY_ROLL,2024/3F,45993,,,'')":17.418133,"SNOW^FE_ESTIMATE(CAPEX,MEAN,QUARTERLY_ROLL,2024/2F,45993,,,'')":7.265625,"SNOW^FE_ESTIMATE(CAPEX,MEAN,QUARTERLY_ROLL,2024/1F,45993,,,'')":19.154,"SNOW^FE_ESTIMATE(CAPEX,MEAN,ANNUAL_ROLL,2023,45993,,,'')":44.276653,"SNOW^FE_ESTIMATE(CAPEX,MEAN,QUARTERLY_ROLL,2023/4F,45993,,,'')":14.635062,"SNOW^FE_ESTIMATE(CAPEX,MEAN,QUARTERLY_ROLL,2023/3F,45993,,,'')":11.916562,"SNOW^FE_ESTIMATE(CAPEX,MEAN,QUARTERLY_ROLL,2023/2F,45993,,,'')":8.518714,"SNOW^FE_ESTIMATE(CAPEX,MEAN,QUARTERLY_ROLL,2023/1F,45993,,,'')":9.604357,"SNOW^FE_ESTIMATE(CAPEX,MEAN,ANNUAL_ROLL,2022,45993,,,'')":32.592377,"SNOW^FE_ESTIMATE(CAPEX,MEAN,QUARTERLY_ROLL,2022/4F,45993,,,'')":7.3803,"SNOW^FE_ESTIMATE(CAPEX,MEAN,QUARTERLY_ROLL,2022/3F,45993,,,'')":9.9363575,"SNOW^FE_ESTIMATE(CAPEX,MEAN,QUARTERLY_ROLL,2022/2F,45993,,,'')":4.4567275,"SNOW^FE_ESTIMATE(CAPEX,MEAN,QUARTERLY_ROLL,2022/1F,45993,,,'')":8.243182,"SNOW^FE_ESTIMATE(CAPEX,MEAN,ANNUAL_ROLL,2021,45993,,,'')":19.111462,"SNOW^FE_ESTIMATE(CAPEX,MEAN,QUARTERLY_ROLL,2021/4F,45993,,,'')":4.934222,"SNOW^FE_ESTIMATE(CAPEX,MEAN,QUARTERLY_ROLL,2021/3F,45993,,,'')":3.23725,"SNOW^FE_ESTIMATE(CAPEX,MEAN,QUARTERLY_ROLL,2021/2F,45993,,,'')":4.0143332,"SNOW^FE_ESTIMATE(CAPEX,MEAN,QUARTERLY_ROLL,2021/1F,45993,,,'')":6.72875,"SNOW^FE_ESTIMATE(CAPEX,MEAN,ANNUAL_ROLL,2020,45993,,,'')":36.127,"SNOW^FE_ESTIMATE(CAPEX,MEAN,QUARTERLY_ROLL,2020/4F,45993,,,'')":11.7974,"SNOW^FE_ESTIMATE(CAPEX,MEAN,QUARTERLY_ROLL,2020/3F,45993,,,'')":17.368,"SNOW^FE_ESTIMATE(CAPEX,MEAN,QUARTERLY_ROLL,2020/2F,45993,,,'')":5.1974545,"SNOW^FE_ESTIMATE(CAPEX,MEAN,QUARTERLY_ROLL,2020/1F,45993,,,'')":4.593,"SNOW^FE_ESTIMATE(CAPEX,MEAN,ANNUAL_ROLL,2019,45993,,,'')":null,"SNOW^FE_ESTIMATE(CAPEX,MEAN,QUARTERLY_ROLL,2019/4F,45993,,,'')":null,"SNOW^FE_ESTIMATE(CAPEX,MEAN,QUARTERLY_ROLL,2019/3F,45993,,,'')":null,"SNOW^FE_ESTIMATE(CAPEX,MEAN,QUARTERLY_ROLL,2019/2F,45993,,,'')":null,"SNOW^FE_ESTIMATE(CAPEX,MEAN,QUARTERLY_ROLL,2019/1F,45993,,,'')":null,"SNOW^FE_ESTIMATE(CAPEX,MEAN,ANNUAL_ROLL,2018,45993,,,'')":null,"SNOW^FE_ESTIMATE(CAPEX,MEAN,QUARTERLY_ROLL,2018/4F,45993,,,'')":null,"SNOW^FE_ESTIMATE(CAPEX,MEAN,QUARTERLY_ROLL,2018/3F,45993,,,'')":null,"SNOW^FE_ESTIMATE(CAPEX,MEAN,QUARTERLY_ROLL,2018/2F,45993,,,'')":null,"SNOW^FE_ESTIMATE(CAPEX,MEAN,QUARTERLY_ROLL,2018/1F,45993,,,'')":null,"SNOW^FE_ESTIMATE(CAPEX,MEAN,ANNUAL_ROLL,2017,45993,,,'')":null,"SNOW^FE_ESTIMATE(CAPEX,MEAN,QUARTERLY_ROLL,2017/4F,45993,,,'')":null,"SNOW^FE_ESTIMATE(CAPEX,MEAN,QUARTERLY_ROLL,2017/3F,45993,,,'')":null,"SNOW^FE_ESTIMATE(CAPEX,MEAN,QUARTERLY_ROLL,2017/2F,45993,,,'')":null,"SNOW^FE_ESTIMATE(CAPEX,MEAN,QUARTERLY_ROLL,2017/1F,45993,,,'')":null,"SNOW^FE_ESTIMATE(CAPEX,MEAN,ANNUAL_ROLL,2016,45993,,,'')":null,"SNOW^FE_ESTIMATE(CAPEX,MEAN,QUARTERLY_ROLL,2016/4F,45993,,,'')":null,"SNOW^FE_ESTIMATE(CAPEX,MEAN,QUARTERLY_ROLL,2016/3F,45993,,,'')":null,"SNOW^FE_ESTIMATE(CAPEX,MEAN,QUARTERLY_ROLL,2016/2F,45993,,,'')":null,"SNOW^FE_ESTIMATE(CAPEX,MEAN,QUARTERLY_ROLL,2016/1F,45993,,,'')":null,"SNOW^FE_ESTIMATE(CFO,MEAN,ANNUAL_ROLL,2027,45993,,,'')":1884.3995,"SNOW^FE_ESTIMATE(CFO,MEAN,QUARTERLY_ROLL,2027/4F,45993,,,'')":750.261,"SNOW^FE_ESTIMATE(CFO,MEAN,QUARTERLY_ROLL,2027/3F,45993,,,'')":326.605,"SNOW^FE_ESTIMATE(CFO,MEAN,QUARTERLY_ROLL,2027/2F,45993,,,'')":269.755,"SNOW^FE_ESTIMATE(CFO,MEAN,QUARTERLY_ROLL,2027/1F,45993,,,'')":502.978,"SNOW^FE_ESTIMATE(CFO,MEAN,ANNUAL_ROLL,2026,45993,,,'')":1516.9827,"SNOW^FE_ESTIMATE(CFO,MEAN,QUARTERLY_ROLL,2026/4F,45993,,,'')":723.4919,"SNOW^FE_ESTIMATE(CFO,MEAN,QUARTERLY_ROLL,2026/3F,45993,,,'')":234.98825,"SNOW^FE_ESTIMATE(CFO,MEAN,QUARTERLY_ROLL,2026/2F,45993,,,'')":131.03888,"SNOW^FE_ESTIMATE(CFO,MEAN,QUARTERLY_ROLL,2026/1F,45993,,,'')":357.788,"SNOW^FE_ESTIMATE(CFO,MEAN,ANNUAL_ROLL,2025,45993,,,'')":1192.925,"SNOW^FE_ESTIMATE(CFO,MEAN,QUARTERLY_ROLL,2025/4F,45993,,,'')":639.38293,"SNOW^FE_ESTIMATE(CFO,MEAN,QUARTERLY_ROLL,2025/3F,45993,,,'')":300.58606,"SNOW^FE_ESTIMATE(CFO,MEAN,QUARTERLY_ROLL,2025/2F,45993,,,'')":74.912,"SNOW^FE_ESTIMATE(CFO,MEAN,QUARTERLY_ROLL,2025/1F,45993,,,'')":228.345,"SNOW^FE_ESTIMATE(CFO,MEAN,ANNUAL_ROLL,2024,45993,,,'')":951.15686,"SNOW^FE_ESTIMATE(CFO,MEAN,QUARTERLY_ROLL,2024/4F,45993,,,'')":432.655,"SNOW^FE_ESTIMATE(CFO,MEAN,QUARTERLY_ROLL,2024/3F,45993,,,'')":101.75471,"SNOW^FE_ESTIMATE(CFO,MEAN,QUARTERLY_ROLL,2024/2F,45993,,,'')":69.95242,"SNOW^FE_ESTIMATE(CFO,MEAN,QUARTERLY_ROLL,2024/1F,45993,,,'')":355.3705,"SNOW^FE_ESTIMATE(CFO,MEAN,ANNUAL_ROLL,2023,45993,,,'')":848.0922,"SNOW^FE_ESTIMATE(CFO,MEAN,QUARTERLY_ROLL,2023/4F,45993,,,'')":344.69376,"SNOW^FE_ESTIMATE(CFO,MEAN,QUARTERLY_ROLL,2023/3F,45993,,,'')":120.924164,"SNOW^FE_ESTIMATE(CFO,MEAN,QUARTERLY_ROLL,2023/2F,45993,,,'')":83.141945,"SNOW^FE_ESTIMATE(CFO,MEAN,QUARTERLY_ROLL,2023/1F,45993,,,'')":299.31625,"SNOW^FE_ESTIMATE(CFO,MEAN,ANNUAL_ROLL,2022,45993,,,'')":540.886,"SNOW^FE_ESTIMATE(CFO,MEAN,QUARTERLY_ROLL,2022/4F,45993,,,'')":217.23,"SNOW^FE_ESTIMATE(CFO,MEAN,QUARTERLY_ROLL,2022/3F,45993,,,'')":54.286564,"SNOW^FE_ESTIMATE(CFO,MEAN,QUARTERLY_ROLL,2022/2F,45993,,,'')":64.3332,"SNOW^FE_ESTIMATE(CFO,MEAN,QUARTERLY_ROLL,2022/1F,45993,,,'')":184.66554,"SNOW^FE_ESTIMATE(CFO,MEAN,ANNUAL_ROLL,2021,45993,,,'')":109.741066,"SNOW^FE_ESTIMATE(CFO,MEAN,QUARTERLY_ROLL,2021/4F,45993,,,'')":78.91763,"SNOW^FE_ESTIMATE(CFO,MEAN,QUARTERLY_ROLL,2021/3F,45993,,,'')":15.572445,"SNOW^FE_ESTIMATE(CFO,MEAN,QUARTERLY_ROLL,2021/2F,45993,,,'')":-3.6493332,"SNOW^FE_ESTIMATE(CFO,MEAN,QUARTERLY_ROLL,2021/1F,45993,,,'')":21.890667,"SNOW^FE_ESTIMATE(CFO,MEAN,ANNUAL_ROLL,2020,45993,,,'')":-48.582153,"SNOW^FE_ESTIMATE(CFO,MEAN,QUARTERLY_ROLL,2020/4F,45993,,,'')":15.057,"SNOW^FE_ESTIMATE(CFO,MEAN,QUARTERLY_ROLL,2020/3F,45993,,,'')":-19.783272,"SNOW^FE_ESTIMATE(CFO,MEAN,QUARTERLY_ROLL,2020/2F,45993,,,'')":-38.694546,"SNOW^FE_ESTIMATE(CFO,MEAN,QUARTERLY_ROLL,2020/1F,45993,,,'')":-6.6,"SNOW^FE_ESTIMATE(CFO,MEAN,ANNUAL_ROLL,2019,45993,,,'')":null,"SNOW^FE_ESTIMATE(CFO,MEAN,QUARTERLY_ROLL,2019/4F,45993,,,'')":null,"SNOW^FE_ESTIMATE(CFO,MEAN,QUARTERLY_ROLL,2019/3F,45993,,,'')":null,"SNOW^FE_ESTIMATE(CFO,MEAN,QUARTERLY_ROLL,2019/2F,45993,,,'')":null,"SNOW^FE_ESTIMATE(CFO,MEAN,QUARTERLY_ROLL,2019/1F,45993,,,'')":null,"SNOW^FE_ESTIMATE(CFO,MEAN,ANNUAL_ROLL,2018,45993,,,'')":null,"SNOW^FE_ESTIMATE(CFO,MEAN,QUARTERLY_ROLL,2018/4F,45993,,,'')":null,"SNOW^FE_ESTIMATE(CFO,MEAN,QUARTERLY_ROLL,2018/3F,45993,,,'')":null,"SNOW^FE_ESTIMATE(CFO,MEAN,QUARTERLY_ROLL,2018/2F,45993,,,'')":null,"SNOW^FE_ESTIMATE(CFO,MEAN,QUARTERLY_ROLL,2018/1F,45993,,,'')":null,"SNOW^FE_ESTIMATE(CFO,MEAN,ANNUAL_ROLL,2017,45993,,,'')":null,"SNOW^FE_ESTIMATE(CFO,MEAN,QUARTERLY_ROLL,2017/4F,45993,,,'')":null,"SNOW^FE_ESTIMATE(CFO,MEAN,QUARTERLY_ROLL,2017/3F,45993,,,'')":null,"SNOW^FE_ESTIMATE(CFO,MEAN,QUARTERLY_ROLL,2017/2F,45993,,,'')":null,"SNOW^FE_ESTIMATE(CFO,MEAN,QUARTERLY_ROLL,2017/1F,45993,,,'')":null,"SNOW^FE_ESTIMATE(CFO,MEAN,ANNUAL_ROLL,2016,45993,,,'')":null,"SNOW^FE_ESTIMATE(CFO,MEAN,QUARTERLY_ROLL,2016/4F,45993,,,'')":null,"SNOW^FE_ESTIMATE(CFO,MEAN,QUARTERLY_ROLL,2016/3F,45993,,,'')":null,"SNOW^FE_ESTIMATE(CFO,MEAN,QUARTERLY_ROLL,2016/2F,45993,,,'')":null,"SNOW^FE_ESTIMATE(CFO,MEAN,QUARTERLY_ROLL,2016/1F,45993,,,'')":null,"SNOW^FE_ESTIMATE(EPS,MEAN,ANNUAL_ROLL,2027,45993,,,'')":2.381984,"SNOW^FE_ESTIMATE(EPS,MEAN,QUARTERLY_ROLL,2027/4F,45993,,,'')":0.601661,"SNOW^FE_ESTIMATE(EPS,MEAN,QUARTERLY_ROLL,2027/3F,45993,,,'')":0.57931346,"SNOW^FE_ESTIMATE(EPS,MEAN,QUARTERLY_ROLL,2027/2F,45993,,,'')":0.5416988,"SNOW^FE_ESTIMATE(EPS,MEAN,QUARTERLY_ROLL,2027/1F,45993,,,'')":0.48724467,"SNOW^FE_ESTIMATE(EPS,MEAN,ANNUAL_ROLL,2026,45993,,,'')":1.6526482,"SNOW^FE_ESTIMATE(EPS,MEAN,QUARTERLY_ROLL,2026/4F,45993,,,'')":0.44944414,"SNOW^FE_ESTIMATE(EPS,MEAN,QUARTERLY_ROLL,2026/3F,45993,,,'')":0.42333472,"SNOW^FE_ESTIMATE(EPS,MEAN,QUARTERLY_ROLL,2026/2F,45993,,,'')":0.40246636,"SNOW^FE_ESTIMATE(EPS,MEAN,QUARTERLY_ROLL,2026/1F,45993,,,'')":0.34642053,"SNOW^FE_ESTIMATE(EPS,MEAN,ANNUAL_ROLL,2025,45993,,,'')":1.2030389,"SNOW^FE_ESTIMATE(EPS,MEAN,QUARTERLY_ROLL,2025/4F,45993,,,'')":0.30057034,"SNOW^FE_ESTIMATE(EPS,MEAN,QUARTERLY_ROLL,2025/3F,45993,,,'')":0.31161147,"SNOW^FE_ESTIMATE(EPS,MEAN,QUARTERLY_ROLL,2025/2F,45993,,,'')":0.35,"SNOW^FE_ESTIMATE(EPS,MEAN,QUARTERLY_ROLL,2025/1F,45993,,,'')":0.24,"SNOW^FE_ESTIMATE(EPS,MEAN,ANNUAL_ROLL,2024,45993,,,'')":0.83,"SNOW^FE_ESTIMATE(EPS,MEAN,QUARTERLY_ROLL,2024/4F,45993,,,'')":0.3,"SNOW^FE_ESTIMATE(EPS,MEAN,QUARTERLY_ROLL,2024/3F,45993,,,'')":0.2,"SNOW^FE_ESTIMATE(EPS,MEAN,QUARTERLY_ROLL,2024/2F,45993,,,'')":0.18,"SNOW^FE_ESTIMATE(EPS,MEAN,QUARTERLY_ROLL,2024/1F,45993,,,'')":0.14,"SNOW^FE_ESTIMATE(EPS,MEAN,ANNUAL_ROLL,2023,45993,,,'')":0.98,"SNOW^FE_ESTIMATE(EPS,MEAN,QUARTERLY_ROLL,2023/4F,45993,,,'')":0.35,"SNOW^FE_ESTIMATE(EPS,MEAN,QUARTERLY_ROLL,2023/3F,45993,,,'')":0.25,"SNOW^FE_ESTIMATE(EPS,MEAN,QUARTERLY_ROLL,2023/2F,45993,,,'')":0.22,"SNOW^FE_ESTIMATE(EPS,MEAN,QUARTERLY_ROLL,2023/1F,45993,,,'')":0.15,"SNOW^FE_ESTIMATE(EPS,MEAN,ANNUAL_ROLL,2022,45993,,,'')":0.25,"SNOW^FE_ESTIMATE(EPS,MEAN,QUARTERLY_ROLL,2022/4F,45993,,,'')":0.14,"SNOW^FE_ESTIMATE(EPS,MEAN,QUARTERLY_ROLL,2022/3F,45993,,,'')":0.11,"SNOW^FE_ESTIMATE(EPS,MEAN,QUARTERLY_ROLL,2022/2F,45993,,,'')":0.007362,"SNOW^FE_ESTIMATE(EPS,MEAN,QUARTERLY_ROLL,2022/1F,45993,,,'')":0.075804,"SNOW^FE_ESTIMATE(EPS,MEAN,ANNUAL_ROLL,2021,45993,,,'')":0.017463,"SNOW^FE_ESTIMATE(EPS,MEAN,QUARTERLY_ROLL,2021/4F,45993,,,'')":0.12099,"SNOW^FE_ESTIMATE(EPS,MEAN,QUARTERLY_ROLL,2021/3F,45993,,,'')":0.036995,"SNOW^FE_ESTIMATE(EPS,MEAN,QUARTERLY_ROLL,2021/2F,45993,,,'')":-0.041301,"SNOW^FE_ESTIMATE(EPS,MEAN,QUARTERLY_ROLL,2021/1F,45993,,,'')":-0.117309,"SNOW^FE_ESTIMATE(EPS,MEAN,ANNUAL_ROLL,2020,45993,,,'')":-0.774538,"SNOW^FE_ESTIMATE(EPS,MEAN,QUARTERLY_ROLL,2020/4F,45993,,,'')":-0.156479,"SNOW^FE_ESTIMATE(EPS,MEAN,QUARTERLY_ROLL,2020/3F,45993,,,'')":-0.23298092,"SNOW^FE_ESTIMATE(EPS,MEAN,QUARTERLY_ROLL,2020/2F,45993,,,'')":-0.24057037,"SNOW^FE_ESTIMATE(EPS,MEAN,QUARTERLY_ROLL,2020/1F,45993,,,'')":-0.28,"SNOW^FE_ESTIMATE(EPS,MEAN,ANNUAL_ROLL,2019,45993,,,'')":null,"SNOW^FE_ESTIMATE(EPS,MEAN,QUARTERLY_ROLL,2019/4F,45993,,,'')":null,"SNOW^FE_ESTIMATE(EPS,MEAN,QUARTERLY_ROLL,2019/3F,45993,,,'')":null,"SNOW^FE_ESTIMATE(EPS,MEAN,QUARTERLY_ROLL,2019/2F,45993,,,'')":null,"SNOW^FE_ESTIMATE(EPS,MEAN,QUARTERLY_ROLL,2019/1F,45993,,,'')":null,"SNOW^FE_ESTIMATE(EPS,MEAN,ANNUAL_ROLL,2018,45993,,,'')":null,"SNOW^FE_ESTIMATE(EPS,MEAN,QUARTERLY_ROLL,2018/4F,45993,,,'')":null,"SNOW^FE_ESTIMATE(EPS,MEAN,QUARTERLY_ROLL,2018/3F,45993,,,'')":null,"SNOW^FE_ESTIMATE(EPS,MEAN,QUARTERLY_ROLL,2018/2F,45993,,,'')":null,"SNOW^FE_ESTIMATE(EPS,MEAN,QUARTERLY_ROLL,2018/1F,45993,,,'')":null,"SNOW^FE_ESTIMATE(EPS,MEAN,ANNUAL_ROLL,2017,45993,,,'')":null,"SNOW^FE_ESTIMATE(EPS,MEAN,QUARTERLY_ROLL,2017/4F,45993,,,'')":null,"SNOW^FE_ESTIMATE(EPS,MEAN,QUARTERLY_ROLL,2017/3F,45993,,,'')":null,"SNOW^FE_ESTIMATE(EPS,MEAN,QUARTERLY_ROLL,2017/2F,45993,,,'')":null,"SNOW^FE_ESTIMATE(EPS,MEAN,QUARTERLY_ROLL,2017/1F,45993,,,'')":null,"SNOW^FE_ESTIMATE(EPS,MEAN,ANNUAL_ROLL,2016,45993,,,'')":null,"SNOW^FE_ESTIMATE(EPS,MEAN,QUARTERLY_ROLL,2016/4F,45993,,,'')":null,"SNOW^FE_ESTIMATE(EPS,MEAN,QUARTERLY_ROLL,2016/3F,45993,,,'')":null,"SNOW^FE_ESTIMATE(EPS,MEAN,QUARTERLY_ROLL,2016/2F,45993,,,'')":null,"SNOW^FE_ESTIMATE(EPS,MEAN,QUARTERLY_ROLL,2016/1F,45993,,,'')":null,"SNOW^FE_ESTIMATE(EBIT,MEAN,ANNUAL_ROLL,2027,45993,,,'')":974.4894,"SNOW^FE_ESTIMATE(EBIT,MEAN,QUARTERLY_ROLL,2027/4F,45993,,,'')":256.64142,"SNOW^FE_ESTIMATE(EBIT,MEAN,QUARTERLY_ROLL,2027/3F,45993,,,'')":238.27846,"SNOW^FE_ESTIMATE(EBIT,MEAN,QUARTERLY_ROLL,2027/2F,45993,,,'')":216.09016,"SNOW^FE_ESTIMATE(EBIT,MEAN,QUARTERLY_ROLL,2027/1F,45993,,,'')":190.81848,"SNOW^FE_ESTIMATE(EBIT,MEAN,ANNUAL_ROLL,2026,45993,,,'')":634.8485,"SNOW^FE_ESTIMATE(EBIT,MEAN,QUARTERLY_ROLL,2026/4F,45993,,,'')":180.27235,"SNOW^FE_ESTIMATE(EBIT,MEAN,QUARTERLY_ROLL,2026/3F,45993,,,'')":168.42868,"SNOW^FE_ESTIMATE(EBIT,MEAN,QUARTERLY_ROLL,2026/2F,45993,,,'')":157.35016,"SNOW^FE_ESTIMATE(EBIT,MEAN,QUARTERLY_ROLL,2026/1F,45993,,,'')":127.176956,"SNOW^FE_ESTIMATE(EBIT,MEAN,ANNUAL_ROLL,2025,45993,,,'')":432.92224,"SNOW^FE_ESTIMATE(EBIT,MEAN,QUARTERLY_ROLL,2025/4F,45993,,,'')":103.369286,"SNOW^FE_ESTIMATE(EBIT,MEAN,QUARTERLY_ROLL,2025/3F,45993,,,'')":110.10069,"SNOW^FE_ESTIMATE(EBIT,MEAN,QUARTERLY_ROLL,2025/2F,45993,,,'')":127.630974,"SNOW^FE_ESTIMATE(EBIT,MEAN,QUARTERLY_ROLL,2025/1F,45993,,,'')":91.71933,"SNOW^FE_ESTIMATE(EBIT,MEAN,ANNUAL_ROLL,2024,45993,,,'')":231.723,"SNOW^FE_ESTIMATE(EBIT,MEAN,QUARTERLY_ROLL,2024/4F,45993,,,'')":92.845,"SNOW^FE_ESTIMATE(EBIT,MEAN,QUARTERLY_ROLL,2024/3F,45993,,,'')":58.888,"SNOW^FE_ESTIMATE(EBIT,MEAN,QUARTERLY_ROLL,2024/2F,45993,,,'')":43.75044,"SNOW^FE_ESTIMATE(EBIT,MEAN,QUARTERLY_ROLL,2024/1F,45993,,,'')":36.244,"SNOW^FE_ESTIMATE(EBIT,MEAN,ANNUAL_ROLL,2023,45993,,,'')":229.71,"SNOW^FE_ESTIMATE(EBIT,MEAN,QUARTERLY_ROLL,2023/4F,45993,,,'')":70.966,"SNOW^FE_ESTIMATE(EBIT,MEAN,QUARTERLY_ROLL,2023/3F,45993,,,'')":71.938,"SNOW^FE_ESTIMATE(EBIT,MEAN,QUARTERLY_ROLL,2023/2F,45993,,,'')":54.2,"SNOW^FE_ESTIMATE(EBIT,MEAN,QUARTERLY_ROLL,2023/1F,45993,,,'')":32.606,"SNOW^FE_ESTIMATE(EBIT,MEAN,ANNUAL_ROLL,2022,45993,,,'')":95.283,"SNOW^FE_ESTIMATE(EBIT,MEAN,QUARTERLY_ROLL,2022/4F,45993,,,'')":32.775,"SNOW^FE_ESTIMATE(EBIT,MEAN,QUARTERLY_ROLL,2022/3F,45993,,,'')":43.372,"SNOW^FE_ESTIMATE(EBIT,MEAN,QUARTERLY_ROLL,2022/2F,45993,,,'')":17.461,"SNOW^FE_ESTIMATE(EBIT,MEAN,QUARTERLY_ROLL,2022/1F,45993,,,'')":1.7,"SNOW^FE_ESTIMATE(EBIT,MEAN,ANNUAL_ROLL,2021,45993,,,'')":-31.175,"SNOW^FE_ESTIMATE(EBIT,MEAN,QUARTERLY_ROLL,2021/4F,45993,,,'')":18.058,"SNOW^FE_ESTIMATE(EBIT,MEAN,QUARTERLY_ROLL,2021/3F,45993,,,'')":8.463368,"SNOW^FE_ESTIMATE(EBIT,MEAN,QUARTERLY_ROLL,2021/2F,45993,,,'')":-21.9042,"SNOW^FE_ESTIMATE(EBIT,MEAN,QUARTERLY_ROLL,2021/1F,45993,,,'')":-35.8,"SNOW^FE_ESTIMATE(EBIT,MEAN,ANNUAL_ROLL,2020,45993,,,'')":-225.47441,"SNOW^FE_ESTIMATE(EBIT,MEAN,QUARTERLY_ROLL,2020/4F,45993,,,'')":-45.99084,"SNOW^FE_ESTIMATE(EBIT,MEAN,QUARTERLY_ROLL,2020/3F,45993,,,'')":-48.09722,"SNOW^FE_ESTIMATE(EBIT,MEAN,QUARTERLY_ROLL,2020/2F,45993,,,'')":-58.351334,"SNOW^FE_ESTIMATE(EBIT,MEAN,QUARTERLY_ROLL,2020/1F,45993,,,'')":-74.819336,"SNOW^FE_ESTIMATE(EBIT,MEAN,ANNUAL_ROLL,2019,45993,,,'')":null,"SNOW^FE_ESTIMATE(EBIT,MEAN,QUARTERLY_ROLL,2019/4F,45993,,,'')":null,"SNOW^FE_ESTIMATE(EBIT,MEAN,QUARTERLY_ROLL,2019/3F,45993,,,'')":null,"SNOW^FE_ESTIMATE(EBIT,MEAN,QUARTERLY_ROLL,2019/2F,45993,,,'')":null,"SNOW^FE_ESTIMATE(EBIT,MEAN,QUARTERLY_ROLL,2019/1F,45993,,,'')":null,"SNOW^FE_ESTIMATE(EBIT,MEAN,ANNUAL_ROLL,2018,45993,,,'')":null,"SNOW^FE_ESTIMATE(EBIT,MEAN,QUARTERLY_ROLL,2018/4F,45993,,,'')":null,"SNOW^FE_ESTIMATE(EBIT,MEAN,QUARTERLY_ROLL,2018/3F,45993,,,'')":null,"SNOW^FE_ESTIMATE(EBIT,MEAN,QUARTERLY_ROLL,2018/2F,45993,,,'')":null,"SNOW^FE_ESTIMATE(EBIT,MEAN,QUARTERLY_ROLL,2018/1F,45993,,,'')":null,"SNOW^FE_ESTIMATE(EBIT,MEAN,ANNUAL_ROLL,2017,45993,,,'')":null,"SNOW^FE_ESTIMATE(EBIT,MEAN,QUARTERLY_ROLL,2017/4F,45993,,,'')":null,"SNOW^FE_ESTIMATE(EBIT,MEAN,QUARTERLY_ROLL,2017/3F,45993,,,'')":null,"SNOW^FE_ESTIMATE(EBIT,MEAN,QUARTERLY_ROLL,2017/2F,45993,,,'')":null,"SNOW^FE_ESTIMATE(EBIT,MEAN,QUARTERLY_ROLL,2017/1F,45993,,,'')":null,"SNOW^FE_ESTIMATE(EBIT,MEAN,ANNUAL_ROLL,2016,45993,,,'')":null,"SNOW^FE_ESTIMATE(EBIT,MEAN,QUARTERLY_ROLL,2016/4F,45993,,,'')":null,"SNOW^FE_ESTIMATE(EBIT,MEAN,QUARTERLY_ROLL,2016/3F,45993,,,'')":null,"SNOW^FE_ESTIMATE(EBIT,MEAN,QUARTERLY_ROLL,2016/2F,45993,,,'')":null,"SNOW^FE_ESTIMATE(EBIT,MEAN,QUARTERLY_ROLL,2016/1F,45993,,,'')":null,"SNOW^FE_ESTIMATE(GROSSINCOME,MEAN,ANNUAL_ROLL,2027,45993,,,'')":5102.9204,"SNOW^FE_ESTIMATE(GROSSINCOME,MEAN,QUARTERLY_ROLL,2027/4F,45993,,,'')":1381.3583,"SNOW^FE_ESTIMATE(GROSSINCOME,MEAN,QUARTERLY_ROLL,2027/3F,45993,,,'')":1312.6393,"SNOW^FE_ESTIMATE(GROSSINCOME,MEAN,QUARTERLY_ROLL,2027/2F,45993,,,'')":1245.7144,"SNOW^FE_ESTIMATE(GROSSINCOME,MEAN,QUARTERLY_ROLL,2027/1F,45993,,,'')":1178.5216,"SNOW^FE_ESTIMATE(GROSSINCOME,MEAN,ANNUAL_ROLL,2026,45993,,,'')":4113.3555,"SNOW^FE_ESTIMATE(GROSSINCOME,MEAN,QUARTERLY_ROLL,2026/4F,45993,,,'')":1111.6318,"SNOW^FE_ESTIMATE(GROSSINCOME,MEAN,QUARTERLY_ROLL,2026/3F,45993,,,'')":1061.5975,"SNOW^FE_ESTIMATE(GROSSINCOME,MEAN,QUARTERLY_ROLL,2026/2F,45993,,,'')":1011.71136,"SNOW^FE_ESTIMATE(GROSSINCOME,MEAN,QUARTERLY_ROLL,2026/1F,45993,,,'')":938.4635,"SNOW^FE_ESTIMATE(GROSSINCOME,MEAN,ANNUAL_ROLL,2025,45993,,,'')":3330.189,"SNOW^FE_ESTIMATE(GROSSINCOME,MEAN,QUARTERLY_ROLL,2025/4F,45993,,,'')":889.8814,"SNOW^FE_ESTIMATE(GROSSINCOME,MEAN,QUARTERLY_ROLL,2025/3F,45993,,,'')":852.8726,"SNOW^FE_ESTIMATE(GROSSINCOME,MEAN,QUARTERLY_ROLL,2025/2F,45993,,,'')":835.287,"SNOW^FE_ESTIMATE(GROSSINCOME,MEAN,QUARTERLY_ROLL,2025/1F,45993,,,'')":752.124,"SNOW^FE_ESTIMATE(GROSSINCOME,MEAN,ANNUAL_ROLL,2024,45993,,,'')":2648.711,"SNOW^FE_ESTIMATE(GROSSINCOME,MEAN,QUARTERLY_ROLL,2024/4F,45993,,,'')":716.212,"SNOW^FE_ESTIMATE(GROSSINCOME,MEAN,QUARTERLY_ROLL,2024/3F,45993,,,'')":687.173,"SNOW^FE_ESTIMATE(GROSSINCOME,MEAN,QUARTERLY_ROLL,2024/2F,45993,,,'')":636.21,"SNOW^FE_ESTIMATE(GROSSINCOME,MEAN,QUARTERLY_ROLL,2024/1F,45993,,,'')":609.116,"SNOW^FE_ESTIMATE(GROSSINCOME,MEAN,ANNUAL_ROLL,2023,45993,,,'')":2082.899,"SNOW^FE_ESTIMATE(GROSSINCOME,MEAN,QUARTERLY_ROLL,2023/4F,45993,,,'')":578.626,"SNOW^FE_ESTIMATE(GROSSINCOME,MEAN,QUARTERLY_ROLL,2023/3F,45993,,,'')":549.927,"SNOW^FE_ESTIMATE(GROSSINCOME,MEAN,QUARTERLY_ROLL,2023/2F,45993,,,'')":500.414,"SNOW^FE_ESTIMATE(GROSSINCOME,MEAN,QUARTERLY_ROLL,2023/1F,45993,,,'')":453.932,"SNOW^FE_ESTIMATE(GROSSINCOME,MEAN,ANNUAL_ROLL,2022,45993,,,'')":1466.589,"SNOW^FE_ESTIMATE(GROSSINCOME,MEAN,QUARTERLY_ROLL,2022/4F,45993,,,'')":417.272,"SNOW^FE_ESTIMATE(GROSSINCOME,MEAN,QUARTERLY_ROLL,2022/3F,45993,,,'')":366.307,"SNOW^FE_ESTIMATE(GROSSINCOME,MEAN,QUARTERLY_ROLL,2022/2F,45993,,,'')":352.276,"SNOW^FE_ESTIMATE(GROSSINCOME,MEAN,QUARTERLY_ROLL,2022/1F,45993,,,'')":299.90863,"SNOW^FE_ESTIMATE(GROSSINCOME,MEAN,ANNUAL_ROLL,2021,45993,,,'')":855.335,"SNOW^FE_ESTIMATE(GROSSINCOME,MEAN,QUARTERLY_ROLL,2021/4F,45993,,,'')":272.581,"SNOW^FE_ESTIMATE(GROSSINCOME,MEAN,QUARTERLY_ROLL,2021/3F,45993,,,'')":236.57973,"SNOW^FE_ESTIMATE(GROSSINCOME,MEAN,QUARTERLY_ROLL,2021/2F,45993,,,'')":189.73117,"SNOW^FE_ESTIMATE(GROSSINCOME,MEAN,QUARTERLY_ROLL,2021/1F,45993,,,'')":156.46094,"SNOW^FE_ESTIMATE(GROSSINCOME,MEAN,ANNUAL_ROLL,2020,45993,,,'')":385.867,"SNOW^FE_ESTIMATE(GROSSINCOME,MEAN,QUARTERLY_ROLL,2020/4F,45993,,,'')":127.0,"SNOW^FE_ESTIMATE(GROSSINCOME,MEAN,QUARTERLY_ROLL,2020/3F,45993,,,'')":107.00894,"SNOW^FE_ESTIMATE(GROSSINCOME,MEAN,QUARTERLY_ROLL,2020/2F,45993,,,'')":84.158,"SNOW^FE_ESTIMATE(GROSSINCOME,MEAN,QUARTERLY_ROLL,2020/1F,45993,,,'')":67.525,"SNOW^FE_ESTIMATE(GROSSINCOME,MEAN,ANNUAL_ROLL,2019,45993,,,'')":null,"SNOW^FE_ESTIMATE(GROSSINCOME,MEAN,QUARTERLY_ROLL,2019/4F,45993,,,'')":null,"SNOW^FE_ESTIMATE(GROSSINCOME,MEAN,QUARTERLY_ROLL,2019/3F,45993,,,'')":null,"SNOW^FE_ESTIMATE(GROSSINCOME,MEAN,QUARTERLY_ROLL,2019/2F,45993,,,'')":null,"SNOW^FE_ESTIMATE(GROSSINCOME,MEAN,QUARTERLY_ROLL,2019/1F,45993,,,'')":null,"SNOW^FE_ESTIMATE(GROSSINCOME,MEAN,ANNUAL_ROLL,2018,45993,,,'')":null,"SNOW^FE_ESTIMATE(GROSSINCOME,MEAN,QUARTERLY_ROLL,2018/4F,45993,,,'')":null,"SNOW^FE_ESTIMATE(GROSSINCOME,MEAN,QUARTERLY_ROLL,2018/3F,45993,,,'')":null,"SNOW^FE_ESTIMATE(GROSSINCOME,MEAN,QUARTERLY_ROLL,2018/2F,45993,,,'')":null,"SNOW^FE_ESTIMATE(GROSSINCOME,MEAN,QUARTERLY_ROLL,2018/1F,45993,,,'')":null,"SNOW^FE_ESTIMATE(GROSSINCOME,MEAN,ANNUAL_ROLL,2017,45993,,,'')":null,"SNOW^FE_ESTIMATE(GROSSINCOME,MEAN,QUARTERLY_ROLL,2017/4F,45993,,,'')":null,"SNOW^FE_ESTIMATE(GROSSINCOME,MEAN,QUARTERLY_ROLL,2017/3F,45993,,,'')":null,"SNOW^FE_ESTIMATE(GROSSINCOME,MEAN,QUARTERLY_ROLL,2017/2F,45993,,,'')":null,"SNOW^FE_ESTIMATE(GROSSINCOME,MEAN,QUARTERLY_ROLL,2017/1F,45993,,,'')":null,"SNOW^FE_ESTIMATE(GROSSINCOME,MEAN,ANNUAL_ROLL,2016,45993,,,'')":null,"SNOW^FE_ESTIMATE(GROSSINCOME,MEAN,QUARTERLY_ROLL,2016/4F,45993,,,'')":null,"SNOW^FE_ESTIMATE(GROSSINCOME,MEAN,QUARTERLY_ROLL,2016/3F,45993,,,'')":null,"SNOW^FE_ESTIMATE(GROSSINCOME,MEAN,QUARTERLY_ROLL,2016/2F,45993,,,'')":null,"SNOW^FE_ESTIMATE(GROSSINCOME,MEAN,QUARTERLY_ROLL,2016/1F,45993,,,'')":null,"SNOW^FE_ESTIMATE(PL_COS_2,MEAN,ANNUAL_ROLL,2027,45993,,,'')":244.7111,"SNOW^FE_ESTIMATE(PL_COS_2,MEAN,QUARTERLY_ROLL,2027/4F,45993,,,'')":64.4,"SNOW^FE_ESTIMATE(PL_COS_2,MEAN,QUARTERLY_ROLL,2027/3F,45993,,,'')":62.633335,"SNOW^FE_ESTIMATE(PL_COS_2,MEAN,QUARTERLY_ROLL,2027/2F,45993,,,'')":63.4,"SNOW^FE_ESTIMATE(PL_COS_2,MEAN,QUARTERLY_ROLL,2027/1F,45993,,,'')":60.0,"SNOW^FE_ESTIMATE(PL_COS_2,MEAN,ANNUAL_ROLL,2026,45993,,,'')":221.46672,"SNOW^FE_ESTIMATE(PL_COS_2,MEAN,QUARTERLY_ROLL,2026/4F,45993,,,'')":57.7618,"SNOW^FE_ESTIMATE(PL_COS_2,MEAN,QUARTERLY_ROLL,2026/3F,45993,,,'')":56.2944,"SNOW^FE_ESTIMATE(PL_COS_2,MEAN,QUARTERLY_ROLL,2026/2F,45993,,,'')":56.1214,"SNOW^FE_ESTIMATE(PL_COS_2,MEAN,QUARTERLY_ROLL,2026/1F,45993,,,'')":53.4359,"SNOW^FE_ESTIMATE(PL_COS_2,MEAN,ANNUAL_ROLL,2025,45993,,,'')":200.41707,"SNOW^FE_ESTIMATE(PL_COS_2,MEAN,QUARTERLY_ROLL,2025/4F,45993,,,'')":50.797928,"SNOW^FE_ESTIMATE(PL_COS_2,MEAN,QUARTERLY_ROLL,2025/3F,45993,,,'')":49.545284,"SNOW^FE_ESTIMATE(PL_COS_2,MEAN,QUARTERLY_ROLL,2025/2F,45993,,,'')":52.803642,"SNOW^FE_ESTIMATE(PL_COS_2,MEAN,QUARTERLY_ROLL,2025/1F,45993,,,'')":47.2948,"SNOW^FE_ESTIMATE(PL_COS_2,MEAN,ANNUAL_ROLL,2024,45993,,,'')":158.59363,"SNOW^FE_ESTIMATE(PL_COS_2,MEAN,QUARTERLY_ROLL,2024/4F,45993,,,'')":42.617687,"SNOW^FE_ESTIMATE(PL_COS_2,MEAN,QUARTERLY_ROLL,2024/3F,45993,,,'')":41.536823,"SNOW^FE_ESTIMATE(PL_COS_2,MEAN,QUARTERLY_ROLL,2024/2F,45993,,,'')":37.10643,"SNOW^FE_ESTIMATE(PL_COS_2,MEAN,QUARTERLY_ROLL,2024/1F,45993,,,'')":38.3436,"SNOW^FE_ESTIMATE(PL_COS_2,MEAN,ANNUAL_ROLL,2023,45993,,,'')":132.87325,"SNOW^FE_ESTIMATE(PL_COS_2,MEAN,QUARTERLY_ROLL,2023/4F,45993,,,'')":33.996,"SNOW^FE_ESTIMATE(PL_COS_2,MEAN,QUARTERLY_ROLL,2023/3F,45993,,,'')":32.89125,"SNOW^FE_ESTIMATE(PL_COS_2,MEAN,QUARTERLY_ROLL,2023/2F,45993,,,'')":32.178,"SNOW^FE_ESTIMATE(PL_COS_2,MEAN,QUARTERLY_ROLL,2023/1F,45993,,,'')":33.81286,"SNOW^FE_ESTIMATE(PL_COS_2,MEAN,ANNUAL_ROLL,2022,45993,,,'')":117.6784,"SNOW^FE_ESTIMATE(PL_COS_2,MEAN,QUARTERLY_ROLL,2022/4F,45993,,,'')":32.8016,"SNOW^FE_ESTIMATE(PL_COS_2,MEAN,QUARTERLY_ROLL,2022/3F,45993,,,'')":31.0104,"SNOW^FE_ESTIMATE(PL_COS_2,MEAN,QUARTERLY_ROLL,2022/2F,45993,,,'')":29.076334,"SNOW^FE_ESTIMATE(PL_COS_2,MEAN,QUARTERLY_ROLL,2022/1F,45993,,,'')":25.708462,"SNOW^FE_ESTIMATE(PL_COS_2,MEAN,ANNUAL_ROLL,2021,45993,,,'')":68.103455,"SNOW^FE_ESTIMATE(PL_COS_2,MEAN,QUARTERLY_ROLL,2021/4F,45993,,,'')":21.232908,"SNOW^FE_ESTIMATE(PL_COS_2,MEAN,QUARTERLY_ROLL,2021/3F,45993,,,'')":18.641333,"SNOW^FE_ESTIMATE(PL_COS_2,MEAN,QUARTERLY_ROLL,2021/2F,45993,,,'')":15.199429,"SNOW^FE_ESTIMATE(PL_COS_2,MEAN,QUARTERLY_ROLL,2021/1F,45993,,,'')":13.102222,"SNOW^FE_ESTIMATE(PL_COS_2,MEAN,ANNUAL_ROLL,2020,45993,,,'')":32.61089,"SNOW^FE_ESTIMATE(PL_COS_2,MEAN,QUARTERLY_ROLL,2020/4F,45993,,,'')":11.373777,"SNOW^FE_ESTIMATE(PL_COS_2,MEAN,QUARTERLY_ROLL,2020/3F,45993,,,'')":8.69309,"SNOW^FE_ESTIMATE(PL_COS_2,MEAN,QUARTERLY_ROLL,2020/2F,45993,,,'')":7.1833334,"SNOW^FE_ESTIMATE(PL_COS_2,MEAN,QUARTERLY_ROLL,2020/1F,45993,,,'')":null,"SNOW^FE_ESTIMATE(PL_COS_2,MEAN,ANNUAL_ROLL,2019,45993,,,'')":null,"SNOW^FE_ESTIMATE(PL_COS_2,MEAN,QUARTERLY_ROLL,2019/4F,45993,,,'')":null,"SNOW^FE_ESTIMATE(PL_COS_2,MEAN,QUARTERLY_ROLL,2019/3F,45993,,,'')":null,"SNOW^FE_ESTIMATE(PL_COS_2,MEAN,QUARTERLY_ROLL,2019/2F,45993,,,'')":null,"SNOW^FE_ESTIMATE(PL_COS_2,MEAN,QUARTERLY_ROLL,2019/1F,45993,,,'')":null,"SNOW^FE_ESTIMATE(PL_COS_2,MEAN,ANNUAL_ROLL,2018,45993,,,'')":null,"SNOW^FE_ESTIMATE(PL_COS_2,MEAN,QUARTERLY_ROLL,2018/4F,45993,,,'')":null,"SNOW^FE_ESTIMATE(PL_COS_2,MEAN,QUARTERLY_ROLL,2018/3F,45993,,,'')":null,"SNOW^FE_ESTIMATE(PL_COS_2,MEAN,QUARTERLY_ROLL,2018/2F,45993,,,'')":null,"SNOW^FE_ESTIMATE(PL_COS_2,MEAN,QUARTERLY_ROLL,2018/1F,45993,,,'')":null,"SNOW^FE_ESTIMATE(PL_COS_2,MEAN,ANNUAL_ROLL,2017,45993,,,'')":null,"SNOW^FE_ESTIMATE(PL_COS_2,MEAN,QUARTERLY_ROLL,2017/4F,45993,,,'')":null,"SNOW^FE_ESTIMATE(PL_COS_2,MEAN,QUARTERLY_ROLL,2017/3F,45993,,,'')":null,"SNOW^FE_ESTIMATE(PL_COS_2,MEAN,QUARTERLY_ROLL,2017/2F,45993,,,'')":null,"SNOW^FE_ESTIMATE(PL_COS_2,MEAN,QUARTERLY_ROLL,2017/1F,45993,,,'')":null,"SNOW^FE_ESTIMATE(PL_COS_2,MEAN,ANNUAL_ROLL,2016,45993,,,'')":null,"SNOW^FE_ESTIMATE(PL_COS_2,MEAN,QUARTERLY_ROLL,2016/4F,45993,,,'')":null,"SNOW^FE_ESTIMATE(PL_COS_2,MEAN,QUARTERLY_ROLL,2016/3F,45993,,,'')":null,"SNOW^FE_ESTIMATE(PL_COS_2,MEAN,QUARTERLY_ROLL,2016/2F,45993,,,'')":null,"SNOW^FE_ESTIMATE(PL_COS_2,MEAN,QUARTERLY_ROLL,2016/1F,45993,,,'')":null,"SNOW^FE_ESTIMATE(PL_COS_2,MEAN,ANNUAL_ROLL,2015,45993,,,'')":null,"SNOW^FE_ESTIMATE(PL_COS_2,MEAN,QUARTERLY_ROLL,2015/4F,45993,,,'')":null,"SNOW^FE_ESTIMATE(PL_COS_2,MEAN,QUARTERLY_ROLL,2015/3F,45993,,,'')":null,"SNOW^FE_ESTIMATE(PL_COS_2,MEAN,QUARTERLY_ROLL,2015/2F,45993,,,'')":null,"SNOW^FE_ESTIMATE(PL_COS_2,MEAN,QUARTERLY_ROLL,2015/1F,45993,,,'')":null,"SNOW^FE_ESTIMATE(PL_COS_1,MEAN,ANNUAL_ROLL,2027,45993,,,'')":1625.5333,"SNOW^FE_ESTIMATE(PL_COS_1,MEAN,QUARTERLY_ROLL,2027/4F,45993,,,'')":430.93332,"SNOW^FE_ESTIMATE(PL_COS_1,MEAN,QUARTERLY_ROLL,2027/3F,45993,,,'')":418.1,"SNOW^FE_ESTIMATE(PL_COS_1,MEAN,QUARTERLY_ROLL,2027/2F,45993,,,'')":404.93332,"SNOW^FE_ESTIMATE(PL_COS_1,MEAN,QUARTERLY_ROLL,2027/1F,45993,,,'')":375.0,"SNOW^FE_ESTIMATE(PL_COS_1,MEAN,ANNUAL_ROLL,2026,45993,,,'')":1336.6338,"SNOW^FE_ESTIMATE(PL_COS_1,MEAN,QUARTERLY_ROLL,2026/4F,45993,,,'')":358.7233,"SNOW^FE_ESTIMATE(PL_COS_1,MEAN,QUARTERLY_ROLL,2026/3F,45993,,,'')":343.5388,"SNOW^FE_ESTIMATE(PL_COS_1,MEAN,QUARTERLY_ROLL,2026/2F,45993,,,'')":326.6005,"SNOW^FE_ESTIMATE(PL_COS_1,MEAN,QUARTERLY_ROLL,2026/1F,45993,,,'')":305.8449,"SNOW^FE_ESTIMATE(PL_COS_1,MEAN,ANNUAL_ROLL,2025,45993,,,'')":1080.7028,"SNOW^FE_ESTIMATE(PL_COS_1,MEAN,QUARTERLY_ROLL,2025/4F,45993,,,'')":298.47363,"SNOW^FE_ESTIMATE(PL_COS_1,MEAN,QUARTERLY_ROLL,2025/3F,45993,,,'')":282.71042,"SNOW^FE_ESTIMATE(PL_COS_1,MEAN,QUARTERLY_ROLL,2025/2F,45993,,,'')":256.8925,"SNOW^FE_ESTIMATE(PL_COS_1,MEAN,QUARTERLY_ROLL,2025/1F,45993,,,'')":242.69853,"SNOW^FE_ESTIMATE(PL_COS_1,MEAN,ANNUAL_ROLL,2024,45993,,,'')":819.0973,"SNOW^FE_ESTIMATE(PL_COS_1,MEAN,QUARTERLY_ROLL,2024/4F,45993,,,'')":227.99944,"SNOW^FE_ESTIMATE(PL_COS_1,MEAN,QUARTERLY_ROLL,2024/3F,45993,,,'')":213.37277,"SNOW^FE_ESTIMATE(PL_COS_1,MEAN,QUARTERLY_ROLL,2024/2F,45993,,,'')":195.49573,"SNOW^FE_ESTIMATE(PL_COS_1,MEAN,QUARTERLY_ROLL,2024/1F,45993,,,'')":182.29465,"SNOW^FE_ESTIMATE(PL_COS_1,MEAN,ANNUAL_ROLL,2023,45993,,,'')":590.7305,"SNOW^FE_ESTIMATE(PL_COS_1,MEAN,QUARTERLY_ROLL,2023/4F,45993,,,'')":162.0968,"SNOW^FE_ESTIMATE(PL_COS_1,MEAN,QUARTERLY_ROLL,2023/3F,45993,,,'')":151.39525,"SNOW^FE_ESTIMATE(PL_COS_1,MEAN,QUARTERLY_ROLL,2023/2F,45993,,,'')":141.38028,"SNOW^FE_ESTIMATE(PL_COS_1,MEAN,QUARTERLY_ROLL,2023/1F,45993,,,'')":135.89914,"SNOW^FE_ESTIMATE(PL_COS_1,MEAN,ANNUAL_ROLL,2022,45993,,,'')":481.26694,"SNOW^FE_ESTIMATE(PL_COS_1,MEAN,QUARTERLY_ROLL,2022/4F,45993,,,'')":138.90907,"SNOW^FE_ESTIMATE(PL_COS_1,MEAN,QUARTERLY_ROLL,2022/3F,45993,,,'')":128.8256,"SNOW^FE_ESTIMATE(PL_COS_1,MEAN,QUARTERLY_ROLL,2022/2F,45993,,,'')":115.91433,"SNOW^FE_ESTIMATE(PL_COS_1,MEAN,QUARTERLY_ROLL,2022/1F,45993,,,'')":98.86742,"SNOW^FE_ESTIMATE(PL_COS_1,MEAN,ANNUAL_ROLL,2021,45993,,,'')":295.83072,"SNOW^FE_ESTIMATE(PL_COS_1,MEAN,QUARTERLY_ROLL,2021/4F,45993,,,'')":89.92882,"SNOW^FE_ESTIMATE(PL_COS_1,MEAN,QUARTERLY_ROLL,2021/3F,45993,,,'')":79.268,"SNOW^FE_ESTIMATE(PL_COS_1,MEAN,QUARTERLY_ROLL,2021/2F,45993,,,'')":67.29372,"SNOW^FE_ESTIMATE(PL_COS_1,MEAN,QUARTERLY_ROLL,2021/1F,45993,,,'')":59.309,"SNOW^FE_ESTIMATE(PL_COS_1,MEAN,ANNUAL_ROLL,2020,45993,,,'')":173.40333999999999,"SNOW^FE_ESTIMATE(PL_COS_1,MEAN,QUARTERLY_ROLL,2020/4F,45993,,,'')":54.207333,"SNOW^FE_ESTIMATE(PL_COS_1,MEAN,QUARTERLY_ROLL,2020/3F,45993,,,'')":43.904366,"SNOW^FE_ESTIMATE(PL_COS_1,MEAN,QUARTERLY_ROLL,2020/2F,45993,,,'')":41.80489,"SNOW^FE_ESTIMATE(PL_COS_1,MEAN,QUARTERLY_ROLL,2020/1F,45993,,,'')":null,"SNOW^FE_ESTIMATE(PL_COS_1,MEAN,ANNUAL_ROLL,2019,45993,,,'')":null,"SNOW^FE_ESTIMATE(PL_COS_1,MEAN,QUARTERLY_ROLL,2019/4F,45993,,,'')":null,"SNOW^FE_ESTIMATE(PL_COS_1,MEAN,QUARTERLY_ROLL,2019/3F,45993,,,'')":null,"SNOW^FE_ESTIMATE(PL_COS_1,MEAN,QUARTERLY_ROLL,2019/2F,45993,,,'')":null,"SNOW^FE_ESTIMATE(PL_COS_1,MEAN,QUARTERLY_ROLL,2019/1F,45993,,,'')":null,"SNOW^FE_ESTIMATE(PL_COS_1,MEAN,ANNUAL_ROLL,2018,45993,,,'')":null,"SNOW^FE_ESTIMATE(PL_COS_1,MEAN,QUARTERLY_ROLL,2018/4F,45993,,,'')":null,"SNOW^FE_ESTIMATE(PL_COS_1,MEAN,QUARTERLY_ROLL,2018/3F,45993,,,'')":null,"SNOW^FE_ESTIMATE(PL_COS_1,MEAN,QUARTERLY_ROLL,2018/2F,45993,,,'')":null,"SNOW^FE_ESTIMATE(PL_COS_1,MEAN,QUARTERLY_ROLL,2018/1F,45993,,,'')":null,"SNOW^FE_ESTIMATE(PL_COS_1,MEAN,ANNUAL_ROLL,2017,45993,,,'')":null,"SNOW^FE_ESTIMATE(PL_COS_1,MEAN,QUARTERLY_ROLL,2017/4F,45993,,,'')":null,"SNOW^FE_ESTIMATE(PL_COS_1,MEAN,QUARTERLY_ROLL,2017/3F,45993,,,'')":null,"SNOW^FE_ESTIMATE(PL_COS_1,MEAN,QUARTERLY_ROLL,2017/2F,45993,,,'')":null,"SNOW^FE_ESTIMATE(PL_COS_1,MEAN,QUARTERLY_ROLL,2017/1F,45993,,,'')":null,"SNOW^FE_ESTIMATE(PL_COS_1,MEAN,ANNUAL_ROLL,2016,45993,,,'')":null,"SNOW^FE_ESTIMATE(PL_COS_1,MEAN,QUARTERLY_ROLL,2016/4F,45993,,,'')":null,"SNOW^FE_ESTIMATE(PL_COS_1,MEAN,QUARTERLY_ROLL,2016/3F,45993,,,'')":null,"SNOW^FE_ESTIMATE(PL_COS_1,MEAN,QUARTERLY_ROLL,2016/2F,45993,,,'')":null,"SNOW^FE_ESTIMATE(PL_COS_1,MEAN,QUARTERLY_ROLL,2016/1F,45993,,,'')":null,"SNOW^FE_ESTIMATE(PL_COS_1,MEAN,ANNUAL_ROLL,2015,45993,,,'')":null,"SNOW^FE_ESTIMATE(PL_COS_1,MEAN,QUARTERLY_ROLL,2015/4F,45993,,,'')":null,"SNOW^FE_ESTIMATE(PL_COS_1,MEAN,QUARTERLY_ROLL,2015/3F,45993,,,'')":null,"SNOW^FE_ESTIMATE(PL_COS_1,MEAN,QUARTERLY_ROLL,2015/2F,45993,,,'')":null,"SNOW^FE_ESTIMATE(PL_COS_1,MEAN,QUARTERLY_ROLL,2015/1F,45993,,,'')":null,"SNOW^FE_ESTIMATE(SALES,MEAN,ANNUAL_ROLL,2027,45993,,,'')":7083.809,"SNOW^FE_ESTIMATE(SALES,MEAN,QUARTERLY_ROLL,2027/4F,45993,,,'')":1869.3643,"SNOW^FE_ESTIMATE(SALES,MEAN,QUARTERLY_ROLL,2027/3F,45993,,,'')":1792.3673,"SNOW^FE_ESTIMATE(SALES,MEAN,QUARTERLY_ROLL,2027/2F,45993,,,'')":1701.7819,"SNOW^FE_ESTIMATE(SALES,MEAN,QUARTERLY_ROLL,2027/1F,45993,,,'')":1603.421,"SNOW^FE_ESTIMATE(SALES,MEAN,ANNUAL_ROLL,2026,45993,,,'')":5713.545,"SNOW^FE_ESTIMATE(SALES,MEAN,QUARTERLY_ROLL,2026/4F,45993,,,'')":1527.9257,"SNOW^FE_ESTIMATE(SALES,MEAN,QUARTERLY_ROLL,2026/3F,45993,,,'')":1461.1508,"SNOW^FE_ESTIMATE(SALES,MEAN,QUARTERLY_ROLL,2026/2F,45993,,,'')":1394.6085,"SNOW^FE_ESTIMATE(SALES,MEAN,QUARTERLY_ROLL,2026/1F,45993,,,'')":1297.1514,"SNOW^FE_ESTIMATE(SALES,MEAN,ANNUAL_ROLL,2025,45993,,,'')":4611.243,"SNOW^FE_ESTIMATE(SALES,MEAN,QUARTERLY_ROLL,2025/4F,45993,,,'')":1237.2317,"SNOW^FE_ESTIMATE(SALES,MEAN,QUARTERLY_ROLL,2025/3F,45993,,,'')":1184.3406,"SNOW^FE_ESTIMATE(SALES,MEAN,QUARTERLY_ROLL,2025/2F,45993,,,'')":1144.969,"SNOW^FE_ESTIMATE(SALES,MEAN,QUARTERLY_ROLL,2025/1F,45993,,,'')":1042.074,"SNOW^FE_ESTIMATE(SALES,MEAN,ANNUAL_ROLL,2024,45993,,,'')":3626.396,"SNOW^FE_ESTIMATE(SALES,MEAN,QUARTERLY_ROLL,2024/4F,45993,,,'')":986.77,"SNOW^FE_ESTIMATE(SALES,MEAN,QUARTERLY_ROLL,2024/3F,45993,,,'')":942.094,"SNOW^FE_ESTIMATE(SALES,MEAN,QUARTERLY_ROLL,2024/2F,45993,,,'')":868.823,"SNOW^FE_ESTIMATE(SALES,MEAN,QUARTERLY_ROLL,2024/1F,45993,,,'')":828.709,"SNOW^FE_ESTIMATE(SALES,MEAN,ANNUAL_ROLL,2023,45993,,,'')":2806.489,"SNOW^FE_ESTIMATE(SALES,MEAN,QUARTERLY_ROLL,2023/4F,45993,,,'')":774.699,"SNOW^FE_ESTIMATE(SALES,MEAN,QUARTERLY_ROLL,2023/3F,45993,,,'')":734.173,"SNOW^FE_ESTIMATE(SALES,MEAN,QUARTERLY_ROLL,2023/2F,45993,,,'')":674.018,"SNOW^FE_ESTIMATE(SALES,MEAN,QUARTERLY_ROLL,2023/1F,45993,,,'')":623.599,"SNOW^FE_ESTIMATE(SALES,MEAN,ANNUAL_ROLL,2022,45993,,,'')":2065.659,"SNOW^FE_ESTIMATE(SALES,MEAN,QUARTERLY_ROLL,2022/4F,45993,,,'')":589.012,"SNOW^FE_ESTIMATE(SALES,MEAN,QUARTERLY_ROLL,2022/3F,45993,,,'')":557.028,"SNOW^FE_ESTIMATE(SALES,MEAN,QUARTERLY_ROLL,2022/2F,45993,,,'')":497.248,"SNOW^FE_ESTIMATE(SALES,MEAN,QUARTERLY_ROLL,2022/1F,45993,,,'')":422.371,"SNOW^FE_ESTIMATE(SALES,MEAN,ANNUAL_ROLL,2021,45993,,,'')":1219.327,"SNOW^FE_ESTIMATE(SALES,MEAN,QUARTERLY_ROLL,2021/4F,45993,,,'')":383.774,"SNOW^FE_ESTIMATE(SALES,MEAN,QUARTERLY_ROLL,2021/3F,45993,,,'')":334.441,"SNOW^FE_ESTIMATE(SALES,MEAN,QUARTERLY_ROLL,2021/2F,45993,,,'')":272.198,"SNOW^FE_ESTIMATE(SALES,MEAN,QUARTERLY_ROLL,2021/1F,45993,,,'')":228.914,"SNOW^FE_ESTIMATE(SALES,MEAN,ANNUAL_ROLL,2020,45993,,,'')":592.049,"SNOW^FE_ESTIMATE(SALES,MEAN,QUARTERLY_ROLL,2020/4F,45993,,,'')":190.465,"SNOW^FE_ESTIMATE(SALES,MEAN,QUARTERLY_ROLL,2020/3F,45993,,,'')":159.624,"SNOW^FE_ESTIMATE(SALES,MEAN,QUARTERLY_ROLL,2020/2F,45993,,,'')":133.11343,"SNOW^FE_ESTIMATE(SALES,MEAN,QUARTERLY_ROLL,2020/1F,45993,,,'')":108.80375,"SNOW^FE_ESTIMATE(SALES,MEAN,ANNUAL_ROLL,2019,45993,,,'')":null,"SNOW^FE_ESTIMATE(SALES,MEAN,QUARTERLY_ROLL,2019/4F,45993,,,'')":null,"SNOW^FE_ESTIMATE(SALES,MEAN,QUARTERLY_ROLL,2019/3F,45993,,,'')":null,"SNOW^FE_ESTIMATE(SALES,MEAN,QUARTERLY_ROLL,2019/2F,45993,,,'')":null,"SNOW^FE_ESTIMATE(SALES,MEAN,QUARTERLY_ROLL,2019/1F,45993,,,'')":null,"SNOW^FE_ESTIMATE(SALES,MEAN,ANNUAL_ROLL,2018,45993,,,'')":null,"SNOW^FE_ESTIMATE(SALES,MEAN,QUARTERLY_ROLL,2018/4F,45993,,,'')":null,"SNOW^FE_ESTIMATE(SALES,MEAN,QUARTERLY_ROLL,2018/3F,45993,,,'')":null,"SNOW^FE_ESTIMATE(SALES,MEAN,QUARTERLY_ROLL,2018/2F,45993,,,'')":null,"SNOW^FE_ESTIMATE(SALES,MEAN,QUARTERLY_ROLL,2018/1F,45993,,,'')":null,"SNOW^FE_ESTIMATE(SALES,MEAN,ANNUAL_ROLL,2017,45993,,,'')":null,"SNOW^FE_ESTIMATE(SALES,MEAN,QUARTERLY_ROLL,2017/4F,45993,,,'')":null,"SNOW^FE_ESTIMATE(SALES,MEAN,QUARTERLY_ROLL,2017/3F,45993,,,'')":null,"SNOW^FE_ESTIMATE(SALES,MEAN,QUARTERLY_ROLL,2017/2F,45993,,,'')":null,"SNOW^FE_ESTIMATE(SALES,MEAN,QUARTERLY_ROLL,2017/1F,45993,,,'')":null,"SNOW^FE_ESTIMATE(SALES,MEAN,ANNUAL_ROLL,2016,45993,,,'')":null,"SNOW^FE_ESTIMATE(SALES,MEAN,QUARTERLY_ROLL,2016/4F,45993,,,'')":null,"SNOW^FE_ESTIMATE(SALES,MEAN,QUARTERLY_ROLL,2016/3F,45993,,,'')":null,"SNOW^FE_ESTIMATE(SALES,MEAN,QUARTERLY_ROLL,2016/2F,45993,,,'')":null,"SNOW^FE_ESTIMATE(SALES,MEAN,QUARTERLY_ROLL,2016/1F,45993,,,'')":null,"SNOW^FE_ESTIMATE(SALES,MEAN,ANNUAL_ROLL,2015,45993,,,'')":null,"SNOW^FE_ESTIMATE(SALES,MEAN,QUARTERLY_ROLL,2015/4F,45993,,,'')":null,"SNOW^FE_ESTIMATE(SALES,MEAN,QUARTERLY_ROLL,2015/3F,45993,,,'')":null,"SNOW^FE_ESTIMATE(SALES,MEAN,QUARTERLY_ROLL,2015/2F,45993,,,'')":null,"SNOW^FE_ESTIMATE(SALES,MEAN,QUARTERLY_ROLL,2015/1F,45993,,,'')":null,"SNOW^FE_ESTIMATE(PRODLINE_SALES_2,MEAN,ANNUAL_ROLL,2027,45993,,,'')":250.87143,"SNOW^FE_ESTIMATE(PRODLINE_SALES_2,MEAN,QUARTERLY_ROLL,2027/4F,45993,,,'')":65.925,"SNOW^FE_ESTIMATE(PRODLINE_SALES_2,MEAN,QUARTERLY_ROLL,2027/3F,45993,,,'')":64.075,"SNOW^FE_ESTIMATE(PRODLINE_SALES_2,MEAN,QUARTERLY_ROLL,2027/2F,45993,,,'')":61.675,"SNOW^FE_ESTIMATE(PRODLINE_SALES_2,MEAN,QUARTERLY_ROLL,2027/1F,45993,,,'')":60.55,"SNOW^FE_ESTIMATE(PRODLINE_SALES_2,MEAN,ANNUAL_ROLL,2026,45993,,,'')":232.7028,"SNOW^FE_ESTIMATE(PRODLINE_SALES_2,MEAN,QUARTERLY_ROLL,2026/4F,45993,,,'')":59.992104,"SNOW^FE_ESTIMATE(PRODLINE_SALES_2,MEAN,QUARTERLY_ROLL,2026/3F,45993,,,'')":58.462578,"SNOW^FE_ESTIMATE(PRODLINE_SALES_2,MEAN,QUARTERLY_ROLL,2026/2F,45993,,,'')":59.527054,"SNOW^FE_ESTIMATE(PRODLINE_SALES_2,MEAN,QUARTERLY_ROLL,2026/1F,45993,,,'')":54.17725,"SNOW^FE_ESTIMATE(PRODLINE_SALES_2,MEAN,ANNUAL_ROLL,2025,45993,,,'')":204.04507,"SNOW^FE_ESTIMATE(PRODLINE_SALES_2,MEAN,QUARTERLY_ROLL,2025/4F,45993,,,'')":52.47984,"SNOW^FE_ESTIMATE(PRODLINE_SALES_2,MEAN,QUARTERLY_ROLL,2025/3F,45993,,,'')":51.01304,"SNOW^FE_ESTIMATE(PRODLINE_SALES_2,MEAN,QUARTERLY_ROLL,2025/2F,45993,,,'')":54.473,"SNOW^FE_ESTIMATE(PRODLINE_SALES_2,MEAN,QUARTERLY_ROLL,2025/1F,45993,,,'')":45.261,"SNOW^FE_ESTIMATE(PRODLINE_SALES_2,MEAN,ANNUAL_ROLL,2024,45993,,,'')":163.974,"SNOW^FE_ESTIMATE(PRODLINE_SALES_2,MEAN,QUARTERLY_ROLL,2024/4F,45993,,,'')":43.467,"SNOW^FE_ESTIMATE(PRODLINE_SALES_2,MEAN,QUARTERLY_ROLL,2024/3F,45993,,,'')":41.812,"SNOW^FE_ESTIMATE(PRODLINE_SALES_2,MEAN,QUARTERLY_ROLL,2024/2F,45993,,,'')":39.573,"SNOW^FE_ESTIMATE(PRODLINE_SALES_2,MEAN,QUARTERLY_ROLL,2024/1F,45993,,,'')":39.122,"SNOW^FE_ESTIMATE(PRODLINE_SALES_2,MEAN,ANNUAL_ROLL,2023,45993,,,'')":139.64,"SNOW^FE_ESTIMATE(PRODLINE_SALES_2,MEAN,QUARTERLY_ROLL,2023/4F,45993,,,'')":36.609,"SNOW^FE_ESTIMATE(PRODLINE_SALES_2,MEAN,QUARTERLY_ROLL,2023/3F,45993,,,'')":35.695,"SNOW^FE_ESTIMATE(PRODLINE_SALES_2,MEAN,QUARTERLY_ROLL,2023/2F,45993,,,'')":33.809,"SNOW^FE_ESTIMATE(PRODLINE_SALES_2,MEAN,QUARTERLY_ROLL,2023/1F,45993,,,'')":33.527,"SNOW^FE_ESTIMATE(PRODLINE_SALES_2,MEAN,ANNUAL_ROLL,2022,45993,,,'')":126.876,"SNOW^FE_ESTIMATE(PRODLINE_SALES_2,MEAN,QUARTERLY_ROLL,2022/4F,45993,,,'')":33.683,"SNOW^FE_ESTIMATE(PRODLINE_SALES_2,MEAN,QUARTERLY_ROLL,2022/3F,45993,,,'')":34.276,"SNOW^FE_ESTIMATE(PRODLINE_SALES_2,MEAN,QUARTERLY_ROLL,2022/2F,45993,,,'')":30.98,"SNOW^FE_ESTIMATE(PRODLINE_SALES_2,MEAN,QUARTERLY_ROLL,2022/1F,45993,,,'')":27.937,"SNOW^FE_ESTIMATE(PRODLINE_SALES_2,MEAN,ANNUAL_ROLL,2021,45993,,,'')":78.858,"SNOW^FE_ESTIMATE(PRODLINE_SALES_2,MEAN,QUARTERLY_ROLL,2021/4F,45993,,,'')":24.216,"SNOW^FE_ESTIMATE(PRODLINE_SALES_2,MEAN,QUARTERLY_ROLL,2021/3F,45993,,,'')":21.983,"SNOW^FE_ESTIMATE(PRODLINE_SALES_2,MEAN,QUARTERLY_ROLL,2021/2F,45993,,,'')":17.575,"SNOW^FE_ESTIMATE(PRODLINE_SALES_2,MEAN,QUARTERLY_ROLL,2021/1F,45993,,,'')":15.084,"SNOW^FE_ESTIMATE(PRODLINE_SALES_2,MEAN,ANNUAL_ROLL,2020,45993,,,'')":38.255,"SNOW^FE_ESTIMATE(PRODLINE_SALES_2,MEAN,QUARTERLY_ROLL,2020/4F,45993,,,'')":12.177,"SNOW^FE_ESTIMATE(PRODLINE_SALES_2,MEAN,QUARTERLY_ROLL,2020/3F,45993,,,'')":11.182357,"SNOW^FE_ESTIMATE(PRODLINE_SALES_2,MEAN,QUARTERLY_ROLL,2020/2F,45993,,,'')":7.907909,"SNOW^FE_ESTIMATE(PRODLINE_SALES_2,MEAN,QUARTERLY_ROLL,2020/1F,45993,,,'')":null,"SNOW^FE_ESTIMATE(PRODLINE_SALES_2,MEAN,ANNUAL_ROLL,2019,45993,,,'')":null,"SNOW^FE_ESTIMATE(PRODLINE_SALES_2,MEAN,QUARTERLY_ROLL,2019/4F,45993,,,'')":null,"SNOW^FE_ESTIMATE(PRODLINE_SALES_2,MEAN,QUARTERLY_ROLL,2019/3F,45993,,,'')":null,"SNOW^FE_ESTIMATE(PRODLINE_SALES_2,MEAN,QUARTERLY_ROLL,2019/2F,45993,,,'')":null,"SNOW^FE_ESTIMATE(PRODLINE_SALES_2,MEAN,QUARTERLY_ROLL,2019/1F,45993,,,'')":null,"SNOW^FE_ESTIMATE(PRODLINE_SALES_2,MEAN,ANNUAL_ROLL,2018,45993,,,'')":null,"SNOW^FE_ESTIMATE(PRODLINE_SALES_2,MEAN,QUARTERLY_ROLL,2018/4F,45993,,,'')":null,"SNOW^FE_ESTIMATE(PRODLINE_SALES_2,MEAN,QUARTERLY_ROLL,2018/3F,45993,,,'')":null,"SNOW^FE_ESTIMATE(PRODLINE_SALES_2,MEAN,QUARTERLY_ROLL,2018/2F,45993,,,'')":null,"SNOW^FE_ESTIMATE(PRODLINE_SALES_2,MEAN,QUARTERLY_ROLL,2018/1F,45993,,,'')":null,"SNOW^FE_ESTIMATE(PRODLINE_SALES_2,MEAN,ANNUAL_ROLL,2017,45993,,,'')":null,"SNOW^FE_ESTIMATE(PRODLINE_SALES_2,MEAN,QUARTERLY_ROLL,2017/4F,45993,,,'')":null,"SNOW^FE_ESTIMATE(PRODLINE_SALES_2,MEAN,QUARTERLY_ROLL,2017/3F,45993,,,'')":null,"SNOW^FE_ESTIMATE(PRODLINE_SALES_2,MEAN,QUARTERLY_ROLL,2017/2F,45993,,,'')":null,"SNOW^FE_ESTIMATE(PRODLINE_SALES_2,MEAN,QUARTERLY_ROLL,2017/1F,45993,,,'')":null,"SNOW^FE_ESTIMATE(PRODLINE_SALES_2,MEAN,ANNUAL_ROLL,2016,45993,,,'')":null,"SNOW^FE_ESTIMATE(PRODLINE_SALES_2,MEAN,QUARTERLY_ROLL,2016/4F,45993,,,'')":null,"SNOW^FE_ESTIMATE(PRODLINE_SALES_2,MEAN,QUARTERLY_ROLL,2016/3F,45993,,,'')":null,"SNOW^FE_ESTIMATE(PRODLINE_SALES_2,MEAN,QUARTERLY_ROLL,2016/2F,45993,,,'')":null,"SNOW^FE_ESTIMATE(PRODLINE_SALES_2,MEAN,QUARTERLY_ROLL,2016/1F,45993,,,'')":null,"SNOW^FE_ESTIMATE(PRODLINE_SALES_2,MEAN,ANNUAL_ROLL,2015,45993,,,'')":null,"SNOW^FE_ESTIMATE(PRODLINE_SALES_2,MEAN,QUARTERLY_ROLL,2015/4F,45993,,,'')":null,"SNOW^FE_ESTIMATE(PRODLINE_SALES_2,MEAN,QUARTERLY_ROLL,2015/3F,45993,,,'')":null,"SNOW^FE_ESTIMATE(PRODLINE_SALES_2,MEAN,QUARTERLY_ROLL,2015/2F,45993,,,'')":null,"SNOW^FE_ESTIMATE(PRODLINE_SALES_2,MEAN,QUARTERLY_ROLL,2015/1F,45993,,,'')":null,"SNOW^FE_ESTIMATE(PRODLINE_SALES_1,MEAN,ANNUAL_ROLL,2027,45993,,,'')":6820.86,"SNOW^FE_ESTIMATE(PRODLINE_SALES_1,MEAN,QUARTERLY_ROLL,2027/4F,45993,,,'')":1812.4437,"SNOW^FE_ESTIMATE(PRODLINE_SALES_1,MEAN,QUARTERLY_ROLL,2027/3F,45993,,,'')":1730.1794,"SNOW^FE_ESTIMATE(PRODLINE_SALES_1,MEAN,QUARTERLY_ROLL,2027/2F,45993,,,'')":1654.8357,"SNOW^FE_ESTIMATE(PRODLINE_SALES_1,MEAN,QUARTERLY_ROLL,2027/1F,45993,,,'')":1548.4912,"SNOW^FE_ESTIMATE(PRODLINE_SALES_1,MEAN,ANNUAL_ROLL,2026,45993,,,'')":5481.195,"SNOW^FE_ESTIMATE(PRODLINE_SALES_1,MEAN,QUARTERLY_ROLL,2026/4F,45993,,,'')":1470.906,"SNOW^FE_ESTIMATE(PRODLINE_SALES_1,MEAN,QUARTERLY_ROLL,2026/3F,45993,,,'')":1405.2795,"SNOW^FE_ESTIMATE(PRODLINE_SALES_1,MEAN,QUARTERLY_ROLL,2026/2F,45993,,,'')":1334.282,"SNOW^FE_ESTIMATE(PRODLINE_SALES_1,MEAN,QUARTERLY_ROLL,2026/1F,45993,,,'')":1244.5923,"SNOW^FE_ESTIMATE(PRODLINE_SALES_1,MEAN,ANNUAL_ROLL,2025,45993,,,'')":4408.2534,"SNOW^FE_ESTIMATE(PRODLINE_SALES_1,MEAN,QUARTERLY_ROLL,2025/4F,45993,,,'')":1184.0984,"SNOW^FE_ESTIMATE(PRODLINE_SALES_1,MEAN,QUARTERLY_ROLL,2025/3F,45993,,,'')":1131.9456,"SNOW^FE_ESTIMATE(PRODLINE_SALES_1,MEAN,QUARTERLY_ROLL,2025/2F,45993,,,'')":1090.496,"SNOW^FE_ESTIMATE(PRODLINE_SALES_1,MEAN,QUARTERLY_ROLL,2025/1F,45993,,,'')":996.813,"SNOW^FE_ESTIMATE(PRODLINE_SALES_1,MEAN,ANNUAL_ROLL,2024,45993,,,'')":3462.422,"SNOW^FE_ESTIMATE(PRODLINE_SALES_1,MEAN,QUARTERLY_ROLL,2024/4F,45993,,,'')":943.303,"SNOW^FE_ESTIMATE(PRODLINE_SALES_1,MEAN,QUARTERLY_ROLL,2024/3F,45993,,,'')":900.282,"SNOW^FE_ESTIMATE(PRODLINE_SALES_1,MEAN,QUARTERLY_ROLL,2024/2F,45993,,,'')":829.25,"SNOW^FE_ESTIMATE(PRODLINE_SALES_1,MEAN,QUARTERLY_ROLL,2024/1F,45993,,,'')":789.587,"SNOW^FE_ESTIMATE(PRODLINE_SALES_1,MEAN,ANNUAL_ROLL,2023,45993,,,'')":2666.849,"SNOW^FE_ESTIMATE(PRODLINE_SALES_1,MEAN,QUARTERLY_ROLL,2023/4F,45993,,,'')":738.09,"SNOW^FE_ESTIMATE(PRODLINE_SALES_1,MEAN,QUARTERLY_ROLL,2023/3F,45993,,,'')":698.478,"SNOW^FE_ESTIMATE(PRODLINE_SALES_1,MEAN,QUARTERLY_ROLL,2023/2F,45993,,,'')":640.209,"SNOW^FE_ESTIMATE(PRODLINE_SALES_1,MEAN,QUARTERLY_ROLL,2023/1F,45993,,,'')":590.072,"SNOW^FE_ESTIMATE(PRODLINE_SALES_1,MEAN,ANNUAL_ROLL,2022,45993,,,'')":1938.783,"SNOW^FE_ESTIMATE(PRODLINE_SALES_1,MEAN,QUARTERLY_ROLL,2022/4F,45993,,,'')":555.329,"SNOW^FE_ESTIMATE(PRODLINE_SALES_1,MEAN,QUARTERLY_ROLL,2022/3F,45993,,,'')":522.752,"SNOW^FE_ESTIMATE(PRODLINE_SALES_1,MEAN,QUARTERLY_ROLL,2022/2F,45993,,,'')":466.268,"SNOW^FE_ESTIMATE(PRODLINE_SALES_1,MEAN,QUARTERLY_ROLL,2022/1F,45993,,,'')":394.434,"SNOW^FE_ESTIMATE(PRODLINE_SALES_1,MEAN,ANNUAL_ROLL,2021,45993,,,'')":1140.469,"SNOW^FE_ESTIMATE(PRODLINE_SALES_1,MEAN,QUARTERLY_ROLL,2021/4F,45993,,,'')":359.558,"SNOW^FE_ESTIMATE(PRODLINE_SALES_1,MEAN,QUARTERLY_ROLL,2021/3F,45993,,,'')":312.458,"SNOW^FE_ESTIMATE(PRODLINE_SALES_1,MEAN,QUARTERLY_ROLL,2021/2F,45993,,,'')":254.623,"SNOW^FE_ESTIMATE(PRODLINE_SALES_1,MEAN,QUARTERLY_ROLL,2021/1F,45993,,,'')":213.83,"SNOW^FE_ESTIMATE(PRODLINE_SALES_1,MEAN,ANNUAL_ROLL,2020,45993,,,'')":553.794,"SNOW^FE_ESTIMATE(PRODLINE_SALES_1,MEAN,QUARTERLY_ROLL,2020/4F,45993,,,'')":178.3,"SNOW^FE_ESTIMATE(PRODLINE_SALES_1,MEAN,QUARTERLY_ROLL,2020/3F,45993,,,'')":148.5,"SNOW^FE_ESTIMATE(PRODLINE_SALES_1,MEAN,QUARTERLY_ROLL,2020/2F,45993,,,'')":125.20436,"SNOW^FE_ESTIMATE(PRODLINE_SALES_1,MEAN,QUARTERLY_ROLL,2020/1F,45993,,,'')":null,"SNOW^FE_ESTIMATE(PRODLINE_SALES_1,MEAN,ANNUAL_ROLL,2019,45993,,,'')":null,"SNOW^FE_ESTIMATE(PRODLINE_SALES_1,MEAN,QUARTERLY_ROLL,2019/4F,45993,,,'')":null,"SNOW^FE_ESTIMATE(PRODLINE_SALES_1,MEAN,QUARTERLY_ROLL,2019/3F,45993,,,'')":null,"SNOW^FE_ESTIMATE(PRODLINE_SALES_1,MEAN,QUARTERLY_ROLL,2019/2F,45993,,,'')":null,"SNOW^FE_ESTIMATE(PRODLINE_SALES_1,MEAN,QUARTERLY_ROLL,2019/1F,45993,,,'')":null,"SNOW^FE_ESTIMATE(PRODLINE_SALES_1,MEAN,ANNUAL_ROLL,2018,45993,,,'')":null,"SNOW^FE_ESTIMATE(PRODLINE_SALES_1,MEAN,QUARTERLY_ROLL,2018/4F,45993,,,'')":null,"SNOW^FE_ESTIMATE(PRODLINE_SALES_1,MEAN,QUARTERLY_ROLL,2018/3F,45993,,,'')":null,"SNOW^FE_ESTIMATE(PRODLINE_SALES_1,MEAN,QUARTERLY_ROLL,2018/2F,45993,,,'')":null,"SNOW^FE_ESTIMATE(PRODLINE_SALES_1,MEAN,QUARTERLY_ROLL,2018/1F,45993,,,'')":null,"SNOW^FE_ESTIMATE(PRODLINE_SALES_1,MEAN,ANNUAL_ROLL,2017,45993,,,'')":null,"SNOW^FE_ESTIMATE(PRODLINE_SALES_1,MEAN,QUARTERLY_ROLL,2017/4F,45993,,,'')":null,"SNOW^FE_ESTIMATE(PRODLINE_SALES_1,MEAN,QUARTERLY_ROLL,2017/3F,45993,,,'')":null,"SNOW^FE_ESTIMATE(PRODLINE_SALES_1,MEAN,QUARTERLY_ROLL,2017/2F,45993,,,'')":null,"SNOW^FE_ESTIMATE(PRODLINE_SALES_1,MEAN,QUARTERLY_ROLL,2017/1F,45993,,,'')":null,"SNOW^FE_ESTIMATE(PRODLINE_SALES_1,MEAN,ANNUAL_ROLL,2016,45993,,,'')":null,"SNOW^FE_ESTIMATE(PRODLINE_SALES_1,MEAN,QUARTERLY_ROLL,2016/4F,45993,,,'')":null,"SNOW^FE_ESTIMATE(PRODLINE_SALES_1,MEAN,QUARTERLY_ROLL,2016/3F,45993,,,'')":null,"SNOW^FE_ESTIMATE(PRODLINE_SALES_1,MEAN,QUARTERLY_ROLL,2016/2F,45993,,,'')":null,"SNOW^FE_ESTIMATE(PRODLINE_SALES_1,MEAN,QUARTERLY_ROLL,2016/1F,45993,,,'')":null,"SNOW^FE_ESTIMATE(PRODLINE_SALES_1,MEAN,ANNUAL_ROLL,2015,45993,,,'')":null,"SNOW^FE_ESTIMATE(PRODLINE_SALES_1,MEAN,QUARTERLY_ROLL,2015/4F,45993,,,'')":null,"SNOW^FE_ESTIMATE(PRODLINE_SALES_1,MEAN,QUARTERLY_ROLL,2015/3F,45993,,,'')":null,"SNOW^FE_ESTIMATE(PRODLINE_SALES_1,MEAN,QUARTERLY_ROLL,2015/2F,45993,,,'')":null,"SNOW^FE_ESTIMATE(PRODLINE_SALES_1,MEAN,QUARTERLY_ROLL,2015/1F,45993,,,'')":null,"SNOW^FE_ESTIMATE(SPEC_GROSS_2,MEAN,ANNUAL_ROLL,2027,45993,,,'')":1859.3657,"SNOW^FE_ESTIMATE(SPEC_GROSS_2,MEAN,QUARTERLY_ROLL,2027/4F,45993,,,'')":633.622,"SNOW^FE_ESTIMATE(SPEC_GROSS_2,MEAN,QUARTERLY_ROLL,2027/3F,45993,,,'')":390.41,"SNOW^FE_ESTIMATE(SPEC_GROSS_2,MEAN,QUARTERLY_ROLL,2027/2F,45993,,,'')":343.01,"SNOW^FE_ESTIMATE(SPEC_GROSS_2,MEAN,QUARTERLY_ROLL,2027/1F,45993,,,'')":584.056,"SNOW^FE_ESTIMATE(SPEC_GROSS_2,MEAN,ANNUAL_ROLL,2026,45993,,,'')":1489.6346,"SNOW^FE_ESTIMATE(SPEC_GROSS_2,MEAN,QUARTERLY_ROLL,2026/4F,45993,,,'')":696.978,"SNOW^FE_ESTIMATE(SPEC_GROSS_2,MEAN,QUARTERLY_ROLL,2026/3F,45993,,,'')":260.79166,"SNOW^FE_ESTIMATE(SPEC_GROSS_2,MEAN,QUARTERLY_ROLL,2026/2F,45993,,,'')":128.291,"SNOW^FE_ESTIMATE(SPEC_GROSS_2,MEAN,QUARTERLY_ROLL,2026/1F,45993,,,'')":399.44034,"SNOW^FE_ESTIMATE(SPEC_GROSS_2,MEAN,ANNUAL_ROLL,2025,45993,,,'')":1151.2213,"SNOW^FE_ESTIMATE(SPEC_GROSS_2,MEAN,QUARTERLY_ROLL,2025/4F,45993,,,'')":621.5036,"SNOW^FE_ESTIMATE(SPEC_GROSS_2,MEAN,QUARTERLY_ROLL,2025/3F,45993,,,'')":255.22388,"SNOW^FE_ESTIMATE(SPEC_GROSS_2,MEAN,QUARTERLY_ROLL,2025/2F,45993,,,'')":69.0735,"SNOW^FE_ESTIMATE(SPEC_GROSS_2,MEAN,QUARTERLY_ROLL,2025/1F,45993,,,'')":203.88657,"SNOW^FE_ESTIMATE(SPEC_GROSS_2,MEAN,ANNUAL_ROLL,2024,45993,,,'')":933.22675,"SNOW^FE_ESTIMATE(SPEC_GROSS_2,MEAN,QUARTERLY_ROLL,2024/4F,45993,,,'')":422.1624,"SNOW^FE_ESTIMATE(SPEC_GROSS_2,MEAN,QUARTERLY_ROLL,2024/3F,45993,,,'')":86.75257,"SNOW^FE_ESTIMATE(SPEC_GROSS_2,MEAN,QUARTERLY_ROLL,2024/2F,45993,,,'')":65.66443,"SNOW^FE_ESTIMATE(SPEC_GROSS_2,MEAN,QUARTERLY_ROLL,2024/1F,45993,,,'')":362.35687,"SNOW^FE_ESTIMATE(SPEC_GROSS_2,MEAN,ANNUAL_ROLL,2023,45993,,,'')":811.9248,"SNOW^FE_ESTIMATE(SPEC_GROSS_2,MEAN,QUARTERLY_ROLL,2023/4F,45993,,,'')":326.376,"SNOW^FE_ESTIMATE(SPEC_GROSS_2,MEAN,QUARTERLY_ROLL,2023/3F,45993,,,'')":110.98071,"SNOW^FE_ESTIMATE(SPEC_GROSS_2,MEAN,QUARTERLY_ROLL,2023/2F,45993,,,'')":86.773125,"SNOW^FE_ESTIMATE(SPEC_GROSS_2,MEAN,QUARTERLY_ROLL,2023/1F,45993,,,'')":288.28125,"SNOW^FE_ESTIMATE(SPEC_GROSS_2,MEAN,ANNUAL_ROLL,2022,45993,,,'')":521.7554,"SNOW^FE_ESTIMATE(SPEC_GROSS_2,MEAN,QUARTERLY_ROLL,2022/4F,45993,,,'')":215.2286,"SNOW^FE_ESTIMATE(SPEC_GROSS_2,MEAN,QUARTERLY_ROLL,2022/3F,45993,,,'')":66.36757,"SNOW^FE_ESTIMATE(SPEC_GROSS_2,MEAN,QUARTERLY_ROLL,2022/2F,45993,,,'')":60.231335,"SNOW^FE_ESTIMATE(SPEC_GROSS_2,MEAN,QUARTERLY_ROLL,2022/1F,45993,,,'')":181.4205,"SNOW^FE_ESTIMATE(SPEC_GROSS_2,MEAN,ANNUAL_ROLL,2021,45993,,,'')":149.831,"SNOW^FE_ESTIMATE(SPEC_GROSS_2,MEAN,QUARTERLY_ROLL,2021/4F,45993,,,'')":102.104,"SNOW^FE_ESTIMATE(SPEC_GROSS_2,MEAN,QUARTERLY_ROLL,2021/3F,45993,,,'')":21.526,"SNOW^FE_ESTIMATE(SPEC_GROSS_2,MEAN,QUARTERLY_ROLL,2021/2F,45993,,,'')":2.812,"SNOW^FE_ESTIMATE(SPEC_GROSS_2,MEAN,QUARTERLY_ROLL,2021/1F,45993,,,'')":23.389,"SNOW^FE_ESTIMATE(SPEC_GROSS_2,MEAN,ANNUAL_ROLL,2020,45993,,,'')":-71.611,"SNOW^FE_ESTIMATE(SPEC_GROSS_2,MEAN,QUARTERLY_ROLL,2020/4F,45993,,,'')":17.256,"SNOW^FE_ESTIMATE(SPEC_GROSS_2,MEAN,QUARTERLY_ROLL,2020/3F,45993,,,'')":null,"SNOW^FE_ESTIMATE(SPEC_GROSS_2,MEAN,QUARTERLY_ROLL,2020/2F,45993,,,'')":null,"SNOW^FE_ESTIMATE(SPEC_GROSS_2,MEAN,QUARTERLY_ROLL,2020/1F,45993,,,'')":null,"SNOW^FE_ESTIMATE(SPEC_GROSS_2,MEAN,ANNUAL_ROLL,2019,45993,,,'')":null,"SNOW^FE_ESTIMATE(SPEC_GROSS_2,MEAN,QUARTERLY_ROLL,2019/4F,45993,,,'')":null,"SNOW^FE_ESTIMATE(SPEC_GROSS_2,MEAN,QUARTERLY_ROLL,2019/3F,45993,,,'')":null,"SNOW^FE_ESTIMATE(SPEC_GROSS_2,MEAN,QUARTERLY_ROLL,2019/2F,45993,,,'')":null,"SNOW^FE_ESTIMATE(SPEC_GROSS_2,MEAN,QUARTERLY_ROLL,2019/1F,45993,,,'')":null,"SNOW^FE_ESTIMATE(SPEC_GROSS_2,MEAN,ANNUAL_ROLL,2018,45993,,,'')":null,"SNOW^FE_ESTIMATE(SPEC_GROSS_2,MEAN,QUARTERLY_ROLL,2018/4F,45993,,,'')":null,"SNOW^FE_ESTIMATE(SPEC_GROSS_2,MEAN,QUARTERLY_ROLL,2018/3F,45993,,,'')":null,"SNOW^FE_ESTIMATE(SPEC_GROSS_2,MEAN,QUARTERLY_ROLL,2018/2F,45993,,,'')":null,"SNOW^FE_ESTIMATE(SPEC_GROSS_2,MEAN,QUARTERLY_ROLL,2018/1F,45993,,,'')":null,"SNOW^FE_ESTIMATE(SPEC_GROSS_2,MEAN,ANNUAL_ROLL,2017,45993,,,'')":null,"SNOW^FE_ESTIMATE(SPEC_GROSS_2,MEAN,QUARTERLY_ROLL,2017/4F,45993,,,'')":null,"SNOW^FE_ESTIMATE(SPEC_GROSS_2,MEAN,QUARTERLY_ROLL,2017/3F,45993,,,'')":null,"SNOW^FE_ESTIMATE(SPEC_GROSS_2,MEAN,QUARTERLY_ROLL,2017/2F,45993,,,'')":null,"SNOW^FE_ESTIMATE(SPEC_GROSS_2,MEAN,QUARTERLY_ROLL,2017/1F,45993,,,'')":null,"SNOW^FE_ESTIMATE(SPEC_GROSS_2,MEAN,ANNUAL_ROLL,2016,45993,,,'')":null,"SNOW^FE_ESTIMATE(SPEC_GROSS_2,MEAN,QUARTERLY_ROLL,2016/4F,45993,,,'')":null,"SNOW^FE_ESTIMATE(SPEC_GROSS_2,MEAN,QUARTERLY_ROLL,2016/3F,45993,,,'')":null,"SNOW^FE_ESTIMATE(SPEC_GROSS_2,MEAN,QUARTERLY_ROLL,2016/2F,45993,,,'')":null,"SNOW^FE_ESTIMATE(SPEC_GROSS_2,MEAN,QUARTERLY_ROLL,2016/1F,45993,,,'')":null,"SNOW^FE_ESTIMATE(SPEC_GROSS_2,MEAN,ANNUAL_ROLL,2015,45993,,,'')":null,"SNOW^FE_ESTIMATE(SPEC_GROSS_2,MEAN,QUARTERLY_ROLL,2015/4F,45993,,,'')":null,"SNOW^FE_ESTIMATE(SPEC_GROSS_2,MEAN,QUARTERLY_ROLL,2015/3F,45993,,,'')":null,"SNOW^FE_ESTIMATE(SPEC_GROSS_2,MEAN,QUARTERLY_ROLL,2015/2F,45993,,,'')":null,"SNOW^FE_ESTIMATE(SPEC_GROSS_2,MEAN,QUARTERLY_ROLL,2015/1F,45993,,,'')":null,"SNOW^FE_ESTIMATE(SUBSCRIBERS_NB,MEAN,ANNUAL_ROLL,2027,45993,,,'')":16615.5,"SNOW^FE_ESTIMATE(SUBSCRIBERS_NB,MEAN,QUARTERLY_ROLL,2027/4F,45993,,,'')":16922.0,"SNOW^FE_ESTIMATE(SUBSCRIBERS_NB,MEAN,QUARTERLY_ROLL,2027/3F,45993,,,'')":16322.0,"SNOW^FE_ESTIMATE(SUBSCRIBERS_NB,MEAN,QUARTERLY_ROLL,2027/2F,45993,,,'')":15722.0,"SNOW^FE_ESTIMATE(SUBSCRIBERS_NB,MEAN,QUARTERLY_ROLL,2027/1F,45993,,,'')":15122.0,"SNOW^FE_ESTIMATE(SUBSCRIBERS_NB,MEAN,ANNUAL_ROLL,2026,45993,,,'')":14539.143,"SNOW^FE_ESTIMATE(SUBSCRIBERS_NB,MEAN,QUARTERLY_ROLL,2026/4F,45993,,,'')":14640.5,"SNOW^FE_ESTIMATE(SUBSCRIBERS_NB,MEAN,QUARTERLY_ROLL,2026/3F,45993,,,'')":14144.5,"SNOW^FE_ESTIMATE(SUBSCRIBERS_NB,MEAN,QUARTERLY_ROLL,2026/2F,45993,,,'')":13792.667,"SNOW^FE_ESTIMATE(SUBSCRIBERS_NB,MEAN,QUARTERLY_ROLL,2026/1F,45993,,,'')":13330.167,"SNOW^FE_ESTIMATE(SUBSCRIBERS_NB,MEAN,ANNUAL_ROLL,2025,45993,,,'')":12874.429,"SNOW^FE_ESTIMATE(SUBSCRIBERS_NB,MEAN,QUARTERLY_ROLL,2025/4F,45993,,,'')":12911.111,"SNOW^FE_ESTIMATE(SUBSCRIBERS_NB,MEAN,QUARTERLY_ROLL,2025/3F,45993,,,'')":12438.444,"SNOW^FE_ESTIMATE(SUBSCRIBERS_NB,MEAN,QUARTERLY_ROLL,2025/2F,45993,,,'')":12062.0,"SNOW^FE_ESTIMATE(SUBSCRIBERS_NB,MEAN,QUARTERLY_ROLL,2025/1F,45993,,,'')":11578.0,"SNOW^FE_ESTIMATE(SUBSCRIBERS_NB,MEAN,ANNUAL_ROLL,2024,45993,,,'')":11159.0,"SNOW^FE_ESTIMATE(SUBSCRIBERS_NB,MEAN,QUARTERLY_ROLL,2024/4F,45993,,,'')":11159.0,"SNOW^FE_ESTIMATE(SUBSCRIBERS_NB,MEAN,QUARTERLY_ROLL,2024/3F,45993,,,'')":10618.0,"SNOW^FE_ESTIMATE(SUBSCRIBERS_NB,MEAN,QUARTERLY_ROLL,2024/2F,45993,,,'')":10249.0,"SNOW^FE_ESTIMATE(SUBSCRIBERS_NB,MEAN,QUARTERLY_ROLL,2024/1F,45993,,,'')":9822.0,"SNOW^FE_ESTIMATE(SUBSCRIBERS_NB,MEAN,ANNUAL_ROLL,2023,45993,,,'')":9437.0,"SNOW^FE_ESTIMATE(SUBSCRIBERS_NB,MEAN,QUARTERLY_ROLL,2023/4F,45993,,,'')":9437.0,"SNOW^FE_ESTIMATE(SUBSCRIBERS_NB,MEAN,QUARTERLY_ROLL,2023/3F,45993,,,'')":8907.0,"SNOW^FE_ESTIMATE(SUBSCRIBERS_NB,MEAN,QUARTERLY_ROLL,2023/2F,45993,,,'')":8530.333,"SNOW^FE_ESTIMATE(SUBSCRIBERS_NB,MEAN,QUARTERLY_ROLL,2023/1F,45993,,,'')":8167.0,"SNOW^FE_ESTIMATE(SUBSCRIBERS_NB,MEAN,ANNUAL_ROLL,2022,45993,,,'')":7828.0,"SNOW^FE_ESTIMATE(SUBSCRIBERS_NB,MEAN,QUARTERLY_ROLL,2022/4F,45993,,,'')":7828.0,"SNOW^FE_ESTIMATE(SUBSCRIBERS_NB,MEAN,QUARTERLY_ROLL,2022/3F,45993,,,'')":7292.0,"SNOW^FE_ESTIMATE(SUBSCRIBERS_NB,MEAN,QUARTERLY_ROLL,2022/2F,45993,,,'')":6808.0,"SNOW^FE_ESTIMATE(SUBSCRIBERS_NB,MEAN,QUARTERLY_ROLL,2022/1F,45993,,,'')":6322.0,"SNOW^FE_ESTIMATE(SUBSCRIBERS_NB,MEAN,ANNUAL_ROLL,2021,45993,,,'')":5944.0,"SNOW^FE_ESTIMATE(SUBSCRIBERS_NB,MEAN,QUARTERLY_ROLL,2021/4F,45993,,,'')":5944.0,"SNOW^FE_ESTIMATE(SUBSCRIBERS_NB,MEAN,QUARTERLY_ROLL,2021/3F,45993,,,'')":5416.0,"SNOW^FE_ESTIMATE(SUBSCRIBERS_NB,MEAN,QUARTERLY_ROLL,2021/2F,45993,,,'')":4990.0,"SNOW^FE_ESTIMATE(SUBSCRIBERS_NB,MEAN,QUARTERLY_ROLL,2021/1F,45993,,,'')":4532.0,"SNOW^FE_ESTIMATE(SUBSCRIBERS_NB,MEAN,ANNUAL_ROLL,2020,45993,,,'')":4138.3335,"SNOW^FE_ESTIMATE(SUBSCRIBERS_NB,MEAN,QUARTERLY_ROLL,2020/4F,45993,,,'')":4138.3335,"SNOW^FE_ESTIMATE(SUBSCRIBERS_NB,MEAN,QUARTERLY_ROLL,2020/3F,45993,,,'')":3554.0,"SNOW^FE_ESTIMATE(SUBSCRIBERS_NB,MEAN,QUARTERLY_ROLL,2020/2F,45993,,,'')":3116.0,"SNOW^FE_ESTIMATE(SUBSCRIBERS_NB,MEAN,QUARTERLY_ROLL,2020/1F,45993,,,'')":null,"SNOW^FE_ESTIMATE(SUBSCRIBERS_NB,MEAN,ANNUAL_ROLL,2019,45993,,,'')":null,"SNOW^FE_ESTIMATE(SUBSCRIBERS_NB,MEAN,QUARTERLY_ROLL,2019/4F,45993,,,'')":null,"SNOW^FE_ESTIMATE(SUBSCRIBERS_NB,MEAN,QUARTERLY_ROLL,2019/3F,45993,,,'')":null,"SNOW^FE_ESTIMATE(SUBSCRIBERS_NB,MEAN,QUARTERLY_ROLL,2019/2F,45993,,,'')":null,"SNOW^FE_ESTIMATE(SUBSCRIBERS_NB,MEAN,QUARTERLY_ROLL,2019/1F,45993,,,'')":null,"SNOW^FE_ESTIMATE(SUBSCRIBERS_NB,MEAN,ANNUAL_ROLL,2018,45993,,,'')":null,"SNOW^FE_ESTIMATE(SUBSCRIBERS_NB,MEAN,QUARTERLY_ROLL,2018/4F,45993,,,'')":null,"SNOW^FE_ESTIMATE(SUBSCRIBERS_NB,MEAN,QUARTERLY_ROLL,2018/3F,45993,,,'')":null,"SNOW^FE_ESTIMATE(SUBSCRIBERS_NB,MEAN,QUARTERLY_ROLL,2018/2F,45993,,,'')":null,"SNOW^FE_ESTIMATE(SUBSCRIBERS_NB,MEAN,QUARTERLY_ROLL,2018/1F,45993,,,'')":null,"SNOW^FE_ESTIMATE(SUBSCRIBERS_NB,MEAN,ANNUAL_ROLL,2017,45993,,,'')":null,"SNOW^FE_ESTIMATE(SUBSCRIBERS_NB,MEAN,QUARTERLY_ROLL,2017/4F,45993,,,'')":null,"SNOW^FE_ESTIMATE(SUBSCRIBERS_NB,MEAN,QUARTERLY_ROLL,2017/3F,45993,,,'')":null,"SNOW^FE_ESTIMATE(SUBSCRIBERS_NB,MEAN,QUARTERLY_ROLL,2017/2F,45993,,,'')":null,"SNOW^FE_ESTIMATE(SUBSCRIBERS_NB,MEAN,QUARTERLY_ROLL,2017/1F,45993,,,'')":null,"SNOW^FE_ESTIMATE(SUBSCRIBERS_NB,MEAN,ANNUAL_ROLL,2016,45993,,,'')":null,"SNOW^FE_ESTIMATE(SUBSCRIBERS_NB,MEAN,QUARTERLY_ROLL,2016/4F,45993,,,'')":null,"SNOW^FE_ESTIMATE(SUBSCRIBERS_NB,MEAN,QUARTERLY_ROLL,2016/3F,45993,,,'')":null,"SNOW^FE_ESTIMATE(SUBSCRIBERS_NB,MEAN,QUARTERLY_ROLL,2016/2F,45993,,,'')":null,"SNOW^FE_ESTIMATE(SUBSCRIBERS_NB,MEAN,QUARTERLY_ROLL,2016/1F,45993,,,'')":null,"SNOW^FE_ESTIMATE(SUBSCRIBERS_NB,MEAN,ANNUAL_ROLL,2015,45993,,,'')":null,"SNOW^FE_ESTIMATE(SUBSCRIBERS_NB,MEAN,QUARTERLY_ROLL,2015/4F,45993,,,'')":null,"SNOW^FE_ESTIMATE(SUBSCRIBERS_NB,MEAN,QUARTERLY_ROLL,2015/3F,45993,,,'')":null,"SNOW^FE_ESTIMATE(SUBSCRIBERS_NB,MEAN,QUARTERLY_ROLL,2015/2F,45993,,,'')":null,"SNOW^FE_ESTIMATE(SUBSCRIBERS_NB,MEAN,QUARTERLY_ROLL,2015/1F,45993,,,'')":null,"SNOW^FE_ESTIMATE(SPEC_GROSS_1,MEAN,ANNUAL_ROLL,2027,45993,,,'')":13600.0,"SNOW^FE_ESTIMATE(SPEC_GROSS_1,MEAN,QUARTERLY_ROLL,2027/4F,45993,,,'')":14828.926,"SNOW^FE_ESTIMATE(SPEC_GROSS_1,MEAN,QUARTERLY_ROLL,2027/3F,45993,,,'')":12631.653,"SNOW^FE_ESTIMATE(SPEC_GROSS_1,MEAN,QUARTERLY_ROLL,2027/2F,45993,,,'')":11827.598,"SNOW^FE_ESTIMATE(SPEC_GROSS_1,MEAN,QUARTERLY_ROLL,2027/1F,45993,,,'')":11475.48,"SNOW^FE_ESTIMATE(SPEC_GROSS_1,MEAN,ANNUAL_ROLL,2026,45993,,,'')":10977.58,"SNOW^FE_ESTIMATE(SPEC_GROSS_1,MEAN,QUARTERLY_ROLL,2026/4F,45993,,,'')":11050.933,"SNOW^FE_ESTIMATE(SPEC_GROSS_1,MEAN,QUARTERLY_ROLL,2026/3F,45993,,,'')":9413.088,"SNOW^FE_ESTIMATE(SPEC_GROSS_1,MEAN,QUARTERLY_ROLL,2026/2F,45993,,,'')":8797.028,"SNOW^FE_ESTIMATE(SPEC_GROSS_1,MEAN,QUARTERLY_ROLL,2026/1F,45993,,,'')":8530.972,"SNOW^FE_ESTIMATE(SPEC_GROSS_1,MEAN,ANNUAL_ROLL,2025,45993,,,'')":8755.18,"SNOW^FE_ESTIMATE(SPEC_GROSS_1,MEAN,QUARTERLY_ROLL,2025/4F,45993,,,'')":8782.875,"SNOW^FE_ESTIMATE(SPEC_GROSS_1,MEAN,QUARTERLY_ROLL,2025/3F,45993,,,'')":7429.0674,"SNOW^FE_ESTIMATE(SPEC_GROSS_1,MEAN,QUARTERLY_ROLL,2025/2F,45993,,,'')":6897.5,"SNOW^FE_ESTIMATE(SPEC_GROSS_1,MEAN,QUARTERLY_ROLL,2025/1F,45993,,,'')":null,"SNOW^FE_ESTIMATE(SPEC_GROSS_1,MEAN,ANNUAL_ROLL,2024,45993,,,'')":null,"SNOW^FE_ESTIMATE(SPEC_GROSS_1,MEAN,QUARTERLY_ROLL,2024/4F,45993,,,'')":null,"SNOW^FE_ESTIMATE(SPEC_GROSS_1,MEAN,QUARTERLY_ROLL,2024/3F,45993,,,'')":null,"SNOW^FE_ESTIMATE(SPEC_GROSS_1,MEAN,QUARTERLY_ROLL,2024/2F,45993,,,'')":null,"SNOW^FE_ESTIMATE(SPEC_GROSS_1,MEAN,QUARTERLY_ROLL,2024/1F,45993,,,'')":null,"SNOW^FE_ESTIMATE(SPEC_GROSS_1,MEAN,ANNUAL_ROLL,2023,45993,,,'')":null,"SNOW^FE_ESTIMATE(SPEC_GROSS_1,MEAN,QUARTERLY_ROLL,2023/4F,45993,,,'')":null,"SNOW^FE_ESTIMATE(SPEC_GROSS_1,MEAN,QUARTERLY_ROLL,2023/3F,45993,,,'')":null,"SNOW^FE_ESTIMATE(SPEC_GROSS_1,MEAN,QUARTERLY_ROLL,2023/2F,45993,,,'')":null,"SNOW^FE_ESTIMATE(SPEC_GROSS_1,MEAN,QUARTERLY_ROLL,2023/1F,45993,,,'')":null,"SNOW^FE_ESTIMATE(SPEC_GROSS_1,MEAN,ANNUAL_ROLL,2022,45993,,,'')":3666.5715,"SNOW^FE_ESTIMATE(SPEC_GROSS_1,MEAN,QUARTERLY_ROLL,2022/4F,45993,,,'')":3665.875,"SNOW^FE_ESTIMATE(SPEC_GROSS_1,MEAN,QUARTERLY_ROLL,2022/3F,45993,,,'')":3002.3445,"SNOW^FE_ESTIMATE(SPEC_GROSS_1,MEAN,QUARTERLY_ROLL,2022/2F,45993,,,'')":2716.0,"SNOW^FE_ESTIMATE(SPEC_GROSS_1,MEAN,QUARTERLY_ROLL,2022/1F,45993,,,'')":2608.0,"SNOW^FE_ESTIMATE(SPEC_GROSS_1,MEAN,ANNUAL_ROLL,2021,45993,,,'')":2646.0,"SNOW^FE_ESTIMATE(SPEC_GROSS_1,MEAN,QUARTERLY_ROLL,2021/4F,45993,,,'')":2623.0,"SNOW^FE_ESTIMATE(SPEC_GROSS_1,MEAN,QUARTERLY_ROLL,2021/3F,45993,,,'')":1803.2,"SNOW^FE_ESTIMATE(SPEC_GROSS_1,MEAN,QUARTERLY_ROLL,2021/2F,45993,,,'')":1529.0,"SNOW^FE_ESTIMATE(SPEC_GROSS_1,MEAN,QUARTERLY_ROLL,2021/1F,45993,,,'')":1432.0,"SNOW^FE_ESTIMATE(SPEC_GROSS_1,MEAN,ANNUAL_ROLL,2020,45993,,,'')":1333.0,"SNOW^FE_ESTIMATE(SPEC_GROSS_1,MEAN,QUARTERLY_ROLL,2020/4F,45993,,,'')":1333.0,"SNOW^FE_ESTIMATE(SPEC_GROSS_1,MEAN,QUARTERLY_ROLL,2020/3F,45993,,,'')":927.98,"SNOW^FE_ESTIMATE(SPEC_GROSS_1,MEAN,QUARTERLY_ROLL,2020/2F,45993,,,'')":684.1,"SNOW^FE_ESTIMATE(SPEC_GROSS_1,MEAN,QUARTERLY_ROLL,2020/1F,45993,,,'')":null,"SNOW^FE_ESTIMATE(SPEC_GROSS_1,MEAN,ANNUAL_ROLL,2019,45993,,,'')":null,"SNOW^FE_ESTIMATE(SPEC_GROSS_1,MEAN,QUARTERLY_ROLL,2019/4F,45993,,,'')":null,"SNOW^FE_ESTIMATE(SPEC_GROSS_1,MEAN,QUARTERLY_ROLL,2019/3F,45993,,,'')":null,"SNOW^FE_ESTIMATE(SPEC_GROSS_1,MEAN,QUARTERLY_ROLL,2019/2F,45993,,,'')":null,"SNOW^FE_ESTIMATE(SPEC_GROSS_1,MEAN,QUARTERLY_ROLL,2019/1F,45993,,,'')":null,"SNOW^FE_ESTIMATE(SPEC_GROSS_1,MEAN,ANNUAL_ROLL,2018,45993,,,'')":null,"SNOW^FE_ESTIMATE(SPEC_GROSS_1,MEAN,QUARTERLY_ROLL,2018/4F,45993,,,'')":null,"SNOW^FE_ESTIMATE(SPEC_GROSS_1,MEAN,QUARTERLY_ROLL,2018/3F,45993,,,'')":null,"SNOW^FE_ESTIMATE(SPEC_GROSS_1,MEAN,QUARTERLY_ROLL,2018/2F,45993,,,'')":null,"SNOW^FE_ESTIMATE(SPEC_GROSS_1,MEAN,QUARTERLY_ROLL,2018/1F,45993,,,'')":null,"SNOW^FE_ESTIMATE(SPEC_GROSS_1,MEAN,ANNUAL_ROLL,2017,45993,,,'')":null,"SNOW^FE_ESTIMATE(SPEC_GROSS_1,MEAN,QUARTERLY_ROLL,2017/4F,45993,,,'')":null,"SNOW^FE_ESTIMATE(SPEC_GROSS_1,MEAN,QUARTERLY_ROLL,2017/3F,45993,,,'')":null,"SNOW^FE_ESTIMATE(SPEC_GROSS_1,MEAN,QUARTERLY_ROLL,2017/2F,45993,,,'')":null,"SNOW^FE_ESTIMATE(SPEC_GROSS_1,MEAN,QUARTERLY_ROLL,2017/1F,45993,,,'')":null,"SNOW^FE_ESTIMATE(SPEC_GROSS_1,MEAN,ANNUAL_ROLL,2016,45993,,,'')":null,"SNOW^FE_ESTIMATE(SPEC_GROSS_1,MEAN,QUARTERLY_ROLL,2016/4F,45993,,,'')":null,"SNOW^FE_ESTIMATE(SPEC_GROSS_1,MEAN,QUARTERLY_ROLL,2016/3F,45993,,,'')":null,"SNOW^FE_ESTIMATE(SPEC_GROSS_1,MEAN,QUARTERLY_ROLL,2016/2F,45993,,,'')":null,"SNOW^FE_ESTIMATE(SPEC_GROSS_1,MEAN,QUARTERLY_ROLL,2016/1F,45993,,,'')":null,"SNOW^FE_ESTIMATE(SPEC_GROSS_1,MEAN,ANNUAL_ROLL,2015,45993,,,'')":null,"SNOW^FE_ESTIMATE(SPEC_GROSS_1,MEAN,QUARTERLY_ROLL,2015/4F,45993,,,'')":null,"SNOW^FE_ESTIMATE(SPEC_GROSS_1,MEAN,QUARTERLY_ROLL,2015/3F,45993,,,'')":null,"SNOW^FE_ESTIMATE(SPEC_GROSS_1,MEAN,QUARTERLY_ROLL,2015/2F,45993,,,'')":null,"SNOW^FE_ESTIMATE(SPEC_GROSS_1,MEAN,QUARTERLY_ROLL,2015/1F,45993,,,'')":null,"SNOW^FE_ESTIMATE(CURRENT_RPO,MEAN,ANNUAL_ROLL,2027,45993,,,'')":6148.967,"SNOW^FE_ESTIMATE(CURRENT_RPO,MEAN,QUARTERLY_ROLL,2027/4F,45993,,,'')":null,"SNOW^FE_ESTIMATE(CURRENT_RPO,MEAN,QUARTERLY_ROLL,2027/3F,45993,,,'')":null,"SNOW^FE_ESTIMATE(CURRENT_RPO,MEAN,QUARTERLY_ROLL,2027/2F,45993,,,'')":null,"SNOW^FE_ESTIMATE(CURRENT_RPO,MEAN,QUARTERLY_ROLL,2027/1F,45993,,,'')":null,"SNOW^FE_ESTIMATE(CURRENT_RPO,MEAN,ANNUAL_ROLL,2026,45993,,,'')":5175.82,"SNOW^FE_ESTIMATE(CURRENT_RPO,MEAN,QUARTERLY_ROLL,2026/4F,45993,,,'')":5175.82,"SNOW^FE_ESTIMATE(CURRENT_RPO,MEAN,QUARTERLY_ROLL,2026/3F,45993,,,'')":4581.5,"SNOW^FE_ESTIMATE(CURRENT_RPO,MEAN,QUARTERLY_ROLL,2026/2F,45993,,,'')":4353.56,"SNOW^FE_ESTIMATE(CURRENT_RPO,MEAN,QUARTERLY_ROLL,2026/1F,45993,,,'')":4231.3,"SNOW^FE_ESTIMATE(CURRENT_RPO,MEAN,ANNUAL_ROLL,2025,45993,,,'')":4210.5835,"SNOW^FE_ESTIMATE(CURRENT_RPO,MEAN,QUARTERLY_ROLL,2025/4F,45993,,,'')":4210.5835,"SNOW^FE_ESTIMATE(CURRENT_RPO,MEAN,QUARTERLY_ROLL,2025/3F,45993,,,'')":3687.5667,"SNOW^FE_ESTIMATE(CURRENT_RPO,MEAN,QUARTERLY_ROLL,2025/2F,45993,,,'')":3466.0,"SNOW^FE_ESTIMATE(CURRENT_RPO,MEAN,QUARTERLY_ROLL,2025/1F,45993,,,'')":3343.5833,"SNOW^FE_ESTIMATE(CURRENT_RPO,MEAN,ANNUAL_ROLL,2024,45993,,,'')":3296.16,"SNOW^FE_ESTIMATE(CURRENT_RPO,MEAN,QUARTERLY_ROLL,2024/4F,45993,,,'')":3296.14,"SNOW^FE_ESTIMATE(CURRENT_RPO,MEAN,QUARTERLY_ROLL,2024/3F,45993,,,'')":2866.0,"SNOW^FE_ESTIMATE(CURRENT_RPO,MEAN,QUARTERLY_ROLL,2024/2F,45993,,,'')":2615.625,"SNOW^FE_ESTIMATE(CURRENT_RPO,MEAN,QUARTERLY_ROLL,2024/1F,45993,,,'')":2543.925,"SNOW^FE_ESTIMATE(CURRENT_RPO,MEAN,ANNUAL_ROLL,2023,45993,,,'')":2587.625,"SNOW^FE_ESTIMATE(CURRENT_RPO,MEAN,QUARTERLY_ROLL,2023/4F,45993,,,'')":2587.625,"SNOW^FE_ESTIMATE(CURRENT_RPO,MEAN,QUARTERLY_ROLL,2023/3F,45993,,,'')":2108.2666,"SNOW^FE_ESTIMATE(CURRENT_RPO,MEAN,QUARTERLY_ROLL,2023/2F,45993,,,'')":2017.8,"SNOW^FE_ESTIMATE(CURRENT_RPO,MEAN,QUARTERLY_ROLL,2023/1F,45993,,,'')":1943.05,"SNOW^FE_ESTIMATE(CURRENT_RPO,MEAN,ANNUAL_ROLL,2022,45993,,,'')":2013.6,"SNOW^FE_ESTIMATE(CURRENT_RPO,MEAN,QUARTERLY_ROLL,2022/4F,45993,,,'')":2013.6,"SNOW^FE_ESTIMATE(CURRENT_RPO,MEAN,QUARTERLY_ROLL,2022/3F,45993,,,'')":1657.85,"SNOW^FE_ESTIMATE(CURRENT_RPO,MEAN,QUARTERLY_ROLL,2022/2F,45993,,,'')":1548.05,"SNOW^FE_ESTIMATE(CURRENT_RPO,MEAN,QUARTERLY_ROLL,2022/1F,45993,,,'')":1383.3,"SNOW^FE_ESTIMATE(CURRENT_RPO,MEAN,ANNUAL_ROLL,2021,45993,,,'')":1368.0,"SNOW^FE_ESTIMATE(CURRENT_RPO,MEAN,QUARTERLY_ROLL,2021/4F,45993,,,'')":1368.0,"SNOW^FE_ESTIMATE(CURRENT_RPO,MEAN,QUARTERLY_ROLL,2021/3F,45993,,,'')":null,"SNOW^FE_ESTIMATE(CURRENT_RPO,MEAN,QUARTERLY_ROLL,2021/2F,45993,,,'')":null,"SNOW^FE_ESTIMATE(CURRENT_RPO,MEAN,QUARTERLY_ROLL,2021/1F,45993,,,'')":null,"SNOW^FE_ESTIMATE(CURRENT_RPO,MEAN,ANNUAL_ROLL,2020,45993,,,'')":null,"SNOW^FE_ESTIMATE(CURRENT_RPO,MEAN,QUARTERLY_ROLL,2020/4F,45993,,,'')":null,"SNOW^FE_ESTIMATE(CURRENT_RPO,MEAN,QUARTERLY_ROLL,2020/3F,45993,,,'')":null,"SNOW^FE_ESTIMATE(CURRENT_RPO,MEAN,QUARTERLY_ROLL,2020/2F,45993,,,'')":null,"SNOW^FE_ESTIMATE(CURRENT_RPO,MEAN,QUARTERLY_ROLL,2020/1F,45993,,,'')":null,"SNOW^FE_ESTIMATE(CURRENT_RPO,MEAN,ANNUAL_ROLL,2019,45993,,,'')":null,"SNOW^FE_ESTIMATE(CURRENT_RPO,MEAN,QUARTERLY_ROLL,2019/4F,45993,,,'')":null,"SNOW^FE_ESTIMATE(CURRENT_RPO,MEAN,QUARTERLY_ROLL,2019/3F,45993,,,'')":null,"SNOW^FE_ESTIMATE(CURRENT_RPO,MEAN,QUARTERLY_ROLL,2019/2F,45993,,,'')":null,"SNOW^FE_ESTIMATE(CURRENT_RPO,MEAN,QUARTERLY_ROLL,2019/1F,45993,,,'')":null,"SNOW^FE_ESTIMATE(CURRENT_RPO,MEAN,ANNUAL_ROLL,2018,45993,,,'')":null,"SNOW^FE_ESTIMATE(CURRENT_RPO,MEAN,QUARTERLY_ROLL,2018/4F,45993,,,'')":null,"SNOW^FE_ESTIMATE(CURRENT_RPO,MEAN,QUARTERLY_ROLL,2018/3F,45993,,,'')":null,"SNOW^FE_ESTIMATE(CURRENT_RPO,MEAN,QUARTERLY_ROLL,2018/2F,45993,,,'')":null,"SNOW^FE_ESTIMATE(CURRENT_RPO,MEAN,QUARTERLY_ROLL,2018/1F,45993,,,'')":null,"SNOW^FE_ESTIMATE(CURRENT_RPO,MEAN,ANNUAL_ROLL,2017,45993,,,'')":null,"SNOW^FE_ESTIMATE(CURRENT_RPO,MEAN,QUARTERLY_ROLL,2017/4F,45993,,,'')":null,"SNOW^FE_ESTIMATE(CURRENT_RPO,MEAN,QUARTERLY_ROLL,2017/3F,45993,,,'')":null,"SNOW^FE_ESTIMATE(CURRENT_RPO,MEAN,QUARTERLY_ROLL,2017/2F,45993,,,'')":null,"SNOW^FE_ESTIMATE(CURRENT_RPO,MEAN,QUARTERLY_ROLL,2017/1F,45993,,,'')":null,"SNOW^FE_ESTIMATE(CURRENT_RPO,MEAN,ANNUAL_ROLL,2016,45993,,,'')":null,"SNOW^FE_ESTIMATE(CURRENT_RPO,MEAN,QUARTERLY_ROLL,2016/4F,45993,,,'')":null,"SNOW^FE_ESTIMATE(CURRENT_RPO,MEAN,QUARTERLY_ROLL,2016/3F,45993,,,'')":null,"SNOW^FE_ESTIMATE(CURRENT_RPO,MEAN,QUARTERLY_ROLL,2016/2F,45993,,,'')":null,"SNOW^FE_ESTIMATE(CURRENT_RPO,MEAN,QUARTERLY_ROLL,2016/1F,45993,,,'')":null,"SNOW^FE_ESTIMATE(CURRENT_RPO,MEAN,ANNUAL_ROLL,2015,45993,,,'')":null,"SNOW^FE_ESTIMATE(CURRENT_RPO,MEAN,QUARTERLY_ROLL,2015/4F,45993,,,'')":null,"SNOW^FE_ESTIMATE(CURRENT_RPO,MEAN,QUARTERLY_ROLL,2015/3F,45993,,,'')":null,"SNOW^FE_ESTIMATE(CURRENT_RPO,MEAN,QUARTERLY_ROLL,2015/2F,45993,,,'')":null,"SNOW^FE_ESTIMATE(CURRENT_RPO,MEAN,QUARTERLY_ROLL,2015/1F,45993,,,'')":null,"COMP^FG_PRICE(08/27/2025)":21590.14,"SNOW^FG_PRICE(05/22/2025)":203.18,"COMP^FG_PRICE(02/27/2025)":18544.42,"COMP^FG_PRICE(05/23/2024)":16736.033,"COMP^FG_PRICE(08/21/2024)":17918.986,"SNOW^FG_PRICE(11/21/2024)":171.35,"SNOW^FG_PRICE(02/26/2025)":166.19,"SNOW^FG_PRICE(05/22/2024)":163.34,"COMP^FG_PRICE(08/24/2023)":13463.972,"COMP^FG_PRICE(11/29/2023)":14258.49,"SNOW^FG_PRICE(02/29/2024)":188.28,"SNOW^FG_PRICE(05/25/2023)":147.91,"SNOW^FG_PRICE(08/23/2023)":155.7,"SNOW^FG_PRICE(12/01/2022)":154.04,"SNOW^FG_PRICE(03/01/2023)":154.5,"SNOW^FG_PRICE(05/25/2022)":132.77,"COMP^FG_PRICE(08/25/2022)":12639.265,"COMP^FG_PRICE(11/30/2022)":11467.996,"COMP^FG_PRICE(03/03/2022)":13537.941,"COMP^FG_PRICE(05/27/2021)":13736.277,"COMP^FG_PRICE(08/25/2021)":15041.859,"SNOW^FG_PRICE(12/02/2021)":360.28,"SNOW^FG_PRICE(03/02/2022)":264.69,"SNOW^FG_PRICE(05/26/2021)":235.25,"COMP^FG_PRICE(03/03/2021)":12997.75,"SNOW^FG_PRICE(12/03/2020)":339.89,"SNOW-US^P_PRICE_AVG(45596,45688)":158.65178,"SNOW^FG_PRICE(11/30/2023)":187.68,"SNOW^FG_PRICE(08/26/2021)":305.26,"SNOW^FG_PRICE(03/03/2021)":247.03,"COMP^FG_PRICE(08/28/2025)":21705.158,"COMP^FG_PRICE(05/21/2025)":18872.643,"SNOW^FG_PRICE(08/27/2025)":200.39,"COMP^FG_PRICE(11/21/2024)":18972.42,"COMP^FG_PRICE(02/26/2025)":19075.264,"COMP^FG_PRICE(05/22/2024)":16801.545,"SNOW^FG_PRICE(08/22/2024)":115.21,"SNOW^FG_PRICE(11/20/2024)":129.12,"COMP^FG_PRICE(02/29/2024)":16091.922,"COMP^FG_PRICE(05/25/2023)":12698.094,"COMP^FG_PRICE(08/23/2023)":13721.033,"SNOW^FG_PRICE(02/28/2024)":230.0,"SNOW^FG_PRICE(05/24/2023)":177.14,"SNOW^FG_PRICE(08/25/2022)":196.28,"SNOW^FG_PRICE(11/30/2022)":142.9,"COMP^FG_PRICE(03/02/2023)":11462.982,"COMP^FG_PRICE(05/26/2022)":11740.65,"COMP^FG_PRICE(08/24/2022)":12431.528,"COMP^FG_PRICE(12/02/2021)":15381.32,"COMP^FG_PRICE(03/02/2022)":13752.016,"COMP^FG_PRICE(05/26/2021)":13737.996,"SNOW^FG_PRICE(12/01/2021)":311.0,"COMP^FG_PRICE(03/04/2021)":12723.473,"COMP^FG_PRICE(12/02/2020)":12349.367,"SNOW^FG_PRICE(03/02/2023)":135.28,"SNOW^FG_PRICE(03/04/2021)":249.0,"COMP^FG_PRICE(05/22/2025)":18925.734,"SNOW^FG_PRICE(08/28/2025)":241.0,"SNOW^FG_PRICE(05/21/2025)":179.12,"COMP^FG_PRICE(08/22/2024)":17619.354,"COMP^FG_PRICE(11/20/2024)":18966.143,"SNOW^FG_PRICE(02/27/2025)":173.69,"SNOW^FG_PRICE(05/23/2024)":154.58,"SNOW^FG_PRICE(08/21/2024)":135.06,"COMP^FG_PRICE(11/30/2023)":14226.218,"COMP^FG_PRICE(02/28/2024)":15947.738,"COMP^FG_PRICE(05/24/2023)":12484.162,"SNOW^FG_PRICE(08/24/2023)":147.67,"SNOW^FG_PRICE(11/29/2023)":175.32,"SNOW^FG_PRICE(05/26/2022)":126.8,"SNOW^FG_PRICE(08/24/2022)":159.49,"COMP^FG_PRICE(12/01/2022)":11482.449,"COMP^FG_PRICE(03/01/2023)":11379.485,"COMP^FG_PRICE(05/25/2022)":11434.741,"COMP^FG_PRICE(08/26/2021)":14945.809,"COMP^FG_PRICE(12/01/2021)":15254.052,"SNOW^FG_PRICE(03/03/2022)":224.02,"SNOW^FG_PRICE(05/27/2021)":245.15,"SNOW^FG_PRICE(08/25/2021)":283.76,"COMP^FG_PRICE(12/03/2020)":12377.18,"SNOW^FG_PRICE(12/02/2020)":292.69,"SNOW^FG_PRICE(12/02/2025)":259.68,"SNOW^FF_ENTRPR_VAL_DAILY(45993,,,,,\"DIL\")":83586.742,"ADBE^FG_PRICE(12/02/2025)":322.81,"ADBE^FF_ENTRPR_VAL_DAILY(45993,,,,,\"DIL\")":137616.685,"ADBE^FE_ESTIMATE(SALES,MEAN,CALA_ROLL,2023,45993,,,'')":19582.025,"ADBE^FE_ESTIMATE(SALES,MEAN,CALA_ROLL,2024,45993,,,'')":21695.738,"ADBE^FE_ESTIMATE(SALES,MEAN,LTMA,,45993,,,'')":23704.156,"ADBE^FE_ESTIMATE(SALES,MEAN,NTMA,,45993,,,'')":25916.559,"ADBE^FE_ESTIMATE(SALES,MEAN,CALA_ROLL,2025,45993,,,'')":23879.854,"ADBE^FE_ESTIMATE(SALES,MEAN,CALA_ROLL,2026,45993,,,'')":26107.281,"DDOG^FG_PRICE(12/02/2025)":156.48,"DDOG^FF_ENTRPR_VAL_DAILY(45993,,,,,\"DIL\")":54298.9359,"DDOG^FE_ESTIMATE(SALES,MEAN,CALA_ROLL,2023,45993,,,'')":2128.359,"DDOG^FE_ESTIMATE(SALES,MEAN,CALA_ROLL,2024,45993,,,'')":2684.275,"DDOG^FE_ESTIMATE(SALES,MEAN,LTMA,,45993,,,'')":3333.9968,"DDOG^FE_ESTIMATE(SALES,MEAN,NTMA,,45993,,,'')":4046.3408,"DDOG^FE_ESTIMATE(SALES,MEAN,CALA_ROLL,2025,45993,,,'')":3390.074,"DDOG^FE_ESTIMATE(SALES,MEAN,CALA_ROLL,2026,45993,,,'')":4102.983,"INTU^FG_PRICE(12/02/2025)":635.63,"INTU^FF_ENTRPR_VAL_DAILY(45993,,,,,\"DIL\")":180650.22,"INTU^FE_ESTIMATE(SALES,MEAN,CALA_ROLL,2023,45993,,,'')":15152.913,"INTU^FE_ESTIMATE(SALES,MEAN,CALA_ROLL,2024,45993,,,'')":17370.879,"INTU^FE_ESTIMATE(SALES,MEAN,LTMA,,45993,,,'')":19636.135,"INTU^FE_ESTIMATE(SALES,MEAN,NTMA,,45993,,,'')":22093.613,"INTU^FE_ESTIMATE(SALES,MEAN,CALA_ROLL,2025,45993,,,'')":19824.432,"INTU^FE_ESTIMATE(SALES,MEAN,CALA_ROLL,2026,45993,,,'')":22302.38,"IOT^FG_PRICE(12/02/2025)":37.98,"IOT^FF_ENTRPR_VAL_DAILY(45993,,,,,\"DIL\")":20684.05739068,"IOT^FE_ESTIMATE(SALES,MEAN,CALA_ROLL,2023,45993,,,'')":913.1931,"IOT^FE_ESTIMATE(SALES,MEAN,CALA_ROLL,2024,45993,,,'')":1223.0061,"IOT^FE_ESTIMATE(SALES,MEAN,LTMA,,45993,,,'')":1523.4557,"IOT^FE_ESTIMATE(SALES,MEAN,NTMA,,45993,,,'')":1848.3569,"IOT^FE_ESTIMATE(SALES,MEAN,CALA_ROLL,2025,45993,,,'')":1549.2427,"IOT^FE_ESTIMATE(SALES,MEAN,CALA_ROLL,2026,45993,,,'')":1874.1194,"MNDY^FG_PRICE(12/02/2025)":148.6,"MNDY^FF_ENTRPR_VAL_DAILY(45993,,,,,\"DIL\")":6295.390471,"MNDY^FE_ESTIMATE(SALES,MEAN,CALA_ROLL,2023,45993,,,'')":729.695,"MNDY^FE_ESTIMATE(SALES,MEAN,CALA_ROLL,2024,45993,,,'')":971.995,"MNDY^FE_ESTIMATE(SALES,MEAN,LTMA,,45993,,,'')":1207.4938,"MNDY^FE_ESTIMATE(SALES,MEAN,NTMA,,45993,,,'')":1471.3213,"MNDY^FE_ESTIMATE(SALES,MEAN,CALA_ROLL,2025,45993,,,'')":1227.8196,"MNDY^FE_ESTIMATE(SALES,MEAN,CALA_ROLL,2026,45993,,,'')":1492.3379,"MSFT^FG_PRICE(12/02/2025)":490.0,"MSFT^FF_ENTRPR_VAL_DAILY(45993,,,,,\"DIL\")":3652363.84,"MSFT^FE_ESTIMATE(SALES,MEAN,CALA_ROLL,2023,45993,,,'')":228317.34,"MSFT^FE_ESTIMATE(SALES,MEAN,CALA_ROLL,2024,45993,,,'')":263911.03,"MSFT^FE_ESTIMATE(SALES,MEAN,LTMA,,45993,,,'')":300698.63,"MSFT^FE_ESTIMATE(SALES,MEAN,NTMA,,45993,,,'')":347273.22,"MSFT^FE_ESTIMATE(SALES,MEAN,CALA_ROLL,2025,45993,,,'')":304248.72,"MSFT^FE_ESTIMATE(SALES,MEAN,CALA_ROLL,2026,45993,,,'')":351177.38,"NOW^FG_PRICE(12/02/2025)":824.38,"NOW^FF_ENTRPR_VAL_DAILY(45993,,,,,\"DIL\")":169209.77535,"NOW^FE_ESTIMATE(SALES,MEAN,CALA_ROLL,2023,45993,,,'')":8971.0,"NOW^FE_ESTIMATE(SALES,MEAN,CALA_ROLL,2024,45993,,,'')":10984.0,"NOW^FE_ESTIMATE(SALES,MEAN,LTMA,,45993,,,'')":13060.004,"NOW^FE_ESTIMATE(SALES,MEAN,NTMA,,45993,,,'')":15483.894,"NOW^FE_ESTIMATE(SALES,MEAN,CALA_ROLL,2025,45993,,,'')":13239.184,"NOW^FE_ESTIMATE(SALES,MEAN,CALA_ROLL,2026,45993,,,'')":15677.633,"AMZN^FG_PRICE(12/02/2025)":234.42,"AMZN^FF_ENTRPR_VAL_DAILY(45993,,,,,\"DIL\")":2591426.6,"AMZN^FE_ESTIMATE(SALES,MEAN,CALA_ROLL,2023,45993,,,'')":574785.0,"AMZN^FE_ESTIMATE(SALES,MEAN,CALA_ROLL,2024,45993,,,'')":637959.0,"AMZN^FE_ESTIMATE(SALES,MEAN,LTMA,,45993,,,'')":708488.56,"AMZN^FE_ESTIMATE(SALES,MEAN,NTMA,,45993,,,'')":788923.3,"AMZN^FE_ESTIMATE(SALES,MEAN,CALA_ROLL,2025,45993,,,'')":714575.94,"AMZN^FE_ESTIMATE(SALES,MEAN,CALA_ROLL,2026,45993,,,'')":795340.2,"GOOGL^FG_PRICE(12/02/2025)":315.81,"GOOGL^FF_ENTRPR_VAL_DAILY(45993,,,,,\"DIL\")":3785301.67,"GOOGL^FE_ESTIMATE(SALES,MEAN,CALA_ROLL,2023,45993,,,'')":307394.0,"GOOGL^FE_ESTIMATE(SALES,MEAN,CALA_ROLL,2024,45993,,,'')":350018.0,"GOOGL^FE_ESTIMATE(SALES,MEAN,LTMA,,45993,,,'')":396006.88,"GOOGL^FE_ESTIMATE(SALES,MEAN,NTMA,,45993,,,'')":450449.56,"GOOGL^FE_ESTIMATE(SALES,MEAN,CALA_ROLL,2025,45993,,,'')":399976.16,"GOOGL^FE_ESTIMATE(SALES,MEAN,CALA_ROLL,2026,45993,,,'')":454805.88,"ADBE^FE_ESTIMATE(CUSTOM_EPS,MEAN,CALA_ROLL,2023,45993,,,'')":12.452312,"ADBE^FE_ESTIMATE(CUSTOM_EPS,MEAN,CALA_ROLL,2024,45993,,,'')":14.509777,"ADBE^FE_ESTIMATE(CUSTOM_EPS,MEAN,LTMA,,45993,,,'')":17.38998,"ADBE^FE_ESTIMATE(CUSTOM_EPS,MEAN,NTMA,,45993,,,'')":19.668753,"ADBE^FE_ESTIMATE(CUSTOM_EPS,MEAN,CALA_ROLL,2025,45993,,,'')":17.570932,"ADBE^FE_ESTIMATE(CUSTOM_EPS,MEAN,CALA_ROLL,2026,45993,,,'')":19.868177,"DDOG^FE_ESTIMATE(CUSTOM_EPS,MEAN,CALA_ROLL,2023,45993,,,'')":1.32,"DDOG^FE_ESTIMATE(CUSTOM_EPS,MEAN,CALA_ROLL,2024,45993,,,'')":1.82,"DDOG^FE_ESTIMATE(CUSTOM_EPS,MEAN,LTMA,,45993,,,'')":2.003963,"DDOG^FE_ESTIMATE(CUSTOM_EPS,MEAN,NTMA,,45993,,,'')":2.2919278,"DDOG^FE_ESTIMATE(CUSTOM_EPS,MEAN,CALA_ROLL,2025,45993,,,'')":2.0198407,"DDOG^FE_ESTIMATE(CUSTOM_EPS,MEAN,CALA_ROLL,2026,45993,,,'')":2.3154116,"INTU^FE_ESTIMATE(CUSTOM_EPS,MEAN,CALA_ROLL,2023,45993,,,'')":9.109617,"INTU^FE_ESTIMATE(CUSTOM_EPS,MEAN,CALA_ROLL,2024,45993,,,'')":11.463397,"INTU^FE_ESTIMATE(CUSTOM_EPS,MEAN,LTMA,,45993,,,'')":15.866849,"INTU^FE_ESTIMATE(CUSTOM_EPS,MEAN,NTMA,,45993,,,'')":21.799095,"INTU^FE_ESTIMATE(CUSTOM_EPS,MEAN,CALA_ROLL,2025,45993,,,'')":16.490547,"INTU^FE_ESTIMATE(CUSTOM_EPS,MEAN,CALA_ROLL,2026,45993,,,'')":21.974287,"IOT^FE_ESTIMATE(CUSTOM_EPS,MEAN,CALA_ROLL,2023,45993,,,'')":0.053013697,"IOT^FE_ESTIMATE(CUSTOM_EPS,MEAN,CALA_ROLL,2024,45993,,,'')":0.24392335,"IOT^FE_ESTIMATE(CUSTOM_EPS,MEAN,LTMA,,45993,,,'')":0.43391266,"IOT^FE_ESTIMATE(CUSTOM_EPS,MEAN,NTMA,,45993,,,'')":0.55168664,"IOT^FE_ESTIMATE(CUSTOM_EPS,MEAN,CALA_ROLL,2025,45993,,,'')":0.45038828,"IOT^FE_ESTIMATE(CUSTOM_EPS,MEAN,CALA_ROLL,2026,45993,,,'')":0.5596318,"MNDY^FE_ESTIMATE(CUSTOM_EPS,MEAN,CALA_ROLL,2023,45993,,,'')":1.851437,"MNDY^FE_ESTIMATE(CUSTOM_EPS,MEAN,CALA_ROLL,2024,45993,,,'')":3.494846,"MNDY^FE_ESTIMATE(CUSTOM_EPS,MEAN,LTMA,,45993,,,'')":4.2106557,"MNDY^FE_ESTIMATE(CUSTOM_EPS,MEAN,NTMA,,45993,,,'')":4.6940093,"MNDY^FE_ESTIMATE(CUSTOM_EPS,MEAN,CALA_ROLL,2025,45993,,,'')":4.272437,"MNDY^FE_ESTIMATE(CUSTOM_EPS,MEAN,CALA_ROLL,2026,45993,,,'')":4.730395,"MSFT^FE_ESTIMATE(CUSTOM_EPS,MEAN,CALA_ROLL,2023,45993,,,'')":10.796926,"MSFT^FE_ESTIMATE(CUSTOM_EPS,MEAN,CALA_ROLL,2024,45993,,,'')":12.743814,"MSFT^FE_ESTIMATE(CUSTOM_EPS,MEAN,LTMA,,45993,,,'')":14.685456,"MSFT^FE_ESTIMATE(CUSTOM_EPS,MEAN,NTMA,,45993,,,'')":17.241922,"MSFT^FE_ESTIMATE(CUSTOM_EPS,MEAN,CALA_ROLL,2025,45993,,,'')":14.881058,"MSFT^FE_ESTIMATE(CUSTOM_EPS,MEAN,CALA_ROLL,2026,45993,,,'')":17.45522,"NOW^FE_ESTIMATE(CUSTOM_EPS,MEAN,CALA_ROLL,2023,45993,,,'')":2.983107,"NOW^FE_ESTIMATE(CUSTOM_EPS,MEAN,CALA_ROLL,2024,45993,,,'')":5.546731,"NOW^FE_ESTIMATE(CUSTOM_EPS,MEAN,LTMA,,45993,,,'')":12.672358,"NOW^FE_ESTIMATE(CUSTOM_EPS,MEAN,NTMA,,45993,,,'')":15.535846,"NOW^FE_ESTIMATE(CUSTOM_EPS,MEAN,CALA_ROLL,2025,45993,,,'')":13.287367,"NOW^FE_ESTIMATE(CUSTOM_EPS,MEAN,CALA_ROLL,2026,45993,,,'')":15.729911,"AMZN^FE_ESTIMATE(CUSTOM_EPS,MEAN,CALA_ROLL,2023,45993,,,'')":2.9078975,"AMZN^FE_ESTIMATE(CUSTOM_EPS,MEAN,CALA_ROLL,2024,45993,,,'')":5.552357,"AMZN^FE_ESTIMATE(CUSTOM_EPS,MEAN,LTMA,,45993,,,'')":6.690755,"AMZN^FE_ESTIMATE(CUSTOM_EPS,MEAN,NTMA,,45993,,,'')":7.9194937,"AMZN^FE_ESTIMATE(CUSTOM_EPS,MEAN,CALA_ROLL,2025,45993,,,'')":6.7890096,"AMZN^FE_ESTIMATE(CUSTOM_EPS,MEAN,CALA_ROLL,2026,45993,,,'')":8.017065,"GOOGL^FE_ESTIMATE(CUSTOM_EPS,MEAN,CALA_ROLL,2023,45993,,,'')":5.7988653,"GOOGL^FE_ESTIMATE(CUSTOM_EPS,MEAN,CALA_ROLL,2024,45993,,,'')":8.044173,"GOOGL^FE_ESTIMATE(CUSTOM_EPS,MEAN,LTMA,,45993,,,'')":10.2850485,"GOOGL^FE_ESTIMATE(CUSTOM_EPS,MEAN,NTMA,,45993,,,'')":11.1001,"GOOGL^FE_ESTIMATE(CUSTOM_EPS,MEAN,CALA_ROLL,2025,45993,,,'')":10.4784565,"GOOGL^FE_ESTIMATE(CUSTOM_EPS,MEAN,CALA_ROLL,2026,45993,,,'')":11.153753,"AMZN^FE_ESTIMATE(FCF,MEAN,CALA_ROLL,2023,45993,,,'')":33613.75,"AMZN^FE_ESTIMATE(FCF,MEAN,CALA_ROLL,2024,45993,,,'')":37087.105,"AMZN^FE_ESTIMATE(FCF,MEAN,NTMA,,45993,,,'')":44775.652,"AMZN^FE_ESTIMATE(FCF,MEAN,CALA_ROLL,2025,45993,,,'')":21123.0,"AMZN^FE_ESTIMATE(FCF,MEAN,CALA_ROLL,2026,45993,,,'')":46817.1,"GOOGL^FE_ESTIMATE(FCF,MEAN,CALA_ROLL,2023,45993,,,'')":69766.766,"GOOGL^FE_ESTIMATE(FCF,MEAN,CALA_ROLL,2024,45993,,,'')":71477.5,"GOOGL^FE_ESTIMATE(FCF,MEAN,NTMA,,45993,,,'')":68772.445,"GOOGL^FE_ESTIMATE(FCF,MEAN,CALA_ROLL,2025,45993,,,'')":65828.9,"GOOGL^FE_ESTIMATE(FCF,MEAN,CALA_ROLL,2026,45993,,,'')":69026.51,"MSFT^FE_ESTIMATE(FCF,MEAN,CALA_ROLL,2023,45993,,,'')":66334.016,"MSFT^FE_ESTIMATE(FCF,MEAN,CALA_ROLL,2024,45993,,,'')":71498.2,"MSFT^FE_ESTIMATE(FCF,MEAN,NTMA,,45993,,,'')":77647.66,"MSFT^FE_ESTIMATE(FCF,MEAN,CALA_ROLL,2025,45993,,,'')":72303.61,"MSFT^FE_ESTIMATE(FCF,MEAN,CALA_ROLL,2026,45993,,,'')":78248.97,"ADBE^FE_ESTIMATE(FCF,MEAN,CALA_ROLL,2023,45993,,,'')":7030.179,"ADBE^FE_ESTIMATE(FCF,MEAN,CALA_ROLL,2024,45993,,,'')":7915.2505,"ADBE^FE_ESTIMATE(FCF,MEAN,NTMA,,45993,,,'')":10373.175,"ADBE^FE_ESTIMATE(FCF,MEAN,CALA_ROLL,2025,45993,,,'')":9451.334,"ADBE^FE_ESTIMATE(FCF,MEAN,CALA_ROLL,2026,45993,,,'')":10455.015,"DDOG^FE_ESTIMATE(FCF,MEAN,CALA_ROLL,2023,45993,,,'')":597.57306,"DDOG^FE_ESTIMATE(FCF,MEAN,CALA_ROLL,2024,45993,,,'')":777.2125,"DDOG^FE_ESTIMATE(FCF,MEAN,NTMA,,45993,,,'')":1081.4141,"DDOG^FE_ESTIMATE(FCF,MEAN,CALA_ROLL,2025,45993,,,'')":886.31866,"DDOG^FE_ESTIMATE(FCF,MEAN,CALA_ROLL,2026,45993,,,'')":1098.2526,"INTU^FE_ESTIMATE(FCF,MEAN,CALA_ROLL,2023,45993,,,'')":4662.2397,"INTU^FE_ESTIMATE(FCF,MEAN,CALA_ROLL,2024,45993,,,'')":5324.907,"INTU^FE_ESTIMATE(FCF,MEAN,NTMA,,45993,,,'')":7353.4497,"INTU^FE_ESTIMATE(FCF,MEAN,CALA_ROLL,2025,45993,,,'')":6496.947,"INTU^FE_ESTIMATE(FCF,MEAN,CALA_ROLL,2026,45993,,,'')":7422.866,"IOT^FE_ESTIMATE(FCF,MEAN,CALA_ROLL,2023,45993,,,'')":15.113546,"IOT^FE_ESTIMATE(FCF,MEAN,CALA_ROLL,2024,45993,,,'')":104.436264,"IOT^FE_ESTIMATE(FCF,MEAN,NTMA,,45993,,,'')":251.27702,"IOT^FE_ESTIMATE(FCF,MEAN,CALA_ROLL,2025,45993,,,'')":183.61333,"IOT^FE_ESTIMATE(FCF,MEAN,CALA_ROLL,2026,45993,,,'')":257.0723,"MNDY^FE_ESTIMATE(FCF,MEAN,CALA_ROLL,2023,45993,,,'')":204.945,"MNDY^FE_ESTIMATE(FCF,MEAN,CALA_ROLL,2024,45993,,,'')":295.83,"MNDY^FE_ESTIMATE(FCF,MEAN,NTMA,,45993,,,'')":399.4438,"MNDY^FE_ESTIMATE(FCF,MEAN,CALA_ROLL,2025,45993,,,'')":332.5732,"MNDY^FE_ESTIMATE(FCF,MEAN,CALA_ROLL,2026,45993,,,'')":405.21536,"NOW^FE_ESTIMATE(FCF,MEAN,CALA_ROLL,2023,45993,,,'')":2711.595,"NOW^FE_ESTIMATE(FCF,MEAN,CALA_ROLL,2024,45993,,,'')":3437.4937,"NOW^FE_ESTIMATE(FCF,MEAN,NTMA,,45993,,,'')":5281.7495,"NOW^FE_ESTIMATE(FCF,MEAN,CALA_ROLL,2025,45993,,,'')":4496.093,"NOW^FE_ESTIMATE(FCF,MEAN,CALA_ROLL,2026,45993,,,'')":5349.559}]]></FdsFormulaCache>
</file>

<file path=customXml/itemProps1.xml><?xml version="1.0" encoding="utf-8"?>
<ds:datastoreItem xmlns:ds="http://schemas.openxmlformats.org/officeDocument/2006/customXml" ds:itemID="{FD0E93A0-5AF8-4E8D-8727-6948B00E1CDC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Revenue Build</vt:lpstr>
      <vt:lpstr>IS (GAAP)</vt:lpstr>
      <vt:lpstr>IS (Non-GAAP)</vt:lpstr>
      <vt:lpstr>Share Count</vt:lpstr>
      <vt:lpstr>BS</vt:lpstr>
      <vt:lpstr>CF</vt:lpstr>
      <vt:lpstr>Def. Revenue &amp; Billings</vt:lpstr>
      <vt:lpstr>Guidance</vt:lpstr>
      <vt:lpstr>Dates</vt:lpstr>
      <vt:lpstr>Consensus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2020-08-06T04:49:56Z</dcterms:created>
  <dcterms:modified xsi:type="dcterms:W3CDTF">2025-12-04T17:28:00Z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ctiveDocumentsID">
    <vt:lpwstr>0025d145-a26a-4850-a39c-552c7374f17a</vt:lpwstr>
  </property>
  <property fmtid="{D5CDD505-2E9C-101B-9397-08002B2CF9AE}" pid="3" name="TitusGUID">
    <vt:lpwstr>05c9578d-6ffa-43a6-9f87-811522516767</vt:lpwstr>
  </property>
  <property fmtid="{D5CDD505-2E9C-101B-9397-08002B2CF9AE}" pid="4" name="Classification">
    <vt:lpwstr>I</vt:lpwstr>
  </property>
  <property fmtid="{D5CDD505-2E9C-101B-9397-08002B2CF9AE}" pid="5" name="DocNoClass">
    <vt:lpwstr>Not In Use</vt:lpwstr>
  </property>
  <property fmtid="{D5CDD505-2E9C-101B-9397-08002B2CF9AE}" pid="6" name="=fdsSearchOrder">
    <vt:i4>0</vt:i4>
  </property>
  <property fmtid="{D5CDD505-2E9C-101B-9397-08002B2CF9AE}" pid="7" name="{A44787D4-0540-4523-9961-78E4036D8C6D}">
    <vt:lpwstr>{65C83131-511E-419D-9AA4-D78D0633238D}</vt:lpwstr>
  </property>
</Properties>
</file>